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drawings/drawing6.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7.xml" ContentType="application/vnd.openxmlformats-officedocument.drawing+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drawings/drawing8.xml" ContentType="application/vnd.openxmlformats-officedocument.drawing+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drawings/drawing9.xml" ContentType="application/vnd.openxmlformats-officedocument.drawing+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drawings/drawing10.xml" ContentType="application/vnd.openxmlformats-officedocument.drawing+xml"/>
  <Override PartName="/xl/ctrlProps/ctrlProp285.xml" ContentType="application/vnd.ms-excel.controlproperties+xml"/>
  <Override PartName="/xl/ctrlProps/ctrlProp286.xml" ContentType="application/vnd.ms-excel.controlproperties+xml"/>
  <Override PartName="/xl/drawings/drawing11.xml" ContentType="application/vnd.openxmlformats-officedocument.drawing+xml"/>
  <Override PartName="/xl/ctrlProps/ctrlProp287.xml" ContentType="application/vnd.ms-excel.controlproperties+xml"/>
  <Override PartName="/xl/ctrlProps/ctrlProp288.xml" ContentType="application/vnd.ms-excel.controlproperties+xml"/>
  <Override PartName="/xl/drawings/drawing12.xml" ContentType="application/vnd.openxmlformats-officedocument.drawing+xml"/>
  <Override PartName="/xl/ctrlProps/ctrlProp289.xml" ContentType="application/vnd.ms-excel.controlproperties+xml"/>
  <Override PartName="/xl/ctrlProps/ctrlProp290.xml" ContentType="application/vnd.ms-excel.controlproperties+xml"/>
  <Override PartName="/xl/drawings/drawing13.xml" ContentType="application/vnd.openxmlformats-officedocument.drawing+xml"/>
  <Override PartName="/xl/ctrlProps/ctrlProp291.xml" ContentType="application/vnd.ms-excel.controlproperties+xml"/>
  <Override PartName="/xl/ctrlProps/ctrlProp292.xml" ContentType="application/vnd.ms-excel.controlproperties+xml"/>
  <Override PartName="/xl/drawings/drawing14.xml" ContentType="application/vnd.openxmlformats-officedocument.drawing+xml"/>
  <Override PartName="/xl/ctrlProps/ctrlProp293.xml" ContentType="application/vnd.ms-excel.controlproperties+xml"/>
  <Override PartName="/xl/ctrlProps/ctrlProp294.xml" ContentType="application/vnd.ms-excel.controlproperties+xml"/>
  <Override PartName="/xl/drawings/drawing15.xml" ContentType="application/vnd.openxmlformats-officedocument.drawing+xml"/>
  <Override PartName="/xl/ctrlProps/ctrlProp295.xml" ContentType="application/vnd.ms-excel.controlproperties+xml"/>
  <Override PartName="/xl/ctrlProps/ctrlProp296.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xml" ContentType="application/vnd.openxmlformats-officedocument.spreadsheetml.comments+xml"/>
  <Override PartName="/xl/drawings/drawing2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DieseArbeitsmappe" defaultThemeVersion="166925"/>
  <mc:AlternateContent xmlns:mc="http://schemas.openxmlformats.org/markup-compatibility/2006">
    <mc:Choice Requires="x15">
      <x15ac:absPath xmlns:x15ac="http://schemas.microsoft.com/office/spreadsheetml/2010/11/ac" url="https://holdingcag.sharepoint.com/sites/Prefa/International/Standarddokumente/Standarddokumente CH/DE/02 Technik/11 Vorlagen (templates)/03 Erhebungsbögen/"/>
    </mc:Choice>
  </mc:AlternateContent>
  <xr:revisionPtr revIDLastSave="0" documentId="8_{6AF9C92A-5763-4FB0-BE60-4FE189B2B4F9}" xr6:coauthVersionLast="47" xr6:coauthVersionMax="47" xr10:uidLastSave="{00000000-0000-0000-0000-000000000000}"/>
  <workbookProtection workbookAlgorithmName="SHA-512" workbookHashValue="/iuOC0wBDxFllbt6F8bykcDHk1l3tKzF+rG7gnwDFFLmoP1vVFDGMNzXrKOzgdJQvGYQcJqPraYUjHHTnM7mSA==" workbookSaltValue="bExm/6I29aF6Ch3pUVzBEA==" workbookSpinCount="100000" lockStructure="1"/>
  <bookViews>
    <workbookView xWindow="28680" yWindow="-120" windowWidth="29040" windowHeight="15840" tabRatio="831" xr2:uid="{3811BB9A-256B-43CF-A754-E8E1BAF475AE}"/>
  </bookViews>
  <sheets>
    <sheet name="Erhebungsbogen" sheetId="1" r:id="rId1"/>
    <sheet name="Haftungsausschluß" sheetId="4" r:id="rId2"/>
    <sheet name="Bilder" sheetId="15" state="hidden" r:id="rId3"/>
    <sheet name="Leibungshöhe" sheetId="114" r:id="rId4"/>
    <sheet name="Kalk1" sheetId="5" r:id="rId5"/>
    <sheet name="Kalk2" sheetId="16" r:id="rId6"/>
    <sheet name="Kalk3" sheetId="19" r:id="rId7"/>
    <sheet name="Kalk4" sheetId="22" r:id="rId8"/>
    <sheet name="Kalk5" sheetId="25" r:id="rId9"/>
    <sheet name="STK1" sheetId="6" state="hidden" r:id="rId10"/>
    <sheet name="STK2" sheetId="17" state="hidden" r:id="rId11"/>
    <sheet name="STK3" sheetId="20" state="hidden" r:id="rId12"/>
    <sheet name="STK4" sheetId="23" state="hidden" r:id="rId13"/>
    <sheet name="STK5" sheetId="26" state="hidden" r:id="rId14"/>
    <sheet name="Stk-Liste-GES" sheetId="28" state="hidden" r:id="rId15"/>
    <sheet name="CAD1" sheetId="8" state="hidden" r:id="rId16"/>
    <sheet name="CAD2" sheetId="61" state="hidden" r:id="rId17"/>
    <sheet name="CAD3" sheetId="62" state="hidden" r:id="rId18"/>
    <sheet name="CAD4" sheetId="63" state="hidden" r:id="rId19"/>
    <sheet name="CAD5" sheetId="64" state="hidden" r:id="rId20"/>
    <sheet name="Sprachindex" sheetId="3" state="hidden" r:id="rId21"/>
    <sheet name="Preisliste" sheetId="7" state="hidden" r:id="rId22"/>
    <sheet name="HWS Partner" sheetId="115" state="hidden" r:id="rId23"/>
    <sheet name="Kalk1_Eingabe" sheetId="67" state="hidden" r:id="rId24"/>
    <sheet name="Kalk1_Sys_50" sheetId="68" state="hidden" r:id="rId25"/>
    <sheet name="Kalk1_Sys_80k" sheetId="69" state="hidden" r:id="rId26"/>
    <sheet name="Kalk1_Sys_80g" sheetId="70" state="hidden" r:id="rId27"/>
    <sheet name="Kalk1_DB_25-200" sheetId="76" state="hidden" r:id="rId28"/>
    <sheet name="Kalk1_DB_50-150" sheetId="71" state="hidden" r:id="rId29"/>
    <sheet name="Kalk1_DB_50-200" sheetId="72" state="hidden" r:id="rId30"/>
    <sheet name="Kalk1_DB_80-200" sheetId="73" state="hidden" r:id="rId31"/>
    <sheet name="Kalk1_Lastfallkombi" sheetId="74" state="hidden" r:id="rId32"/>
    <sheet name="Kalk2_Eingabe" sheetId="86" state="hidden" r:id="rId33"/>
    <sheet name="Kalk2_Sys_50" sheetId="78" state="hidden" r:id="rId34"/>
    <sheet name="Kalk2_Sys_80k" sheetId="79" state="hidden" r:id="rId35"/>
    <sheet name="Kalk2_Sys_80g" sheetId="80" state="hidden" r:id="rId36"/>
    <sheet name="Kalk2_DB_25-200" sheetId="81" state="hidden" r:id="rId37"/>
    <sheet name="Kalk2_DB_50-150" sheetId="82" state="hidden" r:id="rId38"/>
    <sheet name="Kalk2_DB_50-200" sheetId="83" state="hidden" r:id="rId39"/>
    <sheet name="Kalk2_DB_80-200" sheetId="84" state="hidden" r:id="rId40"/>
    <sheet name="Kalk2_Lastfallkombi" sheetId="85" state="hidden" r:id="rId41"/>
    <sheet name="Kalk3_Eingabe" sheetId="87" state="hidden" r:id="rId42"/>
    <sheet name="Kalk3_Sys_50" sheetId="88" state="hidden" r:id="rId43"/>
    <sheet name="Kalk3_Sys_80k" sheetId="89" state="hidden" r:id="rId44"/>
    <sheet name="Kalk3_Sys_80g" sheetId="90" state="hidden" r:id="rId45"/>
    <sheet name="Kalk3_DB_25-200" sheetId="91" state="hidden" r:id="rId46"/>
    <sheet name="Kalk3_DB_50-150" sheetId="92" state="hidden" r:id="rId47"/>
    <sheet name="Kalk3_DB_50-200" sheetId="93" state="hidden" r:id="rId48"/>
    <sheet name="Kalk3_DB_80-200" sheetId="94" state="hidden" r:id="rId49"/>
    <sheet name="Kalk3_Lastfallkombi" sheetId="95" state="hidden" r:id="rId50"/>
    <sheet name="Kalk4_Eingabe" sheetId="96" state="hidden" r:id="rId51"/>
    <sheet name="Kalk4_Sys_50" sheetId="97" state="hidden" r:id="rId52"/>
    <sheet name="Kalk4_Sys_80k" sheetId="98" state="hidden" r:id="rId53"/>
    <sheet name="Kalk4_Sys_80g" sheetId="99" state="hidden" r:id="rId54"/>
    <sheet name="Kalk4_DB_25-200" sheetId="100" state="hidden" r:id="rId55"/>
    <sheet name="Kalk4_DB_50-150" sheetId="101" state="hidden" r:id="rId56"/>
    <sheet name="Kalk4_DB_50-200" sheetId="102" state="hidden" r:id="rId57"/>
    <sheet name="Kalk4_DB_80-200" sheetId="103" state="hidden" r:id="rId58"/>
    <sheet name="Kalk4_Lastfallkombi" sheetId="104" state="hidden" r:id="rId59"/>
    <sheet name="Kalk5_Eingabe" sheetId="105" state="hidden" r:id="rId60"/>
    <sheet name="Kalk5_Sys_50" sheetId="106" state="hidden" r:id="rId61"/>
    <sheet name="Kalk5_Sys_80k" sheetId="107" state="hidden" r:id="rId62"/>
    <sheet name="Kalk5_Sys_80g" sheetId="108" state="hidden" r:id="rId63"/>
    <sheet name="Kalk5_DB_25-200" sheetId="109" state="hidden" r:id="rId64"/>
    <sheet name="Kalk5_DB_50-150" sheetId="110" state="hidden" r:id="rId65"/>
    <sheet name="Kalk5_DB_50-200" sheetId="111" state="hidden" r:id="rId66"/>
    <sheet name="Kalk5_DB_80-200" sheetId="112" state="hidden" r:id="rId67"/>
    <sheet name="Kalk5_Lastfallkombi" sheetId="113" state="hidden" r:id="rId68"/>
  </sheets>
  <definedNames>
    <definedName name="_FilterDatabase" localSheetId="20" hidden="1">Sprachindex!$A$1:$P$1939</definedName>
    <definedName name="_FilterDatabase" localSheetId="9" hidden="1">'STK1'!$B$20:$B$187</definedName>
    <definedName name="_FilterDatabase" localSheetId="10" hidden="1">'STK2'!$B$20:$B$187</definedName>
    <definedName name="_FilterDatabase" localSheetId="11" hidden="1">'STK3'!$B$20:$B$187</definedName>
    <definedName name="_FilterDatabase" localSheetId="12" hidden="1">'STK4'!$B$20:$B$187</definedName>
    <definedName name="_FilterDatabase" localSheetId="13" hidden="1">'STK5'!$B$20:$B$187</definedName>
    <definedName name="_FilterDatabase" localSheetId="14" hidden="1">'Stk-Liste-GES'!$B$20:$B$553</definedName>
    <definedName name="_xlnm._FilterDatabase" localSheetId="9" hidden="1">'STK1'!$B$20:$B$190</definedName>
    <definedName name="_xlnm._FilterDatabase" localSheetId="10" hidden="1">'STK2'!$B$20:$B$190</definedName>
    <definedName name="_xlnm._FilterDatabase" localSheetId="11" hidden="1">'STK3'!$B$20:$B$190</definedName>
    <definedName name="_xlnm._FilterDatabase" localSheetId="12" hidden="1">'STK4'!$B$20:$B$190</definedName>
    <definedName name="_xlnm._FilterDatabase" localSheetId="13" hidden="1">'STK5'!$B$20:$B$187</definedName>
    <definedName name="_xlnm._FilterDatabase" localSheetId="14" hidden="1">'Stk-Liste-GES'!$B$20:$B$556</definedName>
    <definedName name="CAD_1" localSheetId="15">INDIRECT("Bilder!B"&amp;Bilder!$G$26)</definedName>
    <definedName name="CAD_2" localSheetId="16">INDIRECT("Bilder!B"&amp;Bilder!$G$27)</definedName>
    <definedName name="CAD_3" localSheetId="17">INDIRECT("Bilder!B"&amp;Bilder!$G$28)</definedName>
    <definedName name="CAD_4" localSheetId="18">INDIRECT("Bilder!B"&amp;Bilder!$G$29)</definedName>
    <definedName name="CAD_5" localSheetId="19">INDIRECT("Bilder!B"&amp;Bilder!$G$30)</definedName>
    <definedName name="_xlnm.Print_Area" localSheetId="27">'Kalk1_DB_25-200'!$A$1:$I$49</definedName>
    <definedName name="_xlnm.Print_Area" localSheetId="28">'Kalk1_DB_50-150'!$A$1:$I$48</definedName>
    <definedName name="_xlnm.Print_Area" localSheetId="29">'Kalk1_DB_50-200'!$A$1:$I$49</definedName>
    <definedName name="_xlnm.Print_Area" localSheetId="30">'Kalk1_DB_80-200'!$A$1:$I$49</definedName>
    <definedName name="_xlnm.Print_Area" localSheetId="31">Kalk1_Lastfallkombi!$A$2:$G$70</definedName>
    <definedName name="_xlnm.Print_Area" localSheetId="36">'Kalk2_DB_25-200'!$A$1:$I$49</definedName>
    <definedName name="_xlnm.Print_Area" localSheetId="37">'Kalk2_DB_50-150'!$A$1:$I$48</definedName>
    <definedName name="_xlnm.Print_Area" localSheetId="38">'Kalk2_DB_50-200'!$A$1:$I$49</definedName>
    <definedName name="_xlnm.Print_Area" localSheetId="39">'Kalk2_DB_80-200'!$A$1:$I$49</definedName>
    <definedName name="_xlnm.Print_Area" localSheetId="45">'Kalk3_DB_25-200'!$A$1:$I$49</definedName>
    <definedName name="_xlnm.Print_Area" localSheetId="46">'Kalk3_DB_50-150'!$A$1:$I$48</definedName>
    <definedName name="_xlnm.Print_Area" localSheetId="47">'Kalk3_DB_50-200'!$A$1:$I$49</definedName>
    <definedName name="_xlnm.Print_Area" localSheetId="48">'Kalk3_DB_80-200'!$A$1:$I$49</definedName>
    <definedName name="_xlnm.Print_Area" localSheetId="54">'Kalk4_DB_25-200'!$A$1:$I$49</definedName>
    <definedName name="_xlnm.Print_Area" localSheetId="55">'Kalk4_DB_50-150'!$A$1:$I$48</definedName>
    <definedName name="_xlnm.Print_Area" localSheetId="56">'Kalk4_DB_50-200'!$A$1:$I$49</definedName>
    <definedName name="_xlnm.Print_Area" localSheetId="57">'Kalk4_DB_80-200'!$A$1:$I$49</definedName>
    <definedName name="_xlnm.Print_Area" localSheetId="63">'Kalk5_DB_25-200'!$A$1:$I$49</definedName>
    <definedName name="_xlnm.Print_Area" localSheetId="64">'Kalk5_DB_50-150'!$A$1:$I$48</definedName>
    <definedName name="_xlnm.Print_Area" localSheetId="65">'Kalk5_DB_50-200'!$A$1:$I$49</definedName>
    <definedName name="_xlnm.Print_Area" localSheetId="66">'Kalk5_DB_80-200'!$A$1:$I$49</definedName>
    <definedName name="_xlnm.Print_Area" localSheetId="9">'STK1'!$A:$V</definedName>
    <definedName name="_xlnm.Print_Area" localSheetId="10">'STK2'!$A:$V</definedName>
    <definedName name="_xlnm.Print_Area" localSheetId="11">'STK3'!$A:$V</definedName>
    <definedName name="_xlnm.Print_Area" localSheetId="12">'STK4'!$A:$V</definedName>
    <definedName name="_xlnm.Print_Area" localSheetId="13">'STK5'!$A:$V</definedName>
    <definedName name="_xlnm.Print_Area" localSheetId="14">'Stk-Liste-GES'!$A:$V</definedName>
    <definedName name="MontageartLinks1" localSheetId="4">INDIRECT("Bilder!AI"&amp;Bilder!$AI$26)</definedName>
    <definedName name="MontageartLinks2" localSheetId="5">INDIRECT("Bilder!AI"&amp;Bilder!$AI$25)</definedName>
    <definedName name="MontageartLinks3" localSheetId="6">INDIRECT("Bilder!AI"&amp;Bilder!$AI$24)</definedName>
    <definedName name="MontageartLinks4" localSheetId="7">INDIRECT("Bilder!AI"&amp;Bilder!$AI$23)</definedName>
    <definedName name="MontageartLinks5" localSheetId="8">INDIRECT("Bilder!AI"&amp;Bilder!$AI$22)</definedName>
    <definedName name="MontageartRechts1" localSheetId="4">INDIRECT("Bilder!AJ"&amp;Bilder!$AJ$26)</definedName>
    <definedName name="MontageartRechts2" localSheetId="5">INDIRECT("Bilder!AJ"&amp;Bilder!$AJ$25)</definedName>
    <definedName name="MontageartRechts3" localSheetId="6">INDIRECT("Bilder!AJ"&amp;Bilder!$AJ$24)</definedName>
    <definedName name="MontageartRechts4" localSheetId="7">INDIRECT("Bilder!AJ"&amp;Bilder!$AJ$23)</definedName>
    <definedName name="MontageartRechts5" localSheetId="8">INDIRECT("Bilder!AJ"&amp;Bilder!$AJ$22)</definedName>
    <definedName name="Print_Area" localSheetId="15">'CAD1'!$B$2:$BJ$44</definedName>
    <definedName name="Print_Area" localSheetId="16">'CAD2'!$B$2:$BJ$44</definedName>
    <definedName name="Print_Area" localSheetId="17">'CAD3'!$B$2:$BJ$44</definedName>
    <definedName name="Print_Area" localSheetId="18">'CAD4'!$B$2:$BJ$44</definedName>
    <definedName name="Print_Area" localSheetId="19">'CAD5'!$B$2:$BJ$44</definedName>
    <definedName name="Rundprofil1" localSheetId="4">INDIRECT("Bilder!AL"&amp;Bilder!$AL$26)</definedName>
    <definedName name="Rundprofil2" localSheetId="5">INDIRECT("Bilder!AL"&amp;Bilder!$AL$25)</definedName>
    <definedName name="Rundprofil3" localSheetId="6">INDIRECT("Bilder!AL"&amp;Bilder!$AL$24)</definedName>
    <definedName name="Rundprofil4" localSheetId="7">INDIRECT("Bilder!AL"&amp;Bilder!$AL$23)</definedName>
    <definedName name="Rundprofil5" localSheetId="8">INDIRECT("Bilder!AL"&amp;Bilder!$AL$22)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81" i="26" l="1"/>
  <c r="AC4" i="26"/>
  <c r="AC4" i="28"/>
  <c r="AC4" i="23"/>
  <c r="AC4" i="20"/>
  <c r="AC4" i="17"/>
  <c r="AC4" i="6"/>
  <c r="C6" i="115"/>
  <c r="C7" i="115"/>
  <c r="C8" i="115"/>
  <c r="C9" i="115"/>
  <c r="C10" i="115"/>
  <c r="C11" i="115"/>
  <c r="C12" i="115"/>
  <c r="C13" i="115"/>
  <c r="C14" i="115"/>
  <c r="C15" i="115"/>
  <c r="C16" i="115"/>
  <c r="C17" i="115"/>
  <c r="C18" i="115"/>
  <c r="C19" i="115"/>
  <c r="C20" i="115"/>
  <c r="C21" i="115"/>
  <c r="C22" i="115"/>
  <c r="C23" i="115"/>
  <c r="C24" i="115"/>
  <c r="C25" i="115"/>
  <c r="C26" i="115"/>
  <c r="C27" i="115"/>
  <c r="C28" i="115"/>
  <c r="C29" i="115"/>
  <c r="C30" i="115"/>
  <c r="C31" i="115"/>
  <c r="C32" i="115"/>
  <c r="C33" i="115"/>
  <c r="C34" i="115"/>
  <c r="C35" i="115"/>
  <c r="C36" i="115"/>
  <c r="C37" i="115"/>
  <c r="C38" i="115"/>
  <c r="C39" i="115"/>
  <c r="C40" i="115"/>
  <c r="C41" i="115"/>
  <c r="C42" i="115"/>
  <c r="C43" i="115"/>
  <c r="C44" i="115"/>
  <c r="C45" i="115"/>
  <c r="C46" i="115"/>
  <c r="C47" i="115"/>
  <c r="C48" i="115"/>
  <c r="C49" i="115"/>
  <c r="C50" i="115"/>
  <c r="C51" i="115"/>
  <c r="C52" i="115"/>
  <c r="C53" i="115"/>
  <c r="C54" i="115"/>
  <c r="C55" i="115"/>
  <c r="C56" i="115"/>
  <c r="C57" i="115"/>
  <c r="C58" i="115"/>
  <c r="C59" i="115"/>
  <c r="C60" i="115"/>
  <c r="C61" i="115"/>
  <c r="C62" i="115"/>
  <c r="C63" i="115"/>
  <c r="C64" i="115"/>
  <c r="C65" i="115"/>
  <c r="C66" i="115"/>
  <c r="C67" i="115"/>
  <c r="C68" i="115"/>
  <c r="C69" i="115"/>
  <c r="C70" i="115"/>
  <c r="C5" i="115"/>
  <c r="G159" i="7"/>
  <c r="G158" i="7"/>
  <c r="G157" i="7"/>
  <c r="G156" i="7"/>
  <c r="G154" i="7"/>
  <c r="G153" i="7"/>
  <c r="G152" i="7"/>
  <c r="G151" i="7"/>
  <c r="G149" i="7"/>
  <c r="G148" i="7"/>
  <c r="G147" i="7"/>
  <c r="G146" i="7"/>
  <c r="G67" i="7"/>
  <c r="G66" i="7"/>
  <c r="G61" i="7"/>
  <c r="G60" i="7"/>
  <c r="G59" i="7"/>
  <c r="G58" i="7"/>
  <c r="G56" i="7"/>
  <c r="G55" i="7"/>
  <c r="G54" i="7"/>
  <c r="G53" i="7"/>
  <c r="G51" i="7"/>
  <c r="G50" i="7"/>
  <c r="G49" i="7"/>
  <c r="G48" i="7"/>
  <c r="G39" i="7"/>
  <c r="G38" i="7"/>
  <c r="G37" i="7"/>
  <c r="G36" i="7"/>
  <c r="G25" i="7"/>
  <c r="G24" i="7"/>
  <c r="G23" i="7"/>
  <c r="G22" i="7"/>
  <c r="G21" i="7"/>
  <c r="G20" i="7"/>
  <c r="G19" i="7"/>
  <c r="G18" i="7"/>
  <c r="G17" i="7"/>
  <c r="G16" i="7"/>
  <c r="G15" i="7"/>
  <c r="G14" i="7"/>
  <c r="G13" i="7"/>
  <c r="G12" i="7"/>
  <c r="G11" i="7"/>
  <c r="G10" i="7"/>
  <c r="G9" i="7"/>
  <c r="G8" i="7"/>
  <c r="G7" i="7"/>
  <c r="G6" i="7"/>
  <c r="G5" i="7"/>
  <c r="G4" i="7"/>
  <c r="G3" i="7"/>
  <c r="G2" i="7"/>
  <c r="H37" i="5"/>
  <c r="H29" i="5"/>
  <c r="H28" i="5"/>
  <c r="F9" i="114"/>
  <c r="D9" i="114"/>
  <c r="B9" i="114"/>
  <c r="U168" i="28"/>
  <c r="U166" i="28"/>
  <c r="U167" i="28"/>
  <c r="U165" i="28"/>
  <c r="N16" i="114"/>
  <c r="U48" i="26"/>
  <c r="U47" i="26"/>
  <c r="U46" i="26"/>
  <c r="U45" i="26"/>
  <c r="U48" i="23"/>
  <c r="U47" i="23"/>
  <c r="U46" i="23"/>
  <c r="U45" i="23"/>
  <c r="U48" i="20"/>
  <c r="U47" i="20"/>
  <c r="U46" i="20"/>
  <c r="U45" i="20"/>
  <c r="U48" i="17"/>
  <c r="U47" i="17"/>
  <c r="U46" i="17"/>
  <c r="U45" i="17"/>
  <c r="U47" i="6"/>
  <c r="U46" i="6"/>
  <c r="U45" i="6"/>
  <c r="U48" i="6"/>
  <c r="C79" i="115" l="1"/>
  <c r="AL87" i="23"/>
  <c r="AL87" i="20"/>
  <c r="AA9" i="5"/>
  <c r="AA7" i="5"/>
  <c r="AA31" i="16"/>
  <c r="AA31" i="19"/>
  <c r="AA30" i="16"/>
  <c r="AA16" i="16"/>
  <c r="AC5" i="28" l="1"/>
  <c r="X18" i="28" s="1"/>
  <c r="AC5" i="26"/>
  <c r="X18" i="26" s="1"/>
  <c r="AC5" i="23"/>
  <c r="X18" i="23" s="1"/>
  <c r="AC5" i="20"/>
  <c r="X18" i="20" s="1"/>
  <c r="AC5" i="17"/>
  <c r="X18" i="17" s="1"/>
  <c r="AC5" i="6"/>
  <c r="X18" i="6" s="1"/>
  <c r="I5" i="1"/>
  <c r="AK35" i="25"/>
  <c r="AJ35" i="25"/>
  <c r="AI35" i="25"/>
  <c r="AK34" i="25"/>
  <c r="AJ34" i="25"/>
  <c r="AI34" i="25"/>
  <c r="AK35" i="22"/>
  <c r="AJ35" i="22"/>
  <c r="AI35" i="22"/>
  <c r="AK34" i="22"/>
  <c r="AJ34" i="22"/>
  <c r="AI34" i="22"/>
  <c r="AK35" i="19"/>
  <c r="AJ35" i="19"/>
  <c r="AI35" i="19"/>
  <c r="AK34" i="19"/>
  <c r="AJ34" i="19"/>
  <c r="AI34" i="19"/>
  <c r="AK35" i="16"/>
  <c r="AJ35" i="16"/>
  <c r="AI35" i="16"/>
  <c r="AK34" i="16"/>
  <c r="AJ34" i="16"/>
  <c r="AI34" i="16"/>
  <c r="AI35" i="5"/>
  <c r="AI34" i="5"/>
  <c r="AJ35" i="5"/>
  <c r="AJ34" i="5"/>
  <c r="AK35" i="5"/>
  <c r="AK34" i="5"/>
  <c r="AA32" i="25"/>
  <c r="AA32" i="22"/>
  <c r="AA32" i="19"/>
  <c r="AA32" i="16"/>
  <c r="AA32" i="5"/>
  <c r="M51" i="8" l="1"/>
  <c r="C16" i="112"/>
  <c r="C16" i="111"/>
  <c r="C16" i="110"/>
  <c r="C16" i="109"/>
  <c r="C16" i="103"/>
  <c r="C16" i="102"/>
  <c r="C16" i="101"/>
  <c r="C16" i="100"/>
  <c r="C16" i="94"/>
  <c r="C16" i="93"/>
  <c r="C16" i="92"/>
  <c r="C16" i="91"/>
  <c r="C16" i="84"/>
  <c r="C16" i="83"/>
  <c r="C16" i="82"/>
  <c r="C16" i="81"/>
  <c r="AH163" i="6" l="1"/>
  <c r="K9" i="5"/>
  <c r="AH33" i="25"/>
  <c r="AH33" i="22"/>
  <c r="AH33" i="19"/>
  <c r="AH33" i="16"/>
  <c r="C5" i="107" l="1"/>
  <c r="C4" i="107"/>
  <c r="C5" i="98"/>
  <c r="C4" i="98"/>
  <c r="C5" i="89"/>
  <c r="C4" i="89"/>
  <c r="C5" i="79"/>
  <c r="C4" i="79"/>
  <c r="AA28" i="16"/>
  <c r="AA28" i="19"/>
  <c r="AA28" i="22"/>
  <c r="AA28" i="25"/>
  <c r="AA27" i="16"/>
  <c r="AA27" i="19"/>
  <c r="AA27" i="22"/>
  <c r="AA27" i="25"/>
  <c r="U43" i="5"/>
  <c r="U5" i="26" s="1"/>
  <c r="AA11" i="5"/>
  <c r="AL48" i="6"/>
  <c r="AL48" i="17"/>
  <c r="AG48" i="17"/>
  <c r="B48" i="17" s="1"/>
  <c r="V48" i="17" s="1"/>
  <c r="AL48" i="20"/>
  <c r="AG48" i="20"/>
  <c r="B48" i="20" s="1"/>
  <c r="V48" i="20" s="1"/>
  <c r="AL48" i="23"/>
  <c r="AG48" i="23"/>
  <c r="B48" i="23" s="1"/>
  <c r="V48" i="23" s="1"/>
  <c r="AL48" i="26"/>
  <c r="AG48" i="26"/>
  <c r="B48" i="26" s="1"/>
  <c r="V48" i="26" s="1"/>
  <c r="AG48" i="6"/>
  <c r="B48" i="6" s="1"/>
  <c r="V48" i="6" s="1"/>
  <c r="AF18" i="5"/>
  <c r="AA18" i="5"/>
  <c r="AH33" i="5"/>
  <c r="AA17" i="5"/>
  <c r="AA31" i="5"/>
  <c r="AA30" i="5"/>
  <c r="AA29" i="5"/>
  <c r="AA37" i="5"/>
  <c r="AA16" i="5"/>
  <c r="AA15" i="5"/>
  <c r="AH187" i="28" s="1"/>
  <c r="AA13" i="5"/>
  <c r="AL44" i="26"/>
  <c r="AL43" i="26"/>
  <c r="AL42" i="26"/>
  <c r="AL41" i="26"/>
  <c r="AL40" i="26"/>
  <c r="AL39" i="26"/>
  <c r="AL38" i="26"/>
  <c r="AL37" i="26"/>
  <c r="AL36" i="26"/>
  <c r="AL35" i="26"/>
  <c r="AL34" i="26"/>
  <c r="AL33" i="26"/>
  <c r="AL32" i="26"/>
  <c r="AL31" i="26"/>
  <c r="AL30" i="26"/>
  <c r="AL29" i="26"/>
  <c r="AL28" i="26"/>
  <c r="AL27" i="26"/>
  <c r="AL26" i="26"/>
  <c r="AL25" i="26"/>
  <c r="AL24" i="26"/>
  <c r="AL23" i="26"/>
  <c r="AL22" i="26"/>
  <c r="AL21" i="26"/>
  <c r="AL44" i="23"/>
  <c r="AL43" i="23"/>
  <c r="AL42" i="23"/>
  <c r="AL41" i="23"/>
  <c r="AL40" i="23"/>
  <c r="AL39" i="23"/>
  <c r="AL38" i="23"/>
  <c r="AL37" i="23"/>
  <c r="AL36" i="23"/>
  <c r="AL35" i="23"/>
  <c r="AL34" i="23"/>
  <c r="AL33" i="23"/>
  <c r="AL32" i="23"/>
  <c r="AL31" i="23"/>
  <c r="AL30" i="23"/>
  <c r="AL29" i="23"/>
  <c r="AL28" i="23"/>
  <c r="AL27" i="23"/>
  <c r="AL26" i="23"/>
  <c r="AL25" i="23"/>
  <c r="AL24" i="23"/>
  <c r="AL23" i="23"/>
  <c r="AL22" i="23"/>
  <c r="AL21" i="23"/>
  <c r="AL44" i="20"/>
  <c r="AL43" i="20"/>
  <c r="AL42" i="20"/>
  <c r="AL41" i="20"/>
  <c r="AL40" i="20"/>
  <c r="AL39" i="20"/>
  <c r="AL38" i="20"/>
  <c r="AL37" i="20"/>
  <c r="AL36" i="20"/>
  <c r="AL35" i="20"/>
  <c r="AL34" i="20"/>
  <c r="AL33" i="20"/>
  <c r="AL32" i="20"/>
  <c r="AL31" i="20"/>
  <c r="AL30" i="20"/>
  <c r="AL29" i="20"/>
  <c r="AL28" i="20"/>
  <c r="AL27" i="20"/>
  <c r="AL26" i="20"/>
  <c r="AL25" i="20"/>
  <c r="AL24" i="20"/>
  <c r="AL23" i="20"/>
  <c r="AL22" i="20"/>
  <c r="AL21" i="20"/>
  <c r="AL44" i="17"/>
  <c r="AL43" i="17"/>
  <c r="AL42" i="17"/>
  <c r="AL41" i="17"/>
  <c r="AL40" i="17"/>
  <c r="AL39" i="17"/>
  <c r="AL38" i="17"/>
  <c r="AL37" i="17"/>
  <c r="AL36" i="17"/>
  <c r="AL35" i="17"/>
  <c r="AL34" i="17"/>
  <c r="AL33" i="17"/>
  <c r="AL32" i="17"/>
  <c r="AL31" i="17"/>
  <c r="AL30" i="17"/>
  <c r="AL29" i="17"/>
  <c r="AL28" i="17"/>
  <c r="AL27" i="17"/>
  <c r="AL26" i="17"/>
  <c r="AL25" i="17"/>
  <c r="AL24" i="17"/>
  <c r="AL23" i="17"/>
  <c r="AL22" i="17"/>
  <c r="AL21" i="17"/>
  <c r="AH21" i="6"/>
  <c r="C20" i="105"/>
  <c r="C20" i="96"/>
  <c r="C20" i="87"/>
  <c r="C20" i="86"/>
  <c r="AI168" i="28" l="1"/>
  <c r="AH168" i="28"/>
  <c r="C16" i="76"/>
  <c r="C16" i="71"/>
  <c r="C16" i="72"/>
  <c r="C16" i="73"/>
  <c r="AK168" i="28"/>
  <c r="AJ168" i="28"/>
  <c r="U5" i="17"/>
  <c r="U5" i="20"/>
  <c r="U5" i="23"/>
  <c r="U5" i="6"/>
  <c r="U5" i="28"/>
  <c r="AG168" i="28"/>
  <c r="AL36" i="6"/>
  <c r="AL44" i="6"/>
  <c r="AL29" i="6"/>
  <c r="AL30" i="6"/>
  <c r="AL31" i="6"/>
  <c r="AL32" i="6"/>
  <c r="AL33" i="6"/>
  <c r="AL34" i="6"/>
  <c r="AL35" i="6"/>
  <c r="AL39" i="6"/>
  <c r="AL21" i="6"/>
  <c r="AL37" i="6"/>
  <c r="AL22" i="6"/>
  <c r="AL38" i="6"/>
  <c r="AL23" i="6"/>
  <c r="AL24" i="6"/>
  <c r="AL40" i="6"/>
  <c r="AL25" i="6"/>
  <c r="AL41" i="6"/>
  <c r="AL26" i="6"/>
  <c r="AL42" i="6"/>
  <c r="AL27" i="6"/>
  <c r="AL43" i="6"/>
  <c r="AL28" i="6"/>
  <c r="C20" i="67"/>
  <c r="M45" i="64"/>
  <c r="M46" i="64" s="1"/>
  <c r="I45" i="64"/>
  <c r="I46" i="64" s="1"/>
  <c r="M45" i="63"/>
  <c r="M46" i="63" s="1"/>
  <c r="I45" i="63"/>
  <c r="I46" i="63" s="1"/>
  <c r="M45" i="62"/>
  <c r="M46" i="62" s="1"/>
  <c r="I45" i="62"/>
  <c r="I46" i="62" s="1"/>
  <c r="I45" i="61"/>
  <c r="I46" i="61" s="1"/>
  <c r="M45" i="61"/>
  <c r="M46" i="61" s="1"/>
  <c r="M51" i="64"/>
  <c r="M51" i="63"/>
  <c r="M51" i="62"/>
  <c r="M51" i="61"/>
  <c r="AL168" i="28" l="1"/>
  <c r="B168" i="28" s="1"/>
  <c r="V168" i="28" s="1"/>
  <c r="M45" i="8"/>
  <c r="M46" i="8" s="1"/>
  <c r="I45" i="8"/>
  <c r="I46" i="8" s="1"/>
  <c r="K23" i="105" l="1"/>
  <c r="C22" i="105" s="1"/>
  <c r="K18" i="105"/>
  <c r="C21" i="105" s="1"/>
  <c r="C38" i="105" s="1"/>
  <c r="C18" i="105"/>
  <c r="C15" i="105"/>
  <c r="K23" i="96"/>
  <c r="C22" i="96" s="1"/>
  <c r="K18" i="96"/>
  <c r="C21" i="96" s="1"/>
  <c r="C38" i="96" s="1"/>
  <c r="C18" i="96"/>
  <c r="C15" i="96"/>
  <c r="C32" i="96" s="1"/>
  <c r="K23" i="87"/>
  <c r="C22" i="87" s="1"/>
  <c r="K18" i="87"/>
  <c r="C21" i="87" s="1"/>
  <c r="C38" i="87" s="1"/>
  <c r="C18" i="87"/>
  <c r="C15" i="87"/>
  <c r="K23" i="86"/>
  <c r="C22" i="86" s="1"/>
  <c r="C36" i="86" s="1"/>
  <c r="K18" i="86"/>
  <c r="C21" i="86" s="1"/>
  <c r="C38" i="86" s="1"/>
  <c r="C18" i="86"/>
  <c r="C15" i="86"/>
  <c r="C32" i="86" s="1"/>
  <c r="C14" i="105"/>
  <c r="C13" i="105"/>
  <c r="C12" i="105"/>
  <c r="C14" i="96"/>
  <c r="C13" i="96"/>
  <c r="C12" i="96"/>
  <c r="C14" i="87"/>
  <c r="C13" i="87"/>
  <c r="C12" i="87"/>
  <c r="C32" i="87" s="1"/>
  <c r="C14" i="86"/>
  <c r="C13" i="86"/>
  <c r="C12" i="86"/>
  <c r="I15" i="110" l="1"/>
  <c r="I15" i="111"/>
  <c r="I15" i="112"/>
  <c r="I15" i="109"/>
  <c r="I15" i="83"/>
  <c r="I15" i="82"/>
  <c r="I15" i="84"/>
  <c r="I15" i="81"/>
  <c r="I15" i="93"/>
  <c r="I15" i="94"/>
  <c r="I15" i="92"/>
  <c r="I15" i="91"/>
  <c r="I15" i="102"/>
  <c r="I15" i="103"/>
  <c r="I15" i="100"/>
  <c r="I15" i="101"/>
  <c r="C69" i="107"/>
  <c r="C59" i="107"/>
  <c r="C28" i="96"/>
  <c r="C59" i="98"/>
  <c r="C69" i="98"/>
  <c r="C69" i="89"/>
  <c r="C59" i="89"/>
  <c r="C28" i="86"/>
  <c r="C69" i="79"/>
  <c r="C59" i="79"/>
  <c r="C32" i="105"/>
  <c r="C36" i="105"/>
  <c r="C36" i="96"/>
  <c r="C36" i="87"/>
  <c r="C37" i="86"/>
  <c r="C40" i="86" s="1"/>
  <c r="C37" i="105"/>
  <c r="C40" i="105" s="1"/>
  <c r="C37" i="96"/>
  <c r="C40" i="96" s="1"/>
  <c r="C37" i="87"/>
  <c r="C40" i="87" s="1"/>
  <c r="C28" i="105"/>
  <c r="C28" i="87"/>
  <c r="AK325" i="28"/>
  <c r="AL325" i="28" s="1"/>
  <c r="AJ324" i="28"/>
  <c r="AL324" i="28" s="1"/>
  <c r="AI323" i="28"/>
  <c r="AL323" i="28" s="1"/>
  <c r="B324" i="28" l="1"/>
  <c r="B323" i="28"/>
  <c r="Z323" i="28" s="1"/>
  <c r="U325" i="28"/>
  <c r="U324" i="28"/>
  <c r="U323" i="28"/>
  <c r="U322" i="28"/>
  <c r="U319" i="28"/>
  <c r="U318" i="28"/>
  <c r="U317" i="28"/>
  <c r="U316" i="28"/>
  <c r="V323" i="28" l="1"/>
  <c r="V324" i="28"/>
  <c r="Z324" i="28"/>
  <c r="U43" i="25"/>
  <c r="U43" i="22"/>
  <c r="U43" i="19"/>
  <c r="U43" i="16"/>
  <c r="AA28" i="5"/>
  <c r="N30" i="114"/>
  <c r="N23" i="114"/>
  <c r="AA27" i="5" l="1"/>
  <c r="X19" i="28"/>
  <c r="X19" i="26"/>
  <c r="U181" i="26" s="1"/>
  <c r="X19" i="23"/>
  <c r="X19" i="20"/>
  <c r="X19" i="17"/>
  <c r="X19" i="6"/>
  <c r="N28" i="114" l="1"/>
  <c r="N31" i="114" s="1"/>
  <c r="F12" i="114" s="1"/>
  <c r="N21" i="114"/>
  <c r="N24" i="114" s="1"/>
  <c r="D12" i="114" s="1"/>
  <c r="N14" i="114"/>
  <c r="N17" i="114" s="1"/>
  <c r="B12" i="114" s="1"/>
  <c r="N56" i="4"/>
  <c r="X45" i="5"/>
  <c r="X45" i="16"/>
  <c r="X45" i="19"/>
  <c r="X45" i="22"/>
  <c r="X45" i="25"/>
  <c r="AJ26" i="15"/>
  <c r="AI26" i="15"/>
  <c r="N25" i="114" l="1"/>
  <c r="D14" i="114" s="1"/>
  <c r="N18" i="114"/>
  <c r="B14" i="114" s="1"/>
  <c r="N32" i="114"/>
  <c r="F14" i="114" s="1"/>
  <c r="K18" i="67"/>
  <c r="BB53" i="64" l="1"/>
  <c r="BB53" i="63"/>
  <c r="BB53" i="62"/>
  <c r="BB53" i="61"/>
  <c r="BB53" i="8"/>
  <c r="M114" i="113"/>
  <c r="M98" i="113"/>
  <c r="M101" i="113" s="1"/>
  <c r="L47" i="113"/>
  <c r="L49" i="113" s="1"/>
  <c r="L51" i="113" s="1"/>
  <c r="L53" i="113" s="1"/>
  <c r="L55" i="113" s="1"/>
  <c r="L57" i="113" s="1"/>
  <c r="L59" i="113" s="1"/>
  <c r="L61" i="113" s="1"/>
  <c r="L63" i="113" s="1"/>
  <c r="L65" i="113" s="1"/>
  <c r="L67" i="113" s="1"/>
  <c r="L69" i="113" s="1"/>
  <c r="L71" i="113" s="1"/>
  <c r="L73" i="113" s="1"/>
  <c r="L75" i="113" s="1"/>
  <c r="L77" i="113" s="1"/>
  <c r="L79" i="113" s="1"/>
  <c r="L81" i="113" s="1"/>
  <c r="L83" i="113" s="1"/>
  <c r="L85" i="113" s="1"/>
  <c r="L87" i="113" s="1"/>
  <c r="L89" i="113" s="1"/>
  <c r="L91" i="113" s="1"/>
  <c r="L93" i="113" s="1"/>
  <c r="L43" i="113"/>
  <c r="L45" i="113" s="1"/>
  <c r="L109" i="113" s="1"/>
  <c r="L42" i="113"/>
  <c r="L48" i="113" s="1"/>
  <c r="L50" i="113" s="1"/>
  <c r="L52" i="113" s="1"/>
  <c r="L54" i="113" s="1"/>
  <c r="L56" i="113" s="1"/>
  <c r="L58" i="113" s="1"/>
  <c r="L60" i="113" s="1"/>
  <c r="L62" i="113" s="1"/>
  <c r="L64" i="113" s="1"/>
  <c r="L66" i="113" s="1"/>
  <c r="L68" i="113" s="1"/>
  <c r="L70" i="113" s="1"/>
  <c r="L72" i="113" s="1"/>
  <c r="L74" i="113" s="1"/>
  <c r="L76" i="113" s="1"/>
  <c r="L78" i="113" s="1"/>
  <c r="L80" i="113" s="1"/>
  <c r="L82" i="113" s="1"/>
  <c r="L84" i="113" s="1"/>
  <c r="L86" i="113" s="1"/>
  <c r="L88" i="113" s="1"/>
  <c r="L90" i="113" s="1"/>
  <c r="L92" i="113" s="1"/>
  <c r="L94" i="113" s="1"/>
  <c r="L41" i="113"/>
  <c r="D13" i="113"/>
  <c r="C5" i="113"/>
  <c r="C4" i="113"/>
  <c r="C39" i="112"/>
  <c r="C32" i="112"/>
  <c r="C5" i="112"/>
  <c r="C4" i="112"/>
  <c r="C39" i="111"/>
  <c r="C36" i="111"/>
  <c r="C32" i="111"/>
  <c r="C5" i="111"/>
  <c r="C4" i="111"/>
  <c r="C39" i="110"/>
  <c r="C36" i="110"/>
  <c r="C32" i="110"/>
  <c r="C5" i="110"/>
  <c r="C4" i="110"/>
  <c r="C39" i="109"/>
  <c r="C36" i="109"/>
  <c r="C32" i="109"/>
  <c r="C5" i="109"/>
  <c r="C4" i="109"/>
  <c r="C48" i="108"/>
  <c r="C45" i="108"/>
  <c r="C40" i="108"/>
  <c r="N11" i="108"/>
  <c r="N9" i="108"/>
  <c r="C5" i="108"/>
  <c r="C4" i="108"/>
  <c r="C48" i="107"/>
  <c r="C45" i="107"/>
  <c r="C40" i="107"/>
  <c r="C48" i="106"/>
  <c r="C45" i="106"/>
  <c r="C40" i="106"/>
  <c r="C5" i="106"/>
  <c r="C4" i="106"/>
  <c r="D32" i="113"/>
  <c r="M114" i="104"/>
  <c r="M101" i="104"/>
  <c r="M98" i="104"/>
  <c r="L43" i="104"/>
  <c r="L45" i="104" s="1"/>
  <c r="L109" i="104" s="1"/>
  <c r="L42" i="104"/>
  <c r="L48" i="104" s="1"/>
  <c r="L50" i="104" s="1"/>
  <c r="L52" i="104" s="1"/>
  <c r="L54" i="104" s="1"/>
  <c r="L56" i="104" s="1"/>
  <c r="L58" i="104" s="1"/>
  <c r="L60" i="104" s="1"/>
  <c r="L62" i="104" s="1"/>
  <c r="L64" i="104" s="1"/>
  <c r="L66" i="104" s="1"/>
  <c r="L68" i="104" s="1"/>
  <c r="L70" i="104" s="1"/>
  <c r="L72" i="104" s="1"/>
  <c r="L74" i="104" s="1"/>
  <c r="L76" i="104" s="1"/>
  <c r="L78" i="104" s="1"/>
  <c r="L80" i="104" s="1"/>
  <c r="L82" i="104" s="1"/>
  <c r="L84" i="104" s="1"/>
  <c r="L86" i="104" s="1"/>
  <c r="L88" i="104" s="1"/>
  <c r="L90" i="104" s="1"/>
  <c r="L92" i="104" s="1"/>
  <c r="L94" i="104" s="1"/>
  <c r="L41" i="104"/>
  <c r="D13" i="104"/>
  <c r="C5" i="104"/>
  <c r="C4" i="104"/>
  <c r="C39" i="103"/>
  <c r="C32" i="103"/>
  <c r="C5" i="103"/>
  <c r="C4" i="103"/>
  <c r="C39" i="102"/>
  <c r="C36" i="102"/>
  <c r="C32" i="102"/>
  <c r="C5" i="102"/>
  <c r="C4" i="102"/>
  <c r="C39" i="101"/>
  <c r="C36" i="101"/>
  <c r="C32" i="101"/>
  <c r="C5" i="101"/>
  <c r="C4" i="101"/>
  <c r="C39" i="100"/>
  <c r="C36" i="100"/>
  <c r="C32" i="100"/>
  <c r="C5" i="100"/>
  <c r="C4" i="100"/>
  <c r="C48" i="99"/>
  <c r="C45" i="99"/>
  <c r="C40" i="99"/>
  <c r="N11" i="99"/>
  <c r="N9" i="99"/>
  <c r="C5" i="99"/>
  <c r="C4" i="99"/>
  <c r="C48" i="98"/>
  <c r="C45" i="98"/>
  <c r="C40" i="98"/>
  <c r="C48" i="97"/>
  <c r="C45" i="97"/>
  <c r="C40" i="97"/>
  <c r="C5" i="97"/>
  <c r="C4" i="97"/>
  <c r="M114" i="95"/>
  <c r="M98" i="95"/>
  <c r="M101" i="95" s="1"/>
  <c r="L47" i="95"/>
  <c r="L49" i="95" s="1"/>
  <c r="L51" i="95" s="1"/>
  <c r="L53" i="95" s="1"/>
  <c r="L55" i="95" s="1"/>
  <c r="L57" i="95" s="1"/>
  <c r="L59" i="95" s="1"/>
  <c r="L61" i="95" s="1"/>
  <c r="L63" i="95" s="1"/>
  <c r="L65" i="95" s="1"/>
  <c r="L67" i="95" s="1"/>
  <c r="L69" i="95" s="1"/>
  <c r="L71" i="95" s="1"/>
  <c r="L73" i="95" s="1"/>
  <c r="L75" i="95" s="1"/>
  <c r="L77" i="95" s="1"/>
  <c r="L79" i="95" s="1"/>
  <c r="L81" i="95" s="1"/>
  <c r="L83" i="95" s="1"/>
  <c r="L85" i="95" s="1"/>
  <c r="L87" i="95" s="1"/>
  <c r="L89" i="95" s="1"/>
  <c r="L91" i="95" s="1"/>
  <c r="L93" i="95" s="1"/>
  <c r="L43" i="95"/>
  <c r="L45" i="95" s="1"/>
  <c r="L109" i="95" s="1"/>
  <c r="L42" i="95"/>
  <c r="L48" i="95" s="1"/>
  <c r="L50" i="95" s="1"/>
  <c r="L52" i="95" s="1"/>
  <c r="L54" i="95" s="1"/>
  <c r="L56" i="95" s="1"/>
  <c r="L58" i="95" s="1"/>
  <c r="L60" i="95" s="1"/>
  <c r="L62" i="95" s="1"/>
  <c r="L64" i="95" s="1"/>
  <c r="L66" i="95" s="1"/>
  <c r="L68" i="95" s="1"/>
  <c r="L70" i="95" s="1"/>
  <c r="L72" i="95" s="1"/>
  <c r="L74" i="95" s="1"/>
  <c r="L76" i="95" s="1"/>
  <c r="L78" i="95" s="1"/>
  <c r="L80" i="95" s="1"/>
  <c r="L82" i="95" s="1"/>
  <c r="L84" i="95" s="1"/>
  <c r="L86" i="95" s="1"/>
  <c r="L88" i="95" s="1"/>
  <c r="L90" i="95" s="1"/>
  <c r="L92" i="95" s="1"/>
  <c r="L94" i="95" s="1"/>
  <c r="L41" i="95"/>
  <c r="D13" i="95"/>
  <c r="C5" i="95"/>
  <c r="C4" i="95"/>
  <c r="C39" i="94"/>
  <c r="C32" i="94"/>
  <c r="C5" i="94"/>
  <c r="C4" i="94"/>
  <c r="C39" i="93"/>
  <c r="C36" i="93"/>
  <c r="C32" i="93"/>
  <c r="C5" i="93"/>
  <c r="C4" i="93"/>
  <c r="C39" i="92"/>
  <c r="C36" i="92"/>
  <c r="C32" i="92"/>
  <c r="C5" i="92"/>
  <c r="C4" i="92"/>
  <c r="C39" i="91"/>
  <c r="C36" i="91"/>
  <c r="C32" i="91"/>
  <c r="C5" i="91"/>
  <c r="C4" i="91"/>
  <c r="C48" i="90"/>
  <c r="C45" i="90"/>
  <c r="C40" i="90"/>
  <c r="N11" i="90"/>
  <c r="N9" i="90"/>
  <c r="C5" i="90"/>
  <c r="C4" i="90"/>
  <c r="C48" i="89"/>
  <c r="C45" i="89"/>
  <c r="C40" i="89"/>
  <c r="C48" i="88"/>
  <c r="C45" i="88"/>
  <c r="C40" i="88"/>
  <c r="C5" i="88"/>
  <c r="C4" i="88"/>
  <c r="C5" i="84"/>
  <c r="C4" i="84"/>
  <c r="C5" i="85"/>
  <c r="C4" i="85"/>
  <c r="C5" i="83"/>
  <c r="C4" i="83"/>
  <c r="C5" i="82"/>
  <c r="C4" i="82"/>
  <c r="C5" i="81"/>
  <c r="C4" i="81"/>
  <c r="C5" i="80"/>
  <c r="C4" i="80"/>
  <c r="C5" i="78"/>
  <c r="C4" i="78"/>
  <c r="M114" i="85"/>
  <c r="M98" i="85"/>
  <c r="M101" i="85" s="1"/>
  <c r="L56" i="85"/>
  <c r="L58" i="85" s="1"/>
  <c r="L60" i="85" s="1"/>
  <c r="L62" i="85" s="1"/>
  <c r="L64" i="85" s="1"/>
  <c r="L66" i="85" s="1"/>
  <c r="L68" i="85" s="1"/>
  <c r="L70" i="85" s="1"/>
  <c r="L72" i="85" s="1"/>
  <c r="L74" i="85" s="1"/>
  <c r="L76" i="85" s="1"/>
  <c r="L78" i="85" s="1"/>
  <c r="L80" i="85" s="1"/>
  <c r="L82" i="85" s="1"/>
  <c r="L84" i="85" s="1"/>
  <c r="L86" i="85" s="1"/>
  <c r="L88" i="85" s="1"/>
  <c r="L90" i="85" s="1"/>
  <c r="L92" i="85" s="1"/>
  <c r="L94" i="85" s="1"/>
  <c r="L47" i="85"/>
  <c r="L49" i="85" s="1"/>
  <c r="L51" i="85" s="1"/>
  <c r="L53" i="85" s="1"/>
  <c r="L55" i="85" s="1"/>
  <c r="L57" i="85" s="1"/>
  <c r="L59" i="85" s="1"/>
  <c r="L61" i="85" s="1"/>
  <c r="L63" i="85" s="1"/>
  <c r="L65" i="85" s="1"/>
  <c r="L67" i="85" s="1"/>
  <c r="L69" i="85" s="1"/>
  <c r="L71" i="85" s="1"/>
  <c r="L73" i="85" s="1"/>
  <c r="L75" i="85" s="1"/>
  <c r="L77" i="85" s="1"/>
  <c r="L79" i="85" s="1"/>
  <c r="L81" i="85" s="1"/>
  <c r="L83" i="85" s="1"/>
  <c r="L85" i="85" s="1"/>
  <c r="L87" i="85" s="1"/>
  <c r="L89" i="85" s="1"/>
  <c r="L91" i="85" s="1"/>
  <c r="L93" i="85" s="1"/>
  <c r="L43" i="85"/>
  <c r="L45" i="85" s="1"/>
  <c r="L109" i="85" s="1"/>
  <c r="L42" i="85"/>
  <c r="L48" i="85" s="1"/>
  <c r="L50" i="85" s="1"/>
  <c r="L52" i="85" s="1"/>
  <c r="L54" i="85" s="1"/>
  <c r="L41" i="85"/>
  <c r="D13" i="85"/>
  <c r="C39" i="84"/>
  <c r="C32" i="84"/>
  <c r="C39" i="83"/>
  <c r="C36" i="83"/>
  <c r="C32" i="83"/>
  <c r="C39" i="82"/>
  <c r="C36" i="82"/>
  <c r="C32" i="82"/>
  <c r="C39" i="81"/>
  <c r="C36" i="81"/>
  <c r="C32" i="81"/>
  <c r="C48" i="80"/>
  <c r="C45" i="80"/>
  <c r="C40" i="80"/>
  <c r="N11" i="80"/>
  <c r="N9" i="80"/>
  <c r="C48" i="79"/>
  <c r="C45" i="79"/>
  <c r="C40" i="79"/>
  <c r="C48" i="78"/>
  <c r="C45" i="78"/>
  <c r="C40" i="78"/>
  <c r="K23" i="67"/>
  <c r="C5" i="76"/>
  <c r="C4" i="76"/>
  <c r="C39" i="76"/>
  <c r="C36" i="76"/>
  <c r="C32" i="76"/>
  <c r="C15" i="85" l="1"/>
  <c r="M47" i="85" s="1"/>
  <c r="C14" i="85"/>
  <c r="C48" i="86" s="1"/>
  <c r="C14" i="95"/>
  <c r="C48" i="87" s="1"/>
  <c r="C15" i="95"/>
  <c r="C15" i="104"/>
  <c r="C14" i="104"/>
  <c r="C48" i="96" s="1"/>
  <c r="C15" i="113"/>
  <c r="C14" i="113"/>
  <c r="C48" i="105" s="1"/>
  <c r="C32" i="113"/>
  <c r="C20" i="113"/>
  <c r="S47" i="113"/>
  <c r="D20" i="113"/>
  <c r="L98" i="113"/>
  <c r="D32" i="104"/>
  <c r="C32" i="104"/>
  <c r="C20" i="104"/>
  <c r="D20" i="104"/>
  <c r="L47" i="104"/>
  <c r="L49" i="104" s="1"/>
  <c r="L51" i="104" s="1"/>
  <c r="L53" i="104" s="1"/>
  <c r="L55" i="104" s="1"/>
  <c r="L57" i="104" s="1"/>
  <c r="L59" i="104" s="1"/>
  <c r="L61" i="104" s="1"/>
  <c r="L63" i="104" s="1"/>
  <c r="L65" i="104" s="1"/>
  <c r="L67" i="104" s="1"/>
  <c r="L69" i="104" s="1"/>
  <c r="L71" i="104" s="1"/>
  <c r="L73" i="104" s="1"/>
  <c r="L75" i="104" s="1"/>
  <c r="L77" i="104" s="1"/>
  <c r="L79" i="104" s="1"/>
  <c r="L81" i="104" s="1"/>
  <c r="L83" i="104" s="1"/>
  <c r="L85" i="104" s="1"/>
  <c r="L87" i="104" s="1"/>
  <c r="L89" i="104" s="1"/>
  <c r="L91" i="104" s="1"/>
  <c r="L93" i="104" s="1"/>
  <c r="L98" i="104"/>
  <c r="D32" i="95"/>
  <c r="C32" i="95"/>
  <c r="C20" i="95"/>
  <c r="D20" i="95"/>
  <c r="L98" i="95"/>
  <c r="L98" i="85"/>
  <c r="C59" i="97"/>
  <c r="C15" i="92"/>
  <c r="I16" i="92" s="1"/>
  <c r="C59" i="78"/>
  <c r="E63" i="1" a="1"/>
  <c r="E63" i="1" s="1"/>
  <c r="AA31" i="25"/>
  <c r="AA30" i="25"/>
  <c r="AA29" i="25"/>
  <c r="AA16" i="25"/>
  <c r="AA15" i="25"/>
  <c r="AA11" i="25"/>
  <c r="AJ22" i="15"/>
  <c r="AI22" i="15"/>
  <c r="AA31" i="22"/>
  <c r="AA30" i="22"/>
  <c r="AA29" i="22"/>
  <c r="AA16" i="22"/>
  <c r="AA15" i="22"/>
  <c r="AA13" i="22"/>
  <c r="AA11" i="22"/>
  <c r="AJ23" i="15"/>
  <c r="AI23" i="15"/>
  <c r="AA30" i="19"/>
  <c r="AA29" i="19"/>
  <c r="AA16" i="19"/>
  <c r="AA15" i="19"/>
  <c r="AA13" i="19"/>
  <c r="AA11" i="19"/>
  <c r="AJ24" i="15"/>
  <c r="AI24" i="15"/>
  <c r="AA29" i="16"/>
  <c r="AA15" i="16"/>
  <c r="AA13" i="16"/>
  <c r="AJ25" i="15"/>
  <c r="AI25" i="15"/>
  <c r="S35" i="1"/>
  <c r="AA5" i="5" s="1"/>
  <c r="D56" i="4" a="1"/>
  <c r="D56" i="4" s="1"/>
  <c r="V18" i="28"/>
  <c r="F45" i="5" a="1"/>
  <c r="F45" i="5" s="1"/>
  <c r="F45" i="16" a="1"/>
  <c r="F45" i="16" s="1"/>
  <c r="F45" i="19" a="1"/>
  <c r="F45" i="19" s="1"/>
  <c r="F45" i="22" a="1"/>
  <c r="F45" i="22" s="1"/>
  <c r="F45" i="25" a="1"/>
  <c r="F45" i="25" s="1"/>
  <c r="AA5" i="22" l="1"/>
  <c r="AA5" i="19"/>
  <c r="C15" i="82"/>
  <c r="I16" i="82" s="1"/>
  <c r="C15" i="81"/>
  <c r="I16" i="81" s="1"/>
  <c r="C15" i="100"/>
  <c r="I16" i="100" s="1"/>
  <c r="M44" i="104"/>
  <c r="M45" i="104" s="1"/>
  <c r="C69" i="106"/>
  <c r="C59" i="106"/>
  <c r="C69" i="88"/>
  <c r="C15" i="110"/>
  <c r="I16" i="110" s="1"/>
  <c r="C59" i="90"/>
  <c r="C15" i="112"/>
  <c r="I16" i="112" s="1"/>
  <c r="C69" i="99"/>
  <c r="C59" i="108"/>
  <c r="M44" i="95"/>
  <c r="M45" i="95" s="1"/>
  <c r="C69" i="108"/>
  <c r="M44" i="113"/>
  <c r="O97" i="113" s="1"/>
  <c r="C59" i="88"/>
  <c r="C69" i="90"/>
  <c r="C69" i="97"/>
  <c r="C31" i="85"/>
  <c r="C15" i="91"/>
  <c r="I16" i="91" s="1"/>
  <c r="C15" i="109"/>
  <c r="I16" i="109" s="1"/>
  <c r="C69" i="78"/>
  <c r="C69" i="80"/>
  <c r="M44" i="85"/>
  <c r="C59" i="80"/>
  <c r="C15" i="103"/>
  <c r="I16" i="103" s="1"/>
  <c r="C15" i="102"/>
  <c r="I16" i="102" s="1"/>
  <c r="C31" i="104"/>
  <c r="C59" i="99"/>
  <c r="C15" i="93"/>
  <c r="I16" i="93" s="1"/>
  <c r="C15" i="111"/>
  <c r="I16" i="111" s="1"/>
  <c r="C15" i="84"/>
  <c r="I16" i="84" s="1"/>
  <c r="C15" i="94"/>
  <c r="I16" i="94" s="1"/>
  <c r="C40" i="95"/>
  <c r="C15" i="83"/>
  <c r="I16" i="83" s="1"/>
  <c r="C31" i="95"/>
  <c r="C15" i="101"/>
  <c r="I16" i="101" s="1"/>
  <c r="C20" i="85"/>
  <c r="W47" i="85" s="1"/>
  <c r="D32" i="85"/>
  <c r="S47" i="85" s="1"/>
  <c r="D20" i="85"/>
  <c r="AA47" i="85" s="1"/>
  <c r="C32" i="85"/>
  <c r="O47" i="85" s="1"/>
  <c r="M48" i="85"/>
  <c r="L100" i="113"/>
  <c r="L99" i="113"/>
  <c r="M47" i="113"/>
  <c r="S48" i="113"/>
  <c r="AA47" i="113"/>
  <c r="W47" i="113"/>
  <c r="O47" i="113"/>
  <c r="S47" i="104"/>
  <c r="M47" i="104"/>
  <c r="O47" i="104"/>
  <c r="L100" i="104"/>
  <c r="L99" i="104"/>
  <c r="AA47" i="104"/>
  <c r="W47" i="104"/>
  <c r="L100" i="95"/>
  <c r="L99" i="95"/>
  <c r="AA47" i="95"/>
  <c r="M47" i="95"/>
  <c r="W47" i="95"/>
  <c r="O47" i="95"/>
  <c r="S47" i="95"/>
  <c r="L99" i="85"/>
  <c r="V18" i="6"/>
  <c r="V18" i="17"/>
  <c r="V18" i="20"/>
  <c r="V18" i="26"/>
  <c r="V18" i="23"/>
  <c r="AH49" i="16"/>
  <c r="C21" i="67"/>
  <c r="C38" i="67" s="1"/>
  <c r="C22" i="67"/>
  <c r="L36" i="104" l="1"/>
  <c r="O101" i="104" s="1"/>
  <c r="L36" i="85"/>
  <c r="C24" i="87"/>
  <c r="L36" i="95"/>
  <c r="O101" i="95" s="1"/>
  <c r="O102" i="95" s="1"/>
  <c r="P102" i="95" s="1"/>
  <c r="C24" i="105"/>
  <c r="L36" i="113"/>
  <c r="O101" i="113" s="1"/>
  <c r="P101" i="113" s="1"/>
  <c r="C36" i="67"/>
  <c r="C14" i="74"/>
  <c r="C48" i="67" s="1"/>
  <c r="C15" i="74"/>
  <c r="M47" i="74" s="1"/>
  <c r="O98" i="113"/>
  <c r="P98" i="113" s="1"/>
  <c r="O98" i="95"/>
  <c r="P98" i="95" s="1"/>
  <c r="D31" i="104"/>
  <c r="R47" i="104" s="1"/>
  <c r="T47" i="104" s="1"/>
  <c r="M104" i="95"/>
  <c r="M106" i="95" s="1"/>
  <c r="M100" i="104"/>
  <c r="M99" i="104" s="1"/>
  <c r="D31" i="95"/>
  <c r="R47" i="95" s="1"/>
  <c r="T47" i="95" s="1"/>
  <c r="O97" i="104"/>
  <c r="M100" i="95"/>
  <c r="M99" i="95" s="1"/>
  <c r="O97" i="95"/>
  <c r="D31" i="85"/>
  <c r="D35" i="85" s="1"/>
  <c r="M45" i="113"/>
  <c r="M104" i="113"/>
  <c r="M100" i="113"/>
  <c r="M99" i="113" s="1"/>
  <c r="C24" i="96"/>
  <c r="D40" i="95"/>
  <c r="C66" i="90" s="1"/>
  <c r="C67" i="90" s="1"/>
  <c r="M100" i="85"/>
  <c r="M99" i="85" s="1"/>
  <c r="O97" i="85"/>
  <c r="O98" i="85"/>
  <c r="P98" i="85" s="1"/>
  <c r="M104" i="85"/>
  <c r="M45" i="85"/>
  <c r="O98" i="104"/>
  <c r="P98" i="104" s="1"/>
  <c r="M104" i="104"/>
  <c r="M106" i="104" s="1"/>
  <c r="C24" i="86"/>
  <c r="D31" i="113"/>
  <c r="C31" i="113"/>
  <c r="L101" i="95"/>
  <c r="L103" i="95" s="1"/>
  <c r="L104" i="95" s="1"/>
  <c r="O48" i="85"/>
  <c r="N47" i="85"/>
  <c r="N48" i="85" s="1"/>
  <c r="N49" i="85" s="1"/>
  <c r="C35" i="85"/>
  <c r="C34" i="85"/>
  <c r="S48" i="85"/>
  <c r="W48" i="85"/>
  <c r="D40" i="85"/>
  <c r="C40" i="85"/>
  <c r="L100" i="85"/>
  <c r="L101" i="85" s="1"/>
  <c r="L103" i="85" s="1"/>
  <c r="L104" i="85" s="1"/>
  <c r="O48" i="113"/>
  <c r="AA48" i="113"/>
  <c r="D40" i="113"/>
  <c r="C40" i="113"/>
  <c r="M48" i="113"/>
  <c r="W48" i="113"/>
  <c r="M48" i="104"/>
  <c r="AA48" i="104"/>
  <c r="C35" i="104"/>
  <c r="C34" i="104"/>
  <c r="N47" i="104"/>
  <c r="P47" i="104" s="1"/>
  <c r="W48" i="104"/>
  <c r="S48" i="104"/>
  <c r="L101" i="104"/>
  <c r="L103" i="104" s="1"/>
  <c r="O48" i="104"/>
  <c r="D40" i="104"/>
  <c r="C40" i="104"/>
  <c r="O48" i="95"/>
  <c r="S48" i="95"/>
  <c r="C31" i="90"/>
  <c r="C32" i="90" s="1"/>
  <c r="P32" i="90" s="1"/>
  <c r="P33" i="90" s="1"/>
  <c r="C31" i="88"/>
  <c r="C32" i="88" s="1"/>
  <c r="P32" i="88" s="1"/>
  <c r="P33" i="88" s="1"/>
  <c r="C31" i="89"/>
  <c r="C32" i="89" s="1"/>
  <c r="AA48" i="95"/>
  <c r="M48" i="95"/>
  <c r="C35" i="95"/>
  <c r="C34" i="95"/>
  <c r="N47" i="95"/>
  <c r="W48" i="95"/>
  <c r="AA48" i="85"/>
  <c r="C18" i="67"/>
  <c r="C15" i="67"/>
  <c r="C14" i="67"/>
  <c r="C13" i="67"/>
  <c r="C12" i="67"/>
  <c r="M114" i="74"/>
  <c r="M101" i="74"/>
  <c r="M98" i="74"/>
  <c r="L51" i="74"/>
  <c r="L53" i="74" s="1"/>
  <c r="L55" i="74" s="1"/>
  <c r="L57" i="74" s="1"/>
  <c r="L59" i="74" s="1"/>
  <c r="L61" i="74" s="1"/>
  <c r="L63" i="74" s="1"/>
  <c r="L65" i="74" s="1"/>
  <c r="L67" i="74" s="1"/>
  <c r="L69" i="74" s="1"/>
  <c r="L71" i="74" s="1"/>
  <c r="L73" i="74" s="1"/>
  <c r="L75" i="74" s="1"/>
  <c r="L77" i="74" s="1"/>
  <c r="L79" i="74" s="1"/>
  <c r="L81" i="74" s="1"/>
  <c r="L83" i="74" s="1"/>
  <c r="L85" i="74" s="1"/>
  <c r="L87" i="74" s="1"/>
  <c r="L89" i="74" s="1"/>
  <c r="L91" i="74" s="1"/>
  <c r="L93" i="74" s="1"/>
  <c r="L47" i="74"/>
  <c r="L49" i="74" s="1"/>
  <c r="L43" i="74"/>
  <c r="L45" i="74" s="1"/>
  <c r="L109" i="74" s="1"/>
  <c r="L42" i="74"/>
  <c r="L48" i="74" s="1"/>
  <c r="L50" i="74" s="1"/>
  <c r="L52" i="74" s="1"/>
  <c r="L54" i="74" s="1"/>
  <c r="L56" i="74" s="1"/>
  <c r="L58" i="74" s="1"/>
  <c r="L60" i="74" s="1"/>
  <c r="L62" i="74" s="1"/>
  <c r="L64" i="74" s="1"/>
  <c r="L66" i="74" s="1"/>
  <c r="L68" i="74" s="1"/>
  <c r="L70" i="74" s="1"/>
  <c r="L72" i="74" s="1"/>
  <c r="L74" i="74" s="1"/>
  <c r="L76" i="74" s="1"/>
  <c r="L78" i="74" s="1"/>
  <c r="L80" i="74" s="1"/>
  <c r="L82" i="74" s="1"/>
  <c r="L84" i="74" s="1"/>
  <c r="L86" i="74" s="1"/>
  <c r="L88" i="74" s="1"/>
  <c r="L90" i="74" s="1"/>
  <c r="L92" i="74" s="1"/>
  <c r="L94" i="74" s="1"/>
  <c r="L41" i="74"/>
  <c r="D13" i="74"/>
  <c r="C5" i="74"/>
  <c r="C4" i="74"/>
  <c r="C39" i="73"/>
  <c r="C32" i="73"/>
  <c r="C5" i="73"/>
  <c r="C4" i="73"/>
  <c r="C39" i="72"/>
  <c r="C36" i="72"/>
  <c r="C32" i="72"/>
  <c r="C5" i="72"/>
  <c r="C4" i="72"/>
  <c r="C39" i="71"/>
  <c r="C36" i="71"/>
  <c r="C32" i="71"/>
  <c r="C5" i="71"/>
  <c r="C4" i="71"/>
  <c r="C48" i="70"/>
  <c r="C45" i="70"/>
  <c r="C40" i="70"/>
  <c r="N11" i="70"/>
  <c r="N9" i="70"/>
  <c r="C5" i="70"/>
  <c r="C4" i="70"/>
  <c r="C48" i="69"/>
  <c r="C45" i="69"/>
  <c r="C40" i="69"/>
  <c r="C5" i="69"/>
  <c r="C4" i="69"/>
  <c r="C48" i="68"/>
  <c r="C45" i="68"/>
  <c r="C40" i="68"/>
  <c r="C5" i="68"/>
  <c r="C4" i="68"/>
  <c r="I15" i="76" l="1"/>
  <c r="I15" i="71"/>
  <c r="I15" i="73"/>
  <c r="I15" i="72"/>
  <c r="C28" i="67"/>
  <c r="D31" i="74" s="1"/>
  <c r="D34" i="74" s="1"/>
  <c r="C15" i="72"/>
  <c r="I16" i="72" s="1"/>
  <c r="C15" i="76"/>
  <c r="I16" i="76" s="1"/>
  <c r="D69" i="107"/>
  <c r="D59" i="107"/>
  <c r="C45" i="96"/>
  <c r="C47" i="96" s="1"/>
  <c r="D69" i="98"/>
  <c r="D59" i="98"/>
  <c r="C29" i="87"/>
  <c r="D69" i="89"/>
  <c r="D59" i="89"/>
  <c r="D69" i="79"/>
  <c r="D59" i="79"/>
  <c r="C45" i="105"/>
  <c r="C47" i="105" s="1"/>
  <c r="C29" i="105"/>
  <c r="C29" i="96"/>
  <c r="C45" i="86"/>
  <c r="C47" i="86" s="1"/>
  <c r="C29" i="86"/>
  <c r="C45" i="87"/>
  <c r="C47" i="87" s="1"/>
  <c r="O49" i="85"/>
  <c r="P49" i="85" s="1"/>
  <c r="D34" i="95"/>
  <c r="D34" i="104"/>
  <c r="C32" i="67"/>
  <c r="D32" i="74" s="1"/>
  <c r="S47" i="74" s="1"/>
  <c r="M108" i="113"/>
  <c r="M109" i="113" s="1"/>
  <c r="D35" i="95"/>
  <c r="D35" i="104"/>
  <c r="M105" i="95"/>
  <c r="C37" i="67"/>
  <c r="C40" i="67" s="1"/>
  <c r="D40" i="74" s="1"/>
  <c r="C66" i="68" s="1"/>
  <c r="C67" i="68" s="1"/>
  <c r="C36" i="95"/>
  <c r="C36" i="85"/>
  <c r="P97" i="95"/>
  <c r="Q97" i="95" s="1"/>
  <c r="C66" i="88"/>
  <c r="C67" i="88" s="1"/>
  <c r="P101" i="95"/>
  <c r="P103" i="95" s="1"/>
  <c r="M49" i="104"/>
  <c r="M51" i="104" s="1"/>
  <c r="D34" i="85"/>
  <c r="D36" i="85" s="1"/>
  <c r="R47" i="85"/>
  <c r="R48" i="85" s="1"/>
  <c r="R49" i="85" s="1"/>
  <c r="S49" i="85" s="1"/>
  <c r="S50" i="85" s="1"/>
  <c r="M49" i="95"/>
  <c r="M50" i="95" s="1"/>
  <c r="R50" i="95" s="1"/>
  <c r="R51" i="95" s="1"/>
  <c r="L111" i="85"/>
  <c r="L113" i="85" s="1"/>
  <c r="O101" i="85"/>
  <c r="M49" i="85"/>
  <c r="M43" i="85"/>
  <c r="D59" i="78"/>
  <c r="M108" i="85"/>
  <c r="M109" i="85" s="1"/>
  <c r="D69" i="80"/>
  <c r="D59" i="80"/>
  <c r="M112" i="85"/>
  <c r="M113" i="85" s="1"/>
  <c r="D69" i="78"/>
  <c r="M117" i="85"/>
  <c r="M49" i="113"/>
  <c r="M50" i="113" s="1"/>
  <c r="P48" i="85"/>
  <c r="P101" i="104"/>
  <c r="O102" i="104"/>
  <c r="P102" i="104" s="1"/>
  <c r="M108" i="104"/>
  <c r="M109" i="104" s="1"/>
  <c r="D69" i="97"/>
  <c r="M117" i="104"/>
  <c r="D69" i="99"/>
  <c r="D59" i="99"/>
  <c r="M43" i="104"/>
  <c r="M112" i="104"/>
  <c r="M113" i="104" s="1"/>
  <c r="D59" i="97"/>
  <c r="M106" i="85"/>
  <c r="M105" i="85"/>
  <c r="O102" i="113"/>
  <c r="P102" i="113" s="1"/>
  <c r="P103" i="113" s="1"/>
  <c r="M106" i="113"/>
  <c r="M105" i="113"/>
  <c r="P97" i="113"/>
  <c r="P97" i="85"/>
  <c r="M105" i="104"/>
  <c r="P97" i="104"/>
  <c r="C66" i="89"/>
  <c r="C67" i="89" s="1"/>
  <c r="C35" i="113"/>
  <c r="N47" i="113"/>
  <c r="C34" i="113"/>
  <c r="L101" i="113"/>
  <c r="L103" i="113" s="1"/>
  <c r="R47" i="113"/>
  <c r="T47" i="113" s="1"/>
  <c r="D34" i="113"/>
  <c r="D35" i="113"/>
  <c r="L111" i="95"/>
  <c r="L113" i="95" s="1"/>
  <c r="C66" i="78"/>
  <c r="C67" i="78" s="1"/>
  <c r="C66" i="79"/>
  <c r="C67" i="79" s="1"/>
  <c r="C66" i="80"/>
  <c r="C67" i="80" s="1"/>
  <c r="C31" i="78"/>
  <c r="C32" i="78" s="1"/>
  <c r="P32" i="78" s="1"/>
  <c r="P33" i="78" s="1"/>
  <c r="C31" i="80"/>
  <c r="C32" i="80" s="1"/>
  <c r="P32" i="80" s="1"/>
  <c r="P33" i="80" s="1"/>
  <c r="C31" i="79"/>
  <c r="P47" i="85"/>
  <c r="C66" i="108"/>
  <c r="C67" i="108" s="1"/>
  <c r="C66" i="107"/>
  <c r="C67" i="107" s="1"/>
  <c r="C66" i="106"/>
  <c r="C67" i="106" s="1"/>
  <c r="C31" i="106"/>
  <c r="C31" i="108"/>
  <c r="C31" i="107"/>
  <c r="C32" i="107" s="1"/>
  <c r="P32" i="89"/>
  <c r="P33" i="89" s="1"/>
  <c r="C59" i="70"/>
  <c r="C31" i="99"/>
  <c r="C32" i="99" s="1"/>
  <c r="P32" i="99" s="1"/>
  <c r="P33" i="99" s="1"/>
  <c r="C31" i="98"/>
  <c r="C31" i="97"/>
  <c r="C32" i="97" s="1"/>
  <c r="P32" i="97" s="1"/>
  <c r="P33" i="97" s="1"/>
  <c r="N48" i="104"/>
  <c r="N49" i="104" s="1"/>
  <c r="O49" i="104" s="1"/>
  <c r="C66" i="98"/>
  <c r="C67" i="98" s="1"/>
  <c r="C66" i="97"/>
  <c r="C67" i="97" s="1"/>
  <c r="C66" i="99"/>
  <c r="C67" i="99" s="1"/>
  <c r="L104" i="104"/>
  <c r="L111" i="104"/>
  <c r="C36" i="104"/>
  <c r="M107" i="104"/>
  <c r="N106" i="104"/>
  <c r="R48" i="104"/>
  <c r="R49" i="104" s="1"/>
  <c r="S49" i="104" s="1"/>
  <c r="N48" i="95"/>
  <c r="N49" i="95" s="1"/>
  <c r="O49" i="95" s="1"/>
  <c r="R48" i="95"/>
  <c r="R49" i="95" s="1"/>
  <c r="S49" i="95" s="1"/>
  <c r="M107" i="95"/>
  <c r="N106" i="95"/>
  <c r="P47" i="95"/>
  <c r="L107" i="95"/>
  <c r="L105" i="95"/>
  <c r="L106" i="95" s="1"/>
  <c r="L107" i="85"/>
  <c r="L105" i="85"/>
  <c r="L106" i="85" s="1"/>
  <c r="M44" i="74"/>
  <c r="O98" i="74" s="1"/>
  <c r="P98" i="74" s="1"/>
  <c r="C15" i="73"/>
  <c r="I16" i="73" s="1"/>
  <c r="C59" i="69"/>
  <c r="C69" i="69"/>
  <c r="C59" i="68"/>
  <c r="C15" i="71"/>
  <c r="I16" i="71" s="1"/>
  <c r="C69" i="70"/>
  <c r="C69" i="68"/>
  <c r="M48" i="74"/>
  <c r="L98" i="74"/>
  <c r="C32" i="98" l="1"/>
  <c r="P32" i="98" s="1"/>
  <c r="P33" i="98" s="1"/>
  <c r="C32" i="79"/>
  <c r="P32" i="79" s="1"/>
  <c r="P33" i="79" s="1"/>
  <c r="O50" i="85"/>
  <c r="D36" i="95"/>
  <c r="C36" i="113"/>
  <c r="C20" i="74"/>
  <c r="W47" i="74" s="1"/>
  <c r="D36" i="104"/>
  <c r="L112" i="85"/>
  <c r="D20" i="74"/>
  <c r="AA47" i="74" s="1"/>
  <c r="C32" i="74"/>
  <c r="O47" i="74" s="1"/>
  <c r="C24" i="67"/>
  <c r="L36" i="74"/>
  <c r="O101" i="74" s="1"/>
  <c r="P101" i="74" s="1"/>
  <c r="R97" i="95"/>
  <c r="M43" i="95"/>
  <c r="D59" i="90"/>
  <c r="D59" i="88"/>
  <c r="D69" i="90"/>
  <c r="M108" i="95"/>
  <c r="M109" i="95" s="1"/>
  <c r="M117" i="95"/>
  <c r="M112" i="95"/>
  <c r="M113" i="95" s="1"/>
  <c r="D69" i="88"/>
  <c r="D69" i="108"/>
  <c r="M117" i="113"/>
  <c r="M43" i="113"/>
  <c r="D59" i="106"/>
  <c r="D69" i="106"/>
  <c r="D59" i="108"/>
  <c r="M112" i="113"/>
  <c r="M113" i="113" s="1"/>
  <c r="M50" i="104"/>
  <c r="R50" i="104" s="1"/>
  <c r="R51" i="104" s="1"/>
  <c r="P99" i="95"/>
  <c r="C41" i="87" s="1"/>
  <c r="M51" i="95"/>
  <c r="M53" i="95" s="1"/>
  <c r="Q48" i="85"/>
  <c r="Q47" i="85" s="1"/>
  <c r="M51" i="113"/>
  <c r="M52" i="113" s="1"/>
  <c r="R48" i="113"/>
  <c r="R49" i="113" s="1"/>
  <c r="S49" i="113" s="1"/>
  <c r="S50" i="113" s="1"/>
  <c r="T47" i="85"/>
  <c r="T48" i="85"/>
  <c r="D36" i="113"/>
  <c r="T49" i="85"/>
  <c r="P103" i="104"/>
  <c r="M118" i="85"/>
  <c r="M119" i="85"/>
  <c r="M120" i="85" s="1"/>
  <c r="M107" i="85"/>
  <c r="N106" i="85"/>
  <c r="L111" i="113"/>
  <c r="L104" i="113"/>
  <c r="C28" i="85"/>
  <c r="D28" i="85"/>
  <c r="L112" i="95"/>
  <c r="P47" i="113"/>
  <c r="N48" i="113"/>
  <c r="D19" i="85"/>
  <c r="C19" i="85"/>
  <c r="L114" i="85" s="1"/>
  <c r="L116" i="85" s="1"/>
  <c r="L117" i="85" s="1"/>
  <c r="L120" i="85" s="1"/>
  <c r="C28" i="104"/>
  <c r="D28" i="104"/>
  <c r="Q97" i="104"/>
  <c r="R97" i="104" s="1"/>
  <c r="P99" i="104"/>
  <c r="C41" i="96" s="1"/>
  <c r="M119" i="104"/>
  <c r="M120" i="104" s="1"/>
  <c r="M118" i="104"/>
  <c r="P99" i="85"/>
  <c r="C41" i="86" s="1"/>
  <c r="Q97" i="85"/>
  <c r="R97" i="85" s="1"/>
  <c r="C19" i="104"/>
  <c r="D19" i="104"/>
  <c r="P99" i="113"/>
  <c r="C41" i="105" s="1"/>
  <c r="Q97" i="113"/>
  <c r="R97" i="113" s="1"/>
  <c r="M50" i="85"/>
  <c r="M51" i="85"/>
  <c r="P101" i="85"/>
  <c r="O102" i="85"/>
  <c r="P102" i="85" s="1"/>
  <c r="M107" i="113"/>
  <c r="N106" i="113"/>
  <c r="C32" i="106"/>
  <c r="C32" i="108"/>
  <c r="N50" i="113"/>
  <c r="N51" i="113" s="1"/>
  <c r="R50" i="113"/>
  <c r="R51" i="113" s="1"/>
  <c r="T48" i="104"/>
  <c r="U48" i="104" s="1"/>
  <c r="U47" i="104" s="1"/>
  <c r="P49" i="104"/>
  <c r="O50" i="104"/>
  <c r="M53" i="104"/>
  <c r="M52" i="104"/>
  <c r="L113" i="104"/>
  <c r="L112" i="104"/>
  <c r="P48" i="104"/>
  <c r="Q48" i="104" s="1"/>
  <c r="Q47" i="104" s="1"/>
  <c r="S50" i="104"/>
  <c r="T49" i="104"/>
  <c r="L107" i="104"/>
  <c r="L105" i="104"/>
  <c r="L106" i="104" s="1"/>
  <c r="S50" i="95"/>
  <c r="T50" i="95" s="1"/>
  <c r="T49" i="95"/>
  <c r="T48" i="95"/>
  <c r="U48" i="95" s="1"/>
  <c r="U47" i="95" s="1"/>
  <c r="P49" i="95"/>
  <c r="O50" i="95"/>
  <c r="P48" i="95"/>
  <c r="Q48" i="95" s="1"/>
  <c r="Q47" i="95" s="1"/>
  <c r="N50" i="95"/>
  <c r="N51" i="95" s="1"/>
  <c r="C31" i="74"/>
  <c r="C35" i="74" s="1"/>
  <c r="C66" i="69"/>
  <c r="C67" i="69" s="1"/>
  <c r="R47" i="74"/>
  <c r="T47" i="74" s="1"/>
  <c r="D35" i="74"/>
  <c r="D36" i="74" s="1"/>
  <c r="O97" i="74"/>
  <c r="C40" i="74"/>
  <c r="C31" i="70" s="1"/>
  <c r="C32" i="70" s="1"/>
  <c r="P32" i="70" s="1"/>
  <c r="P33" i="70" s="1"/>
  <c r="M45" i="74"/>
  <c r="M100" i="74"/>
  <c r="M99" i="74" s="1"/>
  <c r="M104" i="74"/>
  <c r="M106" i="74" s="1"/>
  <c r="C66" i="70"/>
  <c r="C67" i="70" s="1"/>
  <c r="S48" i="74"/>
  <c r="L99" i="74"/>
  <c r="C29" i="67" l="1"/>
  <c r="C19" i="74" s="1"/>
  <c r="V47" i="74" s="1"/>
  <c r="L100" i="74"/>
  <c r="L101" i="74" s="1"/>
  <c r="L103" i="74" s="1"/>
  <c r="L104" i="74" s="1"/>
  <c r="M43" i="74"/>
  <c r="D59" i="70"/>
  <c r="D69" i="70"/>
  <c r="D59" i="68"/>
  <c r="D69" i="69"/>
  <c r="D69" i="68"/>
  <c r="D59" i="69"/>
  <c r="M117" i="74"/>
  <c r="M119" i="74" s="1"/>
  <c r="M120" i="74" s="1"/>
  <c r="M112" i="74"/>
  <c r="M113" i="74" s="1"/>
  <c r="C45" i="67"/>
  <c r="C47" i="67" s="1"/>
  <c r="C28" i="74" s="1"/>
  <c r="D31" i="68" s="1"/>
  <c r="D32" i="68" s="1"/>
  <c r="M108" i="74"/>
  <c r="M109" i="74" s="1"/>
  <c r="C19" i="113"/>
  <c r="D19" i="113"/>
  <c r="M119" i="95"/>
  <c r="M120" i="95" s="1"/>
  <c r="M118" i="95"/>
  <c r="N50" i="104"/>
  <c r="N51" i="104" s="1"/>
  <c r="O51" i="104" s="1"/>
  <c r="M118" i="113"/>
  <c r="M119" i="113"/>
  <c r="M120" i="113" s="1"/>
  <c r="T50" i="104"/>
  <c r="U50" i="104" s="1"/>
  <c r="U49" i="104" s="1"/>
  <c r="D19" i="95"/>
  <c r="C19" i="95"/>
  <c r="C28" i="95"/>
  <c r="D28" i="95"/>
  <c r="D28" i="113"/>
  <c r="C28" i="113"/>
  <c r="M52" i="95"/>
  <c r="U50" i="95"/>
  <c r="U49" i="95" s="1"/>
  <c r="T49" i="113"/>
  <c r="M53" i="113"/>
  <c r="M55" i="113" s="1"/>
  <c r="T48" i="113"/>
  <c r="U48" i="113" s="1"/>
  <c r="U47" i="113" s="1"/>
  <c r="U48" i="85"/>
  <c r="U47" i="85" s="1"/>
  <c r="O51" i="95"/>
  <c r="O52" i="95" s="1"/>
  <c r="L118" i="85"/>
  <c r="L119" i="85" s="1"/>
  <c r="V47" i="104"/>
  <c r="V52" i="104" s="1"/>
  <c r="V53" i="104" s="1"/>
  <c r="C23" i="104"/>
  <c r="C22" i="104"/>
  <c r="D66" i="79"/>
  <c r="D67" i="79" s="1"/>
  <c r="D66" i="78"/>
  <c r="D67" i="78" s="1"/>
  <c r="D66" i="80"/>
  <c r="D67" i="80" s="1"/>
  <c r="D31" i="80"/>
  <c r="D32" i="80" s="1"/>
  <c r="D31" i="79"/>
  <c r="D32" i="79" s="1"/>
  <c r="D31" i="78"/>
  <c r="D32" i="78" s="1"/>
  <c r="L113" i="113"/>
  <c r="L112" i="113"/>
  <c r="L107" i="113"/>
  <c r="L105" i="113"/>
  <c r="L106" i="113" s="1"/>
  <c r="S51" i="95"/>
  <c r="D66" i="99"/>
  <c r="D67" i="99" s="1"/>
  <c r="D66" i="98"/>
  <c r="D67" i="98" s="1"/>
  <c r="D66" i="97"/>
  <c r="D67" i="97" s="1"/>
  <c r="S51" i="113"/>
  <c r="T51" i="113" s="1"/>
  <c r="P103" i="85"/>
  <c r="D31" i="98"/>
  <c r="D32" i="98" s="1"/>
  <c r="D31" i="97"/>
  <c r="D32" i="97" s="1"/>
  <c r="D31" i="99"/>
  <c r="D32" i="99" s="1"/>
  <c r="M52" i="85"/>
  <c r="M53" i="85"/>
  <c r="N50" i="85"/>
  <c r="R50" i="85"/>
  <c r="L114" i="104"/>
  <c r="L116" i="104" s="1"/>
  <c r="L117" i="104" s="1"/>
  <c r="L120" i="104" s="1"/>
  <c r="C22" i="85"/>
  <c r="V47" i="85"/>
  <c r="C23" i="85"/>
  <c r="Z47" i="85"/>
  <c r="D22" i="85"/>
  <c r="D23" i="85"/>
  <c r="D22" i="104"/>
  <c r="Z47" i="104"/>
  <c r="D23" i="104"/>
  <c r="N49" i="113"/>
  <c r="O49" i="113" s="1"/>
  <c r="P48" i="113"/>
  <c r="Q48" i="113" s="1"/>
  <c r="Q47" i="113" s="1"/>
  <c r="S51" i="104"/>
  <c r="T50" i="113"/>
  <c r="P32" i="106"/>
  <c r="P33" i="106" s="1"/>
  <c r="N52" i="113"/>
  <c r="N53" i="113" s="1"/>
  <c r="R52" i="113"/>
  <c r="R53" i="113" s="1"/>
  <c r="P32" i="108"/>
  <c r="P33" i="108" s="1"/>
  <c r="P32" i="107"/>
  <c r="P33" i="107" s="1"/>
  <c r="P97" i="74"/>
  <c r="Q97" i="74" s="1"/>
  <c r="R97" i="74" s="1"/>
  <c r="O102" i="74"/>
  <c r="P102" i="74" s="1"/>
  <c r="P103" i="74" s="1"/>
  <c r="R52" i="104"/>
  <c r="R53" i="104" s="1"/>
  <c r="N52" i="104"/>
  <c r="N53" i="104" s="1"/>
  <c r="M55" i="104"/>
  <c r="M54" i="104"/>
  <c r="M55" i="95"/>
  <c r="M54" i="95"/>
  <c r="P50" i="95"/>
  <c r="Q50" i="95" s="1"/>
  <c r="Q49" i="95" s="1"/>
  <c r="M49" i="74"/>
  <c r="M50" i="74" s="1"/>
  <c r="R50" i="74" s="1"/>
  <c r="R51" i="74" s="1"/>
  <c r="R48" i="74"/>
  <c r="R49" i="74" s="1"/>
  <c r="S49" i="74" s="1"/>
  <c r="N47" i="74"/>
  <c r="P47" i="74" s="1"/>
  <c r="C34" i="74"/>
  <c r="C36" i="74" s="1"/>
  <c r="C31" i="68"/>
  <c r="C32" i="68" s="1"/>
  <c r="P32" i="68" s="1"/>
  <c r="P33" i="68" s="1"/>
  <c r="C31" i="69"/>
  <c r="C32" i="69" s="1"/>
  <c r="P32" i="69" s="1"/>
  <c r="P33" i="69" s="1"/>
  <c r="M105" i="74"/>
  <c r="O48" i="74"/>
  <c r="M107" i="74"/>
  <c r="N106" i="74"/>
  <c r="W48" i="74"/>
  <c r="AA48" i="74"/>
  <c r="D19" i="74" l="1"/>
  <c r="Z47" i="74" s="1"/>
  <c r="Z48" i="74" s="1"/>
  <c r="Z49" i="74" s="1"/>
  <c r="AA49" i="74" s="1"/>
  <c r="AB49" i="74" s="1"/>
  <c r="C23" i="74"/>
  <c r="C22" i="74"/>
  <c r="P50" i="104"/>
  <c r="Q50" i="104" s="1"/>
  <c r="Q49" i="104" s="1"/>
  <c r="M118" i="74"/>
  <c r="D31" i="69"/>
  <c r="D32" i="69" s="1"/>
  <c r="D31" i="70"/>
  <c r="D32" i="70" s="1"/>
  <c r="D28" i="74"/>
  <c r="D66" i="70" s="1"/>
  <c r="D67" i="70" s="1"/>
  <c r="V47" i="113"/>
  <c r="C23" i="113"/>
  <c r="C22" i="113"/>
  <c r="D66" i="106"/>
  <c r="D67" i="106" s="1"/>
  <c r="D66" i="108"/>
  <c r="D67" i="108" s="1"/>
  <c r="D66" i="107"/>
  <c r="D67" i="107" s="1"/>
  <c r="D66" i="89"/>
  <c r="D67" i="89" s="1"/>
  <c r="D66" i="88"/>
  <c r="D67" i="88" s="1"/>
  <c r="D66" i="90"/>
  <c r="D67" i="90" s="1"/>
  <c r="D31" i="90"/>
  <c r="D32" i="90" s="1"/>
  <c r="D31" i="89"/>
  <c r="D32" i="89" s="1"/>
  <c r="D31" i="88"/>
  <c r="D32" i="88" s="1"/>
  <c r="V47" i="95"/>
  <c r="V52" i="95" s="1"/>
  <c r="V53" i="95" s="1"/>
  <c r="L114" i="95"/>
  <c r="L116" i="95" s="1"/>
  <c r="L117" i="95" s="1"/>
  <c r="C22" i="95"/>
  <c r="C23" i="95"/>
  <c r="D31" i="108"/>
  <c r="D32" i="108" s="1"/>
  <c r="D31" i="106"/>
  <c r="D32" i="106" s="1"/>
  <c r="D31" i="107"/>
  <c r="D32" i="107" s="1"/>
  <c r="Z47" i="95"/>
  <c r="Z54" i="95" s="1"/>
  <c r="Z55" i="95" s="1"/>
  <c r="D23" i="95"/>
  <c r="D22" i="95"/>
  <c r="L114" i="113"/>
  <c r="L116" i="113" s="1"/>
  <c r="L117" i="113" s="1"/>
  <c r="L118" i="113" s="1"/>
  <c r="L119" i="113" s="1"/>
  <c r="D23" i="113"/>
  <c r="D22" i="113"/>
  <c r="Z47" i="113"/>
  <c r="R52" i="95"/>
  <c r="R53" i="95" s="1"/>
  <c r="N52" i="95"/>
  <c r="N53" i="95" s="1"/>
  <c r="O53" i="95" s="1"/>
  <c r="O54" i="95" s="1"/>
  <c r="U50" i="113"/>
  <c r="U49" i="113" s="1"/>
  <c r="M54" i="113"/>
  <c r="N54" i="113" s="1"/>
  <c r="N55" i="113" s="1"/>
  <c r="L118" i="104"/>
  <c r="L119" i="104" s="1"/>
  <c r="S52" i="113"/>
  <c r="T52" i="113" s="1"/>
  <c r="U52" i="113" s="1"/>
  <c r="U51" i="113" s="1"/>
  <c r="P51" i="95"/>
  <c r="O52" i="104"/>
  <c r="P52" i="104" s="1"/>
  <c r="P51" i="104"/>
  <c r="D24" i="85"/>
  <c r="C45" i="82" s="1"/>
  <c r="C24" i="85"/>
  <c r="C24" i="104"/>
  <c r="S52" i="95"/>
  <c r="T51" i="95"/>
  <c r="Z52" i="85"/>
  <c r="Z53" i="85" s="1"/>
  <c r="AB47" i="85"/>
  <c r="Z50" i="85"/>
  <c r="Z51" i="85" s="1"/>
  <c r="Z48" i="85"/>
  <c r="D24" i="104"/>
  <c r="Z48" i="104"/>
  <c r="AB47" i="104"/>
  <c r="Z50" i="104"/>
  <c r="Z51" i="104" s="1"/>
  <c r="V52" i="85"/>
  <c r="V53" i="85" s="1"/>
  <c r="V48" i="85"/>
  <c r="V50" i="85"/>
  <c r="V51" i="85" s="1"/>
  <c r="X47" i="85"/>
  <c r="R51" i="85"/>
  <c r="S51" i="85" s="1"/>
  <c r="T50" i="85"/>
  <c r="U50" i="85" s="1"/>
  <c r="U49" i="85" s="1"/>
  <c r="Z52" i="104"/>
  <c r="Z53" i="104" s="1"/>
  <c r="M55" i="85"/>
  <c r="M54" i="85"/>
  <c r="V54" i="85" s="1"/>
  <c r="V55" i="85" s="1"/>
  <c r="V50" i="104"/>
  <c r="V51" i="104" s="1"/>
  <c r="V48" i="104"/>
  <c r="X47" i="104"/>
  <c r="S52" i="104"/>
  <c r="S53" i="104" s="1"/>
  <c r="T51" i="104"/>
  <c r="N51" i="85"/>
  <c r="O51" i="85" s="1"/>
  <c r="P50" i="85"/>
  <c r="Q50" i="85" s="1"/>
  <c r="Q49" i="85" s="1"/>
  <c r="P49" i="113"/>
  <c r="O50" i="113"/>
  <c r="N52" i="85"/>
  <c r="N53" i="85" s="1"/>
  <c r="R52" i="85"/>
  <c r="R53" i="85" s="1"/>
  <c r="M57" i="113"/>
  <c r="M56" i="113"/>
  <c r="P99" i="74"/>
  <c r="C41" i="67" s="1"/>
  <c r="N54" i="104"/>
  <c r="N55" i="104" s="1"/>
  <c r="R54" i="104"/>
  <c r="R55" i="104" s="1"/>
  <c r="Z54" i="104"/>
  <c r="Z55" i="104" s="1"/>
  <c r="V54" i="104"/>
  <c r="V55" i="104" s="1"/>
  <c r="M57" i="104"/>
  <c r="M56" i="104"/>
  <c r="R54" i="95"/>
  <c r="R55" i="95" s="1"/>
  <c r="N54" i="95"/>
  <c r="N55" i="95" s="1"/>
  <c r="M57" i="95"/>
  <c r="M56" i="95"/>
  <c r="V50" i="74"/>
  <c r="V51" i="74" s="1"/>
  <c r="M51" i="74"/>
  <c r="M53" i="74" s="1"/>
  <c r="M55" i="74" s="1"/>
  <c r="N48" i="74"/>
  <c r="N49" i="74" s="1"/>
  <c r="O49" i="74" s="1"/>
  <c r="P49" i="74" s="1"/>
  <c r="N50" i="74"/>
  <c r="N51" i="74" s="1"/>
  <c r="T48" i="74"/>
  <c r="U48" i="74" s="1"/>
  <c r="U47" i="74" s="1"/>
  <c r="L111" i="74"/>
  <c r="L113" i="74" s="1"/>
  <c r="L114" i="74" s="1"/>
  <c r="L116" i="74" s="1"/>
  <c r="L117" i="74" s="1"/>
  <c r="X47" i="74"/>
  <c r="V48" i="74"/>
  <c r="V49" i="74" s="1"/>
  <c r="W49" i="74" s="1"/>
  <c r="S50" i="74"/>
  <c r="T49" i="74"/>
  <c r="L107" i="74"/>
  <c r="L105" i="74"/>
  <c r="L106" i="74" s="1"/>
  <c r="Z52" i="95" l="1"/>
  <c r="Z53" i="95" s="1"/>
  <c r="Z50" i="74"/>
  <c r="Z51" i="74" s="1"/>
  <c r="D23" i="74"/>
  <c r="AB47" i="74"/>
  <c r="D22" i="74"/>
  <c r="C24" i="74"/>
  <c r="D24" i="95"/>
  <c r="C45" i="91" s="1"/>
  <c r="L120" i="113"/>
  <c r="D66" i="68"/>
  <c r="D67" i="68" s="1"/>
  <c r="D66" i="69"/>
  <c r="D67" i="69" s="1"/>
  <c r="V54" i="95"/>
  <c r="V55" i="95" s="1"/>
  <c r="X47" i="95"/>
  <c r="V48" i="95"/>
  <c r="V50" i="95"/>
  <c r="V51" i="95" s="1"/>
  <c r="Z50" i="113"/>
  <c r="Z51" i="113" s="1"/>
  <c r="AB47" i="113"/>
  <c r="Z48" i="113"/>
  <c r="Z52" i="113"/>
  <c r="Z53" i="113" s="1"/>
  <c r="D24" i="113"/>
  <c r="L120" i="95"/>
  <c r="L118" i="95"/>
  <c r="L119" i="95" s="1"/>
  <c r="Z50" i="95"/>
  <c r="Z51" i="95" s="1"/>
  <c r="Z48" i="95"/>
  <c r="AB47" i="95"/>
  <c r="C24" i="113"/>
  <c r="C24" i="95"/>
  <c r="V48" i="113"/>
  <c r="V50" i="113"/>
  <c r="V51" i="113" s="1"/>
  <c r="X47" i="113"/>
  <c r="V52" i="113"/>
  <c r="V53" i="113" s="1"/>
  <c r="R54" i="113"/>
  <c r="R55" i="113" s="1"/>
  <c r="Z54" i="113"/>
  <c r="Z55" i="113" s="1"/>
  <c r="V54" i="113"/>
  <c r="V55" i="113" s="1"/>
  <c r="Q52" i="104"/>
  <c r="Q51" i="104" s="1"/>
  <c r="S53" i="95"/>
  <c r="S54" i="95" s="1"/>
  <c r="T54" i="95" s="1"/>
  <c r="O53" i="104"/>
  <c r="P53" i="104" s="1"/>
  <c r="T52" i="95"/>
  <c r="U52" i="95" s="1"/>
  <c r="U51" i="95" s="1"/>
  <c r="P52" i="95"/>
  <c r="Q52" i="95" s="1"/>
  <c r="Q51" i="95" s="1"/>
  <c r="P53" i="95"/>
  <c r="O55" i="95"/>
  <c r="P55" i="95" s="1"/>
  <c r="S53" i="113"/>
  <c r="C45" i="83"/>
  <c r="C45" i="81"/>
  <c r="C45" i="84"/>
  <c r="Z54" i="85"/>
  <c r="Z55" i="85" s="1"/>
  <c r="T53" i="104"/>
  <c r="S54" i="104"/>
  <c r="T54" i="104" s="1"/>
  <c r="O52" i="85"/>
  <c r="P52" i="85" s="1"/>
  <c r="P51" i="85"/>
  <c r="Z49" i="85"/>
  <c r="AA49" i="85" s="1"/>
  <c r="AB48" i="85"/>
  <c r="AC48" i="85" s="1"/>
  <c r="AC47" i="85" s="1"/>
  <c r="T51" i="85"/>
  <c r="S52" i="85"/>
  <c r="T52" i="85" s="1"/>
  <c r="V49" i="104"/>
  <c r="W49" i="104" s="1"/>
  <c r="X48" i="104"/>
  <c r="Y48" i="104" s="1"/>
  <c r="Y47" i="104" s="1"/>
  <c r="P50" i="113"/>
  <c r="Q50" i="113" s="1"/>
  <c r="Q49" i="113" s="1"/>
  <c r="O51" i="113"/>
  <c r="R54" i="85"/>
  <c r="R55" i="85" s="1"/>
  <c r="N54" i="85"/>
  <c r="N55" i="85" s="1"/>
  <c r="Z49" i="104"/>
  <c r="AA49" i="104" s="1"/>
  <c r="AB48" i="104"/>
  <c r="AC48" i="104" s="1"/>
  <c r="AC47" i="104" s="1"/>
  <c r="M57" i="85"/>
  <c r="M56" i="85"/>
  <c r="T52" i="104"/>
  <c r="U52" i="104" s="1"/>
  <c r="U51" i="104" s="1"/>
  <c r="C45" i="101"/>
  <c r="C45" i="103"/>
  <c r="C45" i="102"/>
  <c r="C45" i="100"/>
  <c r="X48" i="85"/>
  <c r="Y48" i="85" s="1"/>
  <c r="Y47" i="85" s="1"/>
  <c r="V49" i="85"/>
  <c r="W49" i="85" s="1"/>
  <c r="P54" i="95"/>
  <c r="M59" i="113"/>
  <c r="M58" i="113"/>
  <c r="R56" i="113"/>
  <c r="R57" i="113" s="1"/>
  <c r="N56" i="113"/>
  <c r="N57" i="113" s="1"/>
  <c r="Z56" i="113"/>
  <c r="Z57" i="113" s="1"/>
  <c r="V56" i="113"/>
  <c r="V57" i="113" s="1"/>
  <c r="N56" i="104"/>
  <c r="N57" i="104" s="1"/>
  <c r="R56" i="104"/>
  <c r="R57" i="104" s="1"/>
  <c r="V56" i="104"/>
  <c r="V57" i="104" s="1"/>
  <c r="Z56" i="104"/>
  <c r="Z57" i="104" s="1"/>
  <c r="M59" i="104"/>
  <c r="M58" i="104"/>
  <c r="N56" i="95"/>
  <c r="N57" i="95" s="1"/>
  <c r="R56" i="95"/>
  <c r="R57" i="95" s="1"/>
  <c r="Z56" i="95"/>
  <c r="Z57" i="95" s="1"/>
  <c r="V56" i="95"/>
  <c r="V57" i="95" s="1"/>
  <c r="M59" i="95"/>
  <c r="M58" i="95"/>
  <c r="M54" i="74"/>
  <c r="Z54" i="74" s="1"/>
  <c r="Z55" i="74" s="1"/>
  <c r="P48" i="74"/>
  <c r="Q48" i="74" s="1"/>
  <c r="Q47" i="74" s="1"/>
  <c r="M52" i="74"/>
  <c r="R52" i="74" s="1"/>
  <c r="R53" i="74" s="1"/>
  <c r="L112" i="74"/>
  <c r="X48" i="74"/>
  <c r="Y48" i="74" s="1"/>
  <c r="Y47" i="74" s="1"/>
  <c r="AA50" i="74"/>
  <c r="AB48" i="74"/>
  <c r="O50" i="74"/>
  <c r="P50" i="74" s="1"/>
  <c r="Q50" i="74" s="1"/>
  <c r="Q49" i="74" s="1"/>
  <c r="M57" i="74"/>
  <c r="M56" i="74"/>
  <c r="T50" i="74"/>
  <c r="U50" i="74" s="1"/>
  <c r="U49" i="74" s="1"/>
  <c r="S51" i="74"/>
  <c r="W50" i="74"/>
  <c r="X49" i="74"/>
  <c r="L120" i="74"/>
  <c r="L118" i="74"/>
  <c r="L119" i="74" s="1"/>
  <c r="S55" i="104" l="1"/>
  <c r="T55" i="104" s="1"/>
  <c r="AC48" i="74"/>
  <c r="AC47" i="74" s="1"/>
  <c r="AB50" i="74"/>
  <c r="AC50" i="74" s="1"/>
  <c r="AC49" i="74" s="1"/>
  <c r="D24" i="74"/>
  <c r="C45" i="76" s="1"/>
  <c r="C45" i="92"/>
  <c r="C45" i="93"/>
  <c r="C45" i="94"/>
  <c r="U54" i="104"/>
  <c r="U53" i="104" s="1"/>
  <c r="O53" i="85"/>
  <c r="O54" i="85" s="1"/>
  <c r="P54" i="85" s="1"/>
  <c r="T53" i="95"/>
  <c r="U54" i="95" s="1"/>
  <c r="U53" i="95" s="1"/>
  <c r="C45" i="112"/>
  <c r="C45" i="109"/>
  <c r="C45" i="111"/>
  <c r="C45" i="110"/>
  <c r="Z49" i="113"/>
  <c r="AA49" i="113" s="1"/>
  <c r="AB48" i="113"/>
  <c r="AC48" i="113" s="1"/>
  <c r="AC47" i="113" s="1"/>
  <c r="V49" i="113"/>
  <c r="W49" i="113" s="1"/>
  <c r="X48" i="113"/>
  <c r="Y48" i="113" s="1"/>
  <c r="Y47" i="113" s="1"/>
  <c r="S55" i="95"/>
  <c r="S56" i="95" s="1"/>
  <c r="T56" i="95" s="1"/>
  <c r="V49" i="95"/>
  <c r="W49" i="95" s="1"/>
  <c r="X48" i="95"/>
  <c r="Y48" i="95" s="1"/>
  <c r="Y47" i="95" s="1"/>
  <c r="O54" i="104"/>
  <c r="P54" i="104" s="1"/>
  <c r="Q54" i="104" s="1"/>
  <c r="Q53" i="104" s="1"/>
  <c r="AB48" i="95"/>
  <c r="AC48" i="95" s="1"/>
  <c r="AC47" i="95" s="1"/>
  <c r="Z49" i="95"/>
  <c r="AA49" i="95" s="1"/>
  <c r="O56" i="95"/>
  <c r="P56" i="95" s="1"/>
  <c r="Q56" i="95" s="1"/>
  <c r="Q55" i="95" s="1"/>
  <c r="Q54" i="95"/>
  <c r="Q53" i="95" s="1"/>
  <c r="S53" i="85"/>
  <c r="S54" i="85" s="1"/>
  <c r="T54" i="85" s="1"/>
  <c r="U52" i="85"/>
  <c r="U51" i="85" s="1"/>
  <c r="T53" i="113"/>
  <c r="S54" i="113"/>
  <c r="P51" i="113"/>
  <c r="O52" i="113"/>
  <c r="N56" i="85"/>
  <c r="N57" i="85" s="1"/>
  <c r="R56" i="85"/>
  <c r="R57" i="85" s="1"/>
  <c r="Z56" i="85"/>
  <c r="Z57" i="85" s="1"/>
  <c r="V56" i="85"/>
  <c r="V57" i="85" s="1"/>
  <c r="X49" i="104"/>
  <c r="W50" i="104"/>
  <c r="AA50" i="85"/>
  <c r="AB49" i="85"/>
  <c r="X49" i="85"/>
  <c r="W50" i="85"/>
  <c r="M59" i="85"/>
  <c r="M58" i="85"/>
  <c r="Q52" i="85"/>
  <c r="Q51" i="85" s="1"/>
  <c r="AB49" i="104"/>
  <c r="AA50" i="104"/>
  <c r="N58" i="113"/>
  <c r="N59" i="113" s="1"/>
  <c r="R58" i="113"/>
  <c r="R59" i="113" s="1"/>
  <c r="Z58" i="113"/>
  <c r="Z59" i="113" s="1"/>
  <c r="V58" i="113"/>
  <c r="V59" i="113" s="1"/>
  <c r="M61" i="113"/>
  <c r="M60" i="113"/>
  <c r="V52" i="74"/>
  <c r="V53" i="74" s="1"/>
  <c r="N54" i="74"/>
  <c r="N55" i="74" s="1"/>
  <c r="R54" i="74"/>
  <c r="R55" i="74" s="1"/>
  <c r="N52" i="74"/>
  <c r="N53" i="74" s="1"/>
  <c r="N58" i="104"/>
  <c r="N59" i="104" s="1"/>
  <c r="R58" i="104"/>
  <c r="R59" i="104" s="1"/>
  <c r="Z58" i="104"/>
  <c r="Z59" i="104" s="1"/>
  <c r="V58" i="104"/>
  <c r="V59" i="104" s="1"/>
  <c r="M61" i="104"/>
  <c r="M60" i="104"/>
  <c r="M61" i="95"/>
  <c r="M60" i="95"/>
  <c r="N58" i="95"/>
  <c r="N59" i="95" s="1"/>
  <c r="R58" i="95"/>
  <c r="R59" i="95" s="1"/>
  <c r="V58" i="95"/>
  <c r="V59" i="95" s="1"/>
  <c r="Z58" i="95"/>
  <c r="Z59" i="95" s="1"/>
  <c r="V54" i="74"/>
  <c r="V55" i="74" s="1"/>
  <c r="Z52" i="74"/>
  <c r="Z53" i="74" s="1"/>
  <c r="AA51" i="74"/>
  <c r="AA52" i="74" s="1"/>
  <c r="O51" i="74"/>
  <c r="P51" i="74" s="1"/>
  <c r="M59" i="74"/>
  <c r="M58" i="74"/>
  <c r="X50" i="74"/>
  <c r="Y50" i="74" s="1"/>
  <c r="Y49" i="74" s="1"/>
  <c r="W51" i="74"/>
  <c r="S52" i="74"/>
  <c r="T51" i="74"/>
  <c r="R56" i="74"/>
  <c r="R57" i="74" s="1"/>
  <c r="N56" i="74"/>
  <c r="N57" i="74" s="1"/>
  <c r="V56" i="74"/>
  <c r="V57" i="74" s="1"/>
  <c r="Z56" i="74"/>
  <c r="Z57" i="74" s="1"/>
  <c r="S56" i="104" l="1"/>
  <c r="T56" i="104" s="1"/>
  <c r="U56" i="104" s="1"/>
  <c r="U55" i="104" s="1"/>
  <c r="C45" i="71"/>
  <c r="C45" i="72"/>
  <c r="C45" i="73"/>
  <c r="S57" i="95"/>
  <c r="S58" i="95" s="1"/>
  <c r="T58" i="95" s="1"/>
  <c r="P53" i="85"/>
  <c r="Q54" i="85" s="1"/>
  <c r="Q53" i="85" s="1"/>
  <c r="O55" i="104"/>
  <c r="O56" i="104" s="1"/>
  <c r="T55" i="95"/>
  <c r="U56" i="95" s="1"/>
  <c r="U55" i="95" s="1"/>
  <c r="W50" i="95"/>
  <c r="X49" i="95"/>
  <c r="S57" i="104"/>
  <c r="W50" i="113"/>
  <c r="X49" i="113"/>
  <c r="AA50" i="113"/>
  <c r="AB49" i="113"/>
  <c r="AA50" i="95"/>
  <c r="AB49" i="95"/>
  <c r="O57" i="95"/>
  <c r="T53" i="85"/>
  <c r="U54" i="85" s="1"/>
  <c r="U53" i="85" s="1"/>
  <c r="O55" i="85"/>
  <c r="O56" i="85" s="1"/>
  <c r="P56" i="85" s="1"/>
  <c r="S55" i="113"/>
  <c r="T54" i="113"/>
  <c r="U54" i="113" s="1"/>
  <c r="U53" i="113" s="1"/>
  <c r="M60" i="85"/>
  <c r="M61" i="85"/>
  <c r="X50" i="85"/>
  <c r="Y50" i="85" s="1"/>
  <c r="Y49" i="85" s="1"/>
  <c r="W51" i="85"/>
  <c r="P52" i="113"/>
  <c r="Q52" i="113" s="1"/>
  <c r="Q51" i="113" s="1"/>
  <c r="O53" i="113"/>
  <c r="X50" i="104"/>
  <c r="Y50" i="104" s="1"/>
  <c r="Y49" i="104" s="1"/>
  <c r="W51" i="104"/>
  <c r="AB50" i="85"/>
  <c r="AC50" i="85" s="1"/>
  <c r="AC49" i="85" s="1"/>
  <c r="AA51" i="85"/>
  <c r="AB50" i="104"/>
  <c r="AC50" i="104" s="1"/>
  <c r="AC49" i="104" s="1"/>
  <c r="AA51" i="104"/>
  <c r="S55" i="85"/>
  <c r="V58" i="85"/>
  <c r="V59" i="85" s="1"/>
  <c r="R58" i="85"/>
  <c r="R59" i="85" s="1"/>
  <c r="Z58" i="85"/>
  <c r="Z59" i="85" s="1"/>
  <c r="N58" i="85"/>
  <c r="N59" i="85" s="1"/>
  <c r="N60" i="113"/>
  <c r="N61" i="113" s="1"/>
  <c r="R60" i="113"/>
  <c r="R61" i="113" s="1"/>
  <c r="Z60" i="113"/>
  <c r="Z61" i="113" s="1"/>
  <c r="V60" i="113"/>
  <c r="V61" i="113" s="1"/>
  <c r="M63" i="113"/>
  <c r="M62" i="113"/>
  <c r="N60" i="104"/>
  <c r="N61" i="104" s="1"/>
  <c r="R60" i="104"/>
  <c r="R61" i="104" s="1"/>
  <c r="V60" i="104"/>
  <c r="V61" i="104" s="1"/>
  <c r="Z60" i="104"/>
  <c r="Z61" i="104" s="1"/>
  <c r="M63" i="104"/>
  <c r="M62" i="104"/>
  <c r="M63" i="95"/>
  <c r="M62" i="95"/>
  <c r="R60" i="95"/>
  <c r="R61" i="95" s="1"/>
  <c r="N60" i="95"/>
  <c r="N61" i="95" s="1"/>
  <c r="Z60" i="95"/>
  <c r="Z61" i="95" s="1"/>
  <c r="V60" i="95"/>
  <c r="V61" i="95" s="1"/>
  <c r="AB51" i="74"/>
  <c r="O52" i="74"/>
  <c r="O53" i="74" s="1"/>
  <c r="R58" i="74"/>
  <c r="R59" i="74" s="1"/>
  <c r="N58" i="74"/>
  <c r="N59" i="74" s="1"/>
  <c r="Z58" i="74"/>
  <c r="Z59" i="74" s="1"/>
  <c r="V58" i="74"/>
  <c r="V59" i="74" s="1"/>
  <c r="M61" i="74"/>
  <c r="M60" i="74"/>
  <c r="T52" i="74"/>
  <c r="U52" i="74" s="1"/>
  <c r="U51" i="74" s="1"/>
  <c r="S53" i="74"/>
  <c r="AB52" i="74"/>
  <c r="AA53" i="74"/>
  <c r="W52" i="74"/>
  <c r="X51" i="74"/>
  <c r="T57" i="95" l="1"/>
  <c r="U58" i="95" s="1"/>
  <c r="U57" i="95" s="1"/>
  <c r="S59" i="95"/>
  <c r="O57" i="85"/>
  <c r="O58" i="85" s="1"/>
  <c r="P58" i="85" s="1"/>
  <c r="P55" i="104"/>
  <c r="X50" i="113"/>
  <c r="Y50" i="113" s="1"/>
  <c r="Y49" i="113" s="1"/>
  <c r="W51" i="113"/>
  <c r="S58" i="104"/>
  <c r="T57" i="104"/>
  <c r="AB50" i="113"/>
  <c r="AC50" i="113" s="1"/>
  <c r="AC49" i="113" s="1"/>
  <c r="AA51" i="113"/>
  <c r="P56" i="104"/>
  <c r="O57" i="104"/>
  <c r="W51" i="95"/>
  <c r="X50" i="95"/>
  <c r="Y50" i="95" s="1"/>
  <c r="Y49" i="95" s="1"/>
  <c r="P57" i="95"/>
  <c r="O58" i="95"/>
  <c r="AB50" i="95"/>
  <c r="AC50" i="95" s="1"/>
  <c r="AC49" i="95" s="1"/>
  <c r="AA51" i="95"/>
  <c r="P55" i="85"/>
  <c r="Q56" i="85" s="1"/>
  <c r="Q55" i="85" s="1"/>
  <c r="S56" i="113"/>
  <c r="T55" i="113"/>
  <c r="AB51" i="85"/>
  <c r="AA52" i="85"/>
  <c r="O54" i="113"/>
  <c r="P53" i="113"/>
  <c r="W52" i="104"/>
  <c r="X51" i="104"/>
  <c r="W52" i="85"/>
  <c r="X51" i="85"/>
  <c r="AB51" i="104"/>
  <c r="AA52" i="104"/>
  <c r="M62" i="85"/>
  <c r="M63" i="85"/>
  <c r="S56" i="85"/>
  <c r="T55" i="85"/>
  <c r="V60" i="85"/>
  <c r="V61" i="85" s="1"/>
  <c r="N60" i="85"/>
  <c r="N61" i="85" s="1"/>
  <c r="Z60" i="85"/>
  <c r="Z61" i="85" s="1"/>
  <c r="R60" i="85"/>
  <c r="R61" i="85" s="1"/>
  <c r="R62" i="113"/>
  <c r="R63" i="113" s="1"/>
  <c r="N62" i="113"/>
  <c r="N63" i="113" s="1"/>
  <c r="Z62" i="113"/>
  <c r="Z63" i="113" s="1"/>
  <c r="V62" i="113"/>
  <c r="V63" i="113" s="1"/>
  <c r="M65" i="113"/>
  <c r="M64" i="113"/>
  <c r="R62" i="104"/>
  <c r="R63" i="104" s="1"/>
  <c r="N62" i="104"/>
  <c r="N63" i="104" s="1"/>
  <c r="V62" i="104"/>
  <c r="V63" i="104" s="1"/>
  <c r="Z62" i="104"/>
  <c r="Z63" i="104" s="1"/>
  <c r="M65" i="104"/>
  <c r="M64" i="104"/>
  <c r="N62" i="95"/>
  <c r="N63" i="95" s="1"/>
  <c r="R62" i="95"/>
  <c r="R63" i="95" s="1"/>
  <c r="Z62" i="95"/>
  <c r="Z63" i="95" s="1"/>
  <c r="V62" i="95"/>
  <c r="V63" i="95" s="1"/>
  <c r="M65" i="95"/>
  <c r="M64" i="95"/>
  <c r="AC52" i="74"/>
  <c r="AC51" i="74" s="1"/>
  <c r="P52" i="74"/>
  <c r="Q52" i="74" s="1"/>
  <c r="Q51" i="74" s="1"/>
  <c r="O54" i="74"/>
  <c r="P53" i="74"/>
  <c r="R60" i="74"/>
  <c r="R61" i="74" s="1"/>
  <c r="N60" i="74"/>
  <c r="N61" i="74" s="1"/>
  <c r="V60" i="74"/>
  <c r="V61" i="74" s="1"/>
  <c r="Z60" i="74"/>
  <c r="Z61" i="74" s="1"/>
  <c r="M63" i="74"/>
  <c r="M62" i="74"/>
  <c r="X52" i="74"/>
  <c r="Y52" i="74" s="1"/>
  <c r="Y51" i="74" s="1"/>
  <c r="W53" i="74"/>
  <c r="AA54" i="74"/>
  <c r="AB53" i="74"/>
  <c r="T53" i="74"/>
  <c r="S54" i="74"/>
  <c r="S60" i="95" l="1"/>
  <c r="T59" i="95"/>
  <c r="Q56" i="104"/>
  <c r="Q55" i="104" s="1"/>
  <c r="O59" i="85"/>
  <c r="P59" i="85" s="1"/>
  <c r="P57" i="85"/>
  <c r="Q58" i="85" s="1"/>
  <c r="Q57" i="85" s="1"/>
  <c r="X51" i="95"/>
  <c r="W52" i="95"/>
  <c r="AA52" i="95"/>
  <c r="AB51" i="95"/>
  <c r="P57" i="104"/>
  <c r="O58" i="104"/>
  <c r="T56" i="85"/>
  <c r="U56" i="85" s="1"/>
  <c r="U55" i="85" s="1"/>
  <c r="S57" i="85"/>
  <c r="AA52" i="113"/>
  <c r="AB51" i="113"/>
  <c r="T58" i="104"/>
  <c r="U58" i="104" s="1"/>
  <c r="U57" i="104" s="1"/>
  <c r="S59" i="104"/>
  <c r="O59" i="95"/>
  <c r="P58" i="95"/>
  <c r="Q58" i="95" s="1"/>
  <c r="Q57" i="95" s="1"/>
  <c r="W52" i="113"/>
  <c r="X51" i="113"/>
  <c r="T56" i="113"/>
  <c r="U56" i="113" s="1"/>
  <c r="U55" i="113" s="1"/>
  <c r="S57" i="113"/>
  <c r="P54" i="113"/>
  <c r="Q54" i="113" s="1"/>
  <c r="Q53" i="113" s="1"/>
  <c r="O55" i="113"/>
  <c r="AB52" i="85"/>
  <c r="AC52" i="85" s="1"/>
  <c r="AC51" i="85" s="1"/>
  <c r="AA53" i="85"/>
  <c r="M65" i="85"/>
  <c r="M64" i="85"/>
  <c r="X52" i="85"/>
  <c r="Y52" i="85" s="1"/>
  <c r="Y51" i="85" s="1"/>
  <c r="W53" i="85"/>
  <c r="R62" i="85"/>
  <c r="R63" i="85" s="1"/>
  <c r="N62" i="85"/>
  <c r="N63" i="85" s="1"/>
  <c r="V62" i="85"/>
  <c r="V63" i="85" s="1"/>
  <c r="Z62" i="85"/>
  <c r="Z63" i="85" s="1"/>
  <c r="AB52" i="104"/>
  <c r="AC52" i="104" s="1"/>
  <c r="AC51" i="104" s="1"/>
  <c r="AA53" i="104"/>
  <c r="X52" i="104"/>
  <c r="Y52" i="104" s="1"/>
  <c r="Y51" i="104" s="1"/>
  <c r="W53" i="104"/>
  <c r="M67" i="113"/>
  <c r="M66" i="113"/>
  <c r="N64" i="113"/>
  <c r="N65" i="113" s="1"/>
  <c r="R64" i="113"/>
  <c r="R65" i="113" s="1"/>
  <c r="V64" i="113"/>
  <c r="V65" i="113" s="1"/>
  <c r="Z64" i="113"/>
  <c r="Z65" i="113" s="1"/>
  <c r="N64" i="104"/>
  <c r="N65" i="104" s="1"/>
  <c r="R64" i="104"/>
  <c r="R65" i="104" s="1"/>
  <c r="Z64" i="104"/>
  <c r="Z65" i="104" s="1"/>
  <c r="V64" i="104"/>
  <c r="V65" i="104" s="1"/>
  <c r="M67" i="104"/>
  <c r="M66" i="104"/>
  <c r="R64" i="95"/>
  <c r="R65" i="95" s="1"/>
  <c r="N64" i="95"/>
  <c r="N65" i="95" s="1"/>
  <c r="V64" i="95"/>
  <c r="V65" i="95" s="1"/>
  <c r="Z64" i="95"/>
  <c r="Z65" i="95" s="1"/>
  <c r="M67" i="95"/>
  <c r="M66" i="95"/>
  <c r="W54" i="74"/>
  <c r="X53" i="74"/>
  <c r="T54" i="74"/>
  <c r="U54" i="74" s="1"/>
  <c r="U53" i="74" s="1"/>
  <c r="S55" i="74"/>
  <c r="AB54" i="74"/>
  <c r="AC54" i="74" s="1"/>
  <c r="AC53" i="74" s="1"/>
  <c r="AA55" i="74"/>
  <c r="P54" i="74"/>
  <c r="Q54" i="74" s="1"/>
  <c r="Q53" i="74" s="1"/>
  <c r="O55" i="74"/>
  <c r="R62" i="74"/>
  <c r="R63" i="74" s="1"/>
  <c r="V62" i="74"/>
  <c r="V63" i="74" s="1"/>
  <c r="Z62" i="74"/>
  <c r="Z63" i="74" s="1"/>
  <c r="N62" i="74"/>
  <c r="N63" i="74" s="1"/>
  <c r="M65" i="74"/>
  <c r="M64" i="74"/>
  <c r="S61" i="95" l="1"/>
  <c r="T60" i="95"/>
  <c r="U60" i="95" s="1"/>
  <c r="U59" i="95" s="1"/>
  <c r="O60" i="85"/>
  <c r="AB52" i="113"/>
  <c r="AC52" i="113" s="1"/>
  <c r="AC51" i="113" s="1"/>
  <c r="AA53" i="113"/>
  <c r="T57" i="85"/>
  <c r="S58" i="85"/>
  <c r="S60" i="104"/>
  <c r="T59" i="104"/>
  <c r="O59" i="104"/>
  <c r="P58" i="104"/>
  <c r="Q58" i="104" s="1"/>
  <c r="Q57" i="104" s="1"/>
  <c r="X52" i="113"/>
  <c r="Y52" i="113" s="1"/>
  <c r="Y51" i="113" s="1"/>
  <c r="W53" i="113"/>
  <c r="X52" i="95"/>
  <c r="Y52" i="95" s="1"/>
  <c r="Y51" i="95" s="1"/>
  <c r="W53" i="95"/>
  <c r="S58" i="113"/>
  <c r="T57" i="113"/>
  <c r="AB52" i="95"/>
  <c r="AC52" i="95" s="1"/>
  <c r="AC51" i="95" s="1"/>
  <c r="AA53" i="95"/>
  <c r="P59" i="95"/>
  <c r="O60" i="95"/>
  <c r="X53" i="85"/>
  <c r="W54" i="85"/>
  <c r="W54" i="104"/>
  <c r="X53" i="104"/>
  <c r="N64" i="85"/>
  <c r="N65" i="85" s="1"/>
  <c r="R64" i="85"/>
  <c r="R65" i="85" s="1"/>
  <c r="V64" i="85"/>
  <c r="V65" i="85" s="1"/>
  <c r="Z64" i="85"/>
  <c r="Z65" i="85" s="1"/>
  <c r="AA54" i="104"/>
  <c r="AB53" i="104"/>
  <c r="M66" i="85"/>
  <c r="M67" i="85"/>
  <c r="O56" i="113"/>
  <c r="P55" i="113"/>
  <c r="AA54" i="85"/>
  <c r="AB53" i="85"/>
  <c r="M68" i="113"/>
  <c r="M69" i="113"/>
  <c r="N66" i="113"/>
  <c r="N67" i="113" s="1"/>
  <c r="R66" i="113"/>
  <c r="R67" i="113" s="1"/>
  <c r="Z66" i="113"/>
  <c r="Z67" i="113" s="1"/>
  <c r="V66" i="113"/>
  <c r="V67" i="113" s="1"/>
  <c r="N66" i="104"/>
  <c r="N67" i="104" s="1"/>
  <c r="R66" i="104"/>
  <c r="R67" i="104" s="1"/>
  <c r="V66" i="104"/>
  <c r="V67" i="104" s="1"/>
  <c r="Z66" i="104"/>
  <c r="Z67" i="104" s="1"/>
  <c r="M69" i="104"/>
  <c r="M68" i="104"/>
  <c r="N66" i="95"/>
  <c r="N67" i="95" s="1"/>
  <c r="R66" i="95"/>
  <c r="R67" i="95" s="1"/>
  <c r="Z66" i="95"/>
  <c r="Z67" i="95" s="1"/>
  <c r="V66" i="95"/>
  <c r="V67" i="95" s="1"/>
  <c r="M69" i="95"/>
  <c r="M68" i="95"/>
  <c r="AB55" i="74"/>
  <c r="AA56" i="74"/>
  <c r="X54" i="74"/>
  <c r="Y54" i="74" s="1"/>
  <c r="Y53" i="74" s="1"/>
  <c r="W55" i="74"/>
  <c r="R64" i="74"/>
  <c r="R65" i="74" s="1"/>
  <c r="N64" i="74"/>
  <c r="N65" i="74" s="1"/>
  <c r="Z64" i="74"/>
  <c r="Z65" i="74" s="1"/>
  <c r="V64" i="74"/>
  <c r="V65" i="74" s="1"/>
  <c r="M67" i="74"/>
  <c r="M66" i="74"/>
  <c r="O56" i="74"/>
  <c r="P55" i="74"/>
  <c r="S56" i="74"/>
  <c r="T55" i="74"/>
  <c r="S62" i="95" l="1"/>
  <c r="T61" i="95"/>
  <c r="P60" i="85"/>
  <c r="Q60" i="85" s="1"/>
  <c r="Q59" i="85" s="1"/>
  <c r="O61" i="85"/>
  <c r="T58" i="85"/>
  <c r="U58" i="85" s="1"/>
  <c r="U57" i="85" s="1"/>
  <c r="S59" i="85"/>
  <c r="X53" i="113"/>
  <c r="W54" i="113"/>
  <c r="AA54" i="95"/>
  <c r="AB53" i="95"/>
  <c r="AA54" i="113"/>
  <c r="AB53" i="113"/>
  <c r="S59" i="113"/>
  <c r="T58" i="113"/>
  <c r="U58" i="113" s="1"/>
  <c r="U57" i="113" s="1"/>
  <c r="W54" i="95"/>
  <c r="X53" i="95"/>
  <c r="S61" i="104"/>
  <c r="T60" i="104"/>
  <c r="U60" i="104" s="1"/>
  <c r="U59" i="104" s="1"/>
  <c r="P59" i="104"/>
  <c r="O60" i="104"/>
  <c r="P56" i="113"/>
  <c r="Q56" i="113" s="1"/>
  <c r="Q55" i="113" s="1"/>
  <c r="O57" i="113"/>
  <c r="O61" i="95"/>
  <c r="P60" i="95"/>
  <c r="Q60" i="95" s="1"/>
  <c r="Q59" i="95" s="1"/>
  <c r="AB54" i="85"/>
  <c r="AC54" i="85" s="1"/>
  <c r="AC53" i="85" s="1"/>
  <c r="AA55" i="85"/>
  <c r="AA55" i="104"/>
  <c r="AB54" i="104"/>
  <c r="AC54" i="104" s="1"/>
  <c r="AC53" i="104" s="1"/>
  <c r="W55" i="104"/>
  <c r="X54" i="104"/>
  <c r="Y54" i="104" s="1"/>
  <c r="Y53" i="104" s="1"/>
  <c r="M68" i="85"/>
  <c r="M69" i="85"/>
  <c r="V66" i="85"/>
  <c r="V67" i="85" s="1"/>
  <c r="R66" i="85"/>
  <c r="R67" i="85" s="1"/>
  <c r="Z66" i="85"/>
  <c r="Z67" i="85" s="1"/>
  <c r="N66" i="85"/>
  <c r="N67" i="85" s="1"/>
  <c r="X54" i="85"/>
  <c r="Y54" i="85" s="1"/>
  <c r="Y53" i="85" s="1"/>
  <c r="W55" i="85"/>
  <c r="R68" i="113"/>
  <c r="R69" i="113" s="1"/>
  <c r="N68" i="113"/>
  <c r="N69" i="113" s="1"/>
  <c r="V68" i="113"/>
  <c r="V69" i="113" s="1"/>
  <c r="Z68" i="113"/>
  <c r="Z69" i="113" s="1"/>
  <c r="M70" i="113"/>
  <c r="M71" i="113"/>
  <c r="M70" i="104"/>
  <c r="M71" i="104"/>
  <c r="R68" i="104"/>
  <c r="R69" i="104" s="1"/>
  <c r="N68" i="104"/>
  <c r="N69" i="104" s="1"/>
  <c r="V68" i="104"/>
  <c r="V69" i="104" s="1"/>
  <c r="Z68" i="104"/>
  <c r="Z69" i="104" s="1"/>
  <c r="N68" i="95"/>
  <c r="N69" i="95" s="1"/>
  <c r="R68" i="95"/>
  <c r="R69" i="95" s="1"/>
  <c r="Z68" i="95"/>
  <c r="Z69" i="95" s="1"/>
  <c r="V68" i="95"/>
  <c r="V69" i="95" s="1"/>
  <c r="M70" i="95"/>
  <c r="M71" i="95"/>
  <c r="P56" i="74"/>
  <c r="Q56" i="74" s="1"/>
  <c r="Q55" i="74" s="1"/>
  <c r="O57" i="74"/>
  <c r="T56" i="74"/>
  <c r="U56" i="74" s="1"/>
  <c r="U55" i="74" s="1"/>
  <c r="S57" i="74"/>
  <c r="M69" i="74"/>
  <c r="M68" i="74"/>
  <c r="W56" i="74"/>
  <c r="X55" i="74"/>
  <c r="R66" i="74"/>
  <c r="R67" i="74" s="1"/>
  <c r="N66" i="74"/>
  <c r="N67" i="74" s="1"/>
  <c r="V66" i="74"/>
  <c r="V67" i="74" s="1"/>
  <c r="Z66" i="74"/>
  <c r="Z67" i="74" s="1"/>
  <c r="AB56" i="74"/>
  <c r="AC56" i="74" s="1"/>
  <c r="AC55" i="74" s="1"/>
  <c r="AA57" i="74"/>
  <c r="T62" i="95" l="1"/>
  <c r="U62" i="95" s="1"/>
  <c r="U61" i="95" s="1"/>
  <c r="S63" i="95"/>
  <c r="O62" i="85"/>
  <c r="P61" i="85"/>
  <c r="S69" i="95"/>
  <c r="T69" i="95" s="1"/>
  <c r="S62" i="104"/>
  <c r="T61" i="104"/>
  <c r="W55" i="95"/>
  <c r="X54" i="95"/>
  <c r="Y54" i="95" s="1"/>
  <c r="Y53" i="95" s="1"/>
  <c r="T59" i="113"/>
  <c r="S60" i="113"/>
  <c r="AA55" i="113"/>
  <c r="AB54" i="113"/>
  <c r="AC54" i="113" s="1"/>
  <c r="AC53" i="113" s="1"/>
  <c r="AB54" i="95"/>
  <c r="AC54" i="95" s="1"/>
  <c r="AC53" i="95" s="1"/>
  <c r="AA55" i="95"/>
  <c r="O62" i="95"/>
  <c r="P61" i="95"/>
  <c r="W55" i="113"/>
  <c r="X54" i="113"/>
  <c r="Y54" i="113" s="1"/>
  <c r="Y53" i="113" s="1"/>
  <c r="S60" i="85"/>
  <c r="T59" i="85"/>
  <c r="P57" i="113"/>
  <c r="O58" i="113"/>
  <c r="O61" i="104"/>
  <c r="P60" i="104"/>
  <c r="Q60" i="104" s="1"/>
  <c r="Q59" i="104" s="1"/>
  <c r="AA56" i="104"/>
  <c r="AB55" i="104"/>
  <c r="M70" i="85"/>
  <c r="M71" i="85"/>
  <c r="X55" i="85"/>
  <c r="W56" i="85"/>
  <c r="W56" i="104"/>
  <c r="X55" i="104"/>
  <c r="AB55" i="85"/>
  <c r="AA56" i="85"/>
  <c r="Z68" i="85"/>
  <c r="Z69" i="85" s="1"/>
  <c r="V68" i="85"/>
  <c r="V69" i="85" s="1"/>
  <c r="N68" i="85"/>
  <c r="N69" i="85" s="1"/>
  <c r="R68" i="85"/>
  <c r="R69" i="85" s="1"/>
  <c r="N70" i="113"/>
  <c r="N71" i="113" s="1"/>
  <c r="R70" i="113"/>
  <c r="R71" i="113" s="1"/>
  <c r="Z70" i="113"/>
  <c r="Z71" i="113" s="1"/>
  <c r="V70" i="113"/>
  <c r="V71" i="113" s="1"/>
  <c r="M73" i="113"/>
  <c r="M72" i="113"/>
  <c r="M73" i="104"/>
  <c r="M72" i="104"/>
  <c r="N70" i="104"/>
  <c r="N71" i="104" s="1"/>
  <c r="R70" i="104"/>
  <c r="R71" i="104" s="1"/>
  <c r="Z70" i="104"/>
  <c r="Z71" i="104" s="1"/>
  <c r="V70" i="104"/>
  <c r="V71" i="104" s="1"/>
  <c r="M73" i="95"/>
  <c r="M72" i="95"/>
  <c r="R70" i="95"/>
  <c r="R71" i="95" s="1"/>
  <c r="N70" i="95"/>
  <c r="N71" i="95" s="1"/>
  <c r="Z70" i="95"/>
  <c r="Z71" i="95" s="1"/>
  <c r="V70" i="95"/>
  <c r="V71" i="95" s="1"/>
  <c r="O58" i="74"/>
  <c r="P57" i="74"/>
  <c r="T57" i="74"/>
  <c r="S58" i="74"/>
  <c r="AA58" i="74"/>
  <c r="AB57" i="74"/>
  <c r="X56" i="74"/>
  <c r="Y56" i="74" s="1"/>
  <c r="Y55" i="74" s="1"/>
  <c r="W57" i="74"/>
  <c r="R68" i="74"/>
  <c r="R69" i="74" s="1"/>
  <c r="V68" i="74"/>
  <c r="V69" i="74" s="1"/>
  <c r="N68" i="74"/>
  <c r="N69" i="74" s="1"/>
  <c r="Z68" i="74"/>
  <c r="Z69" i="74" s="1"/>
  <c r="M70" i="74"/>
  <c r="M71" i="74"/>
  <c r="T63" i="95" l="1"/>
  <c r="S64" i="95"/>
  <c r="S70" i="95"/>
  <c r="T70" i="95" s="1"/>
  <c r="U70" i="95" s="1"/>
  <c r="U69" i="95" s="1"/>
  <c r="P62" i="85"/>
  <c r="Q62" i="85" s="1"/>
  <c r="Q61" i="85" s="1"/>
  <c r="O63" i="85"/>
  <c r="P62" i="95"/>
  <c r="Q62" i="95" s="1"/>
  <c r="Q61" i="95" s="1"/>
  <c r="O63" i="95"/>
  <c r="S71" i="95"/>
  <c r="S72" i="95" s="1"/>
  <c r="T62" i="104"/>
  <c r="S63" i="104"/>
  <c r="U62" i="104"/>
  <c r="U61" i="104" s="1"/>
  <c r="AB55" i="95"/>
  <c r="AA56" i="95"/>
  <c r="AA56" i="113"/>
  <c r="AB55" i="113"/>
  <c r="S61" i="113"/>
  <c r="T60" i="113"/>
  <c r="U60" i="113" s="1"/>
  <c r="U59" i="113" s="1"/>
  <c r="O62" i="104"/>
  <c r="P61" i="104"/>
  <c r="W56" i="95"/>
  <c r="X55" i="95"/>
  <c r="O59" i="113"/>
  <c r="P58" i="113"/>
  <c r="Q58" i="113" s="1"/>
  <c r="Q57" i="113" s="1"/>
  <c r="T60" i="85"/>
  <c r="U60" i="85" s="1"/>
  <c r="U59" i="85" s="1"/>
  <c r="S61" i="85"/>
  <c r="X55" i="113"/>
  <c r="W56" i="113"/>
  <c r="X56" i="85"/>
  <c r="Y56" i="85" s="1"/>
  <c r="Y55" i="85" s="1"/>
  <c r="W57" i="85"/>
  <c r="M73" i="85"/>
  <c r="M72" i="85"/>
  <c r="R70" i="85"/>
  <c r="R71" i="85" s="1"/>
  <c r="Z70" i="85"/>
  <c r="Z71" i="85" s="1"/>
  <c r="V70" i="85"/>
  <c r="V71" i="85" s="1"/>
  <c r="N70" i="85"/>
  <c r="N71" i="85" s="1"/>
  <c r="AA57" i="104"/>
  <c r="AB56" i="104"/>
  <c r="AC56" i="104" s="1"/>
  <c r="AC55" i="104" s="1"/>
  <c r="AB56" i="85"/>
  <c r="AC56" i="85" s="1"/>
  <c r="AC55" i="85" s="1"/>
  <c r="AA57" i="85"/>
  <c r="X56" i="104"/>
  <c r="Y56" i="104" s="1"/>
  <c r="Y55" i="104" s="1"/>
  <c r="W57" i="104"/>
  <c r="N72" i="113"/>
  <c r="N73" i="113" s="1"/>
  <c r="R72" i="113"/>
  <c r="R73" i="113" s="1"/>
  <c r="V72" i="113"/>
  <c r="V73" i="113" s="1"/>
  <c r="Z72" i="113"/>
  <c r="Z73" i="113" s="1"/>
  <c r="M75" i="113"/>
  <c r="M74" i="113"/>
  <c r="M75" i="104"/>
  <c r="M74" i="104"/>
  <c r="N72" i="104"/>
  <c r="N73" i="104" s="1"/>
  <c r="R72" i="104"/>
  <c r="R73" i="104" s="1"/>
  <c r="V72" i="104"/>
  <c r="V73" i="104" s="1"/>
  <c r="Z72" i="104"/>
  <c r="Z73" i="104" s="1"/>
  <c r="M75" i="95"/>
  <c r="M74" i="95"/>
  <c r="R72" i="95"/>
  <c r="R73" i="95" s="1"/>
  <c r="N72" i="95"/>
  <c r="N73" i="95" s="1"/>
  <c r="Z72" i="95"/>
  <c r="Z73" i="95" s="1"/>
  <c r="V72" i="95"/>
  <c r="V73" i="95" s="1"/>
  <c r="P58" i="74"/>
  <c r="Q58" i="74" s="1"/>
  <c r="Q57" i="74" s="1"/>
  <c r="O59" i="74"/>
  <c r="T58" i="74"/>
  <c r="U58" i="74" s="1"/>
  <c r="U57" i="74" s="1"/>
  <c r="S59" i="74"/>
  <c r="M73" i="74"/>
  <c r="M72" i="74"/>
  <c r="R70" i="74"/>
  <c r="R71" i="74" s="1"/>
  <c r="N70" i="74"/>
  <c r="N71" i="74" s="1"/>
  <c r="V70" i="74"/>
  <c r="V71" i="74" s="1"/>
  <c r="Z70" i="74"/>
  <c r="Z71" i="74" s="1"/>
  <c r="AB58" i="74"/>
  <c r="AC58" i="74" s="1"/>
  <c r="AC57" i="74" s="1"/>
  <c r="AA59" i="74"/>
  <c r="X57" i="74"/>
  <c r="W58" i="74"/>
  <c r="S65" i="95" l="1"/>
  <c r="T64" i="95"/>
  <c r="U64" i="95" s="1"/>
  <c r="U63" i="95" s="1"/>
  <c r="D38" i="95" s="1"/>
  <c r="P63" i="85"/>
  <c r="O64" i="85"/>
  <c r="S73" i="95"/>
  <c r="T73" i="95" s="1"/>
  <c r="T71" i="95"/>
  <c r="O64" i="95"/>
  <c r="P63" i="95"/>
  <c r="T63" i="104"/>
  <c r="S64" i="104"/>
  <c r="P62" i="104"/>
  <c r="Q62" i="104" s="1"/>
  <c r="Q61" i="104" s="1"/>
  <c r="O63" i="104"/>
  <c r="S62" i="85"/>
  <c r="T61" i="85"/>
  <c r="P59" i="113"/>
  <c r="O60" i="113"/>
  <c r="W57" i="95"/>
  <c r="X56" i="95"/>
  <c r="Y56" i="95" s="1"/>
  <c r="Y55" i="95" s="1"/>
  <c r="X56" i="113"/>
  <c r="Y56" i="113" s="1"/>
  <c r="Y55" i="113" s="1"/>
  <c r="W57" i="113"/>
  <c r="AA57" i="113"/>
  <c r="AB56" i="113"/>
  <c r="AC56" i="113" s="1"/>
  <c r="AC55" i="113" s="1"/>
  <c r="S62" i="113"/>
  <c r="T61" i="113"/>
  <c r="AB56" i="95"/>
  <c r="AC56" i="95" s="1"/>
  <c r="AC55" i="95" s="1"/>
  <c r="AA57" i="95"/>
  <c r="Z72" i="85"/>
  <c r="Z73" i="85" s="1"/>
  <c r="R72" i="85"/>
  <c r="R73" i="85" s="1"/>
  <c r="N72" i="85"/>
  <c r="N73" i="85" s="1"/>
  <c r="V72" i="85"/>
  <c r="V73" i="85" s="1"/>
  <c r="M74" i="85"/>
  <c r="M75" i="85"/>
  <c r="AA58" i="85"/>
  <c r="AB57" i="85"/>
  <c r="X57" i="104"/>
  <c r="W58" i="104"/>
  <c r="AB57" i="104"/>
  <c r="AA58" i="104"/>
  <c r="X57" i="85"/>
  <c r="W58" i="85"/>
  <c r="R74" i="113"/>
  <c r="R75" i="113" s="1"/>
  <c r="N74" i="113"/>
  <c r="N75" i="113" s="1"/>
  <c r="Z74" i="113"/>
  <c r="Z75" i="113" s="1"/>
  <c r="V74" i="113"/>
  <c r="V75" i="113" s="1"/>
  <c r="M77" i="113"/>
  <c r="M76" i="113"/>
  <c r="N74" i="104"/>
  <c r="N75" i="104" s="1"/>
  <c r="R74" i="104"/>
  <c r="R75" i="104" s="1"/>
  <c r="V74" i="104"/>
  <c r="V75" i="104" s="1"/>
  <c r="Z74" i="104"/>
  <c r="Z75" i="104" s="1"/>
  <c r="M77" i="104"/>
  <c r="M76" i="104"/>
  <c r="T72" i="95"/>
  <c r="R74" i="95"/>
  <c r="R75" i="95" s="1"/>
  <c r="S75" i="95" s="1"/>
  <c r="N74" i="95"/>
  <c r="N75" i="95" s="1"/>
  <c r="V74" i="95"/>
  <c r="V75" i="95" s="1"/>
  <c r="Z74" i="95"/>
  <c r="Z75" i="95" s="1"/>
  <c r="M77" i="95"/>
  <c r="M76" i="95"/>
  <c r="S60" i="74"/>
  <c r="T59" i="74"/>
  <c r="P59" i="74"/>
  <c r="O60" i="74"/>
  <c r="AA60" i="74"/>
  <c r="AB59" i="74"/>
  <c r="R72" i="74"/>
  <c r="R73" i="74" s="1"/>
  <c r="Z72" i="74"/>
  <c r="Z73" i="74" s="1"/>
  <c r="V72" i="74"/>
  <c r="V73" i="74" s="1"/>
  <c r="N72" i="74"/>
  <c r="N73" i="74" s="1"/>
  <c r="X58" i="74"/>
  <c r="Y58" i="74" s="1"/>
  <c r="Y57" i="74" s="1"/>
  <c r="W59" i="74"/>
  <c r="M75" i="74"/>
  <c r="M74" i="74"/>
  <c r="C50" i="94" l="1"/>
  <c r="C50" i="93"/>
  <c r="C50" i="91"/>
  <c r="C50" i="92"/>
  <c r="S66" i="95"/>
  <c r="T65" i="95"/>
  <c r="U72" i="95"/>
  <c r="U71" i="95" s="1"/>
  <c r="S74" i="95"/>
  <c r="T74" i="95" s="1"/>
  <c r="U74" i="95" s="1"/>
  <c r="U73" i="95" s="1"/>
  <c r="T62" i="85"/>
  <c r="U62" i="85" s="1"/>
  <c r="U61" i="85" s="1"/>
  <c r="S63" i="85"/>
  <c r="O65" i="85"/>
  <c r="P64" i="85"/>
  <c r="Q64" i="85" s="1"/>
  <c r="Q63" i="85" s="1"/>
  <c r="P64" i="95"/>
  <c r="Q64" i="95" s="1"/>
  <c r="Q63" i="95" s="1"/>
  <c r="C38" i="95" s="1"/>
  <c r="O65" i="95"/>
  <c r="S65" i="104"/>
  <c r="T64" i="104"/>
  <c r="U64" i="104" s="1"/>
  <c r="U63" i="104" s="1"/>
  <c r="D38" i="104" s="1"/>
  <c r="O64" i="104"/>
  <c r="P63" i="104"/>
  <c r="T62" i="113"/>
  <c r="U62" i="113" s="1"/>
  <c r="U61" i="113" s="1"/>
  <c r="S63" i="113"/>
  <c r="W58" i="113"/>
  <c r="X57" i="113"/>
  <c r="X57" i="95"/>
  <c r="W58" i="95"/>
  <c r="O61" i="113"/>
  <c r="P60" i="113"/>
  <c r="Q60" i="113" s="1"/>
  <c r="Q59" i="113" s="1"/>
  <c r="AB57" i="95"/>
  <c r="AA58" i="95"/>
  <c r="AB57" i="113"/>
  <c r="AA58" i="113"/>
  <c r="AB58" i="85"/>
  <c r="AC58" i="85" s="1"/>
  <c r="AC57" i="85" s="1"/>
  <c r="AA59" i="85"/>
  <c r="M76" i="85"/>
  <c r="M77" i="85"/>
  <c r="AB58" i="104"/>
  <c r="AC58" i="104" s="1"/>
  <c r="AC57" i="104" s="1"/>
  <c r="AA59" i="104"/>
  <c r="X58" i="104"/>
  <c r="Y58" i="104" s="1"/>
  <c r="Y57" i="104" s="1"/>
  <c r="W59" i="104"/>
  <c r="V74" i="85"/>
  <c r="V75" i="85" s="1"/>
  <c r="R74" i="85"/>
  <c r="R75" i="85" s="1"/>
  <c r="N74" i="85"/>
  <c r="N75" i="85" s="1"/>
  <c r="Z74" i="85"/>
  <c r="Z75" i="85" s="1"/>
  <c r="X58" i="85"/>
  <c r="Y58" i="85" s="1"/>
  <c r="Y57" i="85" s="1"/>
  <c r="W59" i="85"/>
  <c r="N76" i="113"/>
  <c r="N77" i="113" s="1"/>
  <c r="R76" i="113"/>
  <c r="R77" i="113" s="1"/>
  <c r="V76" i="113"/>
  <c r="V77" i="113" s="1"/>
  <c r="Z76" i="113"/>
  <c r="Z77" i="113" s="1"/>
  <c r="M78" i="113"/>
  <c r="M79" i="113"/>
  <c r="M78" i="104"/>
  <c r="M79" i="104"/>
  <c r="N76" i="104"/>
  <c r="N77" i="104" s="1"/>
  <c r="R76" i="104"/>
  <c r="R77" i="104" s="1"/>
  <c r="Z76" i="104"/>
  <c r="Z77" i="104" s="1"/>
  <c r="V76" i="104"/>
  <c r="V77" i="104" s="1"/>
  <c r="T75" i="95"/>
  <c r="S76" i="95"/>
  <c r="R76" i="95"/>
  <c r="R77" i="95" s="1"/>
  <c r="S77" i="95" s="1"/>
  <c r="N76" i="95"/>
  <c r="N77" i="95" s="1"/>
  <c r="Z76" i="95"/>
  <c r="Z77" i="95" s="1"/>
  <c r="V76" i="95"/>
  <c r="V77" i="95" s="1"/>
  <c r="M78" i="95"/>
  <c r="M79" i="95"/>
  <c r="O61" i="74"/>
  <c r="P60" i="74"/>
  <c r="Q60" i="74" s="1"/>
  <c r="Q59" i="74" s="1"/>
  <c r="S61" i="74"/>
  <c r="T60" i="74"/>
  <c r="U60" i="74" s="1"/>
  <c r="U59" i="74" s="1"/>
  <c r="R74" i="74"/>
  <c r="R75" i="74" s="1"/>
  <c r="V74" i="74"/>
  <c r="V75" i="74" s="1"/>
  <c r="N74" i="74"/>
  <c r="N75" i="74" s="1"/>
  <c r="Z74" i="74"/>
  <c r="Z75" i="74" s="1"/>
  <c r="M77" i="74"/>
  <c r="M76" i="74"/>
  <c r="W60" i="74"/>
  <c r="X59" i="74"/>
  <c r="AB60" i="74"/>
  <c r="AC60" i="74" s="1"/>
  <c r="AC59" i="74" s="1"/>
  <c r="AA61" i="74"/>
  <c r="C50" i="103" l="1"/>
  <c r="C50" i="101"/>
  <c r="C50" i="100"/>
  <c r="C50" i="102"/>
  <c r="S67" i="95"/>
  <c r="T66" i="95"/>
  <c r="U66" i="95" s="1"/>
  <c r="U65" i="95" s="1"/>
  <c r="T63" i="85"/>
  <c r="S64" i="85"/>
  <c r="O66" i="85"/>
  <c r="P65" i="85"/>
  <c r="O66" i="95"/>
  <c r="P65" i="95"/>
  <c r="O65" i="104"/>
  <c r="P64" i="104"/>
  <c r="Q64" i="104" s="1"/>
  <c r="Q63" i="104" s="1"/>
  <c r="C38" i="104" s="1"/>
  <c r="S66" i="104"/>
  <c r="T65" i="104"/>
  <c r="T63" i="113"/>
  <c r="S64" i="113"/>
  <c r="AA59" i="113"/>
  <c r="AB58" i="113"/>
  <c r="AC58" i="113" s="1"/>
  <c r="AC57" i="113" s="1"/>
  <c r="O62" i="113"/>
  <c r="P61" i="113"/>
  <c r="W59" i="95"/>
  <c r="X58" i="95"/>
  <c r="Y58" i="95" s="1"/>
  <c r="Y57" i="95" s="1"/>
  <c r="AB58" i="95"/>
  <c r="AC58" i="95" s="1"/>
  <c r="AC57" i="95" s="1"/>
  <c r="AA59" i="95"/>
  <c r="W59" i="113"/>
  <c r="X58" i="113"/>
  <c r="Y58" i="113" s="1"/>
  <c r="Y57" i="113" s="1"/>
  <c r="Z76" i="85"/>
  <c r="Z77" i="85" s="1"/>
  <c r="R76" i="85"/>
  <c r="R77" i="85" s="1"/>
  <c r="V76" i="85"/>
  <c r="V77" i="85" s="1"/>
  <c r="N76" i="85"/>
  <c r="N77" i="85" s="1"/>
  <c r="W60" i="104"/>
  <c r="X59" i="104"/>
  <c r="W60" i="85"/>
  <c r="X59" i="85"/>
  <c r="AB59" i="85"/>
  <c r="AA60" i="85"/>
  <c r="M79" i="85"/>
  <c r="M78" i="85"/>
  <c r="AA60" i="104"/>
  <c r="AB59" i="104"/>
  <c r="M81" i="113"/>
  <c r="M80" i="113"/>
  <c r="N78" i="113"/>
  <c r="N79" i="113" s="1"/>
  <c r="R78" i="113"/>
  <c r="R79" i="113" s="1"/>
  <c r="Z78" i="113"/>
  <c r="Z79" i="113" s="1"/>
  <c r="V78" i="113"/>
  <c r="V79" i="113" s="1"/>
  <c r="M81" i="104"/>
  <c r="M80" i="104"/>
  <c r="R78" i="104"/>
  <c r="R79" i="104" s="1"/>
  <c r="N78" i="104"/>
  <c r="N79" i="104" s="1"/>
  <c r="Z78" i="104"/>
  <c r="Z79" i="104" s="1"/>
  <c r="V78" i="104"/>
  <c r="V79" i="104" s="1"/>
  <c r="R78" i="95"/>
  <c r="R79" i="95" s="1"/>
  <c r="S79" i="95" s="1"/>
  <c r="N78" i="95"/>
  <c r="N79" i="95" s="1"/>
  <c r="Z78" i="95"/>
  <c r="Z79" i="95" s="1"/>
  <c r="V78" i="95"/>
  <c r="V79" i="95" s="1"/>
  <c r="M81" i="95"/>
  <c r="M80" i="95"/>
  <c r="S78" i="95"/>
  <c r="T77" i="95"/>
  <c r="T76" i="95"/>
  <c r="U76" i="95" s="1"/>
  <c r="U75" i="95" s="1"/>
  <c r="S62" i="74"/>
  <c r="T61" i="74"/>
  <c r="P61" i="74"/>
  <c r="O62" i="74"/>
  <c r="M78" i="74"/>
  <c r="M79" i="74"/>
  <c r="X60" i="74"/>
  <c r="Y60" i="74" s="1"/>
  <c r="Y59" i="74" s="1"/>
  <c r="W61" i="74"/>
  <c r="R76" i="74"/>
  <c r="R77" i="74" s="1"/>
  <c r="Z76" i="74"/>
  <c r="Z77" i="74" s="1"/>
  <c r="N76" i="74"/>
  <c r="N77" i="74" s="1"/>
  <c r="V76" i="74"/>
  <c r="V77" i="74" s="1"/>
  <c r="AA62" i="74"/>
  <c r="AB61" i="74"/>
  <c r="T67" i="95" l="1"/>
  <c r="S68" i="95"/>
  <c r="T68" i="95" s="1"/>
  <c r="O67" i="85"/>
  <c r="P66" i="85"/>
  <c r="Q66" i="85" s="1"/>
  <c r="Q65" i="85" s="1"/>
  <c r="T64" i="85"/>
  <c r="U64" i="85" s="1"/>
  <c r="U63" i="85" s="1"/>
  <c r="S65" i="85"/>
  <c r="O67" i="95"/>
  <c r="P66" i="95"/>
  <c r="Q66" i="95" s="1"/>
  <c r="Q65" i="95" s="1"/>
  <c r="O66" i="104"/>
  <c r="P65" i="104"/>
  <c r="S67" i="104"/>
  <c r="T66" i="104"/>
  <c r="U66" i="104" s="1"/>
  <c r="U65" i="104" s="1"/>
  <c r="P62" i="113"/>
  <c r="Q62" i="113" s="1"/>
  <c r="Q61" i="113" s="1"/>
  <c r="O63" i="113"/>
  <c r="S65" i="113"/>
  <c r="T64" i="113"/>
  <c r="U64" i="113" s="1"/>
  <c r="U63" i="113" s="1"/>
  <c r="D38" i="113" s="1"/>
  <c r="X59" i="95"/>
  <c r="W60" i="95"/>
  <c r="AA60" i="95"/>
  <c r="AB59" i="95"/>
  <c r="AB59" i="113"/>
  <c r="AA60" i="113"/>
  <c r="X59" i="113"/>
  <c r="W60" i="113"/>
  <c r="AB60" i="85"/>
  <c r="AC60" i="85" s="1"/>
  <c r="AC59" i="85" s="1"/>
  <c r="AA61" i="85"/>
  <c r="X60" i="104"/>
  <c r="Y60" i="104" s="1"/>
  <c r="Y59" i="104" s="1"/>
  <c r="W61" i="104"/>
  <c r="AA61" i="104"/>
  <c r="AB60" i="104"/>
  <c r="AC60" i="104" s="1"/>
  <c r="AC59" i="104" s="1"/>
  <c r="X60" i="85"/>
  <c r="Y60" i="85" s="1"/>
  <c r="Y59" i="85" s="1"/>
  <c r="W61" i="85"/>
  <c r="V78" i="85"/>
  <c r="V79" i="85" s="1"/>
  <c r="Z78" i="85"/>
  <c r="Z79" i="85" s="1"/>
  <c r="N78" i="85"/>
  <c r="N79" i="85" s="1"/>
  <c r="R78" i="85"/>
  <c r="R79" i="85" s="1"/>
  <c r="M81" i="85"/>
  <c r="M80" i="85"/>
  <c r="M83" i="113"/>
  <c r="M82" i="113"/>
  <c r="N80" i="113"/>
  <c r="N81" i="113" s="1"/>
  <c r="R80" i="113"/>
  <c r="R81" i="113" s="1"/>
  <c r="V80" i="113"/>
  <c r="V81" i="113" s="1"/>
  <c r="Z80" i="113"/>
  <c r="Z81" i="113" s="1"/>
  <c r="R80" i="104"/>
  <c r="R81" i="104" s="1"/>
  <c r="N80" i="104"/>
  <c r="N81" i="104" s="1"/>
  <c r="V80" i="104"/>
  <c r="V81" i="104" s="1"/>
  <c r="Z80" i="104"/>
  <c r="Z81" i="104" s="1"/>
  <c r="M83" i="104"/>
  <c r="M82" i="104"/>
  <c r="T78" i="95"/>
  <c r="U78" i="95" s="1"/>
  <c r="U77" i="95" s="1"/>
  <c r="N80" i="95"/>
  <c r="N81" i="95" s="1"/>
  <c r="R80" i="95"/>
  <c r="R81" i="95" s="1"/>
  <c r="S81" i="95" s="1"/>
  <c r="V80" i="95"/>
  <c r="V81" i="95" s="1"/>
  <c r="Z80" i="95"/>
  <c r="Z81" i="95" s="1"/>
  <c r="M83" i="95"/>
  <c r="M82" i="95"/>
  <c r="S80" i="95"/>
  <c r="T79" i="95"/>
  <c r="P62" i="74"/>
  <c r="Q62" i="74" s="1"/>
  <c r="Q61" i="74" s="1"/>
  <c r="O63" i="74"/>
  <c r="T62" i="74"/>
  <c r="U62" i="74" s="1"/>
  <c r="U61" i="74" s="1"/>
  <c r="S63" i="74"/>
  <c r="AB62" i="74"/>
  <c r="AC62" i="74" s="1"/>
  <c r="AC61" i="74" s="1"/>
  <c r="AA63" i="74"/>
  <c r="X61" i="74"/>
  <c r="W62" i="74"/>
  <c r="M81" i="74"/>
  <c r="M80" i="74"/>
  <c r="R78" i="74"/>
  <c r="R79" i="74" s="1"/>
  <c r="N78" i="74"/>
  <c r="N79" i="74" s="1"/>
  <c r="Z78" i="74"/>
  <c r="Z79" i="74" s="1"/>
  <c r="V78" i="74"/>
  <c r="V79" i="74" s="1"/>
  <c r="U68" i="95" l="1"/>
  <c r="U67" i="95" s="1"/>
  <c r="C50" i="111"/>
  <c r="C50" i="112"/>
  <c r="C50" i="109"/>
  <c r="C50" i="110"/>
  <c r="T65" i="85"/>
  <c r="S66" i="85"/>
  <c r="P67" i="85"/>
  <c r="O68" i="85"/>
  <c r="O68" i="95"/>
  <c r="P67" i="95"/>
  <c r="T67" i="104"/>
  <c r="S68" i="104"/>
  <c r="O67" i="104"/>
  <c r="P66" i="104"/>
  <c r="Q66" i="104" s="1"/>
  <c r="Q65" i="104" s="1"/>
  <c r="T65" i="113"/>
  <c r="S66" i="113"/>
  <c r="O64" i="113"/>
  <c r="P63" i="113"/>
  <c r="AA61" i="95"/>
  <c r="AB60" i="95"/>
  <c r="AC60" i="95" s="1"/>
  <c r="AC59" i="95" s="1"/>
  <c r="W61" i="95"/>
  <c r="X60" i="95"/>
  <c r="Y60" i="95" s="1"/>
  <c r="Y59" i="95" s="1"/>
  <c r="W61" i="113"/>
  <c r="X60" i="113"/>
  <c r="Y60" i="113" s="1"/>
  <c r="Y59" i="113" s="1"/>
  <c r="AB60" i="113"/>
  <c r="AC60" i="113" s="1"/>
  <c r="AC59" i="113" s="1"/>
  <c r="AA61" i="113"/>
  <c r="T80" i="95"/>
  <c r="U80" i="95" s="1"/>
  <c r="U79" i="95" s="1"/>
  <c r="X61" i="85"/>
  <c r="W62" i="85"/>
  <c r="AA62" i="104"/>
  <c r="AB61" i="104"/>
  <c r="AA62" i="85"/>
  <c r="AB61" i="85"/>
  <c r="R80" i="85"/>
  <c r="R81" i="85" s="1"/>
  <c r="V80" i="85"/>
  <c r="V81" i="85" s="1"/>
  <c r="N80" i="85"/>
  <c r="N81" i="85" s="1"/>
  <c r="Z80" i="85"/>
  <c r="Z81" i="85" s="1"/>
  <c r="W62" i="104"/>
  <c r="X61" i="104"/>
  <c r="M83" i="85"/>
  <c r="M82" i="85"/>
  <c r="M85" i="113"/>
  <c r="M84" i="113"/>
  <c r="N82" i="113"/>
  <c r="N83" i="113" s="1"/>
  <c r="R82" i="113"/>
  <c r="R83" i="113" s="1"/>
  <c r="Z82" i="113"/>
  <c r="Z83" i="113" s="1"/>
  <c r="V82" i="113"/>
  <c r="V83" i="113" s="1"/>
  <c r="N82" i="104"/>
  <c r="N83" i="104" s="1"/>
  <c r="R82" i="104"/>
  <c r="R83" i="104" s="1"/>
  <c r="V82" i="104"/>
  <c r="V83" i="104" s="1"/>
  <c r="Z82" i="104"/>
  <c r="Z83" i="104" s="1"/>
  <c r="M85" i="104"/>
  <c r="M84" i="104"/>
  <c r="M85" i="95"/>
  <c r="M84" i="95"/>
  <c r="N82" i="95"/>
  <c r="N83" i="95" s="1"/>
  <c r="R82" i="95"/>
  <c r="R83" i="95" s="1"/>
  <c r="V82" i="95"/>
  <c r="V83" i="95" s="1"/>
  <c r="Z82" i="95"/>
  <c r="Z83" i="95" s="1"/>
  <c r="S82" i="95"/>
  <c r="T81" i="95"/>
  <c r="T63" i="74"/>
  <c r="S64" i="74"/>
  <c r="O64" i="74"/>
  <c r="P63" i="74"/>
  <c r="M83" i="74"/>
  <c r="M82" i="74"/>
  <c r="AA64" i="74"/>
  <c r="AB63" i="74"/>
  <c r="R80" i="74"/>
  <c r="R81" i="74" s="1"/>
  <c r="V80" i="74"/>
  <c r="V81" i="74" s="1"/>
  <c r="N80" i="74"/>
  <c r="N81" i="74" s="1"/>
  <c r="Z80" i="74"/>
  <c r="Z81" i="74" s="1"/>
  <c r="X62" i="74"/>
  <c r="Y62" i="74" s="1"/>
  <c r="Y61" i="74" s="1"/>
  <c r="W63" i="74"/>
  <c r="S67" i="85" l="1"/>
  <c r="T66" i="85"/>
  <c r="U66" i="85" s="1"/>
  <c r="U65" i="85" s="1"/>
  <c r="P68" i="85"/>
  <c r="Q68" i="85" s="1"/>
  <c r="Q67" i="85" s="1"/>
  <c r="O69" i="85"/>
  <c r="S83" i="95"/>
  <c r="T83" i="95" s="1"/>
  <c r="P68" i="95"/>
  <c r="Q68" i="95" s="1"/>
  <c r="Q67" i="95" s="1"/>
  <c r="O69" i="95"/>
  <c r="O68" i="104"/>
  <c r="P67" i="104"/>
  <c r="S69" i="104"/>
  <c r="T68" i="104"/>
  <c r="U68" i="104" s="1"/>
  <c r="U67" i="104" s="1"/>
  <c r="P64" i="113"/>
  <c r="Q64" i="113" s="1"/>
  <c r="Q63" i="113" s="1"/>
  <c r="C38" i="113" s="1"/>
  <c r="O65" i="113"/>
  <c r="S67" i="113"/>
  <c r="T66" i="113"/>
  <c r="U66" i="113" s="1"/>
  <c r="U65" i="113" s="1"/>
  <c r="AB61" i="113"/>
  <c r="AA62" i="113"/>
  <c r="X61" i="113"/>
  <c r="W62" i="113"/>
  <c r="AB61" i="95"/>
  <c r="AA62" i="95"/>
  <c r="X61" i="95"/>
  <c r="W62" i="95"/>
  <c r="W63" i="104"/>
  <c r="X62" i="104"/>
  <c r="Y62" i="104" s="1"/>
  <c r="Y61" i="104" s="1"/>
  <c r="C26" i="104" s="1"/>
  <c r="R82" i="85"/>
  <c r="R83" i="85" s="1"/>
  <c r="Z82" i="85"/>
  <c r="Z83" i="85" s="1"/>
  <c r="V82" i="85"/>
  <c r="V83" i="85" s="1"/>
  <c r="N82" i="85"/>
  <c r="N83" i="85" s="1"/>
  <c r="X62" i="85"/>
  <c r="Y62" i="85" s="1"/>
  <c r="Y61" i="85" s="1"/>
  <c r="W63" i="85"/>
  <c r="M85" i="85"/>
  <c r="M84" i="85"/>
  <c r="AB62" i="85"/>
  <c r="AC62" i="85" s="1"/>
  <c r="AC61" i="85" s="1"/>
  <c r="AA63" i="85"/>
  <c r="AB62" i="104"/>
  <c r="AC62" i="104" s="1"/>
  <c r="AC61" i="104" s="1"/>
  <c r="D26" i="104" s="1"/>
  <c r="AA63" i="104"/>
  <c r="T82" i="95"/>
  <c r="U82" i="95" s="1"/>
  <c r="U81" i="95" s="1"/>
  <c r="R84" i="113"/>
  <c r="R85" i="113" s="1"/>
  <c r="N84" i="113"/>
  <c r="N85" i="113" s="1"/>
  <c r="V84" i="113"/>
  <c r="V85" i="113" s="1"/>
  <c r="Z84" i="113"/>
  <c r="Z85" i="113" s="1"/>
  <c r="M86" i="113"/>
  <c r="M87" i="113"/>
  <c r="M86" i="104"/>
  <c r="M87" i="104"/>
  <c r="N84" i="104"/>
  <c r="N85" i="104" s="1"/>
  <c r="R84" i="104"/>
  <c r="R85" i="104" s="1"/>
  <c r="Z84" i="104"/>
  <c r="Z85" i="104" s="1"/>
  <c r="V84" i="104"/>
  <c r="V85" i="104" s="1"/>
  <c r="N84" i="95"/>
  <c r="N85" i="95" s="1"/>
  <c r="R84" i="95"/>
  <c r="R85" i="95" s="1"/>
  <c r="S85" i="95" s="1"/>
  <c r="Z84" i="95"/>
  <c r="Z85" i="95" s="1"/>
  <c r="V84" i="95"/>
  <c r="V85" i="95" s="1"/>
  <c r="M86" i="95"/>
  <c r="M87" i="95"/>
  <c r="P64" i="74"/>
  <c r="Q64" i="74" s="1"/>
  <c r="Q63" i="74" s="1"/>
  <c r="O65" i="74"/>
  <c r="T64" i="74"/>
  <c r="U64" i="74" s="1"/>
  <c r="U63" i="74" s="1"/>
  <c r="S65" i="74"/>
  <c r="W64" i="74"/>
  <c r="X63" i="74"/>
  <c r="AB64" i="74"/>
  <c r="AC64" i="74" s="1"/>
  <c r="AC63" i="74" s="1"/>
  <c r="AA65" i="74"/>
  <c r="R82" i="74"/>
  <c r="R83" i="74" s="1"/>
  <c r="V82" i="74"/>
  <c r="V83" i="74" s="1"/>
  <c r="N82" i="74"/>
  <c r="N83" i="74" s="1"/>
  <c r="Z82" i="74"/>
  <c r="Z83" i="74" s="1"/>
  <c r="M85" i="74"/>
  <c r="M84" i="74"/>
  <c r="D50" i="102" l="1"/>
  <c r="D50" i="100"/>
  <c r="D50" i="103"/>
  <c r="D50" i="101"/>
  <c r="S84" i="95"/>
  <c r="T84" i="95" s="1"/>
  <c r="U84" i="95" s="1"/>
  <c r="U83" i="95" s="1"/>
  <c r="P69" i="85"/>
  <c r="O70" i="85"/>
  <c r="S68" i="85"/>
  <c r="T67" i="85"/>
  <c r="P69" i="95"/>
  <c r="O70" i="95"/>
  <c r="S70" i="104"/>
  <c r="T69" i="104"/>
  <c r="O69" i="104"/>
  <c r="P68" i="104"/>
  <c r="Q68" i="104" s="1"/>
  <c r="Q67" i="104" s="1"/>
  <c r="T67" i="113"/>
  <c r="S68" i="113"/>
  <c r="O66" i="113"/>
  <c r="P65" i="113"/>
  <c r="AA63" i="113"/>
  <c r="AB62" i="113"/>
  <c r="AC62" i="113" s="1"/>
  <c r="AC61" i="113" s="1"/>
  <c r="D26" i="113" s="1"/>
  <c r="W63" i="95"/>
  <c r="X62" i="95"/>
  <c r="Y62" i="95" s="1"/>
  <c r="Y61" i="95" s="1"/>
  <c r="C26" i="95" s="1"/>
  <c r="AA63" i="95"/>
  <c r="AB62" i="95"/>
  <c r="AC62" i="95" s="1"/>
  <c r="AC61" i="95" s="1"/>
  <c r="D26" i="95" s="1"/>
  <c r="X62" i="113"/>
  <c r="Y62" i="113" s="1"/>
  <c r="Y61" i="113" s="1"/>
  <c r="C26" i="113" s="1"/>
  <c r="W63" i="113"/>
  <c r="N84" i="85"/>
  <c r="N85" i="85" s="1"/>
  <c r="R84" i="85"/>
  <c r="R85" i="85" s="1"/>
  <c r="V84" i="85"/>
  <c r="V85" i="85" s="1"/>
  <c r="Z84" i="85"/>
  <c r="Z85" i="85" s="1"/>
  <c r="X63" i="104"/>
  <c r="W64" i="104"/>
  <c r="M86" i="85"/>
  <c r="M87" i="85"/>
  <c r="X63" i="85"/>
  <c r="W64" i="85"/>
  <c r="AA64" i="104"/>
  <c r="AB63" i="104"/>
  <c r="AA64" i="85"/>
  <c r="AB63" i="85"/>
  <c r="N86" i="113"/>
  <c r="N87" i="113" s="1"/>
  <c r="R86" i="113"/>
  <c r="R87" i="113" s="1"/>
  <c r="Z86" i="113"/>
  <c r="Z87" i="113" s="1"/>
  <c r="V86" i="113"/>
  <c r="V87" i="113" s="1"/>
  <c r="M89" i="113"/>
  <c r="M88" i="113"/>
  <c r="M89" i="104"/>
  <c r="M88" i="104"/>
  <c r="N86" i="104"/>
  <c r="N87" i="104" s="1"/>
  <c r="R86" i="104"/>
  <c r="R87" i="104" s="1"/>
  <c r="Z86" i="104"/>
  <c r="Z87" i="104" s="1"/>
  <c r="V86" i="104"/>
  <c r="V87" i="104" s="1"/>
  <c r="M89" i="95"/>
  <c r="M88" i="95"/>
  <c r="R86" i="95"/>
  <c r="R87" i="95" s="1"/>
  <c r="N86" i="95"/>
  <c r="N87" i="95" s="1"/>
  <c r="Z86" i="95"/>
  <c r="Z87" i="95" s="1"/>
  <c r="V86" i="95"/>
  <c r="V87" i="95" s="1"/>
  <c r="S86" i="95"/>
  <c r="T85" i="95"/>
  <c r="T65" i="74"/>
  <c r="S66" i="74"/>
  <c r="P65" i="74"/>
  <c r="O66" i="74"/>
  <c r="AB65" i="74"/>
  <c r="AA66" i="74"/>
  <c r="R84" i="74"/>
  <c r="R85" i="74" s="1"/>
  <c r="N84" i="74"/>
  <c r="N85" i="74" s="1"/>
  <c r="Z84" i="74"/>
  <c r="Z85" i="74" s="1"/>
  <c r="V84" i="74"/>
  <c r="V85" i="74" s="1"/>
  <c r="M86" i="74"/>
  <c r="M87" i="74"/>
  <c r="X64" i="74"/>
  <c r="Y64" i="74" s="1"/>
  <c r="Y63" i="74" s="1"/>
  <c r="W65" i="74"/>
  <c r="D50" i="109" l="1"/>
  <c r="D50" i="112"/>
  <c r="D50" i="110"/>
  <c r="D50" i="111"/>
  <c r="D50" i="93"/>
  <c r="D50" i="92"/>
  <c r="D50" i="91"/>
  <c r="D50" i="94"/>
  <c r="T68" i="85"/>
  <c r="U68" i="85" s="1"/>
  <c r="U67" i="85" s="1"/>
  <c r="S69" i="85"/>
  <c r="O71" i="85"/>
  <c r="P70" i="85"/>
  <c r="Q70" i="85" s="1"/>
  <c r="Q69" i="85" s="1"/>
  <c r="S87" i="95"/>
  <c r="S88" i="95" s="1"/>
  <c r="O71" i="95"/>
  <c r="P70" i="95"/>
  <c r="Q70" i="95" s="1"/>
  <c r="Q69" i="95" s="1"/>
  <c r="P69" i="104"/>
  <c r="O70" i="104"/>
  <c r="S71" i="104"/>
  <c r="T70" i="104"/>
  <c r="U70" i="104" s="1"/>
  <c r="U69" i="104" s="1"/>
  <c r="O67" i="113"/>
  <c r="P66" i="113"/>
  <c r="Q66" i="113" s="1"/>
  <c r="Q65" i="113" s="1"/>
  <c r="S69" i="113"/>
  <c r="T68" i="113"/>
  <c r="U68" i="113" s="1"/>
  <c r="U67" i="113" s="1"/>
  <c r="W64" i="113"/>
  <c r="X63" i="113"/>
  <c r="AA64" i="95"/>
  <c r="AB63" i="95"/>
  <c r="W64" i="95"/>
  <c r="X63" i="95"/>
  <c r="AA64" i="113"/>
  <c r="AB63" i="113"/>
  <c r="M88" i="85"/>
  <c r="M89" i="85"/>
  <c r="X64" i="104"/>
  <c r="Y64" i="104" s="1"/>
  <c r="Y63" i="104" s="1"/>
  <c r="W65" i="104"/>
  <c r="X64" i="85"/>
  <c r="Y64" i="85" s="1"/>
  <c r="Y63" i="85" s="1"/>
  <c r="W65" i="85"/>
  <c r="T86" i="95"/>
  <c r="U86" i="95" s="1"/>
  <c r="U85" i="95" s="1"/>
  <c r="AA65" i="104"/>
  <c r="AB64" i="104"/>
  <c r="AC64" i="104" s="1"/>
  <c r="AC63" i="104" s="1"/>
  <c r="AB64" i="85"/>
  <c r="AC64" i="85" s="1"/>
  <c r="AC63" i="85" s="1"/>
  <c r="AA65" i="85"/>
  <c r="N86" i="85"/>
  <c r="N87" i="85" s="1"/>
  <c r="V86" i="85"/>
  <c r="V87" i="85" s="1"/>
  <c r="Z86" i="85"/>
  <c r="Z87" i="85" s="1"/>
  <c r="R86" i="85"/>
  <c r="R87" i="85" s="1"/>
  <c r="M91" i="113"/>
  <c r="M90" i="113"/>
  <c r="N88" i="113"/>
  <c r="N89" i="113" s="1"/>
  <c r="R88" i="113"/>
  <c r="R89" i="113" s="1"/>
  <c r="V88" i="113"/>
  <c r="V89" i="113" s="1"/>
  <c r="Z88" i="113"/>
  <c r="Z89" i="113" s="1"/>
  <c r="M91" i="104"/>
  <c r="M90" i="104"/>
  <c r="R88" i="104"/>
  <c r="R89" i="104" s="1"/>
  <c r="N88" i="104"/>
  <c r="N89" i="104" s="1"/>
  <c r="Z88" i="104"/>
  <c r="Z89" i="104" s="1"/>
  <c r="V88" i="104"/>
  <c r="V89" i="104" s="1"/>
  <c r="R88" i="95"/>
  <c r="R89" i="95" s="1"/>
  <c r="N88" i="95"/>
  <c r="N89" i="95" s="1"/>
  <c r="V88" i="95"/>
  <c r="V89" i="95" s="1"/>
  <c r="Z88" i="95"/>
  <c r="Z89" i="95" s="1"/>
  <c r="M91" i="95"/>
  <c r="M90" i="95"/>
  <c r="P66" i="74"/>
  <c r="Q66" i="74" s="1"/>
  <c r="Q65" i="74" s="1"/>
  <c r="O67" i="74"/>
  <c r="S67" i="74"/>
  <c r="T66" i="74"/>
  <c r="U66" i="74" s="1"/>
  <c r="U65" i="74" s="1"/>
  <c r="M89" i="74"/>
  <c r="M88" i="74"/>
  <c r="R86" i="74"/>
  <c r="R87" i="74" s="1"/>
  <c r="V86" i="74"/>
  <c r="V87" i="74" s="1"/>
  <c r="N86" i="74"/>
  <c r="N87" i="74" s="1"/>
  <c r="Z86" i="74"/>
  <c r="Z87" i="74" s="1"/>
  <c r="W66" i="74"/>
  <c r="X65" i="74"/>
  <c r="AB66" i="74"/>
  <c r="AC66" i="74" s="1"/>
  <c r="AC65" i="74" s="1"/>
  <c r="AA67" i="74"/>
  <c r="P71" i="85" l="1"/>
  <c r="O72" i="85"/>
  <c r="S70" i="85"/>
  <c r="T69" i="85"/>
  <c r="S89" i="95"/>
  <c r="S90" i="95" s="1"/>
  <c r="T87" i="95"/>
  <c r="O72" i="95"/>
  <c r="P71" i="95"/>
  <c r="S72" i="104"/>
  <c r="T71" i="104"/>
  <c r="O71" i="104"/>
  <c r="P70" i="104"/>
  <c r="Q70" i="104" s="1"/>
  <c r="Q69" i="104" s="1"/>
  <c r="S70" i="113"/>
  <c r="T69" i="113"/>
  <c r="O68" i="113"/>
  <c r="P67" i="113"/>
  <c r="AB64" i="113"/>
  <c r="AC64" i="113" s="1"/>
  <c r="AC63" i="113" s="1"/>
  <c r="AA65" i="113"/>
  <c r="X64" i="95"/>
  <c r="Y64" i="95" s="1"/>
  <c r="Y63" i="95" s="1"/>
  <c r="W65" i="95"/>
  <c r="AA65" i="95"/>
  <c r="AB64" i="95"/>
  <c r="AC64" i="95" s="1"/>
  <c r="AC63" i="95" s="1"/>
  <c r="W65" i="113"/>
  <c r="X64" i="113"/>
  <c r="Y64" i="113" s="1"/>
  <c r="Y63" i="113" s="1"/>
  <c r="M90" i="85"/>
  <c r="M91" i="85"/>
  <c r="V88" i="85"/>
  <c r="V89" i="85" s="1"/>
  <c r="N88" i="85"/>
  <c r="N89" i="85" s="1"/>
  <c r="Z88" i="85"/>
  <c r="Z89" i="85" s="1"/>
  <c r="R88" i="85"/>
  <c r="R89" i="85" s="1"/>
  <c r="AB65" i="85"/>
  <c r="AA66" i="85"/>
  <c r="W66" i="104"/>
  <c r="X65" i="104"/>
  <c r="AB65" i="104"/>
  <c r="AA66" i="104"/>
  <c r="W66" i="85"/>
  <c r="X65" i="85"/>
  <c r="M93" i="113"/>
  <c r="M94" i="113" s="1"/>
  <c r="M92" i="113"/>
  <c r="R90" i="113"/>
  <c r="R91" i="113" s="1"/>
  <c r="N90" i="113"/>
  <c r="N91" i="113" s="1"/>
  <c r="V90" i="113"/>
  <c r="V91" i="113" s="1"/>
  <c r="Z90" i="113"/>
  <c r="Z91" i="113" s="1"/>
  <c r="M93" i="104"/>
  <c r="M94" i="104" s="1"/>
  <c r="M92" i="104"/>
  <c r="N90" i="104"/>
  <c r="N91" i="104" s="1"/>
  <c r="R90" i="104"/>
  <c r="R91" i="104" s="1"/>
  <c r="V90" i="104"/>
  <c r="V91" i="104" s="1"/>
  <c r="Z90" i="104"/>
  <c r="Z91" i="104" s="1"/>
  <c r="N90" i="95"/>
  <c r="N91" i="95" s="1"/>
  <c r="R90" i="95"/>
  <c r="R91" i="95" s="1"/>
  <c r="S91" i="95" s="1"/>
  <c r="Z90" i="95"/>
  <c r="Z91" i="95" s="1"/>
  <c r="V90" i="95"/>
  <c r="V91" i="95" s="1"/>
  <c r="M93" i="95"/>
  <c r="M94" i="95" s="1"/>
  <c r="M92" i="95"/>
  <c r="T88" i="95"/>
  <c r="U88" i="95" s="1"/>
  <c r="U87" i="95" s="1"/>
  <c r="T67" i="74"/>
  <c r="S68" i="74"/>
  <c r="P67" i="74"/>
  <c r="O68" i="74"/>
  <c r="X66" i="74"/>
  <c r="Y66" i="74" s="1"/>
  <c r="Y65" i="74" s="1"/>
  <c r="W67" i="74"/>
  <c r="R88" i="74"/>
  <c r="R89" i="74" s="1"/>
  <c r="Z88" i="74"/>
  <c r="Z89" i="74" s="1"/>
  <c r="N88" i="74"/>
  <c r="N89" i="74" s="1"/>
  <c r="V88" i="74"/>
  <c r="V89" i="74" s="1"/>
  <c r="M91" i="74"/>
  <c r="M90" i="74"/>
  <c r="AA68" i="74"/>
  <c r="AB67" i="74"/>
  <c r="T89" i="95" l="1"/>
  <c r="S71" i="85"/>
  <c r="T70" i="85"/>
  <c r="U70" i="85" s="1"/>
  <c r="U69" i="85" s="1"/>
  <c r="P72" i="85"/>
  <c r="Q72" i="85" s="1"/>
  <c r="Q71" i="85" s="1"/>
  <c r="O73" i="85"/>
  <c r="O73" i="95"/>
  <c r="P72" i="95"/>
  <c r="Q72" i="95" s="1"/>
  <c r="Q71" i="95" s="1"/>
  <c r="O72" i="104"/>
  <c r="P71" i="104"/>
  <c r="S73" i="104"/>
  <c r="T72" i="104"/>
  <c r="U72" i="104" s="1"/>
  <c r="U71" i="104" s="1"/>
  <c r="S71" i="113"/>
  <c r="T70" i="113"/>
  <c r="U70" i="113" s="1"/>
  <c r="U69" i="113" s="1"/>
  <c r="O69" i="113"/>
  <c r="P68" i="113"/>
  <c r="Q68" i="113" s="1"/>
  <c r="Q67" i="113" s="1"/>
  <c r="W66" i="113"/>
  <c r="X65" i="113"/>
  <c r="AA66" i="95"/>
  <c r="AB65" i="95"/>
  <c r="W66" i="95"/>
  <c r="X65" i="95"/>
  <c r="AA66" i="113"/>
  <c r="AB65" i="113"/>
  <c r="Z90" i="85"/>
  <c r="Z91" i="85" s="1"/>
  <c r="R90" i="85"/>
  <c r="R91" i="85" s="1"/>
  <c r="V90" i="85"/>
  <c r="V91" i="85" s="1"/>
  <c r="N90" i="85"/>
  <c r="N91" i="85" s="1"/>
  <c r="X66" i="104"/>
  <c r="Y66" i="104" s="1"/>
  <c r="Y65" i="104" s="1"/>
  <c r="W67" i="104"/>
  <c r="AA67" i="104"/>
  <c r="AB66" i="104"/>
  <c r="AC66" i="104" s="1"/>
  <c r="AC65" i="104" s="1"/>
  <c r="X66" i="85"/>
  <c r="Y66" i="85" s="1"/>
  <c r="Y65" i="85" s="1"/>
  <c r="W67" i="85"/>
  <c r="M93" i="85"/>
  <c r="M94" i="85" s="1"/>
  <c r="M92" i="85"/>
  <c r="AB66" i="85"/>
  <c r="AC66" i="85" s="1"/>
  <c r="AC65" i="85" s="1"/>
  <c r="AA67" i="85"/>
  <c r="R92" i="113"/>
  <c r="R93" i="113" s="1"/>
  <c r="N92" i="113"/>
  <c r="N93" i="113" s="1"/>
  <c r="Z92" i="113"/>
  <c r="Z93" i="113" s="1"/>
  <c r="V92" i="113"/>
  <c r="V93" i="113" s="1"/>
  <c r="N94" i="113"/>
  <c r="R94" i="113"/>
  <c r="V94" i="113"/>
  <c r="Z94" i="113"/>
  <c r="N94" i="104"/>
  <c r="R94" i="104"/>
  <c r="V94" i="104"/>
  <c r="Z94" i="104"/>
  <c r="N92" i="104"/>
  <c r="N93" i="104" s="1"/>
  <c r="R92" i="104"/>
  <c r="R93" i="104" s="1"/>
  <c r="Z92" i="104"/>
  <c r="Z93" i="104" s="1"/>
  <c r="V92" i="104"/>
  <c r="V93" i="104" s="1"/>
  <c r="T91" i="95"/>
  <c r="S92" i="95"/>
  <c r="T90" i="95"/>
  <c r="R92" i="95"/>
  <c r="R93" i="95" s="1"/>
  <c r="S93" i="95" s="1"/>
  <c r="N92" i="95"/>
  <c r="N93" i="95" s="1"/>
  <c r="V92" i="95"/>
  <c r="V93" i="95" s="1"/>
  <c r="Z92" i="95"/>
  <c r="Z93" i="95" s="1"/>
  <c r="N94" i="95"/>
  <c r="R94" i="95"/>
  <c r="Z94" i="95"/>
  <c r="V94" i="95"/>
  <c r="O69" i="74"/>
  <c r="P68" i="74"/>
  <c r="Q68" i="74" s="1"/>
  <c r="Q67" i="74" s="1"/>
  <c r="S69" i="74"/>
  <c r="T68" i="74"/>
  <c r="U68" i="74" s="1"/>
  <c r="U67" i="74" s="1"/>
  <c r="M93" i="74"/>
  <c r="M94" i="74" s="1"/>
  <c r="M92" i="74"/>
  <c r="AB68" i="74"/>
  <c r="AC68" i="74" s="1"/>
  <c r="AC67" i="74" s="1"/>
  <c r="AA69" i="74"/>
  <c r="R90" i="74"/>
  <c r="R91" i="74" s="1"/>
  <c r="V90" i="74"/>
  <c r="V91" i="74" s="1"/>
  <c r="N90" i="74"/>
  <c r="N91" i="74" s="1"/>
  <c r="Z90" i="74"/>
  <c r="Z91" i="74" s="1"/>
  <c r="X67" i="74"/>
  <c r="W68" i="74"/>
  <c r="U90" i="95" l="1"/>
  <c r="U89" i="95" s="1"/>
  <c r="P73" i="85"/>
  <c r="O74" i="85"/>
  <c r="S72" i="85"/>
  <c r="T71" i="85"/>
  <c r="P73" i="95"/>
  <c r="O74" i="95"/>
  <c r="T73" i="104"/>
  <c r="S74" i="104"/>
  <c r="P72" i="104"/>
  <c r="Q72" i="104" s="1"/>
  <c r="Q71" i="104" s="1"/>
  <c r="O73" i="104"/>
  <c r="S72" i="113"/>
  <c r="T71" i="113"/>
  <c r="O70" i="113"/>
  <c r="P69" i="113"/>
  <c r="AB66" i="113"/>
  <c r="AC66" i="113" s="1"/>
  <c r="AC65" i="113" s="1"/>
  <c r="AA67" i="113"/>
  <c r="X66" i="95"/>
  <c r="Y66" i="95" s="1"/>
  <c r="Y65" i="95" s="1"/>
  <c r="W67" i="95"/>
  <c r="AA67" i="95"/>
  <c r="AB66" i="95"/>
  <c r="AC66" i="95" s="1"/>
  <c r="AC65" i="95" s="1"/>
  <c r="W67" i="113"/>
  <c r="X66" i="113"/>
  <c r="Y66" i="113" s="1"/>
  <c r="Y65" i="113" s="1"/>
  <c r="X67" i="104"/>
  <c r="W68" i="104"/>
  <c r="AB67" i="85"/>
  <c r="AA68" i="85"/>
  <c r="AA68" i="104"/>
  <c r="AB67" i="104"/>
  <c r="N92" i="85"/>
  <c r="N93" i="85" s="1"/>
  <c r="R92" i="85"/>
  <c r="R93" i="85" s="1"/>
  <c r="V92" i="85"/>
  <c r="V93" i="85" s="1"/>
  <c r="Z92" i="85"/>
  <c r="Z93" i="85" s="1"/>
  <c r="X67" i="85"/>
  <c r="W68" i="85"/>
  <c r="V94" i="85"/>
  <c r="R94" i="85"/>
  <c r="N94" i="85"/>
  <c r="Z94" i="85"/>
  <c r="S94" i="95"/>
  <c r="T94" i="95" s="1"/>
  <c r="T93" i="95"/>
  <c r="T92" i="95"/>
  <c r="U92" i="95" s="1"/>
  <c r="U91" i="95" s="1"/>
  <c r="S70" i="74"/>
  <c r="T69" i="74"/>
  <c r="P69" i="74"/>
  <c r="O70" i="74"/>
  <c r="AA70" i="74"/>
  <c r="AB69" i="74"/>
  <c r="R92" i="74"/>
  <c r="R93" i="74" s="1"/>
  <c r="N92" i="74"/>
  <c r="N93" i="74" s="1"/>
  <c r="Z92" i="74"/>
  <c r="Z93" i="74" s="1"/>
  <c r="V92" i="74"/>
  <c r="V93" i="74" s="1"/>
  <c r="X68" i="74"/>
  <c r="Y68" i="74" s="1"/>
  <c r="Y67" i="74" s="1"/>
  <c r="W69" i="74"/>
  <c r="R94" i="74"/>
  <c r="V94" i="74"/>
  <c r="Z94" i="74"/>
  <c r="N94" i="74"/>
  <c r="P74" i="85" l="1"/>
  <c r="Q74" i="85" s="1"/>
  <c r="Q73" i="85" s="1"/>
  <c r="O75" i="85"/>
  <c r="T72" i="85"/>
  <c r="U72" i="85" s="1"/>
  <c r="U71" i="85" s="1"/>
  <c r="S73" i="85"/>
  <c r="O75" i="95"/>
  <c r="P74" i="95"/>
  <c r="Q74" i="95" s="1"/>
  <c r="Q73" i="95" s="1"/>
  <c r="S75" i="104"/>
  <c r="T74" i="104"/>
  <c r="U74" i="104" s="1"/>
  <c r="U73" i="104" s="1"/>
  <c r="P73" i="104"/>
  <c r="O74" i="104"/>
  <c r="P70" i="113"/>
  <c r="Q70" i="113" s="1"/>
  <c r="Q69" i="113" s="1"/>
  <c r="O71" i="113"/>
  <c r="T72" i="113"/>
  <c r="U72" i="113" s="1"/>
  <c r="U71" i="113" s="1"/>
  <c r="S73" i="113"/>
  <c r="W68" i="113"/>
  <c r="X67" i="113"/>
  <c r="AB67" i="95"/>
  <c r="AA68" i="95"/>
  <c r="W68" i="95"/>
  <c r="X67" i="95"/>
  <c r="AA68" i="113"/>
  <c r="AB67" i="113"/>
  <c r="X68" i="85"/>
  <c r="Y68" i="85" s="1"/>
  <c r="Y67" i="85" s="1"/>
  <c r="W69" i="85"/>
  <c r="AB68" i="85"/>
  <c r="AC68" i="85" s="1"/>
  <c r="AC67" i="85" s="1"/>
  <c r="AA69" i="85"/>
  <c r="AA69" i="104"/>
  <c r="AB68" i="104"/>
  <c r="AC68" i="104" s="1"/>
  <c r="AC67" i="104" s="1"/>
  <c r="U94" i="95"/>
  <c r="U93" i="95" s="1"/>
  <c r="X68" i="104"/>
  <c r="Y68" i="104" s="1"/>
  <c r="Y67" i="104" s="1"/>
  <c r="W69" i="104"/>
  <c r="P70" i="74"/>
  <c r="Q70" i="74" s="1"/>
  <c r="Q69" i="74" s="1"/>
  <c r="C38" i="74" s="1"/>
  <c r="O71" i="74"/>
  <c r="S71" i="74"/>
  <c r="T70" i="74"/>
  <c r="U70" i="74" s="1"/>
  <c r="U69" i="74" s="1"/>
  <c r="D38" i="74" s="1"/>
  <c r="W70" i="74"/>
  <c r="X69" i="74"/>
  <c r="AB70" i="74"/>
  <c r="AC70" i="74" s="1"/>
  <c r="AC69" i="74" s="1"/>
  <c r="AA71" i="74"/>
  <c r="T73" i="85" l="1"/>
  <c r="S74" i="85"/>
  <c r="O76" i="85"/>
  <c r="P75" i="85"/>
  <c r="P75" i="95"/>
  <c r="O76" i="95"/>
  <c r="O75" i="104"/>
  <c r="P74" i="104"/>
  <c r="Q74" i="104" s="1"/>
  <c r="Q73" i="104" s="1"/>
  <c r="T75" i="104"/>
  <c r="S76" i="104"/>
  <c r="S74" i="113"/>
  <c r="T73" i="113"/>
  <c r="P71" i="113"/>
  <c r="O72" i="113"/>
  <c r="AA69" i="113"/>
  <c r="AB68" i="113"/>
  <c r="AC68" i="113" s="1"/>
  <c r="AC67" i="113" s="1"/>
  <c r="W69" i="95"/>
  <c r="X68" i="95"/>
  <c r="Y68" i="95" s="1"/>
  <c r="Y67" i="95" s="1"/>
  <c r="AB68" i="95"/>
  <c r="AC68" i="95" s="1"/>
  <c r="AC67" i="95" s="1"/>
  <c r="AA69" i="95"/>
  <c r="X68" i="113"/>
  <c r="Y68" i="113" s="1"/>
  <c r="Y67" i="113" s="1"/>
  <c r="W69" i="113"/>
  <c r="AB69" i="104"/>
  <c r="AA70" i="104"/>
  <c r="AA70" i="85"/>
  <c r="AB69" i="85"/>
  <c r="W70" i="104"/>
  <c r="X69" i="104"/>
  <c r="W70" i="85"/>
  <c r="X69" i="85"/>
  <c r="C50" i="76"/>
  <c r="C50" i="73"/>
  <c r="C50" i="72"/>
  <c r="C50" i="71"/>
  <c r="O72" i="74"/>
  <c r="P71" i="74"/>
  <c r="T71" i="74"/>
  <c r="S72" i="74"/>
  <c r="AB71" i="74"/>
  <c r="AA72" i="74"/>
  <c r="X70" i="74"/>
  <c r="Y70" i="74" s="1"/>
  <c r="Y69" i="74" s="1"/>
  <c r="W71" i="74"/>
  <c r="O77" i="85" l="1"/>
  <c r="P76" i="85"/>
  <c r="Q76" i="85" s="1"/>
  <c r="Q75" i="85" s="1"/>
  <c r="C38" i="85" s="1"/>
  <c r="T74" i="85"/>
  <c r="U74" i="85" s="1"/>
  <c r="U73" i="85" s="1"/>
  <c r="S75" i="85"/>
  <c r="P76" i="95"/>
  <c r="Q76" i="95" s="1"/>
  <c r="Q75" i="95" s="1"/>
  <c r="O77" i="95"/>
  <c r="S77" i="104"/>
  <c r="T76" i="104"/>
  <c r="U76" i="104" s="1"/>
  <c r="U75" i="104" s="1"/>
  <c r="O76" i="104"/>
  <c r="P75" i="104"/>
  <c r="O73" i="113"/>
  <c r="P72" i="113"/>
  <c r="Q72" i="113" s="1"/>
  <c r="Q71" i="113" s="1"/>
  <c r="T74" i="113"/>
  <c r="U74" i="113" s="1"/>
  <c r="U73" i="113" s="1"/>
  <c r="S75" i="113"/>
  <c r="X69" i="113"/>
  <c r="W70" i="113"/>
  <c r="AB69" i="95"/>
  <c r="AA70" i="95"/>
  <c r="X69" i="95"/>
  <c r="W70" i="95"/>
  <c r="AB69" i="113"/>
  <c r="AA70" i="113"/>
  <c r="AA71" i="104"/>
  <c r="AB70" i="104"/>
  <c r="AC70" i="104" s="1"/>
  <c r="AC69" i="104" s="1"/>
  <c r="X70" i="85"/>
  <c r="Y70" i="85" s="1"/>
  <c r="Y69" i="85" s="1"/>
  <c r="W71" i="85"/>
  <c r="W71" i="104"/>
  <c r="X70" i="104"/>
  <c r="Y70" i="104" s="1"/>
  <c r="Y69" i="104" s="1"/>
  <c r="AB70" i="85"/>
  <c r="AC70" i="85" s="1"/>
  <c r="AC69" i="85" s="1"/>
  <c r="AA71" i="85"/>
  <c r="S73" i="74"/>
  <c r="T72" i="74"/>
  <c r="U72" i="74" s="1"/>
  <c r="U71" i="74" s="1"/>
  <c r="O73" i="74"/>
  <c r="P72" i="74"/>
  <c r="Q72" i="74" s="1"/>
  <c r="Q71" i="74" s="1"/>
  <c r="W72" i="74"/>
  <c r="X71" i="74"/>
  <c r="AB72" i="74"/>
  <c r="AC72" i="74" s="1"/>
  <c r="AC71" i="74" s="1"/>
  <c r="AA73" i="74"/>
  <c r="T75" i="85" l="1"/>
  <c r="S76" i="85"/>
  <c r="P77" i="85"/>
  <c r="O78" i="85"/>
  <c r="O78" i="95"/>
  <c r="P77" i="95"/>
  <c r="P76" i="104"/>
  <c r="Q76" i="104" s="1"/>
  <c r="Q75" i="104" s="1"/>
  <c r="O77" i="104"/>
  <c r="T77" i="104"/>
  <c r="S78" i="104"/>
  <c r="T75" i="113"/>
  <c r="S76" i="113"/>
  <c r="P73" i="113"/>
  <c r="O74" i="113"/>
  <c r="W71" i="95"/>
  <c r="X70" i="95"/>
  <c r="Y70" i="95" s="1"/>
  <c r="Y69" i="95" s="1"/>
  <c r="AA71" i="95"/>
  <c r="AB70" i="95"/>
  <c r="AC70" i="95" s="1"/>
  <c r="AC69" i="95" s="1"/>
  <c r="AB70" i="113"/>
  <c r="AC70" i="113" s="1"/>
  <c r="AC69" i="113" s="1"/>
  <c r="AA71" i="113"/>
  <c r="X70" i="113"/>
  <c r="Y70" i="113" s="1"/>
  <c r="Y69" i="113" s="1"/>
  <c r="W71" i="113"/>
  <c r="AA72" i="85"/>
  <c r="AB71" i="85"/>
  <c r="X71" i="104"/>
  <c r="W72" i="104"/>
  <c r="W72" i="85"/>
  <c r="X71" i="85"/>
  <c r="AB71" i="104"/>
  <c r="AA72" i="104"/>
  <c r="P73" i="74"/>
  <c r="O74" i="74"/>
  <c r="S74" i="74"/>
  <c r="T73" i="74"/>
  <c r="AA74" i="74"/>
  <c r="AB73" i="74"/>
  <c r="X72" i="74"/>
  <c r="Y72" i="74" s="1"/>
  <c r="Y71" i="74" s="1"/>
  <c r="W73" i="74"/>
  <c r="P78" i="85" l="1"/>
  <c r="Q78" i="85" s="1"/>
  <c r="Q77" i="85" s="1"/>
  <c r="O79" i="85"/>
  <c r="S77" i="85"/>
  <c r="T76" i="85"/>
  <c r="U76" i="85" s="1"/>
  <c r="U75" i="85" s="1"/>
  <c r="D38" i="85" s="1"/>
  <c r="P78" i="95"/>
  <c r="Q78" i="95" s="1"/>
  <c r="Q77" i="95" s="1"/>
  <c r="O79" i="95"/>
  <c r="S79" i="104"/>
  <c r="T78" i="104"/>
  <c r="U78" i="104" s="1"/>
  <c r="U77" i="104" s="1"/>
  <c r="O78" i="104"/>
  <c r="P77" i="104"/>
  <c r="O75" i="113"/>
  <c r="P74" i="113"/>
  <c r="Q74" i="113" s="1"/>
  <c r="Q73" i="113" s="1"/>
  <c r="S77" i="113"/>
  <c r="T76" i="113"/>
  <c r="U76" i="113" s="1"/>
  <c r="U75" i="113" s="1"/>
  <c r="W72" i="113"/>
  <c r="X71" i="113"/>
  <c r="AA72" i="113"/>
  <c r="AB71" i="113"/>
  <c r="AB71" i="95"/>
  <c r="AA72" i="95"/>
  <c r="W72" i="95"/>
  <c r="X71" i="95"/>
  <c r="X72" i="85"/>
  <c r="Y72" i="85" s="1"/>
  <c r="Y71" i="85" s="1"/>
  <c r="W73" i="85"/>
  <c r="AB72" i="85"/>
  <c r="AC72" i="85" s="1"/>
  <c r="AC71" i="85" s="1"/>
  <c r="AA73" i="85"/>
  <c r="W73" i="104"/>
  <c r="X72" i="104"/>
  <c r="Y72" i="104" s="1"/>
  <c r="Y71" i="104" s="1"/>
  <c r="AA73" i="104"/>
  <c r="AB72" i="104"/>
  <c r="AC72" i="104" s="1"/>
  <c r="AC71" i="104" s="1"/>
  <c r="S75" i="74"/>
  <c r="T74" i="74"/>
  <c r="U74" i="74" s="1"/>
  <c r="U73" i="74" s="1"/>
  <c r="O75" i="74"/>
  <c r="P74" i="74"/>
  <c r="Q74" i="74" s="1"/>
  <c r="Q73" i="74" s="1"/>
  <c r="X73" i="74"/>
  <c r="W74" i="74"/>
  <c r="AB74" i="74"/>
  <c r="AC74" i="74" s="1"/>
  <c r="AC73" i="74" s="1"/>
  <c r="D26" i="74" s="1"/>
  <c r="AA75" i="74"/>
  <c r="C50" i="84" l="1"/>
  <c r="C50" i="83"/>
  <c r="C50" i="81"/>
  <c r="C50" i="82"/>
  <c r="D50" i="72"/>
  <c r="D50" i="71"/>
  <c r="D50" i="76"/>
  <c r="D50" i="73"/>
  <c r="S78" i="85"/>
  <c r="T77" i="85"/>
  <c r="O80" i="85"/>
  <c r="P79" i="85"/>
  <c r="O80" i="95"/>
  <c r="P79" i="95"/>
  <c r="P78" i="104"/>
  <c r="Q78" i="104" s="1"/>
  <c r="Q77" i="104" s="1"/>
  <c r="O79" i="104"/>
  <c r="T79" i="104"/>
  <c r="S80" i="104"/>
  <c r="S78" i="113"/>
  <c r="T77" i="113"/>
  <c r="P75" i="113"/>
  <c r="O76" i="113"/>
  <c r="AB72" i="95"/>
  <c r="AC72" i="95" s="1"/>
  <c r="AC71" i="95" s="1"/>
  <c r="AA73" i="95"/>
  <c r="X72" i="95"/>
  <c r="Y72" i="95" s="1"/>
  <c r="Y71" i="95" s="1"/>
  <c r="W73" i="95"/>
  <c r="AB72" i="113"/>
  <c r="AC72" i="113" s="1"/>
  <c r="AC71" i="113" s="1"/>
  <c r="AA73" i="113"/>
  <c r="X72" i="113"/>
  <c r="Y72" i="113" s="1"/>
  <c r="Y71" i="113" s="1"/>
  <c r="W73" i="113"/>
  <c r="AA74" i="104"/>
  <c r="AB73" i="104"/>
  <c r="X73" i="104"/>
  <c r="W74" i="104"/>
  <c r="AB73" i="85"/>
  <c r="AA74" i="85"/>
  <c r="W74" i="85"/>
  <c r="X73" i="85"/>
  <c r="O76" i="74"/>
  <c r="P75" i="74"/>
  <c r="S76" i="74"/>
  <c r="T75" i="74"/>
  <c r="AA76" i="74"/>
  <c r="AB75" i="74"/>
  <c r="X74" i="74"/>
  <c r="Y74" i="74" s="1"/>
  <c r="Y73" i="74" s="1"/>
  <c r="C26" i="74" s="1"/>
  <c r="W75" i="74"/>
  <c r="O81" i="85" l="1"/>
  <c r="P80" i="85"/>
  <c r="Q80" i="85" s="1"/>
  <c r="Q79" i="85" s="1"/>
  <c r="S79" i="85"/>
  <c r="T78" i="85"/>
  <c r="U78" i="85" s="1"/>
  <c r="U77" i="85" s="1"/>
  <c r="O81" i="95"/>
  <c r="P80" i="95"/>
  <c r="Q80" i="95" s="1"/>
  <c r="Q79" i="95" s="1"/>
  <c r="S81" i="104"/>
  <c r="T80" i="104"/>
  <c r="U80" i="104" s="1"/>
  <c r="U79" i="104" s="1"/>
  <c r="P79" i="104"/>
  <c r="O80" i="104"/>
  <c r="O77" i="113"/>
  <c r="P76" i="113"/>
  <c r="Q76" i="113" s="1"/>
  <c r="Q75" i="113" s="1"/>
  <c r="T78" i="113"/>
  <c r="U78" i="113" s="1"/>
  <c r="U77" i="113" s="1"/>
  <c r="S79" i="113"/>
  <c r="X73" i="113"/>
  <c r="W74" i="113"/>
  <c r="AA74" i="113"/>
  <c r="AB73" i="113"/>
  <c r="X73" i="95"/>
  <c r="W74" i="95"/>
  <c r="AB73" i="95"/>
  <c r="AA74" i="95"/>
  <c r="X74" i="85"/>
  <c r="Y74" i="85" s="1"/>
  <c r="Y73" i="85" s="1"/>
  <c r="C26" i="85" s="1"/>
  <c r="W75" i="85"/>
  <c r="AB74" i="85"/>
  <c r="AC74" i="85" s="1"/>
  <c r="AC73" i="85" s="1"/>
  <c r="D26" i="85" s="1"/>
  <c r="AA75" i="85"/>
  <c r="W75" i="104"/>
  <c r="X74" i="104"/>
  <c r="Y74" i="104" s="1"/>
  <c r="Y73" i="104" s="1"/>
  <c r="AA75" i="104"/>
  <c r="AB74" i="104"/>
  <c r="AC74" i="104" s="1"/>
  <c r="AC73" i="104" s="1"/>
  <c r="S77" i="74"/>
  <c r="T76" i="74"/>
  <c r="U76" i="74" s="1"/>
  <c r="U75" i="74" s="1"/>
  <c r="O77" i="74"/>
  <c r="P76" i="74"/>
  <c r="Q76" i="74" s="1"/>
  <c r="Q75" i="74" s="1"/>
  <c r="W76" i="74"/>
  <c r="X75" i="74"/>
  <c r="AB76" i="74"/>
  <c r="AC76" i="74" s="1"/>
  <c r="AC75" i="74" s="1"/>
  <c r="AA77" i="74"/>
  <c r="D50" i="84" l="1"/>
  <c r="D50" i="81"/>
  <c r="D50" i="82"/>
  <c r="D50" i="83"/>
  <c r="S80" i="85"/>
  <c r="T79" i="85"/>
  <c r="O82" i="85"/>
  <c r="P81" i="85"/>
  <c r="O82" i="95"/>
  <c r="P81" i="95"/>
  <c r="O81" i="104"/>
  <c r="P80" i="104"/>
  <c r="Q80" i="104" s="1"/>
  <c r="Q79" i="104" s="1"/>
  <c r="T81" i="104"/>
  <c r="S82" i="104"/>
  <c r="T79" i="113"/>
  <c r="S80" i="113"/>
  <c r="P77" i="113"/>
  <c r="O78" i="113"/>
  <c r="W75" i="95"/>
  <c r="X74" i="95"/>
  <c r="Y74" i="95" s="1"/>
  <c r="Y73" i="95" s="1"/>
  <c r="AB74" i="95"/>
  <c r="AC74" i="95" s="1"/>
  <c r="AC73" i="95" s="1"/>
  <c r="AA75" i="95"/>
  <c r="W75" i="113"/>
  <c r="X74" i="113"/>
  <c r="Y74" i="113" s="1"/>
  <c r="Y73" i="113" s="1"/>
  <c r="AB74" i="113"/>
  <c r="AC74" i="113" s="1"/>
  <c r="AC73" i="113" s="1"/>
  <c r="AA75" i="113"/>
  <c r="AA76" i="85"/>
  <c r="AB75" i="85"/>
  <c r="AB75" i="104"/>
  <c r="AA76" i="104"/>
  <c r="W76" i="85"/>
  <c r="X75" i="85"/>
  <c r="W76" i="104"/>
  <c r="X75" i="104"/>
  <c r="P77" i="74"/>
  <c r="O78" i="74"/>
  <c r="S78" i="74"/>
  <c r="T77" i="74"/>
  <c r="AA78" i="74"/>
  <c r="AB77" i="74"/>
  <c r="X76" i="74"/>
  <c r="Y76" i="74" s="1"/>
  <c r="Y75" i="74" s="1"/>
  <c r="W77" i="74"/>
  <c r="P82" i="85" l="1"/>
  <c r="Q82" i="85" s="1"/>
  <c r="Q81" i="85" s="1"/>
  <c r="O83" i="85"/>
  <c r="S81" i="85"/>
  <c r="T80" i="85"/>
  <c r="U80" i="85" s="1"/>
  <c r="U79" i="85" s="1"/>
  <c r="O83" i="95"/>
  <c r="P82" i="95"/>
  <c r="Q82" i="95" s="1"/>
  <c r="Q81" i="95" s="1"/>
  <c r="S83" i="104"/>
  <c r="T82" i="104"/>
  <c r="U82" i="104" s="1"/>
  <c r="U81" i="104" s="1"/>
  <c r="O82" i="104"/>
  <c r="P81" i="104"/>
  <c r="O79" i="113"/>
  <c r="P78" i="113"/>
  <c r="Q78" i="113" s="1"/>
  <c r="Q77" i="113" s="1"/>
  <c r="S81" i="113"/>
  <c r="T80" i="113"/>
  <c r="U80" i="113" s="1"/>
  <c r="U79" i="113" s="1"/>
  <c r="AA76" i="113"/>
  <c r="AB75" i="113"/>
  <c r="W76" i="113"/>
  <c r="X75" i="113"/>
  <c r="AA76" i="95"/>
  <c r="AB75" i="95"/>
  <c r="X75" i="95"/>
  <c r="W76" i="95"/>
  <c r="W77" i="104"/>
  <c r="X76" i="104"/>
  <c r="Y76" i="104" s="1"/>
  <c r="Y75" i="104" s="1"/>
  <c r="X76" i="85"/>
  <c r="Y76" i="85" s="1"/>
  <c r="Y75" i="85" s="1"/>
  <c r="W77" i="85"/>
  <c r="AB76" i="104"/>
  <c r="AC76" i="104" s="1"/>
  <c r="AC75" i="104" s="1"/>
  <c r="AA77" i="104"/>
  <c r="AB76" i="85"/>
  <c r="AC76" i="85" s="1"/>
  <c r="AC75" i="85" s="1"/>
  <c r="AA77" i="85"/>
  <c r="O79" i="74"/>
  <c r="P78" i="74"/>
  <c r="Q78" i="74" s="1"/>
  <c r="Q77" i="74" s="1"/>
  <c r="S79" i="74"/>
  <c r="T78" i="74"/>
  <c r="U78" i="74" s="1"/>
  <c r="U77" i="74" s="1"/>
  <c r="W78" i="74"/>
  <c r="X77" i="74"/>
  <c r="AB78" i="74"/>
  <c r="AC78" i="74" s="1"/>
  <c r="AC77" i="74" s="1"/>
  <c r="AA79" i="74"/>
  <c r="O84" i="85" l="1"/>
  <c r="P83" i="85"/>
  <c r="S82" i="85"/>
  <c r="T81" i="85"/>
  <c r="O84" i="95"/>
  <c r="P83" i="95"/>
  <c r="O83" i="104"/>
  <c r="P82" i="104"/>
  <c r="Q82" i="104" s="1"/>
  <c r="Q81" i="104" s="1"/>
  <c r="S84" i="104"/>
  <c r="T83" i="104"/>
  <c r="S82" i="113"/>
  <c r="T81" i="113"/>
  <c r="P79" i="113"/>
  <c r="O80" i="113"/>
  <c r="AB76" i="95"/>
  <c r="AC76" i="95" s="1"/>
  <c r="AC75" i="95" s="1"/>
  <c r="AA77" i="95"/>
  <c r="X76" i="95"/>
  <c r="Y76" i="95" s="1"/>
  <c r="Y75" i="95" s="1"/>
  <c r="W77" i="95"/>
  <c r="X76" i="113"/>
  <c r="Y76" i="113" s="1"/>
  <c r="Y75" i="113" s="1"/>
  <c r="W77" i="113"/>
  <c r="AB76" i="113"/>
  <c r="AC76" i="113" s="1"/>
  <c r="AC75" i="113" s="1"/>
  <c r="AA77" i="113"/>
  <c r="W78" i="85"/>
  <c r="X77" i="85"/>
  <c r="AB77" i="85"/>
  <c r="AA78" i="85"/>
  <c r="AB77" i="104"/>
  <c r="AA78" i="104"/>
  <c r="W78" i="104"/>
  <c r="X77" i="104"/>
  <c r="S80" i="74"/>
  <c r="T79" i="74"/>
  <c r="O80" i="74"/>
  <c r="P79" i="74"/>
  <c r="AB79" i="74"/>
  <c r="AA80" i="74"/>
  <c r="X78" i="74"/>
  <c r="Y78" i="74" s="1"/>
  <c r="Y77" i="74" s="1"/>
  <c r="W79" i="74"/>
  <c r="S83" i="85" l="1"/>
  <c r="T82" i="85"/>
  <c r="U82" i="85" s="1"/>
  <c r="U81" i="85" s="1"/>
  <c r="P84" i="85"/>
  <c r="Q84" i="85" s="1"/>
  <c r="Q83" i="85" s="1"/>
  <c r="O85" i="85"/>
  <c r="P84" i="95"/>
  <c r="Q84" i="95" s="1"/>
  <c r="Q83" i="95" s="1"/>
  <c r="O85" i="95"/>
  <c r="S85" i="104"/>
  <c r="T84" i="104"/>
  <c r="U84" i="104" s="1"/>
  <c r="U83" i="104" s="1"/>
  <c r="P83" i="104"/>
  <c r="O84" i="104"/>
  <c r="P80" i="113"/>
  <c r="Q80" i="113" s="1"/>
  <c r="Q79" i="113" s="1"/>
  <c r="O81" i="113"/>
  <c r="T82" i="113"/>
  <c r="U82" i="113" s="1"/>
  <c r="U81" i="113" s="1"/>
  <c r="S83" i="113"/>
  <c r="AB77" i="113"/>
  <c r="AA78" i="113"/>
  <c r="W78" i="113"/>
  <c r="X77" i="113"/>
  <c r="AB77" i="95"/>
  <c r="AA78" i="95"/>
  <c r="X77" i="95"/>
  <c r="W78" i="95"/>
  <c r="W79" i="104"/>
  <c r="X78" i="104"/>
  <c r="Y78" i="104" s="1"/>
  <c r="Y77" i="104" s="1"/>
  <c r="AB78" i="104"/>
  <c r="AC78" i="104" s="1"/>
  <c r="AC77" i="104" s="1"/>
  <c r="AA79" i="104"/>
  <c r="AB78" i="85"/>
  <c r="AC78" i="85" s="1"/>
  <c r="AC77" i="85" s="1"/>
  <c r="AA79" i="85"/>
  <c r="X78" i="85"/>
  <c r="Y78" i="85" s="1"/>
  <c r="Y77" i="85" s="1"/>
  <c r="W79" i="85"/>
  <c r="P80" i="74"/>
  <c r="Q80" i="74" s="1"/>
  <c r="Q79" i="74" s="1"/>
  <c r="O81" i="74"/>
  <c r="S81" i="74"/>
  <c r="T80" i="74"/>
  <c r="U80" i="74" s="1"/>
  <c r="U79" i="74" s="1"/>
  <c r="W80" i="74"/>
  <c r="X79" i="74"/>
  <c r="AB80" i="74"/>
  <c r="AC80" i="74" s="1"/>
  <c r="AC79" i="74" s="1"/>
  <c r="AA81" i="74"/>
  <c r="P85" i="85" l="1"/>
  <c r="O86" i="85"/>
  <c r="S84" i="85"/>
  <c r="T83" i="85"/>
  <c r="P85" i="95"/>
  <c r="O86" i="95"/>
  <c r="S86" i="104"/>
  <c r="T85" i="104"/>
  <c r="O85" i="104"/>
  <c r="P84" i="104"/>
  <c r="Q84" i="104" s="1"/>
  <c r="Q83" i="104" s="1"/>
  <c r="S84" i="113"/>
  <c r="T83" i="113"/>
  <c r="O82" i="113"/>
  <c r="P81" i="113"/>
  <c r="X78" i="95"/>
  <c r="Y78" i="95" s="1"/>
  <c r="Y77" i="95" s="1"/>
  <c r="W79" i="95"/>
  <c r="AB78" i="95"/>
  <c r="AC78" i="95" s="1"/>
  <c r="AC77" i="95" s="1"/>
  <c r="AA79" i="95"/>
  <c r="W79" i="113"/>
  <c r="X78" i="113"/>
  <c r="Y78" i="113" s="1"/>
  <c r="Y77" i="113" s="1"/>
  <c r="AB78" i="113"/>
  <c r="AC78" i="113" s="1"/>
  <c r="AC77" i="113" s="1"/>
  <c r="AA79" i="113"/>
  <c r="X79" i="85"/>
  <c r="W80" i="85"/>
  <c r="AA80" i="85"/>
  <c r="AB79" i="85"/>
  <c r="AB79" i="104"/>
  <c r="AA80" i="104"/>
  <c r="W80" i="104"/>
  <c r="X79" i="104"/>
  <c r="S82" i="74"/>
  <c r="T81" i="74"/>
  <c r="O82" i="74"/>
  <c r="P81" i="74"/>
  <c r="AA82" i="74"/>
  <c r="AB81" i="74"/>
  <c r="X80" i="74"/>
  <c r="Y80" i="74" s="1"/>
  <c r="Y79" i="74" s="1"/>
  <c r="W81" i="74"/>
  <c r="S85" i="85" l="1"/>
  <c r="T84" i="85"/>
  <c r="U84" i="85" s="1"/>
  <c r="U83" i="85" s="1"/>
  <c r="P86" i="85"/>
  <c r="Q86" i="85" s="1"/>
  <c r="Q85" i="85" s="1"/>
  <c r="O87" i="85"/>
  <c r="O87" i="95"/>
  <c r="P86" i="95"/>
  <c r="Q86" i="95" s="1"/>
  <c r="Q85" i="95" s="1"/>
  <c r="P85" i="104"/>
  <c r="O86" i="104"/>
  <c r="T86" i="104"/>
  <c r="U86" i="104" s="1"/>
  <c r="U85" i="104" s="1"/>
  <c r="S87" i="104"/>
  <c r="O83" i="113"/>
  <c r="P82" i="113"/>
  <c r="Q82" i="113" s="1"/>
  <c r="Q81" i="113" s="1"/>
  <c r="S85" i="113"/>
  <c r="T84" i="113"/>
  <c r="U84" i="113" s="1"/>
  <c r="U83" i="113" s="1"/>
  <c r="AA80" i="113"/>
  <c r="AB79" i="113"/>
  <c r="X79" i="113"/>
  <c r="W80" i="113"/>
  <c r="W80" i="95"/>
  <c r="X79" i="95"/>
  <c r="AA80" i="95"/>
  <c r="AB79" i="95"/>
  <c r="W81" i="104"/>
  <c r="X80" i="104"/>
  <c r="Y80" i="104" s="1"/>
  <c r="Y79" i="104" s="1"/>
  <c r="AA81" i="104"/>
  <c r="AB80" i="104"/>
  <c r="AC80" i="104" s="1"/>
  <c r="AC79" i="104" s="1"/>
  <c r="AB80" i="85"/>
  <c r="AC80" i="85" s="1"/>
  <c r="AC79" i="85" s="1"/>
  <c r="AA81" i="85"/>
  <c r="X80" i="85"/>
  <c r="Y80" i="85" s="1"/>
  <c r="Y79" i="85" s="1"/>
  <c r="W81" i="85"/>
  <c r="O83" i="74"/>
  <c r="P82" i="74"/>
  <c r="Q82" i="74" s="1"/>
  <c r="Q81" i="74" s="1"/>
  <c r="T82" i="74"/>
  <c r="U82" i="74" s="1"/>
  <c r="U81" i="74" s="1"/>
  <c r="S83" i="74"/>
  <c r="X81" i="74"/>
  <c r="W82" i="74"/>
  <c r="AB82" i="74"/>
  <c r="AC82" i="74" s="1"/>
  <c r="AC81" i="74" s="1"/>
  <c r="AA83" i="74"/>
  <c r="O88" i="85" l="1"/>
  <c r="P87" i="85"/>
  <c r="T85" i="85"/>
  <c r="S86" i="85"/>
  <c r="O88" i="95"/>
  <c r="P87" i="95"/>
  <c r="S88" i="104"/>
  <c r="T87" i="104"/>
  <c r="P86" i="104"/>
  <c r="Q86" i="104" s="1"/>
  <c r="Q85" i="104" s="1"/>
  <c r="O87" i="104"/>
  <c r="S86" i="113"/>
  <c r="T85" i="113"/>
  <c r="O84" i="113"/>
  <c r="P83" i="113"/>
  <c r="AB80" i="95"/>
  <c r="AC80" i="95" s="1"/>
  <c r="AC79" i="95" s="1"/>
  <c r="AA81" i="95"/>
  <c r="W81" i="113"/>
  <c r="X80" i="113"/>
  <c r="Y80" i="113" s="1"/>
  <c r="Y79" i="113" s="1"/>
  <c r="W81" i="95"/>
  <c r="X80" i="95"/>
  <c r="Y80" i="95" s="1"/>
  <c r="Y79" i="95" s="1"/>
  <c r="AB80" i="113"/>
  <c r="AC80" i="113" s="1"/>
  <c r="AC79" i="113" s="1"/>
  <c r="AA81" i="113"/>
  <c r="X81" i="85"/>
  <c r="W82" i="85"/>
  <c r="AA82" i="85"/>
  <c r="AB81" i="85"/>
  <c r="AA82" i="104"/>
  <c r="AB81" i="104"/>
  <c r="X81" i="104"/>
  <c r="W82" i="104"/>
  <c r="T83" i="74"/>
  <c r="S84" i="74"/>
  <c r="O84" i="74"/>
  <c r="P83" i="74"/>
  <c r="AA84" i="74"/>
  <c r="AB83" i="74"/>
  <c r="X82" i="74"/>
  <c r="Y82" i="74" s="1"/>
  <c r="Y81" i="74" s="1"/>
  <c r="W83" i="74"/>
  <c r="S87" i="85" l="1"/>
  <c r="T86" i="85"/>
  <c r="U86" i="85" s="1"/>
  <c r="U85" i="85" s="1"/>
  <c r="O89" i="85"/>
  <c r="P88" i="85"/>
  <c r="Q88" i="85" s="1"/>
  <c r="Q87" i="85" s="1"/>
  <c r="P88" i="95"/>
  <c r="Q88" i="95" s="1"/>
  <c r="Q87" i="95" s="1"/>
  <c r="O89" i="95"/>
  <c r="O88" i="104"/>
  <c r="P87" i="104"/>
  <c r="T88" i="104"/>
  <c r="U88" i="104" s="1"/>
  <c r="U87" i="104" s="1"/>
  <c r="S89" i="104"/>
  <c r="P84" i="113"/>
  <c r="Q84" i="113" s="1"/>
  <c r="Q83" i="113" s="1"/>
  <c r="O85" i="113"/>
  <c r="S87" i="113"/>
  <c r="T86" i="113"/>
  <c r="U86" i="113" s="1"/>
  <c r="U85" i="113" s="1"/>
  <c r="AA82" i="113"/>
  <c r="AB81" i="113"/>
  <c r="X81" i="95"/>
  <c r="W82" i="95"/>
  <c r="AA82" i="95"/>
  <c r="AB81" i="95"/>
  <c r="X81" i="113"/>
  <c r="W82" i="113"/>
  <c r="AB82" i="85"/>
  <c r="AC82" i="85" s="1"/>
  <c r="AC81" i="85" s="1"/>
  <c r="AA83" i="85"/>
  <c r="X82" i="104"/>
  <c r="Y82" i="104" s="1"/>
  <c r="Y81" i="104" s="1"/>
  <c r="W83" i="104"/>
  <c r="AB82" i="104"/>
  <c r="AC82" i="104" s="1"/>
  <c r="AC81" i="104" s="1"/>
  <c r="AA83" i="104"/>
  <c r="X82" i="85"/>
  <c r="Y82" i="85" s="1"/>
  <c r="Y81" i="85" s="1"/>
  <c r="W83" i="85"/>
  <c r="O85" i="74"/>
  <c r="P84" i="74"/>
  <c r="Q84" i="74" s="1"/>
  <c r="Q83" i="74" s="1"/>
  <c r="T84" i="74"/>
  <c r="U84" i="74" s="1"/>
  <c r="U83" i="74" s="1"/>
  <c r="S85" i="74"/>
  <c r="W84" i="74"/>
  <c r="X83" i="74"/>
  <c r="AB84" i="74"/>
  <c r="AC84" i="74" s="1"/>
  <c r="AC83" i="74" s="1"/>
  <c r="AA85" i="74"/>
  <c r="O90" i="85" l="1"/>
  <c r="P89" i="85"/>
  <c r="T87" i="85"/>
  <c r="S88" i="85"/>
  <c r="P89" i="95"/>
  <c r="O90" i="95"/>
  <c r="O89" i="104"/>
  <c r="P88" i="104"/>
  <c r="Q88" i="104" s="1"/>
  <c r="Q87" i="104" s="1"/>
  <c r="S90" i="104"/>
  <c r="T89" i="104"/>
  <c r="T87" i="113"/>
  <c r="S88" i="113"/>
  <c r="P85" i="113"/>
  <c r="O86" i="113"/>
  <c r="X82" i="113"/>
  <c r="Y82" i="113" s="1"/>
  <c r="Y81" i="113" s="1"/>
  <c r="W83" i="113"/>
  <c r="W83" i="95"/>
  <c r="X82" i="95"/>
  <c r="Y82" i="95" s="1"/>
  <c r="Y81" i="95" s="1"/>
  <c r="AA83" i="95"/>
  <c r="AB82" i="95"/>
  <c r="AC82" i="95" s="1"/>
  <c r="AC81" i="95" s="1"/>
  <c r="AA83" i="113"/>
  <c r="AB82" i="113"/>
  <c r="AC82" i="113" s="1"/>
  <c r="AC81" i="113" s="1"/>
  <c r="W84" i="85"/>
  <c r="X83" i="85"/>
  <c r="AB83" i="104"/>
  <c r="AA84" i="104"/>
  <c r="W84" i="104"/>
  <c r="X83" i="104"/>
  <c r="AB83" i="85"/>
  <c r="AA84" i="85"/>
  <c r="T85" i="74"/>
  <c r="S86" i="74"/>
  <c r="P85" i="74"/>
  <c r="O86" i="74"/>
  <c r="AA86" i="74"/>
  <c r="AB85" i="74"/>
  <c r="X84" i="74"/>
  <c r="Y84" i="74" s="1"/>
  <c r="Y83" i="74" s="1"/>
  <c r="W85" i="74"/>
  <c r="S89" i="85" l="1"/>
  <c r="T88" i="85"/>
  <c r="U88" i="85" s="1"/>
  <c r="U87" i="85" s="1"/>
  <c r="O91" i="85"/>
  <c r="P90" i="85"/>
  <c r="Q90" i="85" s="1"/>
  <c r="Q89" i="85" s="1"/>
  <c r="P90" i="95"/>
  <c r="Q90" i="95" s="1"/>
  <c r="Q89" i="95" s="1"/>
  <c r="O91" i="95"/>
  <c r="S91" i="104"/>
  <c r="T90" i="104"/>
  <c r="U90" i="104" s="1"/>
  <c r="U89" i="104" s="1"/>
  <c r="O90" i="104"/>
  <c r="P89" i="104"/>
  <c r="P86" i="113"/>
  <c r="Q86" i="113" s="1"/>
  <c r="Q85" i="113" s="1"/>
  <c r="O87" i="113"/>
  <c r="S89" i="113"/>
  <c r="T88" i="113"/>
  <c r="U88" i="113" s="1"/>
  <c r="U87" i="113" s="1"/>
  <c r="AA84" i="95"/>
  <c r="AB83" i="95"/>
  <c r="AB83" i="113"/>
  <c r="AA84" i="113"/>
  <c r="W84" i="113"/>
  <c r="X83" i="113"/>
  <c r="W84" i="95"/>
  <c r="X83" i="95"/>
  <c r="AB84" i="104"/>
  <c r="AC84" i="104" s="1"/>
  <c r="AC83" i="104" s="1"/>
  <c r="AA85" i="104"/>
  <c r="AB84" i="85"/>
  <c r="AC84" i="85" s="1"/>
  <c r="AC83" i="85" s="1"/>
  <c r="AA85" i="85"/>
  <c r="W85" i="104"/>
  <c r="X84" i="104"/>
  <c r="Y84" i="104" s="1"/>
  <c r="Y83" i="104" s="1"/>
  <c r="X84" i="85"/>
  <c r="Y84" i="85" s="1"/>
  <c r="Y83" i="85" s="1"/>
  <c r="W85" i="85"/>
  <c r="O87" i="74"/>
  <c r="P86" i="74"/>
  <c r="Q86" i="74" s="1"/>
  <c r="Q85" i="74" s="1"/>
  <c r="S87" i="74"/>
  <c r="T86" i="74"/>
  <c r="U86" i="74" s="1"/>
  <c r="U85" i="74" s="1"/>
  <c r="W86" i="74"/>
  <c r="X85" i="74"/>
  <c r="AB86" i="74"/>
  <c r="AC86" i="74" s="1"/>
  <c r="AC85" i="74" s="1"/>
  <c r="AA87" i="74"/>
  <c r="O92" i="85" l="1"/>
  <c r="P91" i="85"/>
  <c r="T89" i="85"/>
  <c r="S90" i="85"/>
  <c r="O92" i="95"/>
  <c r="P91" i="95"/>
  <c r="O91" i="104"/>
  <c r="P90" i="104"/>
  <c r="Q90" i="104" s="1"/>
  <c r="Q89" i="104" s="1"/>
  <c r="S92" i="104"/>
  <c r="T91" i="104"/>
  <c r="T89" i="113"/>
  <c r="S90" i="113"/>
  <c r="P87" i="113"/>
  <c r="O88" i="113"/>
  <c r="X84" i="95"/>
  <c r="Y84" i="95" s="1"/>
  <c r="Y83" i="95" s="1"/>
  <c r="W85" i="95"/>
  <c r="W85" i="113"/>
  <c r="X84" i="113"/>
  <c r="Y84" i="113" s="1"/>
  <c r="Y83" i="113" s="1"/>
  <c r="AA85" i="113"/>
  <c r="AB84" i="113"/>
  <c r="AC84" i="113" s="1"/>
  <c r="AC83" i="113" s="1"/>
  <c r="AA85" i="95"/>
  <c r="AB84" i="95"/>
  <c r="AC84" i="95" s="1"/>
  <c r="AC83" i="95" s="1"/>
  <c r="W86" i="85"/>
  <c r="X85" i="85"/>
  <c r="W86" i="104"/>
  <c r="X85" i="104"/>
  <c r="AB85" i="85"/>
  <c r="AA86" i="85"/>
  <c r="AA86" i="104"/>
  <c r="AB85" i="104"/>
  <c r="S88" i="74"/>
  <c r="T87" i="74"/>
  <c r="O88" i="74"/>
  <c r="P87" i="74"/>
  <c r="AB87" i="74"/>
  <c r="AA88" i="74"/>
  <c r="X86" i="74"/>
  <c r="Y86" i="74" s="1"/>
  <c r="Y85" i="74" s="1"/>
  <c r="W87" i="74"/>
  <c r="S91" i="85" l="1"/>
  <c r="T90" i="85"/>
  <c r="U90" i="85" s="1"/>
  <c r="U89" i="85" s="1"/>
  <c r="O93" i="85"/>
  <c r="P92" i="85"/>
  <c r="Q92" i="85" s="1"/>
  <c r="Q91" i="85" s="1"/>
  <c r="P92" i="95"/>
  <c r="Q92" i="95" s="1"/>
  <c r="Q91" i="95" s="1"/>
  <c r="O93" i="95"/>
  <c r="T92" i="104"/>
  <c r="U92" i="104" s="1"/>
  <c r="U91" i="104" s="1"/>
  <c r="S93" i="104"/>
  <c r="O92" i="104"/>
  <c r="P91" i="104"/>
  <c r="P88" i="113"/>
  <c r="Q88" i="113" s="1"/>
  <c r="Q87" i="113" s="1"/>
  <c r="O89" i="113"/>
  <c r="S91" i="113"/>
  <c r="T90" i="113"/>
  <c r="U90" i="113" s="1"/>
  <c r="U89" i="113" s="1"/>
  <c r="AA86" i="113"/>
  <c r="AB85" i="113"/>
  <c r="W86" i="95"/>
  <c r="X85" i="95"/>
  <c r="AB85" i="95"/>
  <c r="AA86" i="95"/>
  <c r="X85" i="113"/>
  <c r="W86" i="113"/>
  <c r="AB86" i="85"/>
  <c r="AC86" i="85" s="1"/>
  <c r="AC85" i="85" s="1"/>
  <c r="AA87" i="85"/>
  <c r="AA87" i="104"/>
  <c r="AB86" i="104"/>
  <c r="AC86" i="104" s="1"/>
  <c r="AC85" i="104" s="1"/>
  <c r="W87" i="104"/>
  <c r="X86" i="104"/>
  <c r="Y86" i="104" s="1"/>
  <c r="Y85" i="104" s="1"/>
  <c r="X86" i="85"/>
  <c r="Y86" i="85" s="1"/>
  <c r="Y85" i="85" s="1"/>
  <c r="W87" i="85"/>
  <c r="O89" i="74"/>
  <c r="P88" i="74"/>
  <c r="Q88" i="74" s="1"/>
  <c r="Q87" i="74" s="1"/>
  <c r="S89" i="74"/>
  <c r="T88" i="74"/>
  <c r="U88" i="74" s="1"/>
  <c r="U87" i="74" s="1"/>
  <c r="W88" i="74"/>
  <c r="X87" i="74"/>
  <c r="AB88" i="74"/>
  <c r="AC88" i="74" s="1"/>
  <c r="AC87" i="74" s="1"/>
  <c r="AA89" i="74"/>
  <c r="O94" i="85" l="1"/>
  <c r="P94" i="85" s="1"/>
  <c r="P93" i="85"/>
  <c r="S92" i="85"/>
  <c r="T91" i="85"/>
  <c r="P93" i="95"/>
  <c r="O94" i="95"/>
  <c r="P94" i="95" s="1"/>
  <c r="Q94" i="95" s="1"/>
  <c r="Q93" i="95" s="1"/>
  <c r="S94" i="104"/>
  <c r="T94" i="104" s="1"/>
  <c r="T93" i="104"/>
  <c r="P92" i="104"/>
  <c r="Q92" i="104" s="1"/>
  <c r="Q91" i="104" s="1"/>
  <c r="O93" i="104"/>
  <c r="S92" i="113"/>
  <c r="T91" i="113"/>
  <c r="P89" i="113"/>
  <c r="O90" i="113"/>
  <c r="W87" i="113"/>
  <c r="X86" i="113"/>
  <c r="Y86" i="113" s="1"/>
  <c r="Y85" i="113" s="1"/>
  <c r="AA87" i="95"/>
  <c r="AB86" i="95"/>
  <c r="AC86" i="95" s="1"/>
  <c r="AC85" i="95" s="1"/>
  <c r="X86" i="95"/>
  <c r="Y86" i="95" s="1"/>
  <c r="Y85" i="95" s="1"/>
  <c r="W87" i="95"/>
  <c r="AB86" i="113"/>
  <c r="AC86" i="113" s="1"/>
  <c r="AC85" i="113" s="1"/>
  <c r="AA87" i="113"/>
  <c r="W88" i="85"/>
  <c r="X87" i="85"/>
  <c r="X87" i="104"/>
  <c r="W88" i="104"/>
  <c r="AA88" i="104"/>
  <c r="AB87" i="104"/>
  <c r="AA88" i="85"/>
  <c r="AB87" i="85"/>
  <c r="T89" i="74"/>
  <c r="S90" i="74"/>
  <c r="O90" i="74"/>
  <c r="P89" i="74"/>
  <c r="AA90" i="74"/>
  <c r="AB89" i="74"/>
  <c r="X88" i="74"/>
  <c r="Y88" i="74" s="1"/>
  <c r="Y87" i="74" s="1"/>
  <c r="W89" i="74"/>
  <c r="T92" i="85" l="1"/>
  <c r="U92" i="85" s="1"/>
  <c r="U91" i="85" s="1"/>
  <c r="S93" i="85"/>
  <c r="Q94" i="85"/>
  <c r="Q93" i="85" s="1"/>
  <c r="P93" i="104"/>
  <c r="O94" i="104"/>
  <c r="P94" i="104" s="1"/>
  <c r="Q94" i="104" s="1"/>
  <c r="Q93" i="104" s="1"/>
  <c r="U94" i="104"/>
  <c r="U93" i="104" s="1"/>
  <c r="O91" i="113"/>
  <c r="P90" i="113"/>
  <c r="Q90" i="113" s="1"/>
  <c r="Q89" i="113" s="1"/>
  <c r="T92" i="113"/>
  <c r="U92" i="113" s="1"/>
  <c r="U91" i="113" s="1"/>
  <c r="S93" i="113"/>
  <c r="X87" i="95"/>
  <c r="W88" i="95"/>
  <c r="AB87" i="113"/>
  <c r="AA88" i="113"/>
  <c r="AB87" i="95"/>
  <c r="AA88" i="95"/>
  <c r="W88" i="113"/>
  <c r="X87" i="113"/>
  <c r="AB88" i="85"/>
  <c r="AC88" i="85" s="1"/>
  <c r="AC87" i="85" s="1"/>
  <c r="AA89" i="85"/>
  <c r="AA89" i="104"/>
  <c r="AB88" i="104"/>
  <c r="AC88" i="104" s="1"/>
  <c r="AC87" i="104" s="1"/>
  <c r="W89" i="104"/>
  <c r="X88" i="104"/>
  <c r="Y88" i="104" s="1"/>
  <c r="Y87" i="104" s="1"/>
  <c r="X88" i="85"/>
  <c r="Y88" i="85" s="1"/>
  <c r="Y87" i="85" s="1"/>
  <c r="W89" i="85"/>
  <c r="O91" i="74"/>
  <c r="P90" i="74"/>
  <c r="Q90" i="74" s="1"/>
  <c r="Q89" i="74" s="1"/>
  <c r="S91" i="74"/>
  <c r="T90" i="74"/>
  <c r="U90" i="74" s="1"/>
  <c r="U89" i="74" s="1"/>
  <c r="X89" i="74"/>
  <c r="W90" i="74"/>
  <c r="AB90" i="74"/>
  <c r="AC90" i="74" s="1"/>
  <c r="AC89" i="74" s="1"/>
  <c r="AA91" i="74"/>
  <c r="S94" i="85" l="1"/>
  <c r="T94" i="85" s="1"/>
  <c r="T93" i="85"/>
  <c r="S94" i="113"/>
  <c r="T94" i="113" s="1"/>
  <c r="T93" i="113"/>
  <c r="P91" i="113"/>
  <c r="O92" i="113"/>
  <c r="AB88" i="95"/>
  <c r="AC88" i="95" s="1"/>
  <c r="AC87" i="95" s="1"/>
  <c r="AA89" i="95"/>
  <c r="W89" i="113"/>
  <c r="X88" i="113"/>
  <c r="Y88" i="113" s="1"/>
  <c r="Y87" i="113" s="1"/>
  <c r="AB88" i="113"/>
  <c r="AC88" i="113" s="1"/>
  <c r="AC87" i="113" s="1"/>
  <c r="AA89" i="113"/>
  <c r="W89" i="95"/>
  <c r="X88" i="95"/>
  <c r="Y88" i="95" s="1"/>
  <c r="Y87" i="95" s="1"/>
  <c r="X89" i="85"/>
  <c r="W90" i="85"/>
  <c r="X89" i="104"/>
  <c r="W90" i="104"/>
  <c r="AA90" i="104"/>
  <c r="AB89" i="104"/>
  <c r="AB89" i="85"/>
  <c r="AA90" i="85"/>
  <c r="T91" i="74"/>
  <c r="S92" i="74"/>
  <c r="O92" i="74"/>
  <c r="P91" i="74"/>
  <c r="AA92" i="74"/>
  <c r="AB91" i="74"/>
  <c r="X90" i="74"/>
  <c r="Y90" i="74" s="1"/>
  <c r="Y89" i="74" s="1"/>
  <c r="W91" i="74"/>
  <c r="U94" i="85" l="1"/>
  <c r="U93" i="85" s="1"/>
  <c r="O93" i="113"/>
  <c r="P92" i="113"/>
  <c r="Q92" i="113" s="1"/>
  <c r="Q91" i="113" s="1"/>
  <c r="U94" i="113"/>
  <c r="U93" i="113" s="1"/>
  <c r="AA90" i="95"/>
  <c r="AB89" i="95"/>
  <c r="X89" i="95"/>
  <c r="W90" i="95"/>
  <c r="AB89" i="113"/>
  <c r="AA90" i="113"/>
  <c r="X89" i="113"/>
  <c r="W90" i="113"/>
  <c r="AB90" i="104"/>
  <c r="AC90" i="104" s="1"/>
  <c r="AC89" i="104" s="1"/>
  <c r="AA91" i="104"/>
  <c r="AB90" i="85"/>
  <c r="AC90" i="85" s="1"/>
  <c r="AC89" i="85" s="1"/>
  <c r="AA91" i="85"/>
  <c r="W91" i="104"/>
  <c r="X90" i="104"/>
  <c r="Y90" i="104" s="1"/>
  <c r="Y89" i="104" s="1"/>
  <c r="X90" i="85"/>
  <c r="Y90" i="85" s="1"/>
  <c r="Y89" i="85" s="1"/>
  <c r="W91" i="85"/>
  <c r="O93" i="74"/>
  <c r="P92" i="74"/>
  <c r="Q92" i="74" s="1"/>
  <c r="Q91" i="74" s="1"/>
  <c r="S93" i="74"/>
  <c r="T92" i="74"/>
  <c r="U92" i="74" s="1"/>
  <c r="U91" i="74" s="1"/>
  <c r="W92" i="74"/>
  <c r="X91" i="74"/>
  <c r="AB92" i="74"/>
  <c r="AC92" i="74" s="1"/>
  <c r="AC91" i="74" s="1"/>
  <c r="AA93" i="74"/>
  <c r="P93" i="113" l="1"/>
  <c r="O94" i="113"/>
  <c r="P94" i="113" s="1"/>
  <c r="W91" i="113"/>
  <c r="X90" i="113"/>
  <c r="Y90" i="113" s="1"/>
  <c r="Y89" i="113" s="1"/>
  <c r="AA91" i="113"/>
  <c r="AB90" i="113"/>
  <c r="AC90" i="113" s="1"/>
  <c r="AC89" i="113" s="1"/>
  <c r="X90" i="95"/>
  <c r="Y90" i="95" s="1"/>
  <c r="Y89" i="95" s="1"/>
  <c r="W91" i="95"/>
  <c r="AA91" i="95"/>
  <c r="AB90" i="95"/>
  <c r="AC90" i="95" s="1"/>
  <c r="AC89" i="95" s="1"/>
  <c r="W92" i="85"/>
  <c r="X91" i="85"/>
  <c r="AA92" i="104"/>
  <c r="AB91" i="104"/>
  <c r="X91" i="104"/>
  <c r="W92" i="104"/>
  <c r="AB91" i="85"/>
  <c r="AA92" i="85"/>
  <c r="S94" i="74"/>
  <c r="T94" i="74" s="1"/>
  <c r="T93" i="74"/>
  <c r="O94" i="74"/>
  <c r="P94" i="74" s="1"/>
  <c r="P93" i="74"/>
  <c r="AA94" i="74"/>
  <c r="AB94" i="74" s="1"/>
  <c r="AB93" i="74"/>
  <c r="X92" i="74"/>
  <c r="Y92" i="74" s="1"/>
  <c r="Y91" i="74" s="1"/>
  <c r="W93" i="74"/>
  <c r="Q94" i="113" l="1"/>
  <c r="Q93" i="113" s="1"/>
  <c r="AA92" i="95"/>
  <c r="AB91" i="95"/>
  <c r="W92" i="95"/>
  <c r="X91" i="95"/>
  <c r="AA92" i="113"/>
  <c r="AB91" i="113"/>
  <c r="W92" i="113"/>
  <c r="X91" i="113"/>
  <c r="AB92" i="85"/>
  <c r="AC92" i="85" s="1"/>
  <c r="AC91" i="85" s="1"/>
  <c r="AA93" i="85"/>
  <c r="AA93" i="104"/>
  <c r="AB92" i="104"/>
  <c r="AC92" i="104" s="1"/>
  <c r="AC91" i="104" s="1"/>
  <c r="X92" i="104"/>
  <c r="Y92" i="104" s="1"/>
  <c r="Y91" i="104" s="1"/>
  <c r="W93" i="104"/>
  <c r="X92" i="85"/>
  <c r="Y92" i="85" s="1"/>
  <c r="Y91" i="85" s="1"/>
  <c r="W93" i="85"/>
  <c r="U94" i="74"/>
  <c r="U93" i="74" s="1"/>
  <c r="Q94" i="74"/>
  <c r="Q93" i="74" s="1"/>
  <c r="W94" i="74"/>
  <c r="X94" i="74" s="1"/>
  <c r="X93" i="74"/>
  <c r="AC94" i="74"/>
  <c r="AC93" i="74" s="1"/>
  <c r="W93" i="113" l="1"/>
  <c r="X92" i="113"/>
  <c r="Y92" i="113" s="1"/>
  <c r="Y91" i="113" s="1"/>
  <c r="AA93" i="113"/>
  <c r="AB92" i="113"/>
  <c r="AC92" i="113" s="1"/>
  <c r="AC91" i="113" s="1"/>
  <c r="X92" i="95"/>
  <c r="Y92" i="95" s="1"/>
  <c r="Y91" i="95" s="1"/>
  <c r="W93" i="95"/>
  <c r="AB92" i="95"/>
  <c r="AC92" i="95" s="1"/>
  <c r="AC91" i="95" s="1"/>
  <c r="AA93" i="95"/>
  <c r="W94" i="85"/>
  <c r="X94" i="85" s="1"/>
  <c r="X93" i="85"/>
  <c r="X93" i="104"/>
  <c r="W94" i="104"/>
  <c r="X94" i="104" s="1"/>
  <c r="Y94" i="104" s="1"/>
  <c r="Y93" i="104" s="1"/>
  <c r="AA94" i="104"/>
  <c r="AB94" i="104" s="1"/>
  <c r="AB93" i="104"/>
  <c r="AB93" i="85"/>
  <c r="AA94" i="85"/>
  <c r="AB94" i="85" s="1"/>
  <c r="AC94" i="85" s="1"/>
  <c r="AC93" i="85" s="1"/>
  <c r="Y94" i="74"/>
  <c r="Y93" i="74" s="1"/>
  <c r="X93" i="95" l="1"/>
  <c r="W94" i="95"/>
  <c r="X94" i="95" s="1"/>
  <c r="AA94" i="95"/>
  <c r="AB94" i="95" s="1"/>
  <c r="AB93" i="95"/>
  <c r="AB93" i="113"/>
  <c r="AA94" i="113"/>
  <c r="AB94" i="113" s="1"/>
  <c r="X93" i="113"/>
  <c r="W94" i="113"/>
  <c r="X94" i="113" s="1"/>
  <c r="AC94" i="104"/>
  <c r="AC93" i="104" s="1"/>
  <c r="Y94" i="85"/>
  <c r="Y93" i="85" s="1"/>
  <c r="AP165" i="26"/>
  <c r="AP164" i="26"/>
  <c r="AP161" i="26"/>
  <c r="AP160" i="26"/>
  <c r="AP159" i="26"/>
  <c r="AP158" i="26"/>
  <c r="AP157" i="26"/>
  <c r="AP156" i="26"/>
  <c r="AP155" i="26"/>
  <c r="AP154" i="26"/>
  <c r="AP153" i="26"/>
  <c r="AP152" i="26"/>
  <c r="AP151" i="26"/>
  <c r="AP150" i="26"/>
  <c r="AP149" i="26"/>
  <c r="AP148" i="26"/>
  <c r="AP147" i="26"/>
  <c r="AP146" i="26"/>
  <c r="AP145" i="26"/>
  <c r="AP144" i="26"/>
  <c r="AP143" i="26"/>
  <c r="AP142" i="26"/>
  <c r="AP141" i="26"/>
  <c r="AP140" i="26"/>
  <c r="AP139" i="26"/>
  <c r="AP138" i="26"/>
  <c r="AP137" i="26"/>
  <c r="AP136" i="26"/>
  <c r="AP135" i="26"/>
  <c r="AP134" i="26"/>
  <c r="AP133" i="26"/>
  <c r="AP132" i="26"/>
  <c r="AP131" i="26"/>
  <c r="AP130" i="26"/>
  <c r="AP129" i="26"/>
  <c r="AP128" i="26"/>
  <c r="AP127" i="26"/>
  <c r="AP126" i="26"/>
  <c r="AP125" i="26"/>
  <c r="AP124" i="26"/>
  <c r="AP123" i="26"/>
  <c r="AP122" i="26"/>
  <c r="AP121" i="26"/>
  <c r="AP120" i="26"/>
  <c r="AP119" i="26"/>
  <c r="AP118" i="26"/>
  <c r="AP117" i="26"/>
  <c r="AP116" i="26"/>
  <c r="AP115" i="26"/>
  <c r="AP114" i="26"/>
  <c r="AP113" i="26"/>
  <c r="AP112" i="26"/>
  <c r="AP111" i="26"/>
  <c r="AP110" i="26"/>
  <c r="AP109" i="26"/>
  <c r="AP108" i="26"/>
  <c r="AP107" i="26"/>
  <c r="AP106" i="26"/>
  <c r="AP55" i="26"/>
  <c r="AP54" i="26"/>
  <c r="AP53" i="26"/>
  <c r="AP52" i="26"/>
  <c r="AP165" i="23"/>
  <c r="AP164" i="23"/>
  <c r="AP160" i="23"/>
  <c r="AP159" i="23"/>
  <c r="AP158" i="23"/>
  <c r="AP157" i="23"/>
  <c r="AP156" i="23"/>
  <c r="AP155" i="23"/>
  <c r="AP154" i="23"/>
  <c r="AP153" i="23"/>
  <c r="AP152" i="23"/>
  <c r="AP151" i="23"/>
  <c r="AP150" i="23"/>
  <c r="AP149" i="23"/>
  <c r="AP148" i="23"/>
  <c r="AP147" i="23"/>
  <c r="AP146" i="23"/>
  <c r="AP145" i="23"/>
  <c r="AP144" i="23"/>
  <c r="AP143" i="23"/>
  <c r="AP142" i="23"/>
  <c r="AP141" i="23"/>
  <c r="AP140" i="23"/>
  <c r="AP139" i="23"/>
  <c r="AP138" i="23"/>
  <c r="AP137" i="23"/>
  <c r="AP136" i="23"/>
  <c r="AP135" i="23"/>
  <c r="AP134" i="23"/>
  <c r="AP133" i="23"/>
  <c r="AP132" i="23"/>
  <c r="AP131" i="23"/>
  <c r="AP130" i="23"/>
  <c r="AP129" i="23"/>
  <c r="AP128" i="23"/>
  <c r="AP127" i="23"/>
  <c r="AP126" i="23"/>
  <c r="AP125" i="23"/>
  <c r="AP124" i="23"/>
  <c r="AP123" i="23"/>
  <c r="AP122" i="23"/>
  <c r="AP121" i="23"/>
  <c r="AP120" i="23"/>
  <c r="AP119" i="23"/>
  <c r="AP118" i="23"/>
  <c r="AP117" i="23"/>
  <c r="AP116" i="23"/>
  <c r="AP115" i="23"/>
  <c r="AP114" i="23"/>
  <c r="AP113" i="23"/>
  <c r="AP112" i="23"/>
  <c r="AP111" i="23"/>
  <c r="AP110" i="23"/>
  <c r="AP109" i="23"/>
  <c r="AP108" i="23"/>
  <c r="AP107" i="23"/>
  <c r="AP106" i="23"/>
  <c r="AP55" i="23"/>
  <c r="AP54" i="23"/>
  <c r="AP53" i="23"/>
  <c r="AP52" i="23"/>
  <c r="AP165" i="20"/>
  <c r="AP164" i="20"/>
  <c r="AP160" i="20"/>
  <c r="AP159" i="20"/>
  <c r="AP158" i="20"/>
  <c r="AP157" i="20"/>
  <c r="AP156" i="20"/>
  <c r="AP155" i="20"/>
  <c r="AP154" i="20"/>
  <c r="AP153" i="20"/>
  <c r="AP152" i="20"/>
  <c r="AP151" i="20"/>
  <c r="AP150" i="20"/>
  <c r="AP149" i="20"/>
  <c r="AP148" i="20"/>
  <c r="AP147" i="20"/>
  <c r="AP146" i="20"/>
  <c r="AP145" i="20"/>
  <c r="AP144" i="20"/>
  <c r="AP143" i="20"/>
  <c r="AP142" i="20"/>
  <c r="AP141" i="20"/>
  <c r="AP140" i="20"/>
  <c r="AP139" i="20"/>
  <c r="AP138" i="20"/>
  <c r="AP137" i="20"/>
  <c r="AP136" i="20"/>
  <c r="AP135" i="20"/>
  <c r="AP134" i="20"/>
  <c r="AP133" i="20"/>
  <c r="AP132" i="20"/>
  <c r="AP131" i="20"/>
  <c r="AP130" i="20"/>
  <c r="AP129" i="20"/>
  <c r="AP128" i="20"/>
  <c r="AP127" i="20"/>
  <c r="AP126" i="20"/>
  <c r="AP125" i="20"/>
  <c r="AP124" i="20"/>
  <c r="AP123" i="20"/>
  <c r="AP122" i="20"/>
  <c r="AP121" i="20"/>
  <c r="AP120" i="20"/>
  <c r="AP119" i="20"/>
  <c r="AP118" i="20"/>
  <c r="AP117" i="20"/>
  <c r="AP116" i="20"/>
  <c r="AP115" i="20"/>
  <c r="AP114" i="20"/>
  <c r="AP113" i="20"/>
  <c r="AP112" i="20"/>
  <c r="AP111" i="20"/>
  <c r="AP110" i="20"/>
  <c r="AP109" i="20"/>
  <c r="AP108" i="20"/>
  <c r="AP107" i="20"/>
  <c r="AP106" i="20"/>
  <c r="AP55" i="20"/>
  <c r="AP54" i="20"/>
  <c r="AP53" i="20"/>
  <c r="AP52" i="20"/>
  <c r="AP165" i="17"/>
  <c r="AP164" i="17"/>
  <c r="AP160" i="17"/>
  <c r="AP159" i="17"/>
  <c r="AP158" i="17"/>
  <c r="AP157" i="17"/>
  <c r="AP156" i="17"/>
  <c r="AP155" i="17"/>
  <c r="AP154" i="17"/>
  <c r="AP153" i="17"/>
  <c r="AP152" i="17"/>
  <c r="AP151" i="17"/>
  <c r="AP150" i="17"/>
  <c r="AP149" i="17"/>
  <c r="AP148" i="17"/>
  <c r="AP147" i="17"/>
  <c r="AP146" i="17"/>
  <c r="AP145" i="17"/>
  <c r="AP144" i="17"/>
  <c r="AP143" i="17"/>
  <c r="AP142" i="17"/>
  <c r="AP141" i="17"/>
  <c r="AP140" i="17"/>
  <c r="AP139" i="17"/>
  <c r="AP138" i="17"/>
  <c r="AP137" i="17"/>
  <c r="AP136" i="17"/>
  <c r="AP135" i="17"/>
  <c r="AP134" i="17"/>
  <c r="AP133" i="17"/>
  <c r="AP132" i="17"/>
  <c r="AP131" i="17"/>
  <c r="AP130" i="17"/>
  <c r="AP129" i="17"/>
  <c r="AP128" i="17"/>
  <c r="AP127" i="17"/>
  <c r="AP126" i="17"/>
  <c r="AP125" i="17"/>
  <c r="AP124" i="17"/>
  <c r="AP123" i="17"/>
  <c r="AP122" i="17"/>
  <c r="AP121" i="17"/>
  <c r="AP120" i="17"/>
  <c r="AP119" i="17"/>
  <c r="AP118" i="17"/>
  <c r="AP117" i="17"/>
  <c r="AP116" i="17"/>
  <c r="AP115" i="17"/>
  <c r="AP114" i="17"/>
  <c r="AP113" i="17"/>
  <c r="AP112" i="17"/>
  <c r="AP111" i="17"/>
  <c r="AP110" i="17"/>
  <c r="AP109" i="17"/>
  <c r="AP108" i="17"/>
  <c r="AP107" i="17"/>
  <c r="AP106" i="17"/>
  <c r="AP55" i="17"/>
  <c r="AP54" i="17"/>
  <c r="AP53" i="17"/>
  <c r="AP52" i="17"/>
  <c r="AP160" i="6"/>
  <c r="AP159" i="6"/>
  <c r="AP158" i="6"/>
  <c r="AP157" i="6"/>
  <c r="AP156" i="6"/>
  <c r="AP155" i="6"/>
  <c r="AP154" i="6"/>
  <c r="AP153" i="6"/>
  <c r="AP152" i="6"/>
  <c r="AP151" i="6"/>
  <c r="AP150" i="6"/>
  <c r="AP149" i="6"/>
  <c r="AP148" i="6"/>
  <c r="AP147" i="6"/>
  <c r="AP146" i="6"/>
  <c r="AP145" i="6"/>
  <c r="AP144" i="6"/>
  <c r="AP143" i="6"/>
  <c r="AP142" i="6"/>
  <c r="AP141" i="6"/>
  <c r="AP140" i="6"/>
  <c r="AP139" i="6"/>
  <c r="AP138" i="6"/>
  <c r="AP137" i="6"/>
  <c r="AP136" i="6"/>
  <c r="AP135" i="6"/>
  <c r="AP134" i="6"/>
  <c r="AP133" i="6"/>
  <c r="AP132" i="6"/>
  <c r="AP131" i="6"/>
  <c r="AP130" i="6"/>
  <c r="AP129" i="6"/>
  <c r="AP128" i="6"/>
  <c r="AP127" i="6"/>
  <c r="AP126" i="6"/>
  <c r="AP125" i="6"/>
  <c r="AP124" i="6"/>
  <c r="AP123" i="6"/>
  <c r="AP122" i="6"/>
  <c r="AP121" i="6"/>
  <c r="AP120" i="6"/>
  <c r="AP119" i="6"/>
  <c r="AP118" i="6"/>
  <c r="AP116" i="6"/>
  <c r="AP117" i="6"/>
  <c r="U540" i="28"/>
  <c r="U539" i="28"/>
  <c r="U538" i="28"/>
  <c r="U537" i="28"/>
  <c r="U534" i="28"/>
  <c r="U533" i="28"/>
  <c r="U532" i="28"/>
  <c r="U531" i="28"/>
  <c r="U528" i="28"/>
  <c r="U527" i="28"/>
  <c r="U526" i="28"/>
  <c r="U525" i="28"/>
  <c r="U522" i="28"/>
  <c r="U521" i="28"/>
  <c r="U520" i="28"/>
  <c r="U519" i="28"/>
  <c r="U511" i="28"/>
  <c r="U510" i="28"/>
  <c r="U509" i="28"/>
  <c r="U508" i="28"/>
  <c r="U505" i="28"/>
  <c r="U504" i="28"/>
  <c r="U503" i="28"/>
  <c r="U502" i="28"/>
  <c r="U499" i="28"/>
  <c r="U498" i="28"/>
  <c r="U497" i="28"/>
  <c r="U496" i="28"/>
  <c r="U493" i="28"/>
  <c r="U492" i="28"/>
  <c r="U491" i="28"/>
  <c r="U490" i="28"/>
  <c r="U482" i="28"/>
  <c r="U481" i="28"/>
  <c r="U480" i="28"/>
  <c r="U479" i="28"/>
  <c r="U476" i="28"/>
  <c r="U475" i="28"/>
  <c r="U474" i="28"/>
  <c r="U473" i="28"/>
  <c r="U470" i="28"/>
  <c r="U469" i="28"/>
  <c r="U468" i="28"/>
  <c r="U467" i="28"/>
  <c r="U464" i="28"/>
  <c r="U463" i="28"/>
  <c r="U462" i="28"/>
  <c r="U461" i="28"/>
  <c r="U304" i="28"/>
  <c r="U303" i="28"/>
  <c r="U302" i="28"/>
  <c r="U301" i="28"/>
  <c r="U298" i="28"/>
  <c r="U297" i="28"/>
  <c r="U296" i="28"/>
  <c r="U295" i="28"/>
  <c r="U292" i="28"/>
  <c r="U291" i="28"/>
  <c r="U290" i="28"/>
  <c r="U289" i="28"/>
  <c r="U286" i="28"/>
  <c r="U285" i="28"/>
  <c r="U284" i="28"/>
  <c r="U283" i="28"/>
  <c r="U275" i="28"/>
  <c r="U274" i="28"/>
  <c r="U273" i="28"/>
  <c r="U272" i="28"/>
  <c r="U269" i="28"/>
  <c r="U268" i="28"/>
  <c r="U267" i="28"/>
  <c r="U266" i="28"/>
  <c r="U263" i="28"/>
  <c r="U262" i="28"/>
  <c r="U261" i="28"/>
  <c r="U260" i="28"/>
  <c r="U257" i="28"/>
  <c r="U256" i="28"/>
  <c r="U255" i="28"/>
  <c r="U254" i="28"/>
  <c r="U246" i="28"/>
  <c r="U245" i="28"/>
  <c r="U244" i="28"/>
  <c r="U243" i="28"/>
  <c r="U240" i="28"/>
  <c r="U239" i="28"/>
  <c r="U238" i="28"/>
  <c r="U237" i="28"/>
  <c r="U234" i="28"/>
  <c r="U233" i="28"/>
  <c r="U232" i="28"/>
  <c r="U231" i="28"/>
  <c r="U228" i="28"/>
  <c r="U227" i="28"/>
  <c r="U226" i="28"/>
  <c r="U225" i="28"/>
  <c r="U163" i="28"/>
  <c r="U162" i="28"/>
  <c r="U161" i="28"/>
  <c r="U160" i="28"/>
  <c r="U157" i="28"/>
  <c r="U156" i="28"/>
  <c r="U155" i="28"/>
  <c r="U154" i="28"/>
  <c r="U151" i="28"/>
  <c r="U150" i="28"/>
  <c r="U149" i="28"/>
  <c r="U148" i="28"/>
  <c r="U145" i="28"/>
  <c r="U144" i="28"/>
  <c r="U143" i="28"/>
  <c r="U142" i="28"/>
  <c r="U139" i="28"/>
  <c r="U138" i="28"/>
  <c r="U137" i="28"/>
  <c r="U136" i="28"/>
  <c r="U133" i="28"/>
  <c r="U132" i="28"/>
  <c r="U131" i="28"/>
  <c r="U130" i="28"/>
  <c r="U127" i="28"/>
  <c r="U126" i="28"/>
  <c r="U125" i="28"/>
  <c r="U124" i="28"/>
  <c r="U121" i="28"/>
  <c r="U120" i="28"/>
  <c r="U119" i="28"/>
  <c r="U118" i="28"/>
  <c r="U109" i="28"/>
  <c r="U108" i="28"/>
  <c r="U107" i="28"/>
  <c r="U106" i="28"/>
  <c r="U103" i="28"/>
  <c r="U102" i="28"/>
  <c r="U101" i="28"/>
  <c r="U100" i="28"/>
  <c r="U97" i="28"/>
  <c r="U96" i="28"/>
  <c r="U95" i="28"/>
  <c r="U94" i="28"/>
  <c r="U91" i="28"/>
  <c r="U90" i="28"/>
  <c r="U89" i="28"/>
  <c r="U88" i="28"/>
  <c r="U85" i="28"/>
  <c r="U84" i="28"/>
  <c r="U83" i="28"/>
  <c r="U82" i="28"/>
  <c r="U79" i="28"/>
  <c r="U78" i="28"/>
  <c r="U77" i="28"/>
  <c r="U76" i="28"/>
  <c r="U73" i="28"/>
  <c r="U72" i="28"/>
  <c r="U71" i="28"/>
  <c r="U70" i="28"/>
  <c r="U67" i="28"/>
  <c r="U66" i="28"/>
  <c r="U65" i="28"/>
  <c r="U64" i="28"/>
  <c r="U61" i="28"/>
  <c r="U60" i="28"/>
  <c r="U59" i="28"/>
  <c r="U58" i="28"/>
  <c r="U55" i="28"/>
  <c r="U54" i="28"/>
  <c r="U53" i="28"/>
  <c r="U52" i="28"/>
  <c r="Y94" i="95" l="1"/>
  <c r="Y93" i="95" s="1"/>
  <c r="AC94" i="113"/>
  <c r="AC93" i="113" s="1"/>
  <c r="Y94" i="113"/>
  <c r="Y93" i="113" s="1"/>
  <c r="AC94" i="95"/>
  <c r="AC93" i="95" s="1"/>
  <c r="U43" i="28"/>
  <c r="U42" i="28"/>
  <c r="U41" i="28"/>
  <c r="U40" i="28"/>
  <c r="U49" i="28"/>
  <c r="U48" i="28"/>
  <c r="U47" i="28"/>
  <c r="U46" i="28"/>
  <c r="U37" i="28" l="1"/>
  <c r="U36" i="28"/>
  <c r="U35" i="28"/>
  <c r="U34" i="28"/>
  <c r="U31" i="28"/>
  <c r="U30" i="28"/>
  <c r="U29" i="28"/>
  <c r="U28" i="28"/>
  <c r="U22" i="28"/>
  <c r="U24" i="28"/>
  <c r="U23" i="28"/>
  <c r="U25" i="28"/>
  <c r="AK18" i="28"/>
  <c r="AJ18" i="28"/>
  <c r="AI18" i="28"/>
  <c r="AH18" i="28"/>
  <c r="AG18" i="28"/>
  <c r="AG17" i="28"/>
  <c r="U16" i="28"/>
  <c r="D16" i="28"/>
  <c r="U14" i="28"/>
  <c r="U12" i="28"/>
  <c r="U10" i="28"/>
  <c r="AK17" i="28"/>
  <c r="AJ17" i="28"/>
  <c r="AI17" i="28"/>
  <c r="AH17" i="28"/>
  <c r="AL17" i="28" l="1"/>
  <c r="AB17" i="28" s="1"/>
  <c r="AG83" i="26" l="1"/>
  <c r="AG61" i="26"/>
  <c r="AG60" i="26"/>
  <c r="AG59" i="26"/>
  <c r="AG58" i="26"/>
  <c r="AG57" i="26"/>
  <c r="AG56" i="26"/>
  <c r="AG83" i="23"/>
  <c r="AG83" i="20"/>
  <c r="AG83" i="17"/>
  <c r="AG61" i="17"/>
  <c r="AG60" i="17"/>
  <c r="AG59" i="17"/>
  <c r="AG58" i="17"/>
  <c r="AG57" i="17"/>
  <c r="AG56" i="17"/>
  <c r="AH171" i="6"/>
  <c r="AG61" i="6" l="1"/>
  <c r="AG51" i="6" l="1"/>
  <c r="AG49" i="6"/>
  <c r="AG57" i="6"/>
  <c r="AG83" i="6"/>
  <c r="AG50" i="6"/>
  <c r="AO25" i="64" l="1"/>
  <c r="AC25" i="64"/>
  <c r="R25" i="64"/>
  <c r="AO25" i="63"/>
  <c r="AC25" i="63"/>
  <c r="R25" i="63"/>
  <c r="AO25" i="62"/>
  <c r="AC25" i="62"/>
  <c r="R25" i="62"/>
  <c r="AO25" i="61"/>
  <c r="AC25" i="61"/>
  <c r="R25" i="61"/>
  <c r="E27" i="15"/>
  <c r="E26" i="15"/>
  <c r="D26" i="15"/>
  <c r="BE58" i="64" a="1"/>
  <c r="BE58" i="64" s="1"/>
  <c r="BE58" i="63" a="1"/>
  <c r="BE58" i="63" s="1"/>
  <c r="BE58" i="62" a="1"/>
  <c r="BE58" i="62" s="1"/>
  <c r="BE58" i="61" a="1"/>
  <c r="BE58" i="61" s="1"/>
  <c r="E21" i="15"/>
  <c r="E20" i="15"/>
  <c r="E19" i="15"/>
  <c r="E17" i="15"/>
  <c r="E16" i="15"/>
  <c r="E15" i="15"/>
  <c r="E12" i="15"/>
  <c r="E13" i="15"/>
  <c r="E11" i="15"/>
  <c r="R25" i="8" l="1"/>
  <c r="AL26" i="15"/>
  <c r="H35" i="5" l="1"/>
  <c r="D17" i="23"/>
  <c r="D17" i="26"/>
  <c r="D17" i="20"/>
  <c r="D17" i="17"/>
  <c r="D15" i="25"/>
  <c r="D15" i="22"/>
  <c r="D15" i="19"/>
  <c r="D16" i="20" s="1"/>
  <c r="D15" i="16"/>
  <c r="D16" i="17" s="1"/>
  <c r="F26" i="15" l="1"/>
  <c r="G26" i="15" s="1"/>
  <c r="D16" i="26"/>
  <c r="D16" i="23"/>
  <c r="AO35" i="8"/>
  <c r="D17" i="6" l="1"/>
  <c r="AG67" i="26"/>
  <c r="AG66" i="26"/>
  <c r="AG85" i="26"/>
  <c r="AG84" i="26"/>
  <c r="AG161" i="26"/>
  <c r="AG47" i="26"/>
  <c r="B47" i="26" s="1"/>
  <c r="V47" i="26" s="1"/>
  <c r="AG45" i="26"/>
  <c r="B45" i="26" s="1"/>
  <c r="V45" i="26" s="1"/>
  <c r="AG46" i="26"/>
  <c r="B46" i="26" s="1"/>
  <c r="V46" i="26" s="1"/>
  <c r="H35" i="25"/>
  <c r="E30" i="15"/>
  <c r="D30" i="15"/>
  <c r="AG67" i="23"/>
  <c r="AG66" i="23"/>
  <c r="AG85" i="23"/>
  <c r="AG84" i="23"/>
  <c r="AG161" i="23"/>
  <c r="AG47" i="23"/>
  <c r="B47" i="23" s="1"/>
  <c r="V47" i="23" s="1"/>
  <c r="AG45" i="23"/>
  <c r="B45" i="23" s="1"/>
  <c r="V45" i="23" s="1"/>
  <c r="AG46" i="23"/>
  <c r="B46" i="23" s="1"/>
  <c r="V46" i="23" s="1"/>
  <c r="E29" i="15"/>
  <c r="D29" i="15"/>
  <c r="AG67" i="20"/>
  <c r="AG66" i="20"/>
  <c r="AG85" i="20"/>
  <c r="AG84" i="20"/>
  <c r="AG161" i="20"/>
  <c r="AG47" i="20"/>
  <c r="B47" i="20" s="1"/>
  <c r="V47" i="20" s="1"/>
  <c r="AG45" i="20"/>
  <c r="B45" i="20" s="1"/>
  <c r="V45" i="20" s="1"/>
  <c r="AG46" i="20"/>
  <c r="B46" i="20" s="1"/>
  <c r="V46" i="20" s="1"/>
  <c r="E28" i="15"/>
  <c r="D28" i="15"/>
  <c r="H35" i="16"/>
  <c r="U180" i="6"/>
  <c r="U175" i="6"/>
  <c r="U170" i="6"/>
  <c r="U82" i="6"/>
  <c r="U77" i="6"/>
  <c r="U72" i="6"/>
  <c r="U215" i="28"/>
  <c r="U214" i="28"/>
  <c r="U213" i="28"/>
  <c r="U212" i="28"/>
  <c r="U211" i="28"/>
  <c r="U210" i="28"/>
  <c r="U209" i="28"/>
  <c r="U208" i="28"/>
  <c r="U207" i="28"/>
  <c r="U206" i="28"/>
  <c r="U205" i="28"/>
  <c r="U204" i="28"/>
  <c r="U203" i="28"/>
  <c r="U202" i="28"/>
  <c r="U201" i="28"/>
  <c r="U200" i="28"/>
  <c r="U199" i="28"/>
  <c r="U198" i="28"/>
  <c r="U197" i="28"/>
  <c r="U196" i="28"/>
  <c r="U195" i="28"/>
  <c r="U194" i="28"/>
  <c r="U193" i="28"/>
  <c r="U192" i="28"/>
  <c r="U191" i="28"/>
  <c r="U190" i="28"/>
  <c r="U189" i="28"/>
  <c r="U188" i="28"/>
  <c r="U187" i="28"/>
  <c r="U186" i="28"/>
  <c r="U185" i="28"/>
  <c r="U184" i="28"/>
  <c r="U183" i="28"/>
  <c r="U182" i="28"/>
  <c r="U181" i="28"/>
  <c r="U180" i="28"/>
  <c r="U179" i="28"/>
  <c r="U178" i="28"/>
  <c r="U177" i="28"/>
  <c r="U176" i="28"/>
  <c r="AG60" i="20" l="1"/>
  <c r="AG63" i="20"/>
  <c r="AG59" i="20"/>
  <c r="AG58" i="20"/>
  <c r="AG57" i="20"/>
  <c r="AG56" i="20"/>
  <c r="AG51" i="20"/>
  <c r="AG50" i="20"/>
  <c r="AG49" i="20"/>
  <c r="AG61" i="20"/>
  <c r="AG65" i="20"/>
  <c r="AG64" i="20"/>
  <c r="AG51" i="26"/>
  <c r="AG50" i="26"/>
  <c r="AG49" i="26"/>
  <c r="AG65" i="26"/>
  <c r="AG64" i="26"/>
  <c r="AG63" i="26"/>
  <c r="AG87" i="26"/>
  <c r="AG86" i="26"/>
  <c r="AG87" i="23"/>
  <c r="AG86" i="23"/>
  <c r="AG87" i="20"/>
  <c r="AG86" i="20"/>
  <c r="AG49" i="23"/>
  <c r="AG65" i="23"/>
  <c r="AG64" i="23"/>
  <c r="AG63" i="23"/>
  <c r="AG61" i="23"/>
  <c r="AG60" i="23"/>
  <c r="AG59" i="23"/>
  <c r="AG58" i="23"/>
  <c r="AG57" i="23"/>
  <c r="AG56" i="23"/>
  <c r="AG51" i="23"/>
  <c r="AG50" i="23"/>
  <c r="H35" i="19"/>
  <c r="F28" i="15" s="1"/>
  <c r="G28" i="15" s="1"/>
  <c r="H35" i="22"/>
  <c r="AO35" i="64"/>
  <c r="F30" i="15"/>
  <c r="G30" i="15" s="1"/>
  <c r="F27" i="15"/>
  <c r="AO35" i="61"/>
  <c r="U546" i="28"/>
  <c r="U545" i="28"/>
  <c r="U544" i="28"/>
  <c r="U543" i="28"/>
  <c r="U542" i="28"/>
  <c r="U541" i="28"/>
  <c r="U536" i="28"/>
  <c r="U535" i="28"/>
  <c r="U530" i="28"/>
  <c r="U529" i="28"/>
  <c r="U524" i="28"/>
  <c r="U523" i="28"/>
  <c r="U518" i="28"/>
  <c r="U517" i="28"/>
  <c r="U516" i="28"/>
  <c r="U515" i="28"/>
  <c r="U514" i="28"/>
  <c r="U513" i="28"/>
  <c r="U512" i="28"/>
  <c r="U507" i="28"/>
  <c r="U506" i="28"/>
  <c r="U501" i="28"/>
  <c r="U500" i="28"/>
  <c r="U495" i="28"/>
  <c r="U494" i="28"/>
  <c r="U489" i="28"/>
  <c r="U488" i="28"/>
  <c r="U487" i="28"/>
  <c r="U486" i="28"/>
  <c r="U485" i="28"/>
  <c r="U484" i="28"/>
  <c r="U483" i="28"/>
  <c r="U478" i="28"/>
  <c r="U477" i="28"/>
  <c r="U472" i="28"/>
  <c r="U471" i="28"/>
  <c r="U466" i="28"/>
  <c r="U465" i="28"/>
  <c r="U460" i="28"/>
  <c r="U321" i="28"/>
  <c r="U320" i="28"/>
  <c r="U315" i="28"/>
  <c r="U314" i="28"/>
  <c r="U449" i="28"/>
  <c r="U448" i="28"/>
  <c r="U447" i="28"/>
  <c r="U446" i="28"/>
  <c r="U440" i="28"/>
  <c r="U439" i="28"/>
  <c r="U438" i="28"/>
  <c r="U437" i="28"/>
  <c r="U431" i="28"/>
  <c r="U430" i="28"/>
  <c r="U429" i="28"/>
  <c r="U428" i="28"/>
  <c r="U422" i="28"/>
  <c r="U421" i="28"/>
  <c r="U420" i="28"/>
  <c r="U419" i="28"/>
  <c r="U413" i="28"/>
  <c r="U412" i="28"/>
  <c r="U411" i="28"/>
  <c r="U410" i="28"/>
  <c r="U404" i="28"/>
  <c r="U403" i="28"/>
  <c r="U402" i="28"/>
  <c r="U401" i="28"/>
  <c r="U395" i="28"/>
  <c r="U394" i="28"/>
  <c r="U393" i="28"/>
  <c r="U392" i="28"/>
  <c r="U386" i="28"/>
  <c r="U385" i="28"/>
  <c r="U384" i="28"/>
  <c r="U383" i="28"/>
  <c r="U377" i="28"/>
  <c r="U376" i="28"/>
  <c r="U375" i="28"/>
  <c r="U374" i="28"/>
  <c r="U368" i="28"/>
  <c r="U367" i="28"/>
  <c r="U366" i="28"/>
  <c r="U365" i="28"/>
  <c r="U359" i="28"/>
  <c r="U358" i="28"/>
  <c r="U357" i="28"/>
  <c r="U356" i="28"/>
  <c r="U350" i="28"/>
  <c r="U349" i="28"/>
  <c r="U348" i="28"/>
  <c r="U347" i="28"/>
  <c r="U341" i="28"/>
  <c r="U340" i="28"/>
  <c r="U339" i="28"/>
  <c r="U338" i="28"/>
  <c r="U332" i="28"/>
  <c r="U331" i="28"/>
  <c r="U330" i="28"/>
  <c r="U329" i="28"/>
  <c r="U310" i="28"/>
  <c r="U309" i="28"/>
  <c r="U308" i="28"/>
  <c r="U307" i="28"/>
  <c r="U306" i="28"/>
  <c r="U305" i="28"/>
  <c r="U300" i="28"/>
  <c r="U299" i="28"/>
  <c r="U294" i="28"/>
  <c r="U293" i="28"/>
  <c r="U288" i="28"/>
  <c r="U287" i="28"/>
  <c r="U282" i="28"/>
  <c r="U281" i="28"/>
  <c r="U280" i="28"/>
  <c r="U279" i="28"/>
  <c r="U278" i="28"/>
  <c r="U277" i="28"/>
  <c r="U276" i="28"/>
  <c r="U271" i="28"/>
  <c r="U270" i="28"/>
  <c r="U265" i="28"/>
  <c r="U264" i="28"/>
  <c r="U259" i="28"/>
  <c r="U258" i="28"/>
  <c r="U253" i="28"/>
  <c r="U252" i="28"/>
  <c r="U251" i="28"/>
  <c r="U250" i="28"/>
  <c r="U249" i="28"/>
  <c r="U248" i="28"/>
  <c r="U247" i="28"/>
  <c r="U242" i="28"/>
  <c r="U241" i="28"/>
  <c r="U236" i="28"/>
  <c r="U235" i="28"/>
  <c r="U230" i="28"/>
  <c r="U229" i="28"/>
  <c r="U224" i="28"/>
  <c r="U164" i="28"/>
  <c r="U159" i="28"/>
  <c r="U158" i="28"/>
  <c r="U153" i="28"/>
  <c r="U152" i="28"/>
  <c r="U147" i="28"/>
  <c r="U146" i="28"/>
  <c r="U141" i="28"/>
  <c r="U140" i="28"/>
  <c r="U135" i="28"/>
  <c r="U134" i="28"/>
  <c r="U129" i="28"/>
  <c r="U128" i="28"/>
  <c r="U123" i="28"/>
  <c r="U122" i="28"/>
  <c r="U117" i="28"/>
  <c r="U111" i="28"/>
  <c r="U110" i="28"/>
  <c r="U105" i="28"/>
  <c r="U104" i="28"/>
  <c r="U99" i="28"/>
  <c r="U98" i="28"/>
  <c r="U93" i="28"/>
  <c r="U92" i="28"/>
  <c r="U87" i="28"/>
  <c r="U86" i="28"/>
  <c r="U81" i="28"/>
  <c r="U80" i="28"/>
  <c r="U75" i="28"/>
  <c r="U74" i="28"/>
  <c r="U69" i="28"/>
  <c r="U68" i="28"/>
  <c r="U62" i="28"/>
  <c r="U56" i="28"/>
  <c r="U50" i="28"/>
  <c r="U44" i="28"/>
  <c r="U38" i="28"/>
  <c r="U32" i="28"/>
  <c r="U63" i="28"/>
  <c r="U57" i="28"/>
  <c r="U51" i="28"/>
  <c r="U45" i="28"/>
  <c r="U39" i="28"/>
  <c r="U33" i="28"/>
  <c r="U27" i="28"/>
  <c r="U26" i="28"/>
  <c r="AO35" i="62" l="1"/>
  <c r="AO35" i="63"/>
  <c r="F29" i="15"/>
  <c r="G29" i="15" s="1"/>
  <c r="U21" i="28"/>
  <c r="AG60" i="6" l="1"/>
  <c r="U451" i="28"/>
  <c r="U452" i="28"/>
  <c r="U450" i="28"/>
  <c r="U453" i="28"/>
  <c r="U442" i="28"/>
  <c r="U443" i="28"/>
  <c r="U441" i="28"/>
  <c r="U444" i="28"/>
  <c r="U433" i="28"/>
  <c r="U434" i="28"/>
  <c r="U432" i="28"/>
  <c r="U435" i="28"/>
  <c r="U424" i="28"/>
  <c r="U425" i="28"/>
  <c r="U423" i="28"/>
  <c r="U426" i="28"/>
  <c r="U415" i="28"/>
  <c r="U416" i="28"/>
  <c r="U414" i="28"/>
  <c r="U417" i="28"/>
  <c r="U406" i="28"/>
  <c r="U407" i="28"/>
  <c r="U405" i="28"/>
  <c r="U408" i="28"/>
  <c r="U398" i="28"/>
  <c r="U397" i="28"/>
  <c r="U396" i="28"/>
  <c r="U399" i="28"/>
  <c r="U389" i="28"/>
  <c r="U388" i="28"/>
  <c r="U387" i="28"/>
  <c r="U390" i="28"/>
  <c r="U379" i="28"/>
  <c r="U380" i="28"/>
  <c r="U378" i="28"/>
  <c r="U381" i="28"/>
  <c r="U370" i="28"/>
  <c r="U371" i="28"/>
  <c r="U369" i="28"/>
  <c r="U372" i="28"/>
  <c r="U361" i="28"/>
  <c r="U362" i="28"/>
  <c r="U360" i="28"/>
  <c r="U363" i="28"/>
  <c r="U352" i="28"/>
  <c r="U353" i="28"/>
  <c r="U351" i="28"/>
  <c r="U354" i="28"/>
  <c r="U343" i="28"/>
  <c r="U344" i="28"/>
  <c r="U342" i="28"/>
  <c r="U345" i="28"/>
  <c r="U334" i="28"/>
  <c r="U335" i="28"/>
  <c r="U333" i="28"/>
  <c r="U336" i="28"/>
  <c r="U459" i="28"/>
  <c r="U458" i="28"/>
  <c r="U457" i="28"/>
  <c r="U456" i="28"/>
  <c r="U455" i="28"/>
  <c r="U454" i="28"/>
  <c r="U445" i="28"/>
  <c r="U436" i="28"/>
  <c r="U427" i="28"/>
  <c r="U418" i="28"/>
  <c r="U409" i="28"/>
  <c r="U400" i="28"/>
  <c r="U391" i="28"/>
  <c r="U382" i="28"/>
  <c r="U373" i="28"/>
  <c r="U364" i="28"/>
  <c r="U355" i="28"/>
  <c r="U346" i="28"/>
  <c r="U337" i="28"/>
  <c r="U328" i="28"/>
  <c r="U327" i="28"/>
  <c r="U326" i="28"/>
  <c r="U313" i="28"/>
  <c r="U312" i="28"/>
  <c r="U311" i="28"/>
  <c r="U223" i="28"/>
  <c r="U222" i="28"/>
  <c r="U221" i="28"/>
  <c r="U220" i="28"/>
  <c r="U219" i="28"/>
  <c r="U218" i="28"/>
  <c r="V218" i="28" s="1"/>
  <c r="U217" i="28"/>
  <c r="U216" i="28"/>
  <c r="U175" i="28"/>
  <c r="U174" i="28"/>
  <c r="U173" i="28"/>
  <c r="U172" i="28"/>
  <c r="U171" i="28"/>
  <c r="U170" i="28"/>
  <c r="U169" i="28"/>
  <c r="AW180" i="26"/>
  <c r="AU180" i="26"/>
  <c r="AL180" i="26"/>
  <c r="AH180" i="26"/>
  <c r="U180" i="26"/>
  <c r="AW179" i="26"/>
  <c r="AU179" i="26"/>
  <c r="AL179" i="26"/>
  <c r="AH179" i="26"/>
  <c r="U179" i="26"/>
  <c r="AW178" i="26"/>
  <c r="AU178" i="26"/>
  <c r="AL178" i="26"/>
  <c r="AH178" i="26"/>
  <c r="U178" i="26"/>
  <c r="AW177" i="26"/>
  <c r="AU177" i="26"/>
  <c r="AL177" i="26"/>
  <c r="AH177" i="26"/>
  <c r="U177" i="26"/>
  <c r="AW176" i="26"/>
  <c r="AU176" i="26"/>
  <c r="AL176" i="26"/>
  <c r="AH176" i="26"/>
  <c r="U176" i="26"/>
  <c r="AW175" i="26"/>
  <c r="AU175" i="26"/>
  <c r="AL175" i="26"/>
  <c r="AH175" i="26"/>
  <c r="U175" i="26"/>
  <c r="AW174" i="26"/>
  <c r="AU174" i="26"/>
  <c r="AL174" i="26"/>
  <c r="AH174" i="26"/>
  <c r="U174" i="26"/>
  <c r="AW173" i="26"/>
  <c r="AU173" i="26"/>
  <c r="AL173" i="26"/>
  <c r="AH173" i="26"/>
  <c r="U173" i="26"/>
  <c r="AW172" i="26"/>
  <c r="AU172" i="26"/>
  <c r="AL172" i="26"/>
  <c r="AH172" i="26"/>
  <c r="U172" i="26"/>
  <c r="AW171" i="26"/>
  <c r="AU171" i="26"/>
  <c r="AL171" i="26"/>
  <c r="AH171" i="26"/>
  <c r="U171" i="26"/>
  <c r="AW170" i="26"/>
  <c r="AU170" i="26"/>
  <c r="AL170" i="26"/>
  <c r="AH170" i="26"/>
  <c r="U170" i="26"/>
  <c r="AW169" i="26"/>
  <c r="AU169" i="26"/>
  <c r="AL169" i="26"/>
  <c r="AH169" i="26"/>
  <c r="U169" i="26"/>
  <c r="AW168" i="26"/>
  <c r="AU168" i="26"/>
  <c r="AL168" i="26"/>
  <c r="AH168" i="26"/>
  <c r="U168" i="26"/>
  <c r="AW167" i="26"/>
  <c r="AU167" i="26"/>
  <c r="AL167" i="26"/>
  <c r="AH167" i="26"/>
  <c r="U167" i="26"/>
  <c r="AW166" i="26"/>
  <c r="AU166" i="26"/>
  <c r="AL166" i="26"/>
  <c r="AH166" i="26"/>
  <c r="U166" i="26"/>
  <c r="AL165" i="26"/>
  <c r="AH165" i="26"/>
  <c r="AL164" i="26"/>
  <c r="AH164" i="26"/>
  <c r="AL163" i="26"/>
  <c r="AH163" i="26"/>
  <c r="AG163" i="26" s="1"/>
  <c r="AL162" i="26"/>
  <c r="AH162" i="26"/>
  <c r="AG162" i="26" s="1"/>
  <c r="AH161" i="26"/>
  <c r="B161" i="26"/>
  <c r="AK455" i="28" s="1"/>
  <c r="AY160" i="26"/>
  <c r="AH160" i="26"/>
  <c r="AY159" i="26"/>
  <c r="AH159" i="26"/>
  <c r="AY158" i="26"/>
  <c r="AH158" i="26"/>
  <c r="AY157" i="26"/>
  <c r="AH157" i="26"/>
  <c r="AY156" i="26"/>
  <c r="AH156" i="26"/>
  <c r="AY155" i="26"/>
  <c r="AH155" i="26"/>
  <c r="AY154" i="26"/>
  <c r="AH154" i="26"/>
  <c r="AY153" i="26"/>
  <c r="AH153" i="26"/>
  <c r="AY152" i="26"/>
  <c r="AH152" i="26"/>
  <c r="AY151" i="26"/>
  <c r="AH151" i="26"/>
  <c r="AY150" i="26"/>
  <c r="AH150" i="26"/>
  <c r="AY149" i="26"/>
  <c r="AH149" i="26"/>
  <c r="AY148" i="26"/>
  <c r="AH148" i="26"/>
  <c r="AY147" i="26"/>
  <c r="AH147" i="26"/>
  <c r="AY146" i="26"/>
  <c r="AH146" i="26"/>
  <c r="AY145" i="26"/>
  <c r="AH145" i="26"/>
  <c r="AY144" i="26"/>
  <c r="AH144" i="26"/>
  <c r="AY143" i="26"/>
  <c r="AH143" i="26"/>
  <c r="AY142" i="26"/>
  <c r="AH142" i="26"/>
  <c r="AY141" i="26"/>
  <c r="AH141" i="26"/>
  <c r="AY140" i="26"/>
  <c r="AH140" i="26"/>
  <c r="AY139" i="26"/>
  <c r="AH139" i="26"/>
  <c r="AY138" i="26"/>
  <c r="AH138" i="26"/>
  <c r="AH137" i="26"/>
  <c r="AY136" i="26"/>
  <c r="AH136" i="26"/>
  <c r="AY135" i="26"/>
  <c r="AH135" i="26"/>
  <c r="AY134" i="26"/>
  <c r="AH134" i="26"/>
  <c r="AY133" i="26"/>
  <c r="AH133" i="26"/>
  <c r="AH132" i="26"/>
  <c r="AY131" i="26"/>
  <c r="AH131" i="26"/>
  <c r="AY130" i="26"/>
  <c r="AH130" i="26"/>
  <c r="AY129" i="26"/>
  <c r="AH129" i="26"/>
  <c r="AY128" i="26"/>
  <c r="AH128" i="26"/>
  <c r="AH127" i="26"/>
  <c r="AY126" i="26"/>
  <c r="AH126" i="26"/>
  <c r="AY125" i="26"/>
  <c r="AH125" i="26"/>
  <c r="AY124" i="26"/>
  <c r="AH124" i="26"/>
  <c r="AY123" i="26"/>
  <c r="AH123" i="26"/>
  <c r="AH122" i="26"/>
  <c r="AY121" i="26"/>
  <c r="AH121" i="26"/>
  <c r="AY120" i="26"/>
  <c r="AH120" i="26"/>
  <c r="AY119" i="26"/>
  <c r="AH119" i="26"/>
  <c r="AY118" i="26"/>
  <c r="AH118" i="26"/>
  <c r="AH117" i="26"/>
  <c r="AY116" i="26"/>
  <c r="AH116" i="26"/>
  <c r="AY115" i="26"/>
  <c r="AH115" i="26"/>
  <c r="AY114" i="26"/>
  <c r="AH114" i="26"/>
  <c r="AY113" i="26"/>
  <c r="AH113" i="26"/>
  <c r="AY112" i="26"/>
  <c r="AH112" i="26"/>
  <c r="AY111" i="26"/>
  <c r="AH111" i="26"/>
  <c r="AY110" i="26"/>
  <c r="AH110" i="26"/>
  <c r="AY109" i="26"/>
  <c r="AH109" i="26"/>
  <c r="AY108" i="26"/>
  <c r="AH108" i="26"/>
  <c r="AH107" i="26"/>
  <c r="AY106" i="26"/>
  <c r="AH106" i="26"/>
  <c r="AQ105" i="26"/>
  <c r="AO105" i="26"/>
  <c r="AL105" i="26"/>
  <c r="AH105" i="26"/>
  <c r="AQ104" i="26"/>
  <c r="AO104" i="26"/>
  <c r="AL104" i="26"/>
  <c r="AH104" i="26"/>
  <c r="AQ103" i="26"/>
  <c r="AO103" i="26"/>
  <c r="AL103" i="26"/>
  <c r="AH103" i="26"/>
  <c r="AQ102" i="26"/>
  <c r="AO102" i="26"/>
  <c r="AL102" i="26"/>
  <c r="AH102" i="26"/>
  <c r="AQ101" i="26"/>
  <c r="AO101" i="26"/>
  <c r="AL101" i="26"/>
  <c r="AH101" i="26"/>
  <c r="AQ100" i="26"/>
  <c r="AO100" i="26"/>
  <c r="AL100" i="26"/>
  <c r="AH100" i="26"/>
  <c r="AQ99" i="26"/>
  <c r="AO99" i="26"/>
  <c r="AL99" i="26"/>
  <c r="AH99" i="26"/>
  <c r="AQ98" i="26"/>
  <c r="AO98" i="26"/>
  <c r="AL98" i="26"/>
  <c r="AH98" i="26"/>
  <c r="AQ97" i="26"/>
  <c r="AO97" i="26"/>
  <c r="AL97" i="26"/>
  <c r="AH97" i="26"/>
  <c r="AQ96" i="26"/>
  <c r="AO96" i="26"/>
  <c r="AL96" i="26"/>
  <c r="AH96" i="26"/>
  <c r="AQ95" i="26"/>
  <c r="AO95" i="26"/>
  <c r="AL95" i="26"/>
  <c r="AH95" i="26"/>
  <c r="AQ94" i="26"/>
  <c r="AO94" i="26"/>
  <c r="AL94" i="26"/>
  <c r="AH94" i="26"/>
  <c r="AQ93" i="26"/>
  <c r="AO93" i="26"/>
  <c r="AL93" i="26"/>
  <c r="AH93" i="26"/>
  <c r="AQ92" i="26"/>
  <c r="AO92" i="26"/>
  <c r="AL92" i="26"/>
  <c r="AH92" i="26"/>
  <c r="AQ91" i="26"/>
  <c r="AO91" i="26"/>
  <c r="AL91" i="26"/>
  <c r="AH91" i="26"/>
  <c r="AL90" i="26"/>
  <c r="AL89" i="26"/>
  <c r="AL88" i="26"/>
  <c r="B87" i="26"/>
  <c r="U87" i="26"/>
  <c r="U86" i="26"/>
  <c r="AL85" i="26"/>
  <c r="B85" i="26" s="1"/>
  <c r="AK313" i="28" s="1"/>
  <c r="AL84" i="26"/>
  <c r="AW82" i="26"/>
  <c r="AU82" i="26"/>
  <c r="AL82" i="26"/>
  <c r="AH82" i="26"/>
  <c r="U82" i="26"/>
  <c r="AW81" i="26"/>
  <c r="AU81" i="26"/>
  <c r="AL81" i="26"/>
  <c r="AH81" i="26"/>
  <c r="U81" i="26"/>
  <c r="AW80" i="26"/>
  <c r="AU80" i="26"/>
  <c r="AL80" i="26"/>
  <c r="AH80" i="26"/>
  <c r="U80" i="26"/>
  <c r="AW79" i="26"/>
  <c r="AU79" i="26"/>
  <c r="AL79" i="26"/>
  <c r="AH79" i="26"/>
  <c r="U79" i="26"/>
  <c r="AW78" i="26"/>
  <c r="AU78" i="26"/>
  <c r="AL78" i="26"/>
  <c r="AH78" i="26"/>
  <c r="U78" i="26"/>
  <c r="AW77" i="26"/>
  <c r="AU77" i="26"/>
  <c r="AL77" i="26"/>
  <c r="AH77" i="26"/>
  <c r="U77" i="26"/>
  <c r="AW76" i="26"/>
  <c r="AU76" i="26"/>
  <c r="AL76" i="26"/>
  <c r="AH76" i="26"/>
  <c r="U76" i="26"/>
  <c r="AW75" i="26"/>
  <c r="AU75" i="26"/>
  <c r="AL75" i="26"/>
  <c r="AH75" i="26"/>
  <c r="U75" i="26"/>
  <c r="AW74" i="26"/>
  <c r="AU74" i="26"/>
  <c r="AL74" i="26"/>
  <c r="AH74" i="26"/>
  <c r="U74" i="26"/>
  <c r="AW73" i="26"/>
  <c r="AU73" i="26"/>
  <c r="AL73" i="26"/>
  <c r="AH73" i="26"/>
  <c r="U73" i="26"/>
  <c r="AW72" i="26"/>
  <c r="AU72" i="26"/>
  <c r="AL72" i="26"/>
  <c r="AH72" i="26"/>
  <c r="U72" i="26"/>
  <c r="AW71" i="26"/>
  <c r="AU71" i="26"/>
  <c r="AL71" i="26"/>
  <c r="AH71" i="26"/>
  <c r="U71" i="26"/>
  <c r="AW70" i="26"/>
  <c r="AU70" i="26"/>
  <c r="AL70" i="26"/>
  <c r="AH70" i="26"/>
  <c r="U70" i="26"/>
  <c r="AW69" i="26"/>
  <c r="AU69" i="26"/>
  <c r="AL69" i="26"/>
  <c r="AH69" i="26"/>
  <c r="U69" i="26"/>
  <c r="AW68" i="26"/>
  <c r="AU68" i="26"/>
  <c r="AL68" i="26"/>
  <c r="AH68" i="26"/>
  <c r="U68" i="26"/>
  <c r="AL67" i="26"/>
  <c r="B67" i="26" s="1"/>
  <c r="AL66" i="26"/>
  <c r="B66" i="26" s="1"/>
  <c r="AH59" i="26"/>
  <c r="U59" i="26"/>
  <c r="AH58" i="26"/>
  <c r="U58" i="26"/>
  <c r="AH57" i="26"/>
  <c r="U57" i="26"/>
  <c r="AH56" i="26"/>
  <c r="U56" i="26"/>
  <c r="BS55" i="26"/>
  <c r="AT55" i="26"/>
  <c r="BB55" i="26"/>
  <c r="AL55" i="26"/>
  <c r="AH55" i="26"/>
  <c r="BS54" i="26"/>
  <c r="AT54" i="26"/>
  <c r="BB54" i="26"/>
  <c r="BX54" i="26" s="1"/>
  <c r="AL54" i="26"/>
  <c r="AH54" i="26"/>
  <c r="BS53" i="26"/>
  <c r="AT53" i="26"/>
  <c r="BG53" i="26" s="1"/>
  <c r="BO53" i="26" s="1"/>
  <c r="BB53" i="26"/>
  <c r="AL53" i="26"/>
  <c r="AH53" i="26"/>
  <c r="BS52" i="26"/>
  <c r="AT52" i="26"/>
  <c r="AX52" i="26"/>
  <c r="AL52" i="26"/>
  <c r="AH52" i="26"/>
  <c r="AL47" i="26"/>
  <c r="AK167" i="28"/>
  <c r="AL46" i="26"/>
  <c r="AL45" i="26"/>
  <c r="AH44" i="26"/>
  <c r="U44" i="26"/>
  <c r="AH43" i="26"/>
  <c r="U43" i="26"/>
  <c r="AH42" i="26"/>
  <c r="U42" i="26"/>
  <c r="AH41" i="26"/>
  <c r="U41" i="26"/>
  <c r="AH40" i="26"/>
  <c r="U40" i="26"/>
  <c r="AH39" i="26"/>
  <c r="U39" i="26"/>
  <c r="AH38" i="26"/>
  <c r="U38" i="26"/>
  <c r="AH37" i="26"/>
  <c r="U37" i="26"/>
  <c r="AH36" i="26"/>
  <c r="U36" i="26"/>
  <c r="AH35" i="26"/>
  <c r="U35" i="26"/>
  <c r="AH34" i="26"/>
  <c r="U34" i="26"/>
  <c r="AH33" i="26"/>
  <c r="U33" i="26"/>
  <c r="AH32" i="26"/>
  <c r="U32" i="26"/>
  <c r="AH31" i="26"/>
  <c r="U31" i="26"/>
  <c r="AH30" i="26"/>
  <c r="U30" i="26"/>
  <c r="AH29" i="26"/>
  <c r="U29" i="26"/>
  <c r="AH28" i="26"/>
  <c r="U28" i="26"/>
  <c r="AH27" i="26"/>
  <c r="U27" i="26"/>
  <c r="AH26" i="26"/>
  <c r="U26" i="26"/>
  <c r="AH25" i="26"/>
  <c r="U25" i="26"/>
  <c r="AH24" i="26"/>
  <c r="U24" i="26"/>
  <c r="AH23" i="26"/>
  <c r="U23" i="26"/>
  <c r="AH22" i="26"/>
  <c r="U22" i="26"/>
  <c r="AH21" i="26"/>
  <c r="U21" i="26"/>
  <c r="AB17" i="26"/>
  <c r="S16" i="26"/>
  <c r="S14" i="26"/>
  <c r="S12" i="26"/>
  <c r="S10" i="26"/>
  <c r="U8" i="26"/>
  <c r="AL22" i="15"/>
  <c r="U165" i="26"/>
  <c r="U164" i="26"/>
  <c r="U163" i="26"/>
  <c r="U162" i="26"/>
  <c r="U161" i="26"/>
  <c r="U160" i="26"/>
  <c r="U159" i="26"/>
  <c r="U158" i="26"/>
  <c r="U157" i="26"/>
  <c r="U156" i="26"/>
  <c r="U155" i="26"/>
  <c r="U154" i="26"/>
  <c r="U153" i="26"/>
  <c r="U152" i="26"/>
  <c r="U151" i="26"/>
  <c r="U150" i="26"/>
  <c r="U149" i="26"/>
  <c r="U148" i="26"/>
  <c r="U147" i="26"/>
  <c r="U146" i="26"/>
  <c r="U145" i="26"/>
  <c r="U144" i="26"/>
  <c r="U143" i="26"/>
  <c r="U142" i="26"/>
  <c r="U141" i="26"/>
  <c r="U140" i="26"/>
  <c r="U139" i="26"/>
  <c r="U138" i="26"/>
  <c r="U137" i="26"/>
  <c r="U136" i="26"/>
  <c r="U135" i="26"/>
  <c r="U134" i="26"/>
  <c r="U133" i="26"/>
  <c r="U132" i="26"/>
  <c r="U131" i="26"/>
  <c r="U130" i="26"/>
  <c r="U129" i="26"/>
  <c r="U128" i="26"/>
  <c r="U127" i="26"/>
  <c r="U126" i="26"/>
  <c r="U125" i="26"/>
  <c r="U124" i="26"/>
  <c r="U123" i="26"/>
  <c r="U122" i="26"/>
  <c r="U121" i="26"/>
  <c r="U120" i="26"/>
  <c r="U119" i="26"/>
  <c r="U118" i="26"/>
  <c r="U117" i="26"/>
  <c r="U116" i="26"/>
  <c r="U115" i="26"/>
  <c r="U114" i="26"/>
  <c r="U113" i="26"/>
  <c r="U112" i="26"/>
  <c r="U111" i="26"/>
  <c r="U110" i="26"/>
  <c r="U109" i="26"/>
  <c r="U108" i="26"/>
  <c r="U107" i="26"/>
  <c r="U106" i="26"/>
  <c r="U105" i="26"/>
  <c r="U104" i="26"/>
  <c r="U103" i="26"/>
  <c r="U102" i="26"/>
  <c r="U101" i="26"/>
  <c r="U100" i="26"/>
  <c r="U99" i="26"/>
  <c r="U98" i="26"/>
  <c r="U97" i="26"/>
  <c r="U96" i="26"/>
  <c r="U95" i="26"/>
  <c r="U94" i="26"/>
  <c r="U93" i="26"/>
  <c r="U92" i="26"/>
  <c r="U91" i="26"/>
  <c r="U90" i="26"/>
  <c r="U89" i="26"/>
  <c r="U88" i="26"/>
  <c r="U85" i="26"/>
  <c r="U84" i="26"/>
  <c r="U83" i="26"/>
  <c r="U67" i="26"/>
  <c r="U66" i="26"/>
  <c r="U65" i="26"/>
  <c r="U64" i="26"/>
  <c r="U63" i="26"/>
  <c r="U62" i="26"/>
  <c r="V62" i="26" s="1"/>
  <c r="U61" i="26"/>
  <c r="U60" i="26"/>
  <c r="U55" i="26"/>
  <c r="U54" i="26"/>
  <c r="U53" i="26"/>
  <c r="U52" i="26"/>
  <c r="U51" i="26"/>
  <c r="U50" i="26"/>
  <c r="U49" i="26"/>
  <c r="AH49" i="25"/>
  <c r="AH48" i="25"/>
  <c r="AH39" i="25"/>
  <c r="AH41" i="25" s="1"/>
  <c r="AH36" i="25"/>
  <c r="AH47" i="25"/>
  <c r="AI26" i="25"/>
  <c r="AG26" i="25"/>
  <c r="AY137" i="26" s="1"/>
  <c r="AG25" i="25"/>
  <c r="AG24" i="25"/>
  <c r="AY127" i="26" s="1"/>
  <c r="AG23" i="25"/>
  <c r="AY122" i="26" s="1"/>
  <c r="AG22" i="25"/>
  <c r="D13" i="25"/>
  <c r="D14" i="26" s="1"/>
  <c r="D11" i="25"/>
  <c r="D12" i="26" s="1"/>
  <c r="D9" i="25"/>
  <c r="D10" i="26" s="1"/>
  <c r="D7" i="25"/>
  <c r="D8" i="26" s="1"/>
  <c r="D5" i="25"/>
  <c r="AW180" i="23"/>
  <c r="AU180" i="23"/>
  <c r="AL180" i="23"/>
  <c r="AH180" i="23"/>
  <c r="U180" i="23"/>
  <c r="AW179" i="23"/>
  <c r="AU179" i="23"/>
  <c r="AL179" i="23"/>
  <c r="AH179" i="23"/>
  <c r="U179" i="23"/>
  <c r="AW178" i="23"/>
  <c r="AU178" i="23"/>
  <c r="AL178" i="23"/>
  <c r="AH178" i="23"/>
  <c r="U178" i="23"/>
  <c r="AW177" i="23"/>
  <c r="AU177" i="23"/>
  <c r="AL177" i="23"/>
  <c r="AH177" i="23"/>
  <c r="U177" i="23"/>
  <c r="AW176" i="23"/>
  <c r="AU176" i="23"/>
  <c r="AL176" i="23"/>
  <c r="AH176" i="23"/>
  <c r="U176" i="23"/>
  <c r="AW175" i="23"/>
  <c r="AU175" i="23"/>
  <c r="AL175" i="23"/>
  <c r="AH175" i="23"/>
  <c r="U175" i="23"/>
  <c r="AW174" i="23"/>
  <c r="AU174" i="23"/>
  <c r="AL174" i="23"/>
  <c r="AH174" i="23"/>
  <c r="U174" i="23"/>
  <c r="AW173" i="23"/>
  <c r="AU173" i="23"/>
  <c r="AL173" i="23"/>
  <c r="AH173" i="23"/>
  <c r="U173" i="23"/>
  <c r="AW172" i="23"/>
  <c r="AU172" i="23"/>
  <c r="AL172" i="23"/>
  <c r="AH172" i="23"/>
  <c r="U172" i="23"/>
  <c r="AW171" i="23"/>
  <c r="AU171" i="23"/>
  <c r="AL171" i="23"/>
  <c r="AH171" i="23"/>
  <c r="U171" i="23"/>
  <c r="AW170" i="23"/>
  <c r="AU170" i="23"/>
  <c r="AL170" i="23"/>
  <c r="AH170" i="23"/>
  <c r="U170" i="23"/>
  <c r="AW169" i="23"/>
  <c r="AU169" i="23"/>
  <c r="AL169" i="23"/>
  <c r="AH169" i="23"/>
  <c r="U169" i="23"/>
  <c r="AW168" i="23"/>
  <c r="AU168" i="23"/>
  <c r="AL168" i="23"/>
  <c r="AH168" i="23"/>
  <c r="U168" i="23"/>
  <c r="AW167" i="23"/>
  <c r="AU167" i="23"/>
  <c r="AL167" i="23"/>
  <c r="AH167" i="23"/>
  <c r="U167" i="23"/>
  <c r="AW166" i="23"/>
  <c r="AU166" i="23"/>
  <c r="AL166" i="23"/>
  <c r="AH166" i="23"/>
  <c r="U166" i="23"/>
  <c r="AL165" i="23"/>
  <c r="AH165" i="23"/>
  <c r="AL164" i="23"/>
  <c r="AH164" i="23"/>
  <c r="AL163" i="23"/>
  <c r="AH163" i="23"/>
  <c r="AG163" i="23" s="1"/>
  <c r="AL162" i="23"/>
  <c r="AH162" i="23"/>
  <c r="AG162" i="23" s="1"/>
  <c r="AH161" i="23"/>
  <c r="AH160" i="23"/>
  <c r="AH159" i="23"/>
  <c r="AH158" i="23"/>
  <c r="AH157" i="23"/>
  <c r="AH156" i="23"/>
  <c r="AH155" i="23"/>
  <c r="AH154" i="23"/>
  <c r="AH153" i="23"/>
  <c r="AH152" i="23"/>
  <c r="AH151" i="23"/>
  <c r="AH150" i="23"/>
  <c r="AH149" i="23"/>
  <c r="AH148" i="23"/>
  <c r="AH147" i="23"/>
  <c r="AH146" i="23"/>
  <c r="AH145" i="23"/>
  <c r="AH144" i="23"/>
  <c r="AH143" i="23"/>
  <c r="AH142" i="23"/>
  <c r="AH141" i="23"/>
  <c r="AH140" i="23"/>
  <c r="AH139" i="23"/>
  <c r="AH138" i="23"/>
  <c r="AH137" i="23"/>
  <c r="AH136" i="23"/>
  <c r="AH135" i="23"/>
  <c r="AH134" i="23"/>
  <c r="AH133" i="23"/>
  <c r="AH132" i="23"/>
  <c r="AH131" i="23"/>
  <c r="AH130" i="23"/>
  <c r="AH129" i="23"/>
  <c r="AH128" i="23"/>
  <c r="AH127" i="23"/>
  <c r="AH126" i="23"/>
  <c r="AH125" i="23"/>
  <c r="AH124" i="23"/>
  <c r="AH123" i="23"/>
  <c r="AH122" i="23"/>
  <c r="AH121" i="23"/>
  <c r="AH120" i="23"/>
  <c r="AH119" i="23"/>
  <c r="AH118" i="23"/>
  <c r="AH117" i="23"/>
  <c r="AH116" i="23"/>
  <c r="AH115" i="23"/>
  <c r="AH114" i="23"/>
  <c r="AH113" i="23"/>
  <c r="AH112" i="23"/>
  <c r="AH111" i="23"/>
  <c r="AH110" i="23"/>
  <c r="AH109" i="23"/>
  <c r="AH108" i="23"/>
  <c r="AH107" i="23"/>
  <c r="AH106" i="23"/>
  <c r="AQ105" i="23"/>
  <c r="AO105" i="23"/>
  <c r="AL105" i="23"/>
  <c r="AH105" i="23"/>
  <c r="AQ104" i="23"/>
  <c r="AO104" i="23"/>
  <c r="AL104" i="23"/>
  <c r="AH104" i="23"/>
  <c r="AQ103" i="23"/>
  <c r="AO103" i="23"/>
  <c r="AL103" i="23"/>
  <c r="AH103" i="23"/>
  <c r="AQ102" i="23"/>
  <c r="AO102" i="23"/>
  <c r="AL102" i="23"/>
  <c r="AH102" i="23"/>
  <c r="AQ101" i="23"/>
  <c r="AO101" i="23"/>
  <c r="AL101" i="23"/>
  <c r="AH101" i="23"/>
  <c r="AQ100" i="23"/>
  <c r="AO100" i="23"/>
  <c r="AL100" i="23"/>
  <c r="AH100" i="23"/>
  <c r="AQ99" i="23"/>
  <c r="AO99" i="23"/>
  <c r="AL99" i="23"/>
  <c r="AH99" i="23"/>
  <c r="AQ98" i="23"/>
  <c r="AO98" i="23"/>
  <c r="AL98" i="23"/>
  <c r="AH98" i="23"/>
  <c r="AQ97" i="23"/>
  <c r="AO97" i="23"/>
  <c r="AL97" i="23"/>
  <c r="AH97" i="23"/>
  <c r="AQ96" i="23"/>
  <c r="AO96" i="23"/>
  <c r="AL96" i="23"/>
  <c r="AH96" i="23"/>
  <c r="AQ95" i="23"/>
  <c r="AO95" i="23"/>
  <c r="AL95" i="23"/>
  <c r="AH95" i="23"/>
  <c r="AQ94" i="23"/>
  <c r="AO94" i="23"/>
  <c r="AL94" i="23"/>
  <c r="AH94" i="23"/>
  <c r="AQ93" i="23"/>
  <c r="AO93" i="23"/>
  <c r="AL93" i="23"/>
  <c r="AH93" i="23"/>
  <c r="AQ92" i="23"/>
  <c r="AO92" i="23"/>
  <c r="AL92" i="23"/>
  <c r="AH92" i="23"/>
  <c r="AQ91" i="23"/>
  <c r="AO91" i="23"/>
  <c r="AL91" i="23"/>
  <c r="AH91" i="23"/>
  <c r="B87" i="23"/>
  <c r="Z87" i="23"/>
  <c r="U87" i="23"/>
  <c r="U86" i="23"/>
  <c r="AL84" i="23"/>
  <c r="AW82" i="23"/>
  <c r="AU82" i="23"/>
  <c r="AL82" i="23"/>
  <c r="AH82" i="23"/>
  <c r="U82" i="23"/>
  <c r="AW81" i="23"/>
  <c r="AU81" i="23"/>
  <c r="AL81" i="23"/>
  <c r="AH81" i="23"/>
  <c r="U81" i="23"/>
  <c r="AW80" i="23"/>
  <c r="AU80" i="23"/>
  <c r="AL80" i="23"/>
  <c r="AH80" i="23"/>
  <c r="U80" i="23"/>
  <c r="AW79" i="23"/>
  <c r="AU79" i="23"/>
  <c r="AL79" i="23"/>
  <c r="AH79" i="23"/>
  <c r="U79" i="23"/>
  <c r="AW78" i="23"/>
  <c r="AU78" i="23"/>
  <c r="AL78" i="23"/>
  <c r="AH78" i="23"/>
  <c r="U78" i="23"/>
  <c r="AW77" i="23"/>
  <c r="AU77" i="23"/>
  <c r="AL77" i="23"/>
  <c r="AH77" i="23"/>
  <c r="U77" i="23"/>
  <c r="AW76" i="23"/>
  <c r="AU76" i="23"/>
  <c r="AL76" i="23"/>
  <c r="AH76" i="23"/>
  <c r="U76" i="23"/>
  <c r="AW75" i="23"/>
  <c r="AU75" i="23"/>
  <c r="AL75" i="23"/>
  <c r="AH75" i="23"/>
  <c r="U75" i="23"/>
  <c r="AW74" i="23"/>
  <c r="AU74" i="23"/>
  <c r="AL74" i="23"/>
  <c r="AH74" i="23"/>
  <c r="U74" i="23"/>
  <c r="AW73" i="23"/>
  <c r="AU73" i="23"/>
  <c r="AL73" i="23"/>
  <c r="AH73" i="23"/>
  <c r="U73" i="23"/>
  <c r="AW72" i="23"/>
  <c r="AU72" i="23"/>
  <c r="AL72" i="23"/>
  <c r="AH72" i="23"/>
  <c r="U72" i="23"/>
  <c r="AW71" i="23"/>
  <c r="AU71" i="23"/>
  <c r="AL71" i="23"/>
  <c r="AH71" i="23"/>
  <c r="U71" i="23"/>
  <c r="AW70" i="23"/>
  <c r="AU70" i="23"/>
  <c r="AL70" i="23"/>
  <c r="AH70" i="23"/>
  <c r="U70" i="23"/>
  <c r="AW69" i="23"/>
  <c r="AU69" i="23"/>
  <c r="AL69" i="23"/>
  <c r="AH69" i="23"/>
  <c r="U69" i="23"/>
  <c r="AW68" i="23"/>
  <c r="AU68" i="23"/>
  <c r="AL68" i="23"/>
  <c r="AH68" i="23"/>
  <c r="U68" i="23"/>
  <c r="U59" i="23"/>
  <c r="U58" i="23"/>
  <c r="U57" i="23"/>
  <c r="U56" i="23"/>
  <c r="BS55" i="23"/>
  <c r="AT55" i="23"/>
  <c r="BB55" i="23"/>
  <c r="BS54" i="23"/>
  <c r="AT54" i="23"/>
  <c r="BB54" i="23"/>
  <c r="BX54" i="23" s="1"/>
  <c r="BS53" i="23"/>
  <c r="AT53" i="23"/>
  <c r="BG53" i="23" s="1"/>
  <c r="BB53" i="23"/>
  <c r="BS52" i="23"/>
  <c r="AT52" i="23"/>
  <c r="BG52" i="23" s="1"/>
  <c r="BK52" i="23" s="1"/>
  <c r="AX52" i="23"/>
  <c r="AH44" i="23"/>
  <c r="U44" i="23"/>
  <c r="AH43" i="23"/>
  <c r="U43" i="23"/>
  <c r="AH42" i="23"/>
  <c r="U42" i="23"/>
  <c r="AH41" i="23"/>
  <c r="U41" i="23"/>
  <c r="AH40" i="23"/>
  <c r="U40" i="23"/>
  <c r="AH39" i="23"/>
  <c r="U39" i="23"/>
  <c r="AH38" i="23"/>
  <c r="U38" i="23"/>
  <c r="AH37" i="23"/>
  <c r="U37" i="23"/>
  <c r="AH36" i="23"/>
  <c r="U36" i="23"/>
  <c r="AH35" i="23"/>
  <c r="U35" i="23"/>
  <c r="AH34" i="23"/>
  <c r="U34" i="23"/>
  <c r="AH33" i="23"/>
  <c r="U33" i="23"/>
  <c r="AH32" i="23"/>
  <c r="U32" i="23"/>
  <c r="AH31" i="23"/>
  <c r="U31" i="23"/>
  <c r="AH30" i="23"/>
  <c r="U30" i="23"/>
  <c r="AH29" i="23"/>
  <c r="U29" i="23"/>
  <c r="AH28" i="23"/>
  <c r="U28" i="23"/>
  <c r="AH27" i="23"/>
  <c r="U27" i="23"/>
  <c r="AH26" i="23"/>
  <c r="U26" i="23"/>
  <c r="AH25" i="23"/>
  <c r="U25" i="23"/>
  <c r="AH24" i="23"/>
  <c r="U24" i="23"/>
  <c r="AH23" i="23"/>
  <c r="U23" i="23"/>
  <c r="AH22" i="23"/>
  <c r="U22" i="23"/>
  <c r="AH21" i="23"/>
  <c r="U21" i="23"/>
  <c r="AB17" i="23"/>
  <c r="S16" i="23"/>
  <c r="S14" i="23"/>
  <c r="S12" i="23"/>
  <c r="S10" i="23"/>
  <c r="U8" i="23"/>
  <c r="AL23" i="15"/>
  <c r="U165" i="23"/>
  <c r="U164" i="23"/>
  <c r="U163" i="23"/>
  <c r="U162" i="23"/>
  <c r="U161" i="23"/>
  <c r="U160" i="23"/>
  <c r="U159" i="23"/>
  <c r="U158" i="23"/>
  <c r="U157" i="23"/>
  <c r="U156" i="23"/>
  <c r="U155" i="23"/>
  <c r="U154" i="23"/>
  <c r="U153" i="23"/>
  <c r="U152" i="23"/>
  <c r="U151" i="23"/>
  <c r="U150" i="23"/>
  <c r="U149" i="23"/>
  <c r="U148" i="23"/>
  <c r="U147" i="23"/>
  <c r="U146" i="23"/>
  <c r="U145" i="23"/>
  <c r="U144" i="23"/>
  <c r="U143" i="23"/>
  <c r="U142" i="23"/>
  <c r="U141" i="23"/>
  <c r="U140" i="23"/>
  <c r="U139" i="23"/>
  <c r="U138" i="23"/>
  <c r="U137" i="23"/>
  <c r="U136" i="23"/>
  <c r="U135" i="23"/>
  <c r="U134" i="23"/>
  <c r="U133" i="23"/>
  <c r="U132" i="23"/>
  <c r="U131" i="23"/>
  <c r="U130" i="23"/>
  <c r="U129" i="23"/>
  <c r="U128" i="23"/>
  <c r="U127" i="23"/>
  <c r="U126" i="23"/>
  <c r="U125" i="23"/>
  <c r="U124" i="23"/>
  <c r="U123" i="23"/>
  <c r="U122" i="23"/>
  <c r="U121" i="23"/>
  <c r="U120" i="23"/>
  <c r="U119" i="23"/>
  <c r="U118" i="23"/>
  <c r="U117" i="23"/>
  <c r="U116" i="23"/>
  <c r="U115" i="23"/>
  <c r="U114" i="23"/>
  <c r="U113" i="23"/>
  <c r="U112" i="23"/>
  <c r="U111" i="23"/>
  <c r="U110" i="23"/>
  <c r="U109" i="23"/>
  <c r="U108" i="23"/>
  <c r="U107" i="23"/>
  <c r="U106" i="23"/>
  <c r="U105" i="23"/>
  <c r="U104" i="23"/>
  <c r="U103" i="23"/>
  <c r="U102" i="23"/>
  <c r="U101" i="23"/>
  <c r="U100" i="23"/>
  <c r="U99" i="23"/>
  <c r="U98" i="23"/>
  <c r="U97" i="23"/>
  <c r="U96" i="23"/>
  <c r="U95" i="23"/>
  <c r="U94" i="23"/>
  <c r="U93" i="23"/>
  <c r="U92" i="23"/>
  <c r="U91" i="23"/>
  <c r="U90" i="23"/>
  <c r="U89" i="23"/>
  <c r="U88" i="23"/>
  <c r="U85" i="23"/>
  <c r="U84" i="23"/>
  <c r="U83" i="23"/>
  <c r="U67" i="23"/>
  <c r="U66" i="23"/>
  <c r="U65" i="23"/>
  <c r="U64" i="23"/>
  <c r="U63" i="23"/>
  <c r="U62" i="23"/>
  <c r="V62" i="23" s="1"/>
  <c r="U61" i="23"/>
  <c r="U60" i="23"/>
  <c r="U55" i="23"/>
  <c r="U54" i="23"/>
  <c r="U53" i="23"/>
  <c r="U52" i="23"/>
  <c r="U51" i="23"/>
  <c r="U50" i="23"/>
  <c r="U49" i="23"/>
  <c r="AH49" i="22"/>
  <c r="AH48" i="22"/>
  <c r="AH39" i="22"/>
  <c r="AH36" i="22"/>
  <c r="AH47" i="22"/>
  <c r="AP161" i="23"/>
  <c r="AI26" i="22"/>
  <c r="AG26" i="22"/>
  <c r="AG25" i="22"/>
  <c r="AG24" i="22"/>
  <c r="AG23" i="22"/>
  <c r="AG22" i="22"/>
  <c r="D13" i="22"/>
  <c r="D14" i="23" s="1"/>
  <c r="D11" i="22"/>
  <c r="D12" i="23" s="1"/>
  <c r="D9" i="22"/>
  <c r="D10" i="23" s="1"/>
  <c r="D7" i="22"/>
  <c r="D8" i="23" s="1"/>
  <c r="D5" i="22"/>
  <c r="AW180" i="20"/>
  <c r="AU180" i="20"/>
  <c r="AL180" i="20"/>
  <c r="AH180" i="20"/>
  <c r="U180" i="20"/>
  <c r="AW179" i="20"/>
  <c r="AU179" i="20"/>
  <c r="AL179" i="20"/>
  <c r="AH179" i="20"/>
  <c r="U179" i="20"/>
  <c r="AW178" i="20"/>
  <c r="AU178" i="20"/>
  <c r="AL178" i="20"/>
  <c r="AH178" i="20"/>
  <c r="U178" i="20"/>
  <c r="AW177" i="20"/>
  <c r="AU177" i="20"/>
  <c r="AL177" i="20"/>
  <c r="AH177" i="20"/>
  <c r="U177" i="20"/>
  <c r="AW176" i="20"/>
  <c r="AU176" i="20"/>
  <c r="AL176" i="20"/>
  <c r="AH176" i="20"/>
  <c r="U176" i="20"/>
  <c r="AW175" i="20"/>
  <c r="AU175" i="20"/>
  <c r="AL175" i="20"/>
  <c r="AH175" i="20"/>
  <c r="U175" i="20"/>
  <c r="AW174" i="20"/>
  <c r="AU174" i="20"/>
  <c r="AL174" i="20"/>
  <c r="AH174" i="20"/>
  <c r="U174" i="20"/>
  <c r="AW173" i="20"/>
  <c r="AU173" i="20"/>
  <c r="AL173" i="20"/>
  <c r="AH173" i="20"/>
  <c r="U173" i="20"/>
  <c r="AW172" i="20"/>
  <c r="AU172" i="20"/>
  <c r="AL172" i="20"/>
  <c r="AH172" i="20"/>
  <c r="U172" i="20"/>
  <c r="AW171" i="20"/>
  <c r="AU171" i="20"/>
  <c r="AL171" i="20"/>
  <c r="AH171" i="20"/>
  <c r="U171" i="20"/>
  <c r="AW170" i="20"/>
  <c r="AU170" i="20"/>
  <c r="AL170" i="20"/>
  <c r="AH170" i="20"/>
  <c r="U170" i="20"/>
  <c r="AW169" i="20"/>
  <c r="AU169" i="20"/>
  <c r="AL169" i="20"/>
  <c r="AH169" i="20"/>
  <c r="U169" i="20"/>
  <c r="AW168" i="20"/>
  <c r="AU168" i="20"/>
  <c r="AL168" i="20"/>
  <c r="AH168" i="20"/>
  <c r="U168" i="20"/>
  <c r="AW167" i="20"/>
  <c r="AU167" i="20"/>
  <c r="AL167" i="20"/>
  <c r="AH167" i="20"/>
  <c r="U167" i="20"/>
  <c r="AW166" i="20"/>
  <c r="AU166" i="20"/>
  <c r="AL166" i="20"/>
  <c r="AH166" i="20"/>
  <c r="U166" i="20"/>
  <c r="AL165" i="20"/>
  <c r="AH165" i="20"/>
  <c r="AL164" i="20"/>
  <c r="AH164" i="20"/>
  <c r="AL163" i="20"/>
  <c r="AH163" i="20"/>
  <c r="AG163" i="20" s="1"/>
  <c r="AL162" i="20"/>
  <c r="AH162" i="20"/>
  <c r="AG162" i="20" s="1"/>
  <c r="AH161" i="20"/>
  <c r="AH160" i="20"/>
  <c r="AH159" i="20"/>
  <c r="AH158" i="20"/>
  <c r="AH157" i="20"/>
  <c r="AH156" i="20"/>
  <c r="AH155" i="20"/>
  <c r="AH154" i="20"/>
  <c r="AH153" i="20"/>
  <c r="AH152" i="20"/>
  <c r="AH151" i="20"/>
  <c r="AH150" i="20"/>
  <c r="AH149" i="20"/>
  <c r="AH148" i="20"/>
  <c r="AH147" i="20"/>
  <c r="AH146" i="20"/>
  <c r="AH145" i="20"/>
  <c r="AH144" i="20"/>
  <c r="AH143" i="20"/>
  <c r="AH142" i="20"/>
  <c r="AH141" i="20"/>
  <c r="AH140" i="20"/>
  <c r="AH139" i="20"/>
  <c r="AH138" i="20"/>
  <c r="AH137" i="20"/>
  <c r="AH136" i="20"/>
  <c r="AH135" i="20"/>
  <c r="AH134" i="20"/>
  <c r="AH133" i="20"/>
  <c r="AH132" i="20"/>
  <c r="AH131" i="20"/>
  <c r="AH130" i="20"/>
  <c r="AH129" i="20"/>
  <c r="AH128" i="20"/>
  <c r="AH127" i="20"/>
  <c r="AH126" i="20"/>
  <c r="AH125" i="20"/>
  <c r="AH124" i="20"/>
  <c r="AH123" i="20"/>
  <c r="AH122" i="20"/>
  <c r="AH121" i="20"/>
  <c r="AH120" i="20"/>
  <c r="AH119" i="20"/>
  <c r="AH118" i="20"/>
  <c r="AH117" i="20"/>
  <c r="AH116" i="20"/>
  <c r="AH115" i="20"/>
  <c r="AH114" i="20"/>
  <c r="AH113" i="20"/>
  <c r="AH112" i="20"/>
  <c r="AH111" i="20"/>
  <c r="AH110" i="20"/>
  <c r="AH109" i="20"/>
  <c r="AH108" i="20"/>
  <c r="AH107" i="20"/>
  <c r="AH106" i="20"/>
  <c r="AQ105" i="20"/>
  <c r="AO105" i="20"/>
  <c r="AL105" i="20"/>
  <c r="AH105" i="20"/>
  <c r="AQ104" i="20"/>
  <c r="AO104" i="20"/>
  <c r="AL104" i="20"/>
  <c r="AH104" i="20"/>
  <c r="AQ103" i="20"/>
  <c r="AO103" i="20"/>
  <c r="AL103" i="20"/>
  <c r="AH103" i="20"/>
  <c r="AQ102" i="20"/>
  <c r="AO102" i="20"/>
  <c r="AL102" i="20"/>
  <c r="AH102" i="20"/>
  <c r="AQ101" i="20"/>
  <c r="AO101" i="20"/>
  <c r="AL101" i="20"/>
  <c r="AH101" i="20"/>
  <c r="AQ100" i="20"/>
  <c r="AO100" i="20"/>
  <c r="AL100" i="20"/>
  <c r="AH100" i="20"/>
  <c r="AQ99" i="20"/>
  <c r="AO99" i="20"/>
  <c r="AL99" i="20"/>
  <c r="AH99" i="20"/>
  <c r="AQ98" i="20"/>
  <c r="AO98" i="20"/>
  <c r="AL98" i="20"/>
  <c r="AH98" i="20"/>
  <c r="AQ97" i="20"/>
  <c r="AO97" i="20"/>
  <c r="AL97" i="20"/>
  <c r="AH97" i="20"/>
  <c r="AQ96" i="20"/>
  <c r="AO96" i="20"/>
  <c r="AL96" i="20"/>
  <c r="AH96" i="20"/>
  <c r="AQ95" i="20"/>
  <c r="AO95" i="20"/>
  <c r="AL95" i="20"/>
  <c r="AH95" i="20"/>
  <c r="AQ94" i="20"/>
  <c r="AO94" i="20"/>
  <c r="AL94" i="20"/>
  <c r="AH94" i="20"/>
  <c r="AQ93" i="20"/>
  <c r="AO93" i="20"/>
  <c r="AL93" i="20"/>
  <c r="AH93" i="20"/>
  <c r="AQ92" i="20"/>
  <c r="AO92" i="20"/>
  <c r="AL92" i="20"/>
  <c r="AH92" i="20"/>
  <c r="AQ91" i="20"/>
  <c r="AO91" i="20"/>
  <c r="AL91" i="20"/>
  <c r="AH91" i="20"/>
  <c r="B87" i="20"/>
  <c r="U87" i="20"/>
  <c r="U86" i="20"/>
  <c r="AL84" i="20"/>
  <c r="AW82" i="20"/>
  <c r="AU82" i="20"/>
  <c r="AL82" i="20"/>
  <c r="AH82" i="20"/>
  <c r="U82" i="20"/>
  <c r="AW81" i="20"/>
  <c r="AU81" i="20"/>
  <c r="AL81" i="20"/>
  <c r="AH81" i="20"/>
  <c r="U81" i="20"/>
  <c r="AW80" i="20"/>
  <c r="AU80" i="20"/>
  <c r="AL80" i="20"/>
  <c r="AH80" i="20"/>
  <c r="U80" i="20"/>
  <c r="AW79" i="20"/>
  <c r="AU79" i="20"/>
  <c r="AL79" i="20"/>
  <c r="AH79" i="20"/>
  <c r="U79" i="20"/>
  <c r="AW78" i="20"/>
  <c r="AU78" i="20"/>
  <c r="AL78" i="20"/>
  <c r="AH78" i="20"/>
  <c r="U78" i="20"/>
  <c r="AW77" i="20"/>
  <c r="AU77" i="20"/>
  <c r="AL77" i="20"/>
  <c r="AH77" i="20"/>
  <c r="U77" i="20"/>
  <c r="V77" i="20" s="1"/>
  <c r="AW76" i="20"/>
  <c r="AU76" i="20"/>
  <c r="AL76" i="20"/>
  <c r="AH76" i="20"/>
  <c r="U76" i="20"/>
  <c r="AW75" i="20"/>
  <c r="AU75" i="20"/>
  <c r="AL75" i="20"/>
  <c r="AH75" i="20"/>
  <c r="U75" i="20"/>
  <c r="AW74" i="20"/>
  <c r="AU74" i="20"/>
  <c r="AL74" i="20"/>
  <c r="AH74" i="20"/>
  <c r="U74" i="20"/>
  <c r="AW73" i="20"/>
  <c r="AU73" i="20"/>
  <c r="AL73" i="20"/>
  <c r="AH73" i="20"/>
  <c r="U73" i="20"/>
  <c r="AW72" i="20"/>
  <c r="AU72" i="20"/>
  <c r="AL72" i="20"/>
  <c r="AH72" i="20"/>
  <c r="U72" i="20"/>
  <c r="V72" i="20" s="1"/>
  <c r="AW71" i="20"/>
  <c r="AU71" i="20"/>
  <c r="AL71" i="20"/>
  <c r="AH71" i="20"/>
  <c r="U71" i="20"/>
  <c r="AW70" i="20"/>
  <c r="AU70" i="20"/>
  <c r="AL70" i="20"/>
  <c r="AH70" i="20"/>
  <c r="U70" i="20"/>
  <c r="AW69" i="20"/>
  <c r="AU69" i="20"/>
  <c r="AL69" i="20"/>
  <c r="AH69" i="20"/>
  <c r="U69" i="20"/>
  <c r="AW68" i="20"/>
  <c r="AU68" i="20"/>
  <c r="AL68" i="20"/>
  <c r="AH68" i="20"/>
  <c r="U68" i="20"/>
  <c r="U59" i="20"/>
  <c r="U58" i="20"/>
  <c r="U57" i="20"/>
  <c r="U56" i="20"/>
  <c r="BS55" i="20"/>
  <c r="AT55" i="20"/>
  <c r="AX55" i="20"/>
  <c r="BS54" i="20"/>
  <c r="AT54" i="20"/>
  <c r="BB54" i="20"/>
  <c r="BX54" i="20" s="1"/>
  <c r="BS53" i="20"/>
  <c r="AT53" i="20"/>
  <c r="BB53" i="20"/>
  <c r="BS52" i="20"/>
  <c r="AT52" i="20"/>
  <c r="BG52" i="20" s="1"/>
  <c r="BB52" i="20"/>
  <c r="AH44" i="20"/>
  <c r="U44" i="20"/>
  <c r="AH43" i="20"/>
  <c r="U43" i="20"/>
  <c r="AH42" i="20"/>
  <c r="U42" i="20"/>
  <c r="AH41" i="20"/>
  <c r="U41" i="20"/>
  <c r="AH40" i="20"/>
  <c r="U40" i="20"/>
  <c r="AH39" i="20"/>
  <c r="U39" i="20"/>
  <c r="AH38" i="20"/>
  <c r="U38" i="20"/>
  <c r="AH37" i="20"/>
  <c r="U37" i="20"/>
  <c r="AH36" i="20"/>
  <c r="U36" i="20"/>
  <c r="AH35" i="20"/>
  <c r="U35" i="20"/>
  <c r="AH34" i="20"/>
  <c r="U34" i="20"/>
  <c r="AH33" i="20"/>
  <c r="U33" i="20"/>
  <c r="AH32" i="20"/>
  <c r="U32" i="20"/>
  <c r="AH31" i="20"/>
  <c r="U31" i="20"/>
  <c r="AH30" i="20"/>
  <c r="U30" i="20"/>
  <c r="AH29" i="20"/>
  <c r="U29" i="20"/>
  <c r="AH28" i="20"/>
  <c r="U28" i="20"/>
  <c r="AH27" i="20"/>
  <c r="U27" i="20"/>
  <c r="AH26" i="20"/>
  <c r="U26" i="20"/>
  <c r="AH25" i="20"/>
  <c r="U25" i="20"/>
  <c r="AH24" i="20"/>
  <c r="U24" i="20"/>
  <c r="AH23" i="20"/>
  <c r="U23" i="20"/>
  <c r="AH22" i="20"/>
  <c r="U22" i="20"/>
  <c r="AH21" i="20"/>
  <c r="U21" i="20"/>
  <c r="AB17" i="20"/>
  <c r="S16" i="20"/>
  <c r="S14" i="20"/>
  <c r="S12" i="20"/>
  <c r="S10" i="20"/>
  <c r="U8" i="20"/>
  <c r="AL24" i="15"/>
  <c r="U165" i="20"/>
  <c r="U164" i="20"/>
  <c r="U163" i="20"/>
  <c r="U162" i="20"/>
  <c r="U161" i="20"/>
  <c r="U160" i="20"/>
  <c r="U159" i="20"/>
  <c r="U158" i="20"/>
  <c r="U157" i="20"/>
  <c r="U156" i="20"/>
  <c r="U155" i="20"/>
  <c r="U154" i="20"/>
  <c r="U153" i="20"/>
  <c r="U152" i="20"/>
  <c r="U151" i="20"/>
  <c r="U150" i="20"/>
  <c r="U149" i="20"/>
  <c r="U148" i="20"/>
  <c r="U147" i="20"/>
  <c r="U146" i="20"/>
  <c r="U145" i="20"/>
  <c r="U144" i="20"/>
  <c r="U143" i="20"/>
  <c r="U142" i="20"/>
  <c r="U141" i="20"/>
  <c r="U140" i="20"/>
  <c r="U139" i="20"/>
  <c r="U138" i="20"/>
  <c r="U137" i="20"/>
  <c r="U136" i="20"/>
  <c r="U135" i="20"/>
  <c r="U134" i="20"/>
  <c r="U133" i="20"/>
  <c r="U132" i="20"/>
  <c r="U131" i="20"/>
  <c r="U130" i="20"/>
  <c r="U129" i="20"/>
  <c r="U128" i="20"/>
  <c r="U127" i="20"/>
  <c r="U126" i="20"/>
  <c r="U125" i="20"/>
  <c r="U124" i="20"/>
  <c r="U123" i="20"/>
  <c r="U122" i="20"/>
  <c r="U121" i="20"/>
  <c r="U120" i="20"/>
  <c r="U119" i="20"/>
  <c r="U118" i="20"/>
  <c r="U117" i="20"/>
  <c r="U116" i="20"/>
  <c r="U115" i="20"/>
  <c r="U114" i="20"/>
  <c r="U113" i="20"/>
  <c r="U112" i="20"/>
  <c r="U111" i="20"/>
  <c r="U110" i="20"/>
  <c r="U109" i="20"/>
  <c r="U108" i="20"/>
  <c r="U107" i="20"/>
  <c r="U106" i="20"/>
  <c r="U105" i="20"/>
  <c r="U104" i="20"/>
  <c r="U103" i="20"/>
  <c r="U102" i="20"/>
  <c r="U101" i="20"/>
  <c r="U100" i="20"/>
  <c r="U99" i="20"/>
  <c r="U98" i="20"/>
  <c r="U97" i="20"/>
  <c r="U96" i="20"/>
  <c r="U95" i="20"/>
  <c r="U94" i="20"/>
  <c r="U93" i="20"/>
  <c r="U92" i="20"/>
  <c r="U91" i="20"/>
  <c r="U90" i="20"/>
  <c r="U89" i="20"/>
  <c r="U88" i="20"/>
  <c r="U85" i="20"/>
  <c r="U84" i="20"/>
  <c r="U83" i="20"/>
  <c r="U67" i="20"/>
  <c r="U66" i="20"/>
  <c r="U65" i="20"/>
  <c r="U64" i="20"/>
  <c r="U63" i="20"/>
  <c r="U62" i="20"/>
  <c r="V62" i="20" s="1"/>
  <c r="U61" i="20"/>
  <c r="U60" i="20"/>
  <c r="U55" i="20"/>
  <c r="U54" i="20"/>
  <c r="U53" i="20"/>
  <c r="U52" i="20"/>
  <c r="U51" i="20"/>
  <c r="U50" i="20"/>
  <c r="U49" i="20"/>
  <c r="AH49" i="19"/>
  <c r="AH48" i="19"/>
  <c r="AH39" i="19"/>
  <c r="AH36" i="19"/>
  <c r="AH47" i="19"/>
  <c r="AP161" i="20"/>
  <c r="AI26" i="19"/>
  <c r="AG26" i="19"/>
  <c r="AG25" i="19"/>
  <c r="AG24" i="19"/>
  <c r="AG23" i="19"/>
  <c r="AG22" i="19"/>
  <c r="D13" i="19"/>
  <c r="D14" i="20" s="1"/>
  <c r="D11" i="19"/>
  <c r="D12" i="20" s="1"/>
  <c r="D9" i="19"/>
  <c r="D10" i="20" s="1"/>
  <c r="D7" i="19"/>
  <c r="D8" i="20" s="1"/>
  <c r="D5" i="19"/>
  <c r="AW180" i="17"/>
  <c r="AH180" i="17"/>
  <c r="U180" i="17"/>
  <c r="AW179" i="17"/>
  <c r="AH179" i="17"/>
  <c r="U179" i="17"/>
  <c r="AW178" i="17"/>
  <c r="AH178" i="17"/>
  <c r="U178" i="17"/>
  <c r="AW177" i="17"/>
  <c r="AH177" i="17"/>
  <c r="U177" i="17"/>
  <c r="AW176" i="17"/>
  <c r="AH176" i="17"/>
  <c r="U176" i="17"/>
  <c r="AW175" i="17"/>
  <c r="AH175" i="17"/>
  <c r="U175" i="17"/>
  <c r="AW174" i="17"/>
  <c r="AH174" i="17"/>
  <c r="U174" i="17"/>
  <c r="AW173" i="17"/>
  <c r="AH173" i="17"/>
  <c r="U173" i="17"/>
  <c r="AW172" i="17"/>
  <c r="AH172" i="17"/>
  <c r="U172" i="17"/>
  <c r="AW171" i="17"/>
  <c r="AH171" i="17"/>
  <c r="U171" i="17"/>
  <c r="AW170" i="17"/>
  <c r="AH170" i="17"/>
  <c r="U170" i="17"/>
  <c r="AW169" i="17"/>
  <c r="AH169" i="17"/>
  <c r="U169" i="17"/>
  <c r="AW168" i="17"/>
  <c r="AH168" i="17"/>
  <c r="U168" i="17"/>
  <c r="AW167" i="17"/>
  <c r="AH167" i="17"/>
  <c r="U167" i="17"/>
  <c r="AW166" i="17"/>
  <c r="AH166" i="17"/>
  <c r="U166" i="17"/>
  <c r="AH165" i="17"/>
  <c r="AH164" i="17"/>
  <c r="AL163" i="17"/>
  <c r="AL162" i="17"/>
  <c r="AH161" i="17"/>
  <c r="AH160" i="17"/>
  <c r="AH159" i="17"/>
  <c r="AH158" i="17"/>
  <c r="AH157" i="17"/>
  <c r="AH156" i="17"/>
  <c r="AH155" i="17"/>
  <c r="AH154" i="17"/>
  <c r="AH153" i="17"/>
  <c r="AH152" i="17"/>
  <c r="AH151" i="17"/>
  <c r="AH150" i="17"/>
  <c r="AH149" i="17"/>
  <c r="AH148" i="17"/>
  <c r="AH147" i="17"/>
  <c r="AH146" i="17"/>
  <c r="AH145" i="17"/>
  <c r="AH144" i="17"/>
  <c r="AH143" i="17"/>
  <c r="AH142" i="17"/>
  <c r="AH141" i="17"/>
  <c r="AH140" i="17"/>
  <c r="AH139" i="17"/>
  <c r="AH138" i="17"/>
  <c r="AH137" i="17"/>
  <c r="AH136" i="17"/>
  <c r="AH135" i="17"/>
  <c r="AH134" i="17"/>
  <c r="AH133" i="17"/>
  <c r="AH132" i="17"/>
  <c r="AH131" i="17"/>
  <c r="AH130" i="17"/>
  <c r="AH129" i="17"/>
  <c r="AH128" i="17"/>
  <c r="AH127" i="17"/>
  <c r="AH126" i="17"/>
  <c r="AH125" i="17"/>
  <c r="AH124" i="17"/>
  <c r="AH123" i="17"/>
  <c r="AH122" i="17"/>
  <c r="AH121" i="17"/>
  <c r="AH120" i="17"/>
  <c r="AH119" i="17"/>
  <c r="AH118" i="17"/>
  <c r="AH117" i="17"/>
  <c r="AH116" i="17"/>
  <c r="AH115" i="17"/>
  <c r="AH114" i="17"/>
  <c r="AH113" i="17"/>
  <c r="AH112" i="17"/>
  <c r="AH111" i="17"/>
  <c r="AH110" i="17"/>
  <c r="AH109" i="17"/>
  <c r="AH108" i="17"/>
  <c r="AH107" i="17"/>
  <c r="AH106" i="17"/>
  <c r="AQ105" i="17"/>
  <c r="AO105" i="17"/>
  <c r="AH105" i="17"/>
  <c r="AQ104" i="17"/>
  <c r="AO104" i="17"/>
  <c r="AH104" i="17"/>
  <c r="AQ103" i="17"/>
  <c r="AO103" i="17"/>
  <c r="AH103" i="17"/>
  <c r="AQ102" i="17"/>
  <c r="AO102" i="17"/>
  <c r="AH102" i="17"/>
  <c r="AQ101" i="17"/>
  <c r="AO101" i="17"/>
  <c r="AH101" i="17"/>
  <c r="AQ100" i="17"/>
  <c r="AO100" i="17"/>
  <c r="AH100" i="17"/>
  <c r="AQ99" i="17"/>
  <c r="AO99" i="17"/>
  <c r="AH99" i="17"/>
  <c r="AQ98" i="17"/>
  <c r="AO98" i="17"/>
  <c r="AH98" i="17"/>
  <c r="AQ97" i="17"/>
  <c r="AO97" i="17"/>
  <c r="AH97" i="17"/>
  <c r="AQ96" i="17"/>
  <c r="AO96" i="17"/>
  <c r="AH96" i="17"/>
  <c r="AQ95" i="17"/>
  <c r="AO95" i="17"/>
  <c r="AH95" i="17"/>
  <c r="AQ94" i="17"/>
  <c r="AO94" i="17"/>
  <c r="AH94" i="17"/>
  <c r="AQ93" i="17"/>
  <c r="AO93" i="17"/>
  <c r="AH93" i="17"/>
  <c r="AQ92" i="17"/>
  <c r="AO92" i="17"/>
  <c r="AH92" i="17"/>
  <c r="AQ91" i="17"/>
  <c r="AO91" i="17"/>
  <c r="AH91" i="17"/>
  <c r="U87" i="17"/>
  <c r="U86" i="17"/>
  <c r="AL84" i="17"/>
  <c r="AW82" i="17"/>
  <c r="AH82" i="17"/>
  <c r="U82" i="17"/>
  <c r="AW81" i="17"/>
  <c r="AH81" i="17"/>
  <c r="U81" i="17"/>
  <c r="AW80" i="17"/>
  <c r="AH80" i="17"/>
  <c r="U80" i="17"/>
  <c r="AW79" i="17"/>
  <c r="AH79" i="17"/>
  <c r="U79" i="17"/>
  <c r="AW78" i="17"/>
  <c r="AH78" i="17"/>
  <c r="U78" i="17"/>
  <c r="AW77" i="17"/>
  <c r="AH77" i="17"/>
  <c r="U77" i="17"/>
  <c r="AW76" i="17"/>
  <c r="AH76" i="17"/>
  <c r="U76" i="17"/>
  <c r="AW75" i="17"/>
  <c r="AH75" i="17"/>
  <c r="U75" i="17"/>
  <c r="AW74" i="17"/>
  <c r="AH74" i="17"/>
  <c r="U74" i="17"/>
  <c r="AW73" i="17"/>
  <c r="AH73" i="17"/>
  <c r="U73" i="17"/>
  <c r="AW72" i="17"/>
  <c r="AH72" i="17"/>
  <c r="U72" i="17"/>
  <c r="AW71" i="17"/>
  <c r="AH71" i="17"/>
  <c r="U71" i="17"/>
  <c r="AW70" i="17"/>
  <c r="AH70" i="17"/>
  <c r="U70" i="17"/>
  <c r="AW69" i="17"/>
  <c r="AH69" i="17"/>
  <c r="U69" i="17"/>
  <c r="AW68" i="17"/>
  <c r="AH68" i="17"/>
  <c r="U68" i="17"/>
  <c r="BS55" i="17"/>
  <c r="AT55" i="17"/>
  <c r="BB55" i="17"/>
  <c r="BS54" i="17"/>
  <c r="AT54" i="17"/>
  <c r="BB54" i="17"/>
  <c r="BX54" i="17" s="1"/>
  <c r="BS53" i="17"/>
  <c r="AT53" i="17"/>
  <c r="BB53" i="17"/>
  <c r="BS52" i="17"/>
  <c r="AT52" i="17"/>
  <c r="AX52" i="17"/>
  <c r="AH44" i="17"/>
  <c r="U44" i="17"/>
  <c r="AH43" i="17"/>
  <c r="U43" i="17"/>
  <c r="AH42" i="17"/>
  <c r="U42" i="17"/>
  <c r="AH41" i="17"/>
  <c r="U41" i="17"/>
  <c r="AH40" i="17"/>
  <c r="U40" i="17"/>
  <c r="AH39" i="17"/>
  <c r="U39" i="17"/>
  <c r="AH38" i="17"/>
  <c r="U38" i="17"/>
  <c r="AH37" i="17"/>
  <c r="U37" i="17"/>
  <c r="AH36" i="17"/>
  <c r="U36" i="17"/>
  <c r="AH35" i="17"/>
  <c r="U35" i="17"/>
  <c r="AH34" i="17"/>
  <c r="U34" i="17"/>
  <c r="AH33" i="17"/>
  <c r="U33" i="17"/>
  <c r="AH32" i="17"/>
  <c r="U32" i="17"/>
  <c r="AH31" i="17"/>
  <c r="U31" i="17"/>
  <c r="AH30" i="17"/>
  <c r="U30" i="17"/>
  <c r="AH29" i="17"/>
  <c r="U29" i="17"/>
  <c r="AH28" i="17"/>
  <c r="U28" i="17"/>
  <c r="AH27" i="17"/>
  <c r="U27" i="17"/>
  <c r="AH26" i="17"/>
  <c r="U26" i="17"/>
  <c r="AH25" i="17"/>
  <c r="U25" i="17"/>
  <c r="AH24" i="17"/>
  <c r="U24" i="17"/>
  <c r="AH23" i="17"/>
  <c r="U23" i="17"/>
  <c r="AH22" i="17"/>
  <c r="U22" i="17"/>
  <c r="AH21" i="17"/>
  <c r="U21" i="17"/>
  <c r="S16" i="17"/>
  <c r="S12" i="17"/>
  <c r="S10" i="17"/>
  <c r="U8" i="17"/>
  <c r="U165" i="17"/>
  <c r="U164" i="17"/>
  <c r="U163" i="17"/>
  <c r="U162" i="17"/>
  <c r="U161" i="17"/>
  <c r="U160" i="17"/>
  <c r="U159" i="17"/>
  <c r="U158" i="17"/>
  <c r="U157" i="17"/>
  <c r="U156" i="17"/>
  <c r="U155" i="17"/>
  <c r="U154" i="17"/>
  <c r="U153" i="17"/>
  <c r="U152" i="17"/>
  <c r="U151" i="17"/>
  <c r="U150" i="17"/>
  <c r="U149" i="17"/>
  <c r="U148" i="17"/>
  <c r="U147" i="17"/>
  <c r="U146" i="17"/>
  <c r="U145" i="17"/>
  <c r="U144" i="17"/>
  <c r="U143" i="17"/>
  <c r="U142" i="17"/>
  <c r="U141" i="17"/>
  <c r="U140" i="17"/>
  <c r="U139" i="17"/>
  <c r="U138" i="17"/>
  <c r="U137" i="17"/>
  <c r="U136" i="17"/>
  <c r="U135" i="17"/>
  <c r="U134" i="17"/>
  <c r="U133" i="17"/>
  <c r="U132" i="17"/>
  <c r="U131" i="17"/>
  <c r="U130" i="17"/>
  <c r="U129" i="17"/>
  <c r="U128" i="17"/>
  <c r="U127" i="17"/>
  <c r="U126" i="17"/>
  <c r="U125" i="17"/>
  <c r="U124" i="17"/>
  <c r="U123" i="17"/>
  <c r="U122" i="17"/>
  <c r="U121" i="17"/>
  <c r="U120" i="17"/>
  <c r="U119" i="17"/>
  <c r="U118" i="17"/>
  <c r="U117" i="17"/>
  <c r="U116" i="17"/>
  <c r="U115" i="17"/>
  <c r="U114" i="17"/>
  <c r="U113" i="17"/>
  <c r="U112" i="17"/>
  <c r="U111" i="17"/>
  <c r="U110" i="17"/>
  <c r="U109" i="17"/>
  <c r="U108" i="17"/>
  <c r="U107" i="17"/>
  <c r="U106" i="17"/>
  <c r="U105" i="17"/>
  <c r="U104" i="17"/>
  <c r="U103" i="17"/>
  <c r="U102" i="17"/>
  <c r="U101" i="17"/>
  <c r="U100" i="17"/>
  <c r="U99" i="17"/>
  <c r="U98" i="17"/>
  <c r="U97" i="17"/>
  <c r="U96" i="17"/>
  <c r="U95" i="17"/>
  <c r="U94" i="17"/>
  <c r="U93" i="17"/>
  <c r="U92" i="17"/>
  <c r="U91" i="17"/>
  <c r="U90" i="17"/>
  <c r="U89" i="17"/>
  <c r="U88" i="17"/>
  <c r="U85" i="17"/>
  <c r="U84" i="17"/>
  <c r="U83" i="17"/>
  <c r="U67" i="17"/>
  <c r="U66" i="17"/>
  <c r="U65" i="17"/>
  <c r="U64" i="17"/>
  <c r="U63" i="17"/>
  <c r="U62" i="17"/>
  <c r="V62" i="17" s="1"/>
  <c r="U61" i="17"/>
  <c r="U60" i="17"/>
  <c r="U55" i="17"/>
  <c r="U54" i="17"/>
  <c r="U53" i="17"/>
  <c r="U52" i="17"/>
  <c r="U51" i="17"/>
  <c r="U50" i="17"/>
  <c r="U49" i="17"/>
  <c r="AL25" i="15"/>
  <c r="AH48" i="16"/>
  <c r="AH39" i="16"/>
  <c r="AH36" i="16"/>
  <c r="AH47" i="16"/>
  <c r="AP161" i="17"/>
  <c r="AG26" i="16"/>
  <c r="AG25" i="16"/>
  <c r="AG24" i="16"/>
  <c r="AG23" i="16"/>
  <c r="AG22" i="16"/>
  <c r="D13" i="16"/>
  <c r="D14" i="17" s="1"/>
  <c r="D11" i="16"/>
  <c r="D12" i="17" s="1"/>
  <c r="D9" i="16"/>
  <c r="D10" i="17" s="1"/>
  <c r="D7" i="16"/>
  <c r="D8" i="17" s="1"/>
  <c r="D5" i="16"/>
  <c r="AK35" i="15"/>
  <c r="AJ35" i="15"/>
  <c r="AK34" i="15"/>
  <c r="AJ34" i="15"/>
  <c r="AP84" i="26" l="1"/>
  <c r="AU84" i="26" s="1"/>
  <c r="AH35" i="25"/>
  <c r="D6" i="23"/>
  <c r="AX55" i="63"/>
  <c r="D6" i="26"/>
  <c r="AX55" i="64"/>
  <c r="D6" i="17"/>
  <c r="AX55" i="61"/>
  <c r="D6" i="20"/>
  <c r="AX55" i="62"/>
  <c r="AY127" i="17"/>
  <c r="AL67" i="17"/>
  <c r="AY106" i="17"/>
  <c r="AY114" i="17"/>
  <c r="AY123" i="17"/>
  <c r="AY142" i="20"/>
  <c r="AY150" i="20"/>
  <c r="AY158" i="20"/>
  <c r="AH53" i="23"/>
  <c r="AH56" i="23"/>
  <c r="AY143" i="23"/>
  <c r="AY151" i="23"/>
  <c r="AY159" i="23"/>
  <c r="AH54" i="17"/>
  <c r="AY141" i="17"/>
  <c r="AY149" i="17"/>
  <c r="AY157" i="17"/>
  <c r="AY103" i="20"/>
  <c r="AY108" i="20"/>
  <c r="AY116" i="20"/>
  <c r="AY125" i="20"/>
  <c r="AY134" i="20"/>
  <c r="AL53" i="23"/>
  <c r="AY109" i="23"/>
  <c r="AY126" i="23"/>
  <c r="AY135" i="23"/>
  <c r="AL54" i="17"/>
  <c r="AY107" i="17"/>
  <c r="AY115" i="17"/>
  <c r="AY124" i="17"/>
  <c r="AY133" i="17"/>
  <c r="AY143" i="20"/>
  <c r="AY151" i="20"/>
  <c r="AY159" i="20"/>
  <c r="AH57" i="23"/>
  <c r="AY118" i="23"/>
  <c r="AY144" i="23"/>
  <c r="AY152" i="23"/>
  <c r="AY160" i="23"/>
  <c r="AY142" i="17"/>
  <c r="AY150" i="17"/>
  <c r="AY158" i="17"/>
  <c r="AH53" i="20"/>
  <c r="AH56" i="20"/>
  <c r="AY109" i="20"/>
  <c r="AY126" i="20"/>
  <c r="AY135" i="20"/>
  <c r="AY104" i="23"/>
  <c r="AY110" i="23"/>
  <c r="AY136" i="23"/>
  <c r="AL45" i="17"/>
  <c r="AY108" i="17"/>
  <c r="AY116" i="17"/>
  <c r="AY125" i="17"/>
  <c r="AY134" i="17"/>
  <c r="AL53" i="20"/>
  <c r="AY118" i="20"/>
  <c r="AY144" i="20"/>
  <c r="AY152" i="20"/>
  <c r="AY160" i="20"/>
  <c r="AY127" i="23"/>
  <c r="AH58" i="23"/>
  <c r="AY119" i="23"/>
  <c r="AY128" i="23"/>
  <c r="AY145" i="23"/>
  <c r="AY153" i="23"/>
  <c r="AL46" i="17"/>
  <c r="AY143" i="17"/>
  <c r="AY151" i="17"/>
  <c r="AY159" i="17"/>
  <c r="AH57" i="20"/>
  <c r="AY92" i="20"/>
  <c r="AY96" i="20"/>
  <c r="AY100" i="20"/>
  <c r="AY104" i="20"/>
  <c r="AY110" i="20"/>
  <c r="AY136" i="20"/>
  <c r="AH54" i="23"/>
  <c r="AY111" i="23"/>
  <c r="AY137" i="17"/>
  <c r="AL47" i="17"/>
  <c r="AH55" i="17"/>
  <c r="AY109" i="17"/>
  <c r="AY126" i="17"/>
  <c r="AY135" i="17"/>
  <c r="AY119" i="20"/>
  <c r="AY128" i="20"/>
  <c r="AY145" i="20"/>
  <c r="AY153" i="20"/>
  <c r="AL45" i="23"/>
  <c r="AL54" i="23"/>
  <c r="AH59" i="23"/>
  <c r="AL85" i="23"/>
  <c r="B85" i="23" s="1"/>
  <c r="AJ313" i="28" s="1"/>
  <c r="AY120" i="23"/>
  <c r="AY129" i="23"/>
  <c r="AY138" i="23"/>
  <c r="AY146" i="23"/>
  <c r="AY154" i="23"/>
  <c r="AH52" i="17"/>
  <c r="AL55" i="17"/>
  <c r="AY118" i="17"/>
  <c r="AY144" i="17"/>
  <c r="AY152" i="17"/>
  <c r="AY160" i="17"/>
  <c r="AH58" i="20"/>
  <c r="AY111" i="20"/>
  <c r="AL66" i="23"/>
  <c r="B66" i="23" s="1"/>
  <c r="D66" i="23" s="1"/>
  <c r="AY112" i="23"/>
  <c r="AL52" i="17"/>
  <c r="AY110" i="17"/>
  <c r="AY136" i="17"/>
  <c r="AH54" i="20"/>
  <c r="AY120" i="20"/>
  <c r="AY129" i="20"/>
  <c r="AY138" i="20"/>
  <c r="AY146" i="20"/>
  <c r="AY154" i="20"/>
  <c r="AL46" i="23"/>
  <c r="AL67" i="23"/>
  <c r="B67" i="23" s="1"/>
  <c r="V67" i="23" s="1"/>
  <c r="AY121" i="23"/>
  <c r="AY130" i="23"/>
  <c r="AY139" i="23"/>
  <c r="AY147" i="23"/>
  <c r="AY155" i="23"/>
  <c r="AY119" i="17"/>
  <c r="AY128" i="17"/>
  <c r="AY145" i="17"/>
  <c r="AY153" i="17"/>
  <c r="AL45" i="20"/>
  <c r="AL54" i="20"/>
  <c r="AH59" i="20"/>
  <c r="AL85" i="20"/>
  <c r="B85" i="20" s="1"/>
  <c r="AI313" i="28" s="1"/>
  <c r="AY93" i="20"/>
  <c r="AY97" i="20"/>
  <c r="AY101" i="20"/>
  <c r="AY105" i="20"/>
  <c r="AY112" i="20"/>
  <c r="AY132" i="23"/>
  <c r="AY113" i="23"/>
  <c r="AY111" i="17"/>
  <c r="AL66" i="20"/>
  <c r="B66" i="20" s="1"/>
  <c r="V66" i="20" s="1"/>
  <c r="AY121" i="20"/>
  <c r="AY130" i="20"/>
  <c r="AY139" i="20"/>
  <c r="AY147" i="20"/>
  <c r="AY155" i="20"/>
  <c r="AY137" i="23"/>
  <c r="AL47" i="23"/>
  <c r="AH55" i="23"/>
  <c r="AY131" i="23"/>
  <c r="AY140" i="23"/>
  <c r="AY148" i="23"/>
  <c r="AY156" i="23"/>
  <c r="AY122" i="17"/>
  <c r="AH56" i="17"/>
  <c r="AY120" i="17"/>
  <c r="AY129" i="17"/>
  <c r="AY138" i="17"/>
  <c r="AY146" i="17"/>
  <c r="AY154" i="17"/>
  <c r="AL46" i="20"/>
  <c r="AY113" i="20"/>
  <c r="AH52" i="23"/>
  <c r="AL55" i="23"/>
  <c r="AL88" i="23"/>
  <c r="AY102" i="23"/>
  <c r="AY106" i="23"/>
  <c r="AY114" i="23"/>
  <c r="AY123" i="23"/>
  <c r="AH53" i="17"/>
  <c r="AH57" i="17"/>
  <c r="AY112" i="17"/>
  <c r="AY132" i="20"/>
  <c r="AL67" i="20"/>
  <c r="B67" i="20" s="1"/>
  <c r="AY131" i="20"/>
  <c r="AY140" i="20"/>
  <c r="AY148" i="20"/>
  <c r="AY156" i="20"/>
  <c r="AL52" i="23"/>
  <c r="AL89" i="23"/>
  <c r="AY141" i="23"/>
  <c r="AY149" i="23"/>
  <c r="AY157" i="23"/>
  <c r="AL53" i="17"/>
  <c r="AH58" i="17"/>
  <c r="AY121" i="17"/>
  <c r="AY130" i="17"/>
  <c r="AY139" i="17"/>
  <c r="AY147" i="17"/>
  <c r="AY155" i="17"/>
  <c r="AY137" i="20"/>
  <c r="AL47" i="20"/>
  <c r="AH55" i="20"/>
  <c r="AL88" i="20"/>
  <c r="AY102" i="20"/>
  <c r="AY106" i="20"/>
  <c r="AY114" i="20"/>
  <c r="AY123" i="20"/>
  <c r="AL90" i="23"/>
  <c r="AY107" i="23"/>
  <c r="AY115" i="23"/>
  <c r="AY124" i="23"/>
  <c r="AY133" i="23"/>
  <c r="AH59" i="17"/>
  <c r="AY113" i="17"/>
  <c r="AH52" i="20"/>
  <c r="BX52" i="20" s="1"/>
  <c r="AL55" i="20"/>
  <c r="AL89" i="20"/>
  <c r="AY141" i="20"/>
  <c r="AY149" i="20"/>
  <c r="AY157" i="20"/>
  <c r="AY142" i="23"/>
  <c r="AY150" i="23"/>
  <c r="AY158" i="23"/>
  <c r="AL66" i="17"/>
  <c r="AL85" i="17"/>
  <c r="AY131" i="17"/>
  <c r="AY140" i="17"/>
  <c r="AY148" i="17"/>
  <c r="AY156" i="17"/>
  <c r="AL52" i="20"/>
  <c r="AL90" i="20"/>
  <c r="AY107" i="20"/>
  <c r="AY115" i="20"/>
  <c r="AY124" i="20"/>
  <c r="AY133" i="20"/>
  <c r="AY91" i="23"/>
  <c r="AY95" i="23"/>
  <c r="AY99" i="23"/>
  <c r="AY103" i="23"/>
  <c r="AY108" i="23"/>
  <c r="AY116" i="23"/>
  <c r="AY125" i="23"/>
  <c r="AY134" i="23"/>
  <c r="AK223" i="28"/>
  <c r="D67" i="26"/>
  <c r="AK215" i="28"/>
  <c r="AM215" i="28" s="1"/>
  <c r="B215" i="28" s="1"/>
  <c r="AY91" i="20"/>
  <c r="AY95" i="20"/>
  <c r="AY99" i="20"/>
  <c r="AY94" i="23"/>
  <c r="AY98" i="23"/>
  <c r="AY92" i="23"/>
  <c r="AY96" i="23"/>
  <c r="AY100" i="23"/>
  <c r="AG164" i="26"/>
  <c r="B164" i="26" s="1"/>
  <c r="AK458" i="28" s="1"/>
  <c r="AY93" i="23"/>
  <c r="AY97" i="23"/>
  <c r="AY94" i="20"/>
  <c r="AY98" i="20"/>
  <c r="AG165" i="26"/>
  <c r="B165" i="26" s="1"/>
  <c r="AK459" i="28" s="1"/>
  <c r="AU164" i="20"/>
  <c r="AU163" i="20" s="1"/>
  <c r="B163" i="20" s="1"/>
  <c r="AI457" i="28" s="1"/>
  <c r="AG164" i="20"/>
  <c r="B164" i="20" s="1"/>
  <c r="AI458" i="28" s="1"/>
  <c r="AU164" i="23"/>
  <c r="AG164" i="23"/>
  <c r="B164" i="23" s="1"/>
  <c r="AJ458" i="28" s="1"/>
  <c r="AU165" i="20"/>
  <c r="AU162" i="20" s="1"/>
  <c r="B162" i="20" s="1"/>
  <c r="AI456" i="28" s="1"/>
  <c r="AG165" i="20"/>
  <c r="B165" i="20" s="1"/>
  <c r="AI459" i="28" s="1"/>
  <c r="AU165" i="23"/>
  <c r="AU162" i="23" s="1"/>
  <c r="B162" i="23" s="1"/>
  <c r="AJ456" i="28" s="1"/>
  <c r="AG165" i="23"/>
  <c r="B165" i="23" s="1"/>
  <c r="AJ459" i="28" s="1"/>
  <c r="B84" i="26"/>
  <c r="AK312" i="28" s="1"/>
  <c r="AM55" i="25"/>
  <c r="AO55" i="25"/>
  <c r="AN55" i="25"/>
  <c r="AP55" i="25"/>
  <c r="AK320" i="28"/>
  <c r="AI320" i="28"/>
  <c r="AJ320" i="28"/>
  <c r="AI167" i="28"/>
  <c r="AK166" i="28"/>
  <c r="AH35" i="19"/>
  <c r="AJ166" i="28"/>
  <c r="AJ167" i="28"/>
  <c r="AI166" i="28"/>
  <c r="AH35" i="22"/>
  <c r="D66" i="26"/>
  <c r="AK222" i="28"/>
  <c r="AU165" i="26"/>
  <c r="AU162" i="26" s="1"/>
  <c r="B162" i="26" s="1"/>
  <c r="AK456" i="28" s="1"/>
  <c r="AU164" i="26"/>
  <c r="AU163" i="26" s="1"/>
  <c r="B163" i="26" s="1"/>
  <c r="AK457" i="28" s="1"/>
  <c r="AK165" i="28"/>
  <c r="AJ165" i="28"/>
  <c r="AI165" i="28"/>
  <c r="AY104" i="26"/>
  <c r="AY93" i="26"/>
  <c r="AY97" i="26"/>
  <c r="AY101" i="26"/>
  <c r="AY105" i="26"/>
  <c r="AY92" i="26"/>
  <c r="AY94" i="26"/>
  <c r="AY98" i="26"/>
  <c r="AY102" i="26"/>
  <c r="AY100" i="26"/>
  <c r="AY95" i="26"/>
  <c r="AY103" i="26"/>
  <c r="AH34" i="22"/>
  <c r="AZ170" i="23"/>
  <c r="AZ82" i="23"/>
  <c r="AZ177" i="23"/>
  <c r="AZ72" i="26"/>
  <c r="AZ69" i="20"/>
  <c r="AZ174" i="23"/>
  <c r="AZ70" i="26"/>
  <c r="AZ74" i="23"/>
  <c r="AZ77" i="23"/>
  <c r="AZ68" i="26"/>
  <c r="AZ179" i="26"/>
  <c r="AZ75" i="23"/>
  <c r="AZ76" i="23"/>
  <c r="AZ81" i="23"/>
  <c r="AZ169" i="23"/>
  <c r="AZ176" i="23"/>
  <c r="AZ180" i="23"/>
  <c r="AZ76" i="26"/>
  <c r="AZ171" i="26"/>
  <c r="AZ172" i="26"/>
  <c r="AZ74" i="26"/>
  <c r="AZ71" i="26"/>
  <c r="AZ72" i="23"/>
  <c r="AZ170" i="26"/>
  <c r="AZ178" i="23"/>
  <c r="BB52" i="23"/>
  <c r="AZ79" i="26"/>
  <c r="AZ177" i="26"/>
  <c r="AZ73" i="26"/>
  <c r="AZ178" i="26"/>
  <c r="AZ77" i="26"/>
  <c r="AZ175" i="26"/>
  <c r="AZ174" i="26"/>
  <c r="AZ81" i="26"/>
  <c r="AZ176" i="26"/>
  <c r="AZ75" i="26"/>
  <c r="AZ82" i="26"/>
  <c r="AZ171" i="23"/>
  <c r="AZ79" i="23"/>
  <c r="AZ166" i="23"/>
  <c r="AZ69" i="23"/>
  <c r="AZ172" i="23"/>
  <c r="AZ80" i="23"/>
  <c r="AZ167" i="23"/>
  <c r="AZ70" i="23"/>
  <c r="AZ175" i="23"/>
  <c r="AZ73" i="23"/>
  <c r="AZ78" i="23"/>
  <c r="AZ173" i="23"/>
  <c r="AZ68" i="23"/>
  <c r="AZ81" i="20"/>
  <c r="Z87" i="20"/>
  <c r="Z87" i="26"/>
  <c r="AH34" i="25"/>
  <c r="AH37" i="25" s="1"/>
  <c r="AZ168" i="26"/>
  <c r="AZ173" i="26"/>
  <c r="AZ69" i="26"/>
  <c r="AZ78" i="26"/>
  <c r="AZ166" i="26"/>
  <c r="AZ169" i="26"/>
  <c r="AZ80" i="26"/>
  <c r="AZ167" i="26"/>
  <c r="AZ180" i="26"/>
  <c r="AZ168" i="23"/>
  <c r="AU163" i="23"/>
  <c r="B163" i="23" s="1"/>
  <c r="AJ457" i="28" s="1"/>
  <c r="AZ179" i="23"/>
  <c r="AZ71" i="23"/>
  <c r="AH34" i="19"/>
  <c r="BB52" i="17"/>
  <c r="AX53" i="17"/>
  <c r="V85" i="26"/>
  <c r="V87" i="23"/>
  <c r="B65" i="26"/>
  <c r="AK221" i="28" s="1"/>
  <c r="AX53" i="26"/>
  <c r="BX53" i="26" s="1"/>
  <c r="AY117" i="26"/>
  <c r="AY132" i="26"/>
  <c r="AX55" i="26"/>
  <c r="BX55" i="26" s="1"/>
  <c r="BB52" i="26"/>
  <c r="BX52" i="26" s="1"/>
  <c r="AY122" i="23"/>
  <c r="AY117" i="23"/>
  <c r="AX53" i="23"/>
  <c r="BX53" i="23" s="1"/>
  <c r="AY132" i="17"/>
  <c r="AY117" i="17"/>
  <c r="AH35" i="16"/>
  <c r="AY96" i="26"/>
  <c r="BK53" i="26"/>
  <c r="AY107" i="26"/>
  <c r="BG55" i="26"/>
  <c r="BO55" i="26" s="1"/>
  <c r="AY91" i="26"/>
  <c r="AY99" i="26"/>
  <c r="BG52" i="26"/>
  <c r="BO52" i="26" s="1"/>
  <c r="V66" i="26"/>
  <c r="BG54" i="26"/>
  <c r="BK54" i="26" s="1"/>
  <c r="V161" i="26"/>
  <c r="V67" i="26"/>
  <c r="V87" i="26"/>
  <c r="AH50" i="25"/>
  <c r="AH40" i="25"/>
  <c r="BO53" i="23"/>
  <c r="BO52" i="23"/>
  <c r="CA52" i="23" s="1"/>
  <c r="AZ174" i="20"/>
  <c r="AZ70" i="20"/>
  <c r="BK53" i="23"/>
  <c r="AX55" i="23"/>
  <c r="BX55" i="23" s="1"/>
  <c r="AY101" i="23"/>
  <c r="BG55" i="23"/>
  <c r="BK55" i="23" s="1"/>
  <c r="BG54" i="23"/>
  <c r="BK54" i="23" s="1"/>
  <c r="AY105" i="23"/>
  <c r="V66" i="23"/>
  <c r="AH50" i="22"/>
  <c r="AH40" i="22"/>
  <c r="AH41" i="22"/>
  <c r="AZ74" i="20"/>
  <c r="AZ179" i="20"/>
  <c r="AZ72" i="20"/>
  <c r="AZ169" i="20"/>
  <c r="AZ177" i="20"/>
  <c r="AZ75" i="20"/>
  <c r="AZ172" i="20"/>
  <c r="AZ180" i="20"/>
  <c r="AZ73" i="20"/>
  <c r="AZ170" i="20"/>
  <c r="AZ178" i="20"/>
  <c r="AZ68" i="20"/>
  <c r="AZ76" i="20"/>
  <c r="AZ71" i="20"/>
  <c r="AZ79" i="20"/>
  <c r="AX53" i="20"/>
  <c r="AY117" i="20"/>
  <c r="AY122" i="20"/>
  <c r="AY127" i="20"/>
  <c r="BG53" i="20"/>
  <c r="BK53" i="20" s="1"/>
  <c r="AX52" i="20"/>
  <c r="AZ175" i="20"/>
  <c r="AZ77" i="20"/>
  <c r="AZ167" i="20"/>
  <c r="AZ176" i="20"/>
  <c r="AZ82" i="20"/>
  <c r="AZ173" i="20"/>
  <c r="AZ168" i="20"/>
  <c r="BO52" i="20"/>
  <c r="AZ166" i="20"/>
  <c r="AZ80" i="20"/>
  <c r="AZ78" i="20"/>
  <c r="AZ171" i="20"/>
  <c r="BB55" i="20"/>
  <c r="BX55" i="20" s="1"/>
  <c r="BG55" i="20"/>
  <c r="BK55" i="20" s="1"/>
  <c r="BG54" i="20"/>
  <c r="BK54" i="20" s="1"/>
  <c r="BK52" i="20"/>
  <c r="V87" i="20"/>
  <c r="AH50" i="19"/>
  <c r="AH40" i="19"/>
  <c r="AH41" i="19"/>
  <c r="AX55" i="17"/>
  <c r="BX55" i="17" s="1"/>
  <c r="AH40" i="16"/>
  <c r="AH50" i="16"/>
  <c r="AH41" i="16"/>
  <c r="AB17" i="6"/>
  <c r="AP84" i="20" l="1"/>
  <c r="AU84" i="20" s="1"/>
  <c r="AH42" i="19"/>
  <c r="BX53" i="20"/>
  <c r="AP84" i="23"/>
  <c r="AU84" i="23" s="1"/>
  <c r="AH42" i="22"/>
  <c r="AP84" i="17"/>
  <c r="AU84" i="17" s="1"/>
  <c r="AI51" i="19"/>
  <c r="AH51" i="19"/>
  <c r="AI51" i="22"/>
  <c r="AH51" i="22"/>
  <c r="AI51" i="16"/>
  <c r="AH51" i="16" s="1"/>
  <c r="AI51" i="25"/>
  <c r="AH51" i="25"/>
  <c r="BX53" i="17"/>
  <c r="BX52" i="17"/>
  <c r="V85" i="20"/>
  <c r="D67" i="23"/>
  <c r="AJ223" i="28"/>
  <c r="BX52" i="23"/>
  <c r="CE52" i="23" s="1"/>
  <c r="AG52" i="23" s="1"/>
  <c r="AJ222" i="28"/>
  <c r="V85" i="23"/>
  <c r="AI223" i="28"/>
  <c r="D67" i="20"/>
  <c r="D66" i="20"/>
  <c r="AI222" i="28"/>
  <c r="V67" i="20"/>
  <c r="AH37" i="19"/>
  <c r="AH38" i="19" s="1"/>
  <c r="AH37" i="22"/>
  <c r="AH38" i="22" s="1"/>
  <c r="AL215" i="28"/>
  <c r="AN215" i="28" s="1"/>
  <c r="C215" i="28" s="1"/>
  <c r="AH55" i="25"/>
  <c r="AL87" i="26" s="1"/>
  <c r="B84" i="20"/>
  <c r="AI312" i="28" s="1"/>
  <c r="AM55" i="19"/>
  <c r="AP55" i="19"/>
  <c r="AO55" i="19"/>
  <c r="AN55" i="19"/>
  <c r="AP55" i="22"/>
  <c r="AO55" i="22"/>
  <c r="AN55" i="22"/>
  <c r="AM55" i="22"/>
  <c r="AP55" i="16"/>
  <c r="AN55" i="16"/>
  <c r="AM55" i="16"/>
  <c r="AO55" i="16"/>
  <c r="CA52" i="20"/>
  <c r="CE52" i="20" s="1"/>
  <c r="AG52" i="20" s="1"/>
  <c r="V164" i="23"/>
  <c r="V84" i="26"/>
  <c r="V162" i="26"/>
  <c r="V162" i="23"/>
  <c r="V162" i="20"/>
  <c r="V164" i="26"/>
  <c r="V165" i="26"/>
  <c r="V165" i="23"/>
  <c r="V163" i="26"/>
  <c r="V163" i="23"/>
  <c r="V165" i="20"/>
  <c r="V164" i="20"/>
  <c r="V163" i="20"/>
  <c r="D65" i="26"/>
  <c r="V65" i="26" s="1"/>
  <c r="AL57" i="26"/>
  <c r="B57" i="26" s="1"/>
  <c r="AL56" i="26"/>
  <c r="B56" i="26" s="1"/>
  <c r="AL59" i="26"/>
  <c r="B59" i="26" s="1"/>
  <c r="AL58" i="26"/>
  <c r="B58" i="26" s="1"/>
  <c r="AH38" i="25"/>
  <c r="AH42" i="25" s="1"/>
  <c r="AL59" i="23"/>
  <c r="B59" i="23" s="1"/>
  <c r="AL56" i="23"/>
  <c r="B56" i="23" s="1"/>
  <c r="AL58" i="23"/>
  <c r="B58" i="23" s="1"/>
  <c r="AL57" i="23"/>
  <c r="B57" i="23" s="1"/>
  <c r="B86" i="23"/>
  <c r="AL57" i="17"/>
  <c r="B57" i="17" s="1"/>
  <c r="AL56" i="17"/>
  <c r="B56" i="17" s="1"/>
  <c r="AL59" i="17"/>
  <c r="B59" i="17" s="1"/>
  <c r="AL58" i="17"/>
  <c r="B58" i="17" s="1"/>
  <c r="BK55" i="26"/>
  <c r="CA55" i="26" s="1"/>
  <c r="CE55" i="26" s="1"/>
  <c r="AG55" i="26" s="1"/>
  <c r="BO54" i="26"/>
  <c r="CA54" i="26" s="1"/>
  <c r="CE54" i="26" s="1"/>
  <c r="AG54" i="26" s="1"/>
  <c r="BK52" i="26"/>
  <c r="CA52" i="26" s="1"/>
  <c r="CE52" i="26" s="1"/>
  <c r="AG52" i="26" s="1"/>
  <c r="CA53" i="26"/>
  <c r="CE53" i="26" s="1"/>
  <c r="AG53" i="26" s="1"/>
  <c r="H34" i="25"/>
  <c r="AH52" i="25"/>
  <c r="BO55" i="23"/>
  <c r="CA55" i="23" s="1"/>
  <c r="CE55" i="23" s="1"/>
  <c r="AG55" i="23" s="1"/>
  <c r="B84" i="23"/>
  <c r="AJ312" i="28" s="1"/>
  <c r="BO54" i="23"/>
  <c r="CA54" i="23" s="1"/>
  <c r="CE54" i="23" s="1"/>
  <c r="AG54" i="23" s="1"/>
  <c r="CA53" i="23"/>
  <c r="CE53" i="23" s="1"/>
  <c r="AG53" i="23" s="1"/>
  <c r="H34" i="22"/>
  <c r="AH52" i="22"/>
  <c r="BO53" i="20"/>
  <c r="CA53" i="20" s="1"/>
  <c r="CE53" i="20" s="1"/>
  <c r="AG53" i="20" s="1"/>
  <c r="AL57" i="20"/>
  <c r="B57" i="20" s="1"/>
  <c r="AL56" i="20"/>
  <c r="B56" i="20" s="1"/>
  <c r="AL59" i="20"/>
  <c r="B59" i="20" s="1"/>
  <c r="AL58" i="20"/>
  <c r="B58" i="20" s="1"/>
  <c r="B86" i="20"/>
  <c r="BO55" i="20"/>
  <c r="CA55" i="20" s="1"/>
  <c r="CE55" i="20" s="1"/>
  <c r="AG55" i="20" s="1"/>
  <c r="BO54" i="20"/>
  <c r="CA54" i="20" s="1"/>
  <c r="CE54" i="20" s="1"/>
  <c r="AG54" i="20" s="1"/>
  <c r="H34" i="19"/>
  <c r="AH52" i="19"/>
  <c r="H34" i="16"/>
  <c r="AH52" i="16"/>
  <c r="U179" i="6"/>
  <c r="U178" i="6"/>
  <c r="U177" i="6"/>
  <c r="U176" i="6"/>
  <c r="U174" i="6"/>
  <c r="U173" i="6"/>
  <c r="U172" i="6"/>
  <c r="U171" i="6"/>
  <c r="U169" i="6"/>
  <c r="U168" i="6"/>
  <c r="U167" i="6"/>
  <c r="U166" i="6"/>
  <c r="U87" i="6"/>
  <c r="U86" i="6"/>
  <c r="U81" i="6"/>
  <c r="U80" i="6"/>
  <c r="U79" i="6"/>
  <c r="U78" i="6"/>
  <c r="U76" i="6"/>
  <c r="U75" i="6"/>
  <c r="U74" i="6"/>
  <c r="U73" i="6"/>
  <c r="U71" i="6"/>
  <c r="U70" i="6"/>
  <c r="U69" i="6"/>
  <c r="U68" i="6"/>
  <c r="U59" i="6"/>
  <c r="U58" i="6"/>
  <c r="U57" i="6"/>
  <c r="U56" i="6"/>
  <c r="D15" i="5"/>
  <c r="D13" i="5"/>
  <c r="D11" i="5"/>
  <c r="D9" i="5"/>
  <c r="D10" i="28" s="1"/>
  <c r="D7" i="5"/>
  <c r="D8" i="28" s="1"/>
  <c r="D5" i="5"/>
  <c r="D6" i="28" s="1"/>
  <c r="AK214" i="28" l="1"/>
  <c r="AM214" i="28" s="1"/>
  <c r="B214" i="28" s="1"/>
  <c r="AJ203" i="28"/>
  <c r="AM203" i="28" s="1"/>
  <c r="B203" i="28" s="1"/>
  <c r="AJ193" i="28"/>
  <c r="AM193" i="28" s="1"/>
  <c r="B193" i="28" s="1"/>
  <c r="D215" i="28"/>
  <c r="V215" i="28" s="1"/>
  <c r="C19" i="105"/>
  <c r="H39" i="25"/>
  <c r="H41" i="25" s="1"/>
  <c r="C19" i="96"/>
  <c r="H39" i="22"/>
  <c r="H41" i="22" s="1"/>
  <c r="C19" i="87"/>
  <c r="C47" i="91" s="1"/>
  <c r="H39" i="19"/>
  <c r="H41" i="19" s="1"/>
  <c r="D14" i="28"/>
  <c r="D14" i="6"/>
  <c r="D12" i="28"/>
  <c r="D12" i="6"/>
  <c r="AH179" i="28"/>
  <c r="AM179" i="28" s="1"/>
  <c r="B179" i="28" s="1"/>
  <c r="AH178" i="28"/>
  <c r="AM178" i="28" s="1"/>
  <c r="B178" i="28" s="1"/>
  <c r="AL161" i="23"/>
  <c r="AU161" i="23" s="1"/>
  <c r="AY161" i="23" s="1"/>
  <c r="B161" i="23" s="1"/>
  <c r="AP171" i="23"/>
  <c r="AG171" i="23" s="1"/>
  <c r="AP31" i="23"/>
  <c r="AG31" i="23" s="1"/>
  <c r="B31" i="23" s="1"/>
  <c r="AP81" i="23"/>
  <c r="AG81" i="23" s="1"/>
  <c r="AP30" i="23"/>
  <c r="AG30" i="23" s="1"/>
  <c r="B30" i="23" s="1"/>
  <c r="AP169" i="23"/>
  <c r="AG169" i="23" s="1"/>
  <c r="AP80" i="23"/>
  <c r="AG80" i="23" s="1"/>
  <c r="AP29" i="23"/>
  <c r="AG29" i="23" s="1"/>
  <c r="B29" i="23" s="1"/>
  <c r="AP168" i="23"/>
  <c r="AG168" i="23" s="1"/>
  <c r="AP79" i="23"/>
  <c r="AG79" i="23" s="1"/>
  <c r="AP44" i="23"/>
  <c r="AG44" i="23" s="1"/>
  <c r="B44" i="23" s="1"/>
  <c r="AP28" i="23"/>
  <c r="AG28" i="23" s="1"/>
  <c r="B28" i="23" s="1"/>
  <c r="AP167" i="23"/>
  <c r="AG167" i="23" s="1"/>
  <c r="AP78" i="23"/>
  <c r="AG78" i="23" s="1"/>
  <c r="AP43" i="23"/>
  <c r="AG43" i="23" s="1"/>
  <c r="B43" i="23" s="1"/>
  <c r="AP27" i="23"/>
  <c r="AG27" i="23" s="1"/>
  <c r="B27" i="23" s="1"/>
  <c r="AP166" i="23"/>
  <c r="AG166" i="23" s="1"/>
  <c r="AP42" i="23"/>
  <c r="AG42" i="23" s="1"/>
  <c r="B42" i="23" s="1"/>
  <c r="AP26" i="23"/>
  <c r="AG26" i="23" s="1"/>
  <c r="B26" i="23" s="1"/>
  <c r="AP76" i="23"/>
  <c r="AG76" i="23" s="1"/>
  <c r="AP41" i="23"/>
  <c r="AG41" i="23" s="1"/>
  <c r="B41" i="23" s="1"/>
  <c r="AP25" i="23"/>
  <c r="AG25" i="23" s="1"/>
  <c r="B25" i="23" s="1"/>
  <c r="AP75" i="23"/>
  <c r="AG75" i="23" s="1"/>
  <c r="AP40" i="23"/>
  <c r="AG40" i="23" s="1"/>
  <c r="B40" i="23" s="1"/>
  <c r="AP24" i="23"/>
  <c r="AG24" i="23" s="1"/>
  <c r="B24" i="23" s="1"/>
  <c r="AP179" i="23"/>
  <c r="AG179" i="23" s="1"/>
  <c r="AP74" i="23"/>
  <c r="AG74" i="23" s="1"/>
  <c r="AP39" i="23"/>
  <c r="AG39" i="23" s="1"/>
  <c r="B39" i="23" s="1"/>
  <c r="AP23" i="23"/>
  <c r="AG23" i="23" s="1"/>
  <c r="B23" i="23" s="1"/>
  <c r="AP178" i="23"/>
  <c r="AG178" i="23" s="1"/>
  <c r="AP73" i="23"/>
  <c r="AG73" i="23" s="1"/>
  <c r="AP38" i="23"/>
  <c r="AG38" i="23" s="1"/>
  <c r="B38" i="23" s="1"/>
  <c r="AP22" i="23"/>
  <c r="AG22" i="23" s="1"/>
  <c r="B22" i="23" s="1"/>
  <c r="AP177" i="23"/>
  <c r="AG177" i="23" s="1"/>
  <c r="AP37" i="23"/>
  <c r="AG37" i="23" s="1"/>
  <c r="B37" i="23" s="1"/>
  <c r="AP21" i="23"/>
  <c r="AG21" i="23" s="1"/>
  <c r="B21" i="23" s="1"/>
  <c r="AP176" i="23"/>
  <c r="AG176" i="23" s="1"/>
  <c r="AP71" i="23"/>
  <c r="AG71" i="23" s="1"/>
  <c r="AP36" i="23"/>
  <c r="AG36" i="23" s="1"/>
  <c r="B36" i="23" s="1"/>
  <c r="AP70" i="23"/>
  <c r="AG70" i="23" s="1"/>
  <c r="AP35" i="23"/>
  <c r="AG35" i="23" s="1"/>
  <c r="B35" i="23" s="1"/>
  <c r="AP172" i="23"/>
  <c r="AG172" i="23" s="1"/>
  <c r="AP174" i="23"/>
  <c r="AG174" i="23" s="1"/>
  <c r="AP69" i="23"/>
  <c r="AG69" i="23" s="1"/>
  <c r="AP34" i="23"/>
  <c r="AG34" i="23" s="1"/>
  <c r="B34" i="23" s="1"/>
  <c r="AP173" i="23"/>
  <c r="AG173" i="23" s="1"/>
  <c r="AP68" i="23"/>
  <c r="AG68" i="23" s="1"/>
  <c r="AP33" i="23"/>
  <c r="AG33" i="23" s="1"/>
  <c r="B33" i="23" s="1"/>
  <c r="AP32" i="23"/>
  <c r="AG32" i="23" s="1"/>
  <c r="B32" i="23" s="1"/>
  <c r="AP82" i="23"/>
  <c r="AG82" i="23" s="1"/>
  <c r="AP170" i="23"/>
  <c r="AG170" i="23" s="1"/>
  <c r="AP77" i="23"/>
  <c r="AG77" i="23" s="1"/>
  <c r="AP180" i="23"/>
  <c r="AG180" i="23" s="1"/>
  <c r="AP72" i="23"/>
  <c r="AG72" i="23" s="1"/>
  <c r="AP175" i="23"/>
  <c r="AG175" i="23" s="1"/>
  <c r="AP72" i="20"/>
  <c r="AG72" i="20" s="1"/>
  <c r="AP175" i="20"/>
  <c r="AG175" i="20" s="1"/>
  <c r="AP77" i="20"/>
  <c r="AG77" i="20" s="1"/>
  <c r="AP170" i="20"/>
  <c r="AP82" i="20"/>
  <c r="AG82" i="20" s="1"/>
  <c r="AP180" i="20"/>
  <c r="AL161" i="20"/>
  <c r="AU161" i="20" s="1"/>
  <c r="AY161" i="20" s="1"/>
  <c r="B161" i="20" s="1"/>
  <c r="AP176" i="20"/>
  <c r="AG176" i="20" s="1"/>
  <c r="AP37" i="20"/>
  <c r="AG37" i="20" s="1"/>
  <c r="B37" i="20" s="1"/>
  <c r="AP21" i="20"/>
  <c r="AG21" i="20" s="1"/>
  <c r="B21" i="20" s="1"/>
  <c r="AP71" i="20"/>
  <c r="AG71" i="20" s="1"/>
  <c r="AP36" i="20"/>
  <c r="AG36" i="20" s="1"/>
  <c r="B36" i="20" s="1"/>
  <c r="AP174" i="20"/>
  <c r="AG174" i="20" s="1"/>
  <c r="AP70" i="20"/>
  <c r="AG70" i="20" s="1"/>
  <c r="AP35" i="20"/>
  <c r="AG35" i="20" s="1"/>
  <c r="B35" i="20" s="1"/>
  <c r="AP26" i="20"/>
  <c r="AG26" i="20" s="1"/>
  <c r="B26" i="20" s="1"/>
  <c r="AP76" i="20"/>
  <c r="AG76" i="20" s="1"/>
  <c r="AP173" i="20"/>
  <c r="AG173" i="20" s="1"/>
  <c r="AP69" i="20"/>
  <c r="AG69" i="20" s="1"/>
  <c r="AP34" i="20"/>
  <c r="AG34" i="20" s="1"/>
  <c r="B34" i="20" s="1"/>
  <c r="AP42" i="20"/>
  <c r="AG42" i="20" s="1"/>
  <c r="B42" i="20" s="1"/>
  <c r="AP172" i="20"/>
  <c r="AP68" i="20"/>
  <c r="AG68" i="20" s="1"/>
  <c r="AP33" i="20"/>
  <c r="AG33" i="20" s="1"/>
  <c r="B33" i="20" s="1"/>
  <c r="AP73" i="20"/>
  <c r="AG73" i="20" s="1"/>
  <c r="AP171" i="20"/>
  <c r="AG171" i="20" s="1"/>
  <c r="AP32" i="20"/>
  <c r="AG32" i="20" s="1"/>
  <c r="B32" i="20" s="1"/>
  <c r="AP25" i="20"/>
  <c r="AG25" i="20" s="1"/>
  <c r="B25" i="20" s="1"/>
  <c r="AP31" i="20"/>
  <c r="AG31" i="20" s="1"/>
  <c r="B31" i="20" s="1"/>
  <c r="AP177" i="20"/>
  <c r="AG177" i="20" s="1"/>
  <c r="AP169" i="20"/>
  <c r="AG169" i="20" s="1"/>
  <c r="AP81" i="20"/>
  <c r="AG81" i="20" s="1"/>
  <c r="AP30" i="20"/>
  <c r="AG30" i="20" s="1"/>
  <c r="B30" i="20" s="1"/>
  <c r="AP22" i="20"/>
  <c r="AG22" i="20" s="1"/>
  <c r="B22" i="20" s="1"/>
  <c r="AP168" i="20"/>
  <c r="AG168" i="20" s="1"/>
  <c r="AP80" i="20"/>
  <c r="AG80" i="20" s="1"/>
  <c r="AP29" i="20"/>
  <c r="AG29" i="20" s="1"/>
  <c r="B29" i="20" s="1"/>
  <c r="AP41" i="20"/>
  <c r="AG41" i="20" s="1"/>
  <c r="B41" i="20" s="1"/>
  <c r="AP167" i="20"/>
  <c r="AG167" i="20" s="1"/>
  <c r="AP79" i="20"/>
  <c r="AG79" i="20" s="1"/>
  <c r="AP44" i="20"/>
  <c r="AG44" i="20" s="1"/>
  <c r="B44" i="20" s="1"/>
  <c r="AP28" i="20"/>
  <c r="AG28" i="20" s="1"/>
  <c r="B28" i="20" s="1"/>
  <c r="AP166" i="20"/>
  <c r="AG166" i="20" s="1"/>
  <c r="AP78" i="20"/>
  <c r="AG78" i="20" s="1"/>
  <c r="AP43" i="20"/>
  <c r="AG43" i="20" s="1"/>
  <c r="B43" i="20" s="1"/>
  <c r="AP27" i="20"/>
  <c r="AG27" i="20" s="1"/>
  <c r="B27" i="20" s="1"/>
  <c r="AP179" i="20"/>
  <c r="AG179" i="20" s="1"/>
  <c r="AP75" i="20"/>
  <c r="AG75" i="20" s="1"/>
  <c r="AP40" i="20"/>
  <c r="AG40" i="20" s="1"/>
  <c r="B40" i="20" s="1"/>
  <c r="AP24" i="20"/>
  <c r="AG24" i="20" s="1"/>
  <c r="B24" i="20" s="1"/>
  <c r="AP178" i="20"/>
  <c r="AG178" i="20" s="1"/>
  <c r="AP74" i="20"/>
  <c r="AG74" i="20" s="1"/>
  <c r="AP39" i="20"/>
  <c r="AG39" i="20" s="1"/>
  <c r="B39" i="20" s="1"/>
  <c r="AP23" i="20"/>
  <c r="AG23" i="20" s="1"/>
  <c r="B23" i="20" s="1"/>
  <c r="AP38" i="20"/>
  <c r="AG38" i="20" s="1"/>
  <c r="B38" i="20" s="1"/>
  <c r="AH53" i="16"/>
  <c r="AP174" i="17"/>
  <c r="AP70" i="17"/>
  <c r="AP35" i="17"/>
  <c r="AG35" i="17" s="1"/>
  <c r="B35" i="17" s="1"/>
  <c r="AP173" i="17"/>
  <c r="AP69" i="17"/>
  <c r="AP34" i="17"/>
  <c r="AG34" i="17" s="1"/>
  <c r="B34" i="17" s="1"/>
  <c r="AP176" i="17"/>
  <c r="AP21" i="17"/>
  <c r="AG21" i="17" s="1"/>
  <c r="B21" i="17" s="1"/>
  <c r="AP172" i="17"/>
  <c r="AP68" i="17"/>
  <c r="AP33" i="17"/>
  <c r="AG33" i="17" s="1"/>
  <c r="B33" i="17" s="1"/>
  <c r="AP171" i="17"/>
  <c r="AP32" i="17"/>
  <c r="AG32" i="17" s="1"/>
  <c r="B32" i="17" s="1"/>
  <c r="AP31" i="17"/>
  <c r="AG31" i="17" s="1"/>
  <c r="B31" i="17" s="1"/>
  <c r="AP169" i="17"/>
  <c r="AP81" i="17"/>
  <c r="AP30" i="17"/>
  <c r="AG30" i="17" s="1"/>
  <c r="B30" i="17" s="1"/>
  <c r="AP168" i="17"/>
  <c r="AP80" i="17"/>
  <c r="AP29" i="17"/>
  <c r="AG29" i="17" s="1"/>
  <c r="B29" i="17" s="1"/>
  <c r="AP167" i="17"/>
  <c r="AP79" i="17"/>
  <c r="AP44" i="17"/>
  <c r="AG44" i="17" s="1"/>
  <c r="B44" i="17" s="1"/>
  <c r="AP28" i="17"/>
  <c r="AG28" i="17" s="1"/>
  <c r="B28" i="17" s="1"/>
  <c r="AP166" i="17"/>
  <c r="AP78" i="17"/>
  <c r="AP43" i="17"/>
  <c r="AG43" i="17" s="1"/>
  <c r="B43" i="17" s="1"/>
  <c r="AP27" i="17"/>
  <c r="AG27" i="17" s="1"/>
  <c r="B27" i="17" s="1"/>
  <c r="AP42" i="17"/>
  <c r="AG42" i="17" s="1"/>
  <c r="B42" i="17" s="1"/>
  <c r="AP26" i="17"/>
  <c r="AG26" i="17" s="1"/>
  <c r="B26" i="17" s="1"/>
  <c r="AP76" i="17"/>
  <c r="AP41" i="17"/>
  <c r="AG41" i="17" s="1"/>
  <c r="B41" i="17" s="1"/>
  <c r="AP25" i="17"/>
  <c r="AG25" i="17" s="1"/>
  <c r="B25" i="17" s="1"/>
  <c r="AP37" i="17"/>
  <c r="AG37" i="17" s="1"/>
  <c r="B37" i="17" s="1"/>
  <c r="AP179" i="17"/>
  <c r="AP75" i="17"/>
  <c r="AP40" i="17"/>
  <c r="AG40" i="17" s="1"/>
  <c r="B40" i="17" s="1"/>
  <c r="AP24" i="17"/>
  <c r="AG24" i="17" s="1"/>
  <c r="B24" i="17" s="1"/>
  <c r="AP71" i="17"/>
  <c r="AP178" i="17"/>
  <c r="AP74" i="17"/>
  <c r="AP39" i="17"/>
  <c r="AG39" i="17" s="1"/>
  <c r="B39" i="17" s="1"/>
  <c r="AP23" i="17"/>
  <c r="AG23" i="17" s="1"/>
  <c r="B23" i="17" s="1"/>
  <c r="AP36" i="17"/>
  <c r="AG36" i="17" s="1"/>
  <c r="B36" i="17" s="1"/>
  <c r="AP177" i="17"/>
  <c r="AP73" i="17"/>
  <c r="AP38" i="17"/>
  <c r="AG38" i="17" s="1"/>
  <c r="B38" i="17" s="1"/>
  <c r="AP22" i="17"/>
  <c r="AG22" i="17" s="1"/>
  <c r="B22" i="17" s="1"/>
  <c r="AP72" i="17"/>
  <c r="AP170" i="17"/>
  <c r="AP82" i="17"/>
  <c r="AP175" i="17"/>
  <c r="AP77" i="17"/>
  <c r="AP180" i="17"/>
  <c r="AH53" i="25"/>
  <c r="AP166" i="26"/>
  <c r="AG166" i="26" s="1"/>
  <c r="AP78" i="26"/>
  <c r="AG78" i="26" s="1"/>
  <c r="AP43" i="26"/>
  <c r="AG43" i="26" s="1"/>
  <c r="B43" i="26" s="1"/>
  <c r="AP27" i="26"/>
  <c r="AG27" i="26" s="1"/>
  <c r="B27" i="26" s="1"/>
  <c r="AP42" i="26"/>
  <c r="AG42" i="26" s="1"/>
  <c r="B42" i="26" s="1"/>
  <c r="AP26" i="26"/>
  <c r="AG26" i="26" s="1"/>
  <c r="B26" i="26" s="1"/>
  <c r="AP169" i="26"/>
  <c r="AG169" i="26" s="1"/>
  <c r="AP30" i="26"/>
  <c r="AG30" i="26" s="1"/>
  <c r="B30" i="26" s="1"/>
  <c r="AP76" i="26"/>
  <c r="AG76" i="26" s="1"/>
  <c r="AP41" i="26"/>
  <c r="AG41" i="26" s="1"/>
  <c r="B41" i="26" s="1"/>
  <c r="AP25" i="26"/>
  <c r="AG25" i="26" s="1"/>
  <c r="B25" i="26" s="1"/>
  <c r="AP81" i="26"/>
  <c r="AG81" i="26" s="1"/>
  <c r="AP29" i="26"/>
  <c r="AG29" i="26" s="1"/>
  <c r="B29" i="26" s="1"/>
  <c r="AP179" i="26"/>
  <c r="AG179" i="26" s="1"/>
  <c r="AP75" i="26"/>
  <c r="AG75" i="26" s="1"/>
  <c r="AP40" i="26"/>
  <c r="AG40" i="26" s="1"/>
  <c r="B40" i="26" s="1"/>
  <c r="AP24" i="26"/>
  <c r="AG24" i="26" s="1"/>
  <c r="B24" i="26" s="1"/>
  <c r="AP44" i="26"/>
  <c r="AG44" i="26" s="1"/>
  <c r="B44" i="26" s="1"/>
  <c r="AP178" i="26"/>
  <c r="AG178" i="26" s="1"/>
  <c r="AP74" i="26"/>
  <c r="AG74" i="26" s="1"/>
  <c r="AP39" i="26"/>
  <c r="AG39" i="26" s="1"/>
  <c r="B39" i="26" s="1"/>
  <c r="AP23" i="26"/>
  <c r="AG23" i="26" s="1"/>
  <c r="B23" i="26" s="1"/>
  <c r="AP177" i="26"/>
  <c r="AG177" i="26" s="1"/>
  <c r="AP73" i="26"/>
  <c r="AG73" i="26" s="1"/>
  <c r="AP38" i="26"/>
  <c r="AG38" i="26" s="1"/>
  <c r="B38" i="26" s="1"/>
  <c r="AP22" i="26"/>
  <c r="AG22" i="26" s="1"/>
  <c r="B22" i="26" s="1"/>
  <c r="AP80" i="26"/>
  <c r="AG80" i="26" s="1"/>
  <c r="AP176" i="26"/>
  <c r="AG176" i="26" s="1"/>
  <c r="AP37" i="26"/>
  <c r="AG37" i="26" s="1"/>
  <c r="B37" i="26" s="1"/>
  <c r="AP21" i="26"/>
  <c r="AG21" i="26" s="1"/>
  <c r="B21" i="26" s="1"/>
  <c r="AP71" i="26"/>
  <c r="AG71" i="26" s="1"/>
  <c r="AP36" i="26"/>
  <c r="AG36" i="26" s="1"/>
  <c r="B36" i="26" s="1"/>
  <c r="AP174" i="26"/>
  <c r="AG174" i="26" s="1"/>
  <c r="AP70" i="26"/>
  <c r="AG70" i="26" s="1"/>
  <c r="AP35" i="26"/>
  <c r="AG35" i="26" s="1"/>
  <c r="B35" i="26" s="1"/>
  <c r="AP79" i="26"/>
  <c r="AG79" i="26" s="1"/>
  <c r="AP173" i="26"/>
  <c r="AG173" i="26" s="1"/>
  <c r="AP69" i="26"/>
  <c r="AG69" i="26" s="1"/>
  <c r="AP34" i="26"/>
  <c r="AG34" i="26" s="1"/>
  <c r="B34" i="26" s="1"/>
  <c r="AP167" i="26"/>
  <c r="AG167" i="26" s="1"/>
  <c r="AP172" i="26"/>
  <c r="AG172" i="26" s="1"/>
  <c r="AP68" i="26"/>
  <c r="AG68" i="26" s="1"/>
  <c r="AP33" i="26"/>
  <c r="AG33" i="26" s="1"/>
  <c r="B33" i="26" s="1"/>
  <c r="AP171" i="26"/>
  <c r="AG171" i="26" s="1"/>
  <c r="AP32" i="26"/>
  <c r="AG32" i="26" s="1"/>
  <c r="B32" i="26" s="1"/>
  <c r="AP28" i="26"/>
  <c r="AG28" i="26" s="1"/>
  <c r="B28" i="26" s="1"/>
  <c r="AP31" i="26"/>
  <c r="AG31" i="26" s="1"/>
  <c r="B31" i="26" s="1"/>
  <c r="AP168" i="26"/>
  <c r="AG168" i="26" s="1"/>
  <c r="AP77" i="26"/>
  <c r="AG77" i="26" s="1"/>
  <c r="AP180" i="26"/>
  <c r="AG180" i="26" s="1"/>
  <c r="AP72" i="26"/>
  <c r="AG72" i="26" s="1"/>
  <c r="AP175" i="26"/>
  <c r="AG175" i="26" s="1"/>
  <c r="AP170" i="26"/>
  <c r="AG170" i="26" s="1"/>
  <c r="AP82" i="26"/>
  <c r="AG82" i="26" s="1"/>
  <c r="AJ212" i="28"/>
  <c r="AM212" i="28" s="1"/>
  <c r="B212" i="28" s="1"/>
  <c r="AJ213" i="28"/>
  <c r="AM213" i="28" s="1"/>
  <c r="B213" i="28" s="1"/>
  <c r="AJ182" i="28"/>
  <c r="AM182" i="28" s="1"/>
  <c r="B182" i="28" s="1"/>
  <c r="AJ183" i="28"/>
  <c r="AM183" i="28" s="1"/>
  <c r="B183" i="28" s="1"/>
  <c r="AI210" i="28"/>
  <c r="AM210" i="28" s="1"/>
  <c r="B210" i="28" s="1"/>
  <c r="AI211" i="28"/>
  <c r="AM211" i="28" s="1"/>
  <c r="B211" i="28" s="1"/>
  <c r="AI180" i="28"/>
  <c r="AM180" i="28" s="1"/>
  <c r="B180" i="28" s="1"/>
  <c r="AI181" i="28"/>
  <c r="AM181" i="28" s="1"/>
  <c r="B181" i="28" s="1"/>
  <c r="AI190" i="28"/>
  <c r="AM190" i="28" s="1"/>
  <c r="B190" i="28" s="1"/>
  <c r="AI191" i="28"/>
  <c r="AM191" i="28" s="1"/>
  <c r="B191" i="28" s="1"/>
  <c r="AI200" i="28"/>
  <c r="AM200" i="28" s="1"/>
  <c r="B200" i="28" s="1"/>
  <c r="AI201" i="28"/>
  <c r="AM201" i="28" s="1"/>
  <c r="B201" i="28" s="1"/>
  <c r="AH44" i="19"/>
  <c r="AH45" i="19" s="1"/>
  <c r="AT58" i="20"/>
  <c r="C58" i="20" s="1"/>
  <c r="D58" i="20" s="1"/>
  <c r="V58" i="20" s="1"/>
  <c r="AT57" i="20"/>
  <c r="C57" i="20" s="1"/>
  <c r="D57" i="20" s="1"/>
  <c r="V57" i="20" s="1"/>
  <c r="AO34" i="62"/>
  <c r="AO37" i="62" s="1"/>
  <c r="AH43" i="19"/>
  <c r="AL61" i="20" s="1"/>
  <c r="B61" i="20" s="1"/>
  <c r="AI217" i="28" s="1"/>
  <c r="AT59" i="20"/>
  <c r="C59" i="20" s="1"/>
  <c r="D59" i="20" s="1"/>
  <c r="V59" i="20" s="1"/>
  <c r="AT56" i="20"/>
  <c r="C56" i="20" s="1"/>
  <c r="D56" i="20" s="1"/>
  <c r="V56" i="20" s="1"/>
  <c r="R34" i="62"/>
  <c r="R37" i="62" s="1"/>
  <c r="BL34" i="62"/>
  <c r="BL37" i="62" s="1"/>
  <c r="AT59" i="23"/>
  <c r="C59" i="23" s="1"/>
  <c r="D59" i="23" s="1"/>
  <c r="V59" i="23" s="1"/>
  <c r="AH43" i="22"/>
  <c r="AL60" i="23" s="1"/>
  <c r="B60" i="23" s="1"/>
  <c r="AJ216" i="28" s="1"/>
  <c r="AT56" i="23"/>
  <c r="C56" i="23" s="1"/>
  <c r="D56" i="23" s="1"/>
  <c r="V56" i="23" s="1"/>
  <c r="AO34" i="63"/>
  <c r="AO37" i="63" s="1"/>
  <c r="AH44" i="22"/>
  <c r="AH45" i="22" s="1"/>
  <c r="AL49" i="23" s="1"/>
  <c r="B49" i="23" s="1"/>
  <c r="AJ169" i="28" s="1"/>
  <c r="AT58" i="23"/>
  <c r="C58" i="23" s="1"/>
  <c r="D58" i="23" s="1"/>
  <c r="V58" i="23" s="1"/>
  <c r="R34" i="63"/>
  <c r="R37" i="63" s="1"/>
  <c r="AT57" i="23"/>
  <c r="C57" i="23" s="1"/>
  <c r="D57" i="23" s="1"/>
  <c r="V57" i="23" s="1"/>
  <c r="BL34" i="63"/>
  <c r="BL37" i="63" s="1"/>
  <c r="AK184" i="28"/>
  <c r="AM184" i="28" s="1"/>
  <c r="B184" i="28" s="1"/>
  <c r="AK185" i="28"/>
  <c r="AM185" i="28" s="1"/>
  <c r="B185" i="28" s="1"/>
  <c r="AK194" i="28"/>
  <c r="AM194" i="28" s="1"/>
  <c r="B194" i="28" s="1"/>
  <c r="AK195" i="28"/>
  <c r="AM195" i="28" s="1"/>
  <c r="B195" i="28" s="1"/>
  <c r="AK204" i="28"/>
  <c r="AM204" i="28" s="1"/>
  <c r="B204" i="28" s="1"/>
  <c r="AK205" i="28"/>
  <c r="AM205" i="28" s="1"/>
  <c r="B205" i="28" s="1"/>
  <c r="AH55" i="22"/>
  <c r="AH55" i="19"/>
  <c r="V84" i="20"/>
  <c r="AL86" i="26"/>
  <c r="AJ318" i="28"/>
  <c r="AL318" i="28" s="1"/>
  <c r="B318" i="28" s="1"/>
  <c r="AJ314" i="28"/>
  <c r="AI317" i="28"/>
  <c r="AL317" i="28" s="1"/>
  <c r="B317" i="28" s="1"/>
  <c r="AI314" i="28"/>
  <c r="AH55" i="16"/>
  <c r="AL87" i="17" s="1"/>
  <c r="AJ202" i="28"/>
  <c r="AM202" i="28" s="1"/>
  <c r="B202" i="28" s="1"/>
  <c r="AJ192" i="28"/>
  <c r="AM192" i="28" s="1"/>
  <c r="B192" i="28" s="1"/>
  <c r="B52" i="20"/>
  <c r="AI172" i="28" s="1"/>
  <c r="B53" i="20"/>
  <c r="AI173" i="28" s="1"/>
  <c r="B52" i="23"/>
  <c r="AJ172" i="28" s="1"/>
  <c r="B54" i="23"/>
  <c r="AJ174" i="28" s="1"/>
  <c r="B53" i="23"/>
  <c r="AJ173" i="28" s="1"/>
  <c r="B55" i="20"/>
  <c r="AI175" i="28" s="1"/>
  <c r="B54" i="20"/>
  <c r="AI174" i="28" s="1"/>
  <c r="B55" i="23"/>
  <c r="AJ175" i="28" s="1"/>
  <c r="B53" i="26"/>
  <c r="AK173" i="28" s="1"/>
  <c r="B54" i="26"/>
  <c r="AK174" i="28" s="1"/>
  <c r="B52" i="26"/>
  <c r="B55" i="26"/>
  <c r="AK175" i="28" s="1"/>
  <c r="BL34" i="64"/>
  <c r="BL37" i="64" s="1"/>
  <c r="AO34" i="64"/>
  <c r="AO37" i="64" s="1"/>
  <c r="R34" i="64"/>
  <c r="R37" i="64" s="1"/>
  <c r="D10" i="6"/>
  <c r="D8" i="6"/>
  <c r="AX55" i="8"/>
  <c r="D6" i="6"/>
  <c r="D16" i="6"/>
  <c r="Z86" i="23"/>
  <c r="V86" i="23"/>
  <c r="Z86" i="20"/>
  <c r="V86" i="20"/>
  <c r="Z59" i="26"/>
  <c r="V84" i="23"/>
  <c r="AU156" i="26"/>
  <c r="AG156" i="26" s="1"/>
  <c r="AU139" i="26"/>
  <c r="AG139" i="26" s="1"/>
  <c r="AU108" i="26"/>
  <c r="AG108" i="26" s="1"/>
  <c r="AU104" i="26"/>
  <c r="AG104" i="26" s="1"/>
  <c r="AU101" i="26"/>
  <c r="AG101" i="26" s="1"/>
  <c r="AU98" i="26"/>
  <c r="AG98" i="26" s="1"/>
  <c r="AU92" i="26"/>
  <c r="AG92" i="26" s="1"/>
  <c r="AU147" i="26"/>
  <c r="AG147" i="26" s="1"/>
  <c r="AU143" i="26"/>
  <c r="AG143" i="26" s="1"/>
  <c r="AU134" i="26"/>
  <c r="AG134" i="26" s="1"/>
  <c r="AU121" i="26"/>
  <c r="AG121" i="26" s="1"/>
  <c r="AU112" i="26"/>
  <c r="AG112" i="26" s="1"/>
  <c r="AU151" i="26"/>
  <c r="AG151" i="26" s="1"/>
  <c r="AU116" i="26"/>
  <c r="AG116" i="26" s="1"/>
  <c r="AU148" i="26"/>
  <c r="AG148" i="26" s="1"/>
  <c r="AU138" i="26"/>
  <c r="AG138" i="26" s="1"/>
  <c r="AU107" i="26"/>
  <c r="AG107" i="26" s="1"/>
  <c r="AU142" i="26"/>
  <c r="AG142" i="26" s="1"/>
  <c r="AU129" i="26"/>
  <c r="AG129" i="26" s="1"/>
  <c r="AU111" i="26"/>
  <c r="AG111" i="26" s="1"/>
  <c r="AU146" i="26"/>
  <c r="AG146" i="26" s="1"/>
  <c r="AU133" i="26"/>
  <c r="AG133" i="26" s="1"/>
  <c r="AU97" i="26"/>
  <c r="AG97" i="26" s="1"/>
  <c r="AU94" i="26"/>
  <c r="AG94" i="26" s="1"/>
  <c r="AU91" i="26"/>
  <c r="AG91" i="26" s="1"/>
  <c r="AU144" i="26"/>
  <c r="AG144" i="26" s="1"/>
  <c r="AU126" i="26"/>
  <c r="AG126" i="26" s="1"/>
  <c r="AU88" i="26"/>
  <c r="AG88" i="26" s="1"/>
  <c r="AU159" i="26"/>
  <c r="AG159" i="26" s="1"/>
  <c r="AU124" i="26"/>
  <c r="AG124" i="26" s="1"/>
  <c r="AU103" i="26"/>
  <c r="AG103" i="26" s="1"/>
  <c r="AU137" i="26"/>
  <c r="AG137" i="26" s="1"/>
  <c r="AU128" i="26"/>
  <c r="AG128" i="26" s="1"/>
  <c r="AU106" i="26"/>
  <c r="AG106" i="26" s="1"/>
  <c r="AU154" i="26"/>
  <c r="AG154" i="26" s="1"/>
  <c r="AU141" i="26"/>
  <c r="AG141" i="26" s="1"/>
  <c r="AU132" i="26"/>
  <c r="AG132" i="26" s="1"/>
  <c r="AU119" i="26"/>
  <c r="AG119" i="26" s="1"/>
  <c r="AU158" i="26"/>
  <c r="AG158" i="26" s="1"/>
  <c r="AU123" i="26"/>
  <c r="AG123" i="26" s="1"/>
  <c r="AU149" i="26"/>
  <c r="AG149" i="26" s="1"/>
  <c r="AU136" i="26"/>
  <c r="AG136" i="26" s="1"/>
  <c r="AU114" i="26"/>
  <c r="AG114" i="26" s="1"/>
  <c r="AU96" i="26"/>
  <c r="AG96" i="26" s="1"/>
  <c r="AU90" i="26"/>
  <c r="AG90" i="26" s="1"/>
  <c r="AU153" i="26"/>
  <c r="AG153" i="26" s="1"/>
  <c r="AU127" i="26"/>
  <c r="AG127" i="26" s="1"/>
  <c r="AU102" i="26"/>
  <c r="AG102" i="26" s="1"/>
  <c r="AU99" i="26"/>
  <c r="AG99" i="26" s="1"/>
  <c r="AU93" i="26"/>
  <c r="AG93" i="26" s="1"/>
  <c r="AU113" i="26"/>
  <c r="AG113" i="26" s="1"/>
  <c r="AU157" i="26"/>
  <c r="AG157" i="26" s="1"/>
  <c r="AU131" i="26"/>
  <c r="AG131" i="26" s="1"/>
  <c r="AU118" i="26"/>
  <c r="AG118" i="26" s="1"/>
  <c r="AU109" i="26"/>
  <c r="AG109" i="26" s="1"/>
  <c r="AU89" i="26"/>
  <c r="AG89" i="26" s="1"/>
  <c r="AU122" i="26"/>
  <c r="AG122" i="26" s="1"/>
  <c r="AU152" i="26"/>
  <c r="AG152" i="26" s="1"/>
  <c r="AU117" i="26"/>
  <c r="AG117" i="26" s="1"/>
  <c r="AU130" i="26"/>
  <c r="AG130" i="26" s="1"/>
  <c r="AU95" i="26"/>
  <c r="AG95" i="26" s="1"/>
  <c r="AS82" i="26"/>
  <c r="AW160" i="26"/>
  <c r="AW125" i="26"/>
  <c r="AU160" i="26"/>
  <c r="AG160" i="26" s="1"/>
  <c r="AW155" i="26"/>
  <c r="AU125" i="26"/>
  <c r="AG125" i="26" s="1"/>
  <c r="AS180" i="26"/>
  <c r="AU155" i="26"/>
  <c r="AG155" i="26" s="1"/>
  <c r="AW120" i="26"/>
  <c r="AU135" i="26"/>
  <c r="AG135" i="26" s="1"/>
  <c r="AU120" i="26"/>
  <c r="AG120" i="26" s="1"/>
  <c r="AW115" i="26"/>
  <c r="AW100" i="26"/>
  <c r="AW150" i="26"/>
  <c r="AU115" i="26"/>
  <c r="AG115" i="26" s="1"/>
  <c r="AU100" i="26"/>
  <c r="AG100" i="26" s="1"/>
  <c r="AU150" i="26"/>
  <c r="AG150" i="26" s="1"/>
  <c r="AS77" i="26"/>
  <c r="AS175" i="26"/>
  <c r="AW110" i="26"/>
  <c r="AW145" i="26"/>
  <c r="AU110" i="26"/>
  <c r="AG110" i="26" s="1"/>
  <c r="AU140" i="26"/>
  <c r="AG140" i="26" s="1"/>
  <c r="AU145" i="26"/>
  <c r="AG145" i="26" s="1"/>
  <c r="AW105" i="26"/>
  <c r="AU105" i="26"/>
  <c r="AG105" i="26" s="1"/>
  <c r="AW135" i="26"/>
  <c r="AW140" i="26"/>
  <c r="AS72" i="26"/>
  <c r="AS170" i="26"/>
  <c r="AW130" i="26"/>
  <c r="AW95" i="26"/>
  <c r="AT59" i="26"/>
  <c r="C59" i="26" s="1"/>
  <c r="D59" i="26" s="1"/>
  <c r="V59" i="26" s="1"/>
  <c r="AH44" i="25"/>
  <c r="AH43" i="25"/>
  <c r="AT58" i="26"/>
  <c r="C58" i="26" s="1"/>
  <c r="D58" i="26" s="1"/>
  <c r="V58" i="26" s="1"/>
  <c r="B86" i="26"/>
  <c r="AT56" i="26"/>
  <c r="C56" i="26" s="1"/>
  <c r="D56" i="26" s="1"/>
  <c r="V56" i="26" s="1"/>
  <c r="AT57" i="26"/>
  <c r="C57" i="26" s="1"/>
  <c r="D57" i="26" s="1"/>
  <c r="V57" i="26" s="1"/>
  <c r="AU157" i="23"/>
  <c r="AG157" i="23" s="1"/>
  <c r="AU131" i="23"/>
  <c r="AG131" i="23" s="1"/>
  <c r="AU127" i="23"/>
  <c r="AG127" i="23" s="1"/>
  <c r="AU102" i="23"/>
  <c r="AG102" i="23" s="1"/>
  <c r="AU99" i="23"/>
  <c r="AG99" i="23" s="1"/>
  <c r="AU96" i="23"/>
  <c r="AG96" i="23" s="1"/>
  <c r="AU93" i="23"/>
  <c r="AG93" i="23" s="1"/>
  <c r="AU118" i="23"/>
  <c r="AG118" i="23" s="1"/>
  <c r="AU89" i="23"/>
  <c r="AG89" i="23" s="1"/>
  <c r="AU148" i="23"/>
  <c r="AG148" i="23" s="1"/>
  <c r="AU144" i="23"/>
  <c r="AG144" i="23" s="1"/>
  <c r="AU122" i="23"/>
  <c r="AG122" i="23" s="1"/>
  <c r="AU113" i="23"/>
  <c r="AG113" i="23" s="1"/>
  <c r="AU109" i="23"/>
  <c r="AG109" i="23" s="1"/>
  <c r="AU152" i="23"/>
  <c r="AG152" i="23" s="1"/>
  <c r="AU126" i="23"/>
  <c r="AG126" i="23" s="1"/>
  <c r="AU88" i="23"/>
  <c r="AG88" i="23" s="1"/>
  <c r="AU106" i="23"/>
  <c r="AG106" i="23" s="1"/>
  <c r="AU156" i="23"/>
  <c r="AG156" i="23" s="1"/>
  <c r="AU139" i="23"/>
  <c r="AG139" i="23" s="1"/>
  <c r="AU117" i="23"/>
  <c r="AG117" i="23" s="1"/>
  <c r="AU143" i="23"/>
  <c r="AG143" i="23" s="1"/>
  <c r="AU134" i="23"/>
  <c r="AG134" i="23" s="1"/>
  <c r="AU101" i="23"/>
  <c r="AG101" i="23" s="1"/>
  <c r="AU92" i="23"/>
  <c r="AG92" i="23" s="1"/>
  <c r="AU151" i="23"/>
  <c r="AG151" i="23" s="1"/>
  <c r="AU147" i="23"/>
  <c r="AG147" i="23" s="1"/>
  <c r="AU121" i="23"/>
  <c r="AG121" i="23" s="1"/>
  <c r="AU112" i="23"/>
  <c r="AG112" i="23" s="1"/>
  <c r="AU108" i="23"/>
  <c r="AG108" i="23" s="1"/>
  <c r="AU104" i="23"/>
  <c r="AG104" i="23" s="1"/>
  <c r="AU98" i="23"/>
  <c r="AG98" i="23" s="1"/>
  <c r="AU136" i="23"/>
  <c r="AG136" i="23" s="1"/>
  <c r="AU138" i="23"/>
  <c r="AG138" i="23" s="1"/>
  <c r="AU116" i="23"/>
  <c r="AG116" i="23" s="1"/>
  <c r="AU129" i="23"/>
  <c r="AG129" i="23" s="1"/>
  <c r="AU142" i="23"/>
  <c r="AG142" i="23" s="1"/>
  <c r="AU133" i="23"/>
  <c r="AG133" i="23" s="1"/>
  <c r="AU111" i="23"/>
  <c r="AG111" i="23" s="1"/>
  <c r="AU107" i="23"/>
  <c r="AG107" i="23" s="1"/>
  <c r="AU159" i="23"/>
  <c r="AG159" i="23" s="1"/>
  <c r="AU146" i="23"/>
  <c r="AG146" i="23" s="1"/>
  <c r="AU91" i="23"/>
  <c r="AG91" i="23" s="1"/>
  <c r="AU119" i="23"/>
  <c r="AG119" i="23" s="1"/>
  <c r="AU149" i="23"/>
  <c r="AG149" i="23" s="1"/>
  <c r="AU137" i="23"/>
  <c r="AG137" i="23" s="1"/>
  <c r="AU124" i="23"/>
  <c r="AG124" i="23" s="1"/>
  <c r="AU103" i="23"/>
  <c r="AG103" i="23" s="1"/>
  <c r="AU97" i="23"/>
  <c r="AG97" i="23" s="1"/>
  <c r="AU94" i="23"/>
  <c r="AG94" i="23" s="1"/>
  <c r="AU154" i="23"/>
  <c r="AG154" i="23" s="1"/>
  <c r="AU141" i="23"/>
  <c r="AG141" i="23" s="1"/>
  <c r="AU132" i="23"/>
  <c r="AG132" i="23" s="1"/>
  <c r="AU128" i="23"/>
  <c r="AG128" i="23" s="1"/>
  <c r="AU158" i="23"/>
  <c r="AG158" i="23" s="1"/>
  <c r="AU153" i="23"/>
  <c r="AG153" i="23" s="1"/>
  <c r="AU123" i="23"/>
  <c r="AG123" i="23" s="1"/>
  <c r="AU114" i="23"/>
  <c r="AG114" i="23" s="1"/>
  <c r="AU90" i="23"/>
  <c r="AG90" i="23" s="1"/>
  <c r="AW140" i="23"/>
  <c r="AW105" i="23"/>
  <c r="AU140" i="23"/>
  <c r="AG140" i="23" s="1"/>
  <c r="AW135" i="23"/>
  <c r="AU105" i="23"/>
  <c r="AG105" i="23" s="1"/>
  <c r="AU135" i="23"/>
  <c r="AG135" i="23" s="1"/>
  <c r="AW130" i="23"/>
  <c r="AS170" i="23"/>
  <c r="AU130" i="23"/>
  <c r="AG130" i="23" s="1"/>
  <c r="AS82" i="23"/>
  <c r="AW110" i="23"/>
  <c r="AW95" i="23"/>
  <c r="AS180" i="23"/>
  <c r="AW160" i="23"/>
  <c r="AU95" i="23"/>
  <c r="AG95" i="23" s="1"/>
  <c r="AS72" i="23"/>
  <c r="AU160" i="23"/>
  <c r="AG160" i="23" s="1"/>
  <c r="AW155" i="23"/>
  <c r="AW125" i="23"/>
  <c r="AU155" i="23"/>
  <c r="AG155" i="23" s="1"/>
  <c r="AU125" i="23"/>
  <c r="AG125" i="23" s="1"/>
  <c r="AW145" i="23"/>
  <c r="AW120" i="23"/>
  <c r="AW150" i="23"/>
  <c r="AU120" i="23"/>
  <c r="AG120" i="23" s="1"/>
  <c r="AW115" i="23"/>
  <c r="AW100" i="23"/>
  <c r="AU110" i="23"/>
  <c r="AG110" i="23" s="1"/>
  <c r="AS175" i="23"/>
  <c r="AU150" i="23"/>
  <c r="AG150" i="23" s="1"/>
  <c r="AU115" i="23"/>
  <c r="AG115" i="23" s="1"/>
  <c r="AU100" i="23"/>
  <c r="AG100" i="23" s="1"/>
  <c r="AS77" i="23"/>
  <c r="AU145" i="23"/>
  <c r="AG145" i="23" s="1"/>
  <c r="AU141" i="17"/>
  <c r="AG141" i="17" s="1"/>
  <c r="AU123" i="17"/>
  <c r="AG123" i="17" s="1"/>
  <c r="AU114" i="17"/>
  <c r="AG114" i="17" s="1"/>
  <c r="AU99" i="17"/>
  <c r="AU149" i="17"/>
  <c r="AG149" i="17" s="1"/>
  <c r="AU136" i="17"/>
  <c r="AG136" i="17" s="1"/>
  <c r="AU127" i="17"/>
  <c r="AG127" i="17" s="1"/>
  <c r="AU109" i="17"/>
  <c r="AG109" i="17" s="1"/>
  <c r="AU88" i="17"/>
  <c r="AU158" i="17"/>
  <c r="AG158" i="17" s="1"/>
  <c r="AU153" i="17"/>
  <c r="AG153" i="17" s="1"/>
  <c r="AU131" i="17"/>
  <c r="AG131" i="17" s="1"/>
  <c r="AU118" i="17"/>
  <c r="AG118" i="17" s="1"/>
  <c r="AU104" i="17"/>
  <c r="AU93" i="17"/>
  <c r="AU154" i="17"/>
  <c r="AG154" i="17" s="1"/>
  <c r="AU113" i="17"/>
  <c r="AG113" i="17" s="1"/>
  <c r="AU92" i="17"/>
  <c r="AU126" i="17"/>
  <c r="AG126" i="17" s="1"/>
  <c r="AU122" i="17"/>
  <c r="AG122" i="17" s="1"/>
  <c r="AU101" i="17"/>
  <c r="AU98" i="17"/>
  <c r="AU157" i="17"/>
  <c r="AG157" i="17" s="1"/>
  <c r="AU159" i="17"/>
  <c r="AG159" i="17" s="1"/>
  <c r="AU102" i="17"/>
  <c r="AU148" i="17"/>
  <c r="AG148" i="17" s="1"/>
  <c r="AU144" i="17"/>
  <c r="AG144" i="17" s="1"/>
  <c r="AU117" i="17"/>
  <c r="AG117" i="17" s="1"/>
  <c r="AU108" i="17"/>
  <c r="AG108" i="17" s="1"/>
  <c r="AU152" i="17"/>
  <c r="AG152" i="17" s="1"/>
  <c r="AU112" i="17"/>
  <c r="AG112" i="17" s="1"/>
  <c r="AU96" i="17"/>
  <c r="AU119" i="17"/>
  <c r="AG119" i="17" s="1"/>
  <c r="AU89" i="17"/>
  <c r="AU156" i="17"/>
  <c r="AG156" i="17" s="1"/>
  <c r="AU147" i="17"/>
  <c r="AG147" i="17" s="1"/>
  <c r="AU143" i="17"/>
  <c r="AG143" i="17" s="1"/>
  <c r="AU139" i="17"/>
  <c r="AG139" i="17" s="1"/>
  <c r="AU134" i="17"/>
  <c r="AG134" i="17" s="1"/>
  <c r="AU121" i="17"/>
  <c r="AG121" i="17" s="1"/>
  <c r="AU116" i="17"/>
  <c r="AG116" i="17" s="1"/>
  <c r="AU107" i="17"/>
  <c r="AG107" i="17" s="1"/>
  <c r="AU91" i="17"/>
  <c r="AU132" i="17"/>
  <c r="AG132" i="17" s="1"/>
  <c r="AU151" i="17"/>
  <c r="AG151" i="17" s="1"/>
  <c r="AU111" i="17"/>
  <c r="AG111" i="17" s="1"/>
  <c r="AU97" i="17"/>
  <c r="AU94" i="17"/>
  <c r="AU129" i="17"/>
  <c r="AG129" i="17" s="1"/>
  <c r="AU103" i="17"/>
  <c r="AU124" i="17"/>
  <c r="AG124" i="17" s="1"/>
  <c r="AU138" i="17"/>
  <c r="AG138" i="17" s="1"/>
  <c r="AU146" i="17"/>
  <c r="AG146" i="17" s="1"/>
  <c r="AU142" i="17"/>
  <c r="AG142" i="17" s="1"/>
  <c r="AU133" i="17"/>
  <c r="AG133" i="17" s="1"/>
  <c r="AU106" i="17"/>
  <c r="AG106" i="17" s="1"/>
  <c r="AU128" i="17"/>
  <c r="AG128" i="17" s="1"/>
  <c r="AU90" i="17"/>
  <c r="AU137" i="17"/>
  <c r="AG137" i="17" s="1"/>
  <c r="AW145" i="17"/>
  <c r="AU105" i="17"/>
  <c r="AU145" i="17"/>
  <c r="AG145" i="17" s="1"/>
  <c r="AS82" i="17"/>
  <c r="AS175" i="17"/>
  <c r="AW95" i="17"/>
  <c r="AU150" i="17"/>
  <c r="AG150" i="17" s="1"/>
  <c r="AW105" i="17"/>
  <c r="AW140" i="17"/>
  <c r="AW135" i="17"/>
  <c r="AU95" i="17"/>
  <c r="AU110" i="17"/>
  <c r="AG110" i="17" s="1"/>
  <c r="AU140" i="17"/>
  <c r="AG140" i="17" s="1"/>
  <c r="AU135" i="17"/>
  <c r="AG135" i="17" s="1"/>
  <c r="AW130" i="17"/>
  <c r="AU130" i="17"/>
  <c r="AG130" i="17" s="1"/>
  <c r="AS77" i="17"/>
  <c r="AS180" i="17"/>
  <c r="AS170" i="17"/>
  <c r="AW125" i="17"/>
  <c r="AU125" i="17"/>
  <c r="AG125" i="17" s="1"/>
  <c r="AW100" i="17"/>
  <c r="AU100" i="17"/>
  <c r="AW160" i="17"/>
  <c r="AW155" i="17"/>
  <c r="AW120" i="17"/>
  <c r="AW115" i="17"/>
  <c r="AU160" i="17"/>
  <c r="AG160" i="17" s="1"/>
  <c r="AU155" i="17"/>
  <c r="AG155" i="17" s="1"/>
  <c r="AU120" i="17"/>
  <c r="AG120" i="17" s="1"/>
  <c r="AU115" i="17"/>
  <c r="AG115" i="17" s="1"/>
  <c r="AW150" i="17"/>
  <c r="AW110" i="17"/>
  <c r="AS72" i="17"/>
  <c r="AU148" i="20"/>
  <c r="AG148" i="20" s="1"/>
  <c r="AU131" i="20"/>
  <c r="AG131" i="20" s="1"/>
  <c r="AU90" i="20"/>
  <c r="AG90" i="20" s="1"/>
  <c r="AU152" i="20"/>
  <c r="AG152" i="20" s="1"/>
  <c r="AU114" i="20"/>
  <c r="AG114" i="20" s="1"/>
  <c r="AU102" i="20"/>
  <c r="AG102" i="20" s="1"/>
  <c r="AU99" i="20"/>
  <c r="AG99" i="20" s="1"/>
  <c r="AU96" i="20"/>
  <c r="AG96" i="20" s="1"/>
  <c r="AU93" i="20"/>
  <c r="AG93" i="20" s="1"/>
  <c r="AU144" i="20"/>
  <c r="AG144" i="20" s="1"/>
  <c r="AU143" i="20"/>
  <c r="AG143" i="20" s="1"/>
  <c r="AU139" i="20"/>
  <c r="AG139" i="20" s="1"/>
  <c r="AU126" i="20"/>
  <c r="AG126" i="20" s="1"/>
  <c r="AU122" i="20"/>
  <c r="AG122" i="20" s="1"/>
  <c r="AU118" i="20"/>
  <c r="AG118" i="20" s="1"/>
  <c r="AU89" i="20"/>
  <c r="AG89" i="20" s="1"/>
  <c r="AU156" i="20"/>
  <c r="AG156" i="20" s="1"/>
  <c r="AU147" i="20"/>
  <c r="AG147" i="20" s="1"/>
  <c r="AU109" i="20"/>
  <c r="AG109" i="20" s="1"/>
  <c r="AG172" i="20"/>
  <c r="AU151" i="20"/>
  <c r="AG151" i="20" s="1"/>
  <c r="AU113" i="20"/>
  <c r="AG113" i="20" s="1"/>
  <c r="AU88" i="20"/>
  <c r="AG88" i="20" s="1"/>
  <c r="AU157" i="20"/>
  <c r="AG157" i="20" s="1"/>
  <c r="AU134" i="20"/>
  <c r="AG134" i="20" s="1"/>
  <c r="AU142" i="20"/>
  <c r="AG142" i="20" s="1"/>
  <c r="AU138" i="20"/>
  <c r="AG138" i="20" s="1"/>
  <c r="AU121" i="20"/>
  <c r="AG121" i="20" s="1"/>
  <c r="AU117" i="20"/>
  <c r="AG117" i="20" s="1"/>
  <c r="AU101" i="20"/>
  <c r="AG101" i="20" s="1"/>
  <c r="AU92" i="20"/>
  <c r="AG92" i="20" s="1"/>
  <c r="AU146" i="20"/>
  <c r="AG146" i="20" s="1"/>
  <c r="AU112" i="20"/>
  <c r="AG112" i="20" s="1"/>
  <c r="AU108" i="20"/>
  <c r="AG108" i="20" s="1"/>
  <c r="AU104" i="20"/>
  <c r="AG104" i="20" s="1"/>
  <c r="AU98" i="20"/>
  <c r="AG98" i="20" s="1"/>
  <c r="AU159" i="20"/>
  <c r="AG159" i="20" s="1"/>
  <c r="AU129" i="20"/>
  <c r="AG129" i="20" s="1"/>
  <c r="AU133" i="20"/>
  <c r="AG133" i="20" s="1"/>
  <c r="AU116" i="20"/>
  <c r="AG116" i="20" s="1"/>
  <c r="AU154" i="20"/>
  <c r="AG154" i="20" s="1"/>
  <c r="AU141" i="20"/>
  <c r="AG141" i="20" s="1"/>
  <c r="AU137" i="20"/>
  <c r="AG137" i="20" s="1"/>
  <c r="AU124" i="20"/>
  <c r="AG124" i="20" s="1"/>
  <c r="AU111" i="20"/>
  <c r="AG111" i="20" s="1"/>
  <c r="AU107" i="20"/>
  <c r="AG107" i="20" s="1"/>
  <c r="AU158" i="20"/>
  <c r="AG158" i="20" s="1"/>
  <c r="AU128" i="20"/>
  <c r="AG128" i="20" s="1"/>
  <c r="AU91" i="20"/>
  <c r="AG91" i="20" s="1"/>
  <c r="AU149" i="20"/>
  <c r="AG149" i="20" s="1"/>
  <c r="AU132" i="20"/>
  <c r="AG132" i="20" s="1"/>
  <c r="AU103" i="20"/>
  <c r="AG103" i="20" s="1"/>
  <c r="AU97" i="20"/>
  <c r="AG97" i="20" s="1"/>
  <c r="AU94" i="20"/>
  <c r="AG94" i="20" s="1"/>
  <c r="AU123" i="20"/>
  <c r="AG123" i="20" s="1"/>
  <c r="AU106" i="20"/>
  <c r="AG106" i="20" s="1"/>
  <c r="AU127" i="20"/>
  <c r="AG127" i="20" s="1"/>
  <c r="AU153" i="20"/>
  <c r="AG153" i="20" s="1"/>
  <c r="AU136" i="20"/>
  <c r="AG136" i="20" s="1"/>
  <c r="AU119" i="20"/>
  <c r="AG119" i="20" s="1"/>
  <c r="AW135" i="20"/>
  <c r="AW105" i="20"/>
  <c r="AS170" i="20"/>
  <c r="AU135" i="20"/>
  <c r="AG135" i="20" s="1"/>
  <c r="AU105" i="20"/>
  <c r="AG105" i="20" s="1"/>
  <c r="AG170" i="20"/>
  <c r="AW160" i="20"/>
  <c r="AW130" i="20"/>
  <c r="AU160" i="20"/>
  <c r="AG160" i="20" s="1"/>
  <c r="AU130" i="20"/>
  <c r="AG130" i="20" s="1"/>
  <c r="AS82" i="20"/>
  <c r="AU140" i="20"/>
  <c r="AG140" i="20" s="1"/>
  <c r="AW155" i="20"/>
  <c r="AW125" i="20"/>
  <c r="AW95" i="20"/>
  <c r="AU155" i="20"/>
  <c r="AG155" i="20" s="1"/>
  <c r="AU125" i="20"/>
  <c r="AG125" i="20" s="1"/>
  <c r="AU95" i="20"/>
  <c r="AG95" i="20" s="1"/>
  <c r="AW150" i="20"/>
  <c r="AS77" i="20"/>
  <c r="AU150" i="20"/>
  <c r="AG150" i="20" s="1"/>
  <c r="AW120" i="20"/>
  <c r="AS180" i="20"/>
  <c r="AW145" i="20"/>
  <c r="AU120" i="20"/>
  <c r="AG120" i="20" s="1"/>
  <c r="AU110" i="20"/>
  <c r="AG110" i="20" s="1"/>
  <c r="AG180" i="20"/>
  <c r="AU145" i="20"/>
  <c r="AG145" i="20" s="1"/>
  <c r="AW100" i="20"/>
  <c r="AW115" i="20"/>
  <c r="AU100" i="20"/>
  <c r="AG100" i="20" s="1"/>
  <c r="AS72" i="20"/>
  <c r="AS175" i="20"/>
  <c r="AW140" i="20"/>
  <c r="AU115" i="20"/>
  <c r="AG115" i="20" s="1"/>
  <c r="AW110" i="20"/>
  <c r="U91" i="6"/>
  <c r="U85" i="6"/>
  <c r="U160" i="6"/>
  <c r="U49" i="6"/>
  <c r="U50" i="6"/>
  <c r="U51" i="6"/>
  <c r="U52" i="6"/>
  <c r="U53" i="6"/>
  <c r="U54" i="6"/>
  <c r="U55" i="6"/>
  <c r="U60" i="6"/>
  <c r="U61" i="6"/>
  <c r="U62" i="6"/>
  <c r="V62" i="6" s="1"/>
  <c r="U63" i="6"/>
  <c r="U64" i="6"/>
  <c r="U65" i="6"/>
  <c r="U66" i="6"/>
  <c r="U67" i="6"/>
  <c r="U83" i="6"/>
  <c r="U84" i="6"/>
  <c r="U88" i="6"/>
  <c r="U89" i="6"/>
  <c r="U90" i="6"/>
  <c r="U92" i="6"/>
  <c r="U93" i="6"/>
  <c r="U94" i="6"/>
  <c r="U95" i="6"/>
  <c r="U96" i="6"/>
  <c r="U97" i="6"/>
  <c r="U98" i="6"/>
  <c r="U99" i="6"/>
  <c r="U100" i="6"/>
  <c r="U101" i="6"/>
  <c r="U102" i="6"/>
  <c r="U103" i="6"/>
  <c r="U104" i="6"/>
  <c r="U105" i="6"/>
  <c r="U106" i="6"/>
  <c r="U107" i="6"/>
  <c r="U108" i="6"/>
  <c r="U109" i="6"/>
  <c r="U110" i="6"/>
  <c r="U111" i="6"/>
  <c r="U112" i="6"/>
  <c r="U113" i="6"/>
  <c r="U114" i="6"/>
  <c r="U115" i="6"/>
  <c r="U116" i="6"/>
  <c r="U117" i="6"/>
  <c r="U118" i="6"/>
  <c r="U119" i="6"/>
  <c r="U120" i="6"/>
  <c r="U121" i="6"/>
  <c r="U122" i="6"/>
  <c r="U123" i="6"/>
  <c r="U124" i="6"/>
  <c r="U125" i="6"/>
  <c r="U126" i="6"/>
  <c r="U127" i="6"/>
  <c r="U128" i="6"/>
  <c r="U129" i="6"/>
  <c r="U130" i="6"/>
  <c r="U131" i="6"/>
  <c r="U132" i="6"/>
  <c r="U133" i="6"/>
  <c r="U134" i="6"/>
  <c r="U135" i="6"/>
  <c r="U136" i="6"/>
  <c r="U137" i="6"/>
  <c r="U138" i="6"/>
  <c r="U139" i="6"/>
  <c r="U140" i="6"/>
  <c r="U141" i="6"/>
  <c r="U142" i="6"/>
  <c r="U143" i="6"/>
  <c r="U144" i="6"/>
  <c r="U145" i="6"/>
  <c r="U146" i="6"/>
  <c r="U147" i="6"/>
  <c r="U148" i="6"/>
  <c r="U149" i="6"/>
  <c r="U150" i="6"/>
  <c r="U151" i="6"/>
  <c r="U152" i="6"/>
  <c r="U153" i="6"/>
  <c r="U154" i="6"/>
  <c r="U155" i="6"/>
  <c r="U156" i="6"/>
  <c r="U157" i="6"/>
  <c r="U158" i="6"/>
  <c r="U159" i="6"/>
  <c r="U161" i="6"/>
  <c r="U162" i="6"/>
  <c r="U163" i="6"/>
  <c r="U164" i="6"/>
  <c r="U165" i="6"/>
  <c r="C55" i="107" l="1"/>
  <c r="C56" i="107" s="1"/>
  <c r="D30" i="107"/>
  <c r="D64" i="107"/>
  <c r="D65" i="107" s="1"/>
  <c r="C30" i="107"/>
  <c r="C64" i="107"/>
  <c r="C65" i="107" s="1"/>
  <c r="C29" i="107"/>
  <c r="D27" i="107"/>
  <c r="D29" i="107"/>
  <c r="D62" i="107"/>
  <c r="D63" i="107" s="1"/>
  <c r="P28" i="107"/>
  <c r="P30" i="107"/>
  <c r="C62" i="107"/>
  <c r="C63" i="107" s="1"/>
  <c r="D28" i="107"/>
  <c r="C28" i="107"/>
  <c r="D57" i="107"/>
  <c r="D58" i="107" s="1"/>
  <c r="C27" i="107"/>
  <c r="C57" i="107"/>
  <c r="C58" i="107" s="1"/>
  <c r="D55" i="107"/>
  <c r="D56" i="107" s="1"/>
  <c r="Z215" i="28"/>
  <c r="C55" i="98"/>
  <c r="C56" i="98" s="1"/>
  <c r="D64" i="98"/>
  <c r="D65" i="98" s="1"/>
  <c r="P30" i="98"/>
  <c r="C30" i="98"/>
  <c r="C64" i="98"/>
  <c r="C65" i="98" s="1"/>
  <c r="D30" i="98"/>
  <c r="D29" i="98"/>
  <c r="C29" i="98"/>
  <c r="C62" i="98"/>
  <c r="C63" i="98" s="1"/>
  <c r="P28" i="98"/>
  <c r="D57" i="98"/>
  <c r="D58" i="98" s="1"/>
  <c r="D62" i="98"/>
  <c r="D63" i="98" s="1"/>
  <c r="D28" i="98"/>
  <c r="C28" i="98"/>
  <c r="D55" i="98"/>
  <c r="D56" i="98" s="1"/>
  <c r="D27" i="98"/>
  <c r="C27" i="98"/>
  <c r="C57" i="98"/>
  <c r="C58" i="98" s="1"/>
  <c r="D64" i="89"/>
  <c r="D65" i="89" s="1"/>
  <c r="P30" i="89"/>
  <c r="C64" i="89"/>
  <c r="C65" i="89" s="1"/>
  <c r="D30" i="89"/>
  <c r="C30" i="89"/>
  <c r="D28" i="89"/>
  <c r="D29" i="89"/>
  <c r="D62" i="89"/>
  <c r="D63" i="89" s="1"/>
  <c r="C29" i="89"/>
  <c r="C62" i="89"/>
  <c r="C63" i="89" s="1"/>
  <c r="P28" i="89"/>
  <c r="C28" i="89"/>
  <c r="D55" i="89"/>
  <c r="D56" i="89" s="1"/>
  <c r="D27" i="89"/>
  <c r="C27" i="89"/>
  <c r="C55" i="89"/>
  <c r="C56" i="89" s="1"/>
  <c r="D57" i="89"/>
  <c r="D58" i="89" s="1"/>
  <c r="C57" i="89"/>
  <c r="C58" i="89" s="1"/>
  <c r="AH54" i="25"/>
  <c r="AK311" i="28"/>
  <c r="AH54" i="16"/>
  <c r="AL83" i="17" s="1"/>
  <c r="B83" i="17" s="1"/>
  <c r="AH311" i="28"/>
  <c r="AL214" i="28"/>
  <c r="AN214" i="28" s="1"/>
  <c r="C214" i="28" s="1"/>
  <c r="D214" i="28" s="1"/>
  <c r="V214" i="28" s="1"/>
  <c r="Z317" i="28"/>
  <c r="V317" i="28"/>
  <c r="Z318" i="28"/>
  <c r="V318" i="28"/>
  <c r="AL161" i="26"/>
  <c r="AU161" i="26" s="1"/>
  <c r="AY161" i="26" s="1"/>
  <c r="AH53" i="22"/>
  <c r="AL61" i="23"/>
  <c r="B61" i="23" s="1"/>
  <c r="AJ217" i="28" s="1"/>
  <c r="AL60" i="20"/>
  <c r="B60" i="20" s="1"/>
  <c r="AI216" i="28" s="1"/>
  <c r="AH53" i="19"/>
  <c r="AL161" i="17"/>
  <c r="AU161" i="17" s="1"/>
  <c r="AY161" i="17" s="1"/>
  <c r="AK182" i="28"/>
  <c r="AN182" i="28" s="1"/>
  <c r="C182" i="28" s="1"/>
  <c r="D182" i="28" s="1"/>
  <c r="V182" i="28" s="1"/>
  <c r="AK183" i="28"/>
  <c r="AN183" i="28" s="1"/>
  <c r="C183" i="28" s="1"/>
  <c r="D183" i="28" s="1"/>
  <c r="V183" i="28" s="1"/>
  <c r="AK202" i="28"/>
  <c r="AN202" i="28" s="1"/>
  <c r="C202" i="28" s="1"/>
  <c r="D202" i="28" s="1"/>
  <c r="V202" i="28" s="1"/>
  <c r="AK203" i="28"/>
  <c r="AN203" i="28" s="1"/>
  <c r="C203" i="28" s="1"/>
  <c r="D203" i="28" s="1"/>
  <c r="V203" i="28" s="1"/>
  <c r="AK212" i="28"/>
  <c r="AN212" i="28" s="1"/>
  <c r="C212" i="28" s="1"/>
  <c r="D212" i="28" s="1"/>
  <c r="V212" i="28" s="1"/>
  <c r="AK213" i="28"/>
  <c r="AN213" i="28" s="1"/>
  <c r="C213" i="28" s="1"/>
  <c r="D213" i="28" s="1"/>
  <c r="V213" i="28" s="1"/>
  <c r="AK192" i="28"/>
  <c r="AN192" i="28" s="1"/>
  <c r="C192" i="28" s="1"/>
  <c r="D192" i="28" s="1"/>
  <c r="V192" i="28" s="1"/>
  <c r="AK193" i="28"/>
  <c r="AN193" i="28" s="1"/>
  <c r="C193" i="28" s="1"/>
  <c r="D193" i="28" s="1"/>
  <c r="V193" i="28" s="1"/>
  <c r="AL64" i="20"/>
  <c r="B64" i="20" s="1"/>
  <c r="D64" i="20" s="1"/>
  <c r="V64" i="20" s="1"/>
  <c r="AL65" i="20"/>
  <c r="B65" i="20" s="1"/>
  <c r="AI221" i="28" s="1"/>
  <c r="Z57" i="20"/>
  <c r="AJ180" i="28"/>
  <c r="AN180" i="28" s="1"/>
  <c r="C180" i="28" s="1"/>
  <c r="D180" i="28" s="1"/>
  <c r="V180" i="28" s="1"/>
  <c r="AJ181" i="28"/>
  <c r="AN181" i="28" s="1"/>
  <c r="C181" i="28" s="1"/>
  <c r="D181" i="28" s="1"/>
  <c r="V181" i="28" s="1"/>
  <c r="AJ210" i="28"/>
  <c r="AN210" i="28" s="1"/>
  <c r="C210" i="28" s="1"/>
  <c r="D210" i="28" s="1"/>
  <c r="V210" i="28" s="1"/>
  <c r="AJ211" i="28"/>
  <c r="AN211" i="28" s="1"/>
  <c r="C211" i="28" s="1"/>
  <c r="D211" i="28" s="1"/>
  <c r="V211" i="28" s="1"/>
  <c r="AJ190" i="28"/>
  <c r="AN190" i="28" s="1"/>
  <c r="C190" i="28" s="1"/>
  <c r="D190" i="28" s="1"/>
  <c r="V190" i="28" s="1"/>
  <c r="AJ191" i="28"/>
  <c r="AN191" i="28" s="1"/>
  <c r="C191" i="28" s="1"/>
  <c r="D191" i="28" s="1"/>
  <c r="V191" i="28" s="1"/>
  <c r="AJ200" i="28"/>
  <c r="AN200" i="28" s="1"/>
  <c r="C200" i="28" s="1"/>
  <c r="D200" i="28" s="1"/>
  <c r="V200" i="28" s="1"/>
  <c r="AJ201" i="28"/>
  <c r="AN201" i="28" s="1"/>
  <c r="C201" i="28" s="1"/>
  <c r="D201" i="28" s="1"/>
  <c r="V201" i="28" s="1"/>
  <c r="AL50" i="20"/>
  <c r="B50" i="20" s="1"/>
  <c r="AI170" i="28" s="1"/>
  <c r="AL51" i="20"/>
  <c r="B51" i="20" s="1"/>
  <c r="AI171" i="28" s="1"/>
  <c r="AL63" i="20"/>
  <c r="B63" i="20" s="1"/>
  <c r="AI219" i="28" s="1"/>
  <c r="AL204" i="28"/>
  <c r="AN204" i="28" s="1"/>
  <c r="C204" i="28" s="1"/>
  <c r="D204" i="28" s="1"/>
  <c r="V204" i="28" s="1"/>
  <c r="AL205" i="28"/>
  <c r="AN205" i="28" s="1"/>
  <c r="C205" i="28" s="1"/>
  <c r="D205" i="28" s="1"/>
  <c r="V205" i="28" s="1"/>
  <c r="AL194" i="28"/>
  <c r="AN194" i="28" s="1"/>
  <c r="C194" i="28" s="1"/>
  <c r="D194" i="28" s="1"/>
  <c r="V194" i="28" s="1"/>
  <c r="AL195" i="28"/>
  <c r="AN195" i="28" s="1"/>
  <c r="C195" i="28" s="1"/>
  <c r="D195" i="28" s="1"/>
  <c r="V195" i="28" s="1"/>
  <c r="AL184" i="28"/>
  <c r="AN184" i="28" s="1"/>
  <c r="C184" i="28" s="1"/>
  <c r="D184" i="28" s="1"/>
  <c r="V184" i="28" s="1"/>
  <c r="AL185" i="28"/>
  <c r="AN185" i="28" s="1"/>
  <c r="C185" i="28" s="1"/>
  <c r="D185" i="28" s="1"/>
  <c r="V185" i="28" s="1"/>
  <c r="AL86" i="20"/>
  <c r="AL86" i="23"/>
  <c r="V161" i="23"/>
  <c r="AJ455" i="28"/>
  <c r="V161" i="20"/>
  <c r="AI455" i="28"/>
  <c r="AK319" i="28"/>
  <c r="AL319" i="28" s="1"/>
  <c r="B319" i="28" s="1"/>
  <c r="AK314" i="28"/>
  <c r="AL49" i="20"/>
  <c r="B49" i="20" s="1"/>
  <c r="AI169" i="28" s="1"/>
  <c r="B152" i="17"/>
  <c r="B128" i="17"/>
  <c r="B143" i="17"/>
  <c r="B129" i="17"/>
  <c r="B147" i="17"/>
  <c r="B108" i="17"/>
  <c r="B122" i="17"/>
  <c r="B106" i="17"/>
  <c r="B156" i="17"/>
  <c r="B117" i="17"/>
  <c r="B126" i="17"/>
  <c r="B118" i="17"/>
  <c r="B133" i="17"/>
  <c r="B144" i="17"/>
  <c r="B131" i="17"/>
  <c r="B114" i="17"/>
  <c r="B142" i="17"/>
  <c r="B148" i="17"/>
  <c r="B153" i="17"/>
  <c r="B123" i="17"/>
  <c r="B141" i="17"/>
  <c r="B139" i="17"/>
  <c r="B146" i="17"/>
  <c r="B111" i="17"/>
  <c r="B158" i="17"/>
  <c r="B151" i="17"/>
  <c r="B138" i="17"/>
  <c r="B132" i="17"/>
  <c r="B119" i="17"/>
  <c r="B159" i="17"/>
  <c r="B109" i="17"/>
  <c r="B127" i="17"/>
  <c r="B107" i="17"/>
  <c r="B136" i="17"/>
  <c r="B124" i="17"/>
  <c r="B116" i="17"/>
  <c r="B157" i="17"/>
  <c r="B154" i="17"/>
  <c r="B149" i="17"/>
  <c r="B113" i="17"/>
  <c r="B137" i="17"/>
  <c r="B121" i="17"/>
  <c r="B134" i="17"/>
  <c r="B112" i="17"/>
  <c r="V52" i="26"/>
  <c r="AK172" i="28"/>
  <c r="AL63" i="23"/>
  <c r="B63" i="23" s="1"/>
  <c r="AJ219" i="28" s="1"/>
  <c r="AL50" i="23"/>
  <c r="B50" i="23" s="1"/>
  <c r="D50" i="23" s="1"/>
  <c r="V50" i="23" s="1"/>
  <c r="AL51" i="23"/>
  <c r="B51" i="23" s="1"/>
  <c r="AJ171" i="28" s="1"/>
  <c r="AL64" i="23"/>
  <c r="B64" i="23" s="1"/>
  <c r="AL65" i="23"/>
  <c r="B65" i="23" s="1"/>
  <c r="D49" i="23"/>
  <c r="V49" i="23" s="1"/>
  <c r="AH45" i="25"/>
  <c r="AL51" i="26" s="1"/>
  <c r="B51" i="26" s="1"/>
  <c r="V55" i="23"/>
  <c r="V54" i="20"/>
  <c r="V55" i="20"/>
  <c r="V53" i="23"/>
  <c r="V54" i="23"/>
  <c r="V52" i="23"/>
  <c r="V53" i="20"/>
  <c r="V52" i="20"/>
  <c r="B166" i="23"/>
  <c r="Z166" i="23" s="1"/>
  <c r="B149" i="20"/>
  <c r="AI431" i="28" s="1"/>
  <c r="B153" i="20"/>
  <c r="AI439" i="28" s="1"/>
  <c r="Z32" i="20"/>
  <c r="B154" i="20"/>
  <c r="AI440" i="28" s="1"/>
  <c r="B108" i="20"/>
  <c r="AI358" i="28" s="1"/>
  <c r="B134" i="20"/>
  <c r="AI404" i="28" s="1"/>
  <c r="B89" i="20"/>
  <c r="AI327" i="28" s="1"/>
  <c r="B168" i="20"/>
  <c r="B123" i="23"/>
  <c r="AJ385" i="28" s="1"/>
  <c r="B177" i="23"/>
  <c r="B91" i="23"/>
  <c r="AJ329" i="28" s="1"/>
  <c r="B136" i="23"/>
  <c r="AJ410" i="28" s="1"/>
  <c r="B92" i="23"/>
  <c r="AJ330" i="28" s="1"/>
  <c r="B126" i="23"/>
  <c r="AJ392" i="28" s="1"/>
  <c r="B114" i="20"/>
  <c r="AI368" i="28" s="1"/>
  <c r="Z38" i="20"/>
  <c r="B138" i="23"/>
  <c r="AJ412" i="28" s="1"/>
  <c r="B173" i="20"/>
  <c r="B91" i="20"/>
  <c r="AI329" i="28" s="1"/>
  <c r="B112" i="20"/>
  <c r="AI366" i="28" s="1"/>
  <c r="B157" i="20"/>
  <c r="AI447" i="28" s="1"/>
  <c r="B118" i="20"/>
  <c r="AI376" i="28" s="1"/>
  <c r="B153" i="23"/>
  <c r="AJ439" i="28" s="1"/>
  <c r="B146" i="23"/>
  <c r="AJ428" i="28" s="1"/>
  <c r="B101" i="23"/>
  <c r="AJ347" i="28" s="1"/>
  <c r="B152" i="23"/>
  <c r="AJ438" i="28" s="1"/>
  <c r="B93" i="23"/>
  <c r="AJ331" i="28" s="1"/>
  <c r="B137" i="20"/>
  <c r="AI411" i="28" s="1"/>
  <c r="B90" i="23"/>
  <c r="AJ328" i="28" s="1"/>
  <c r="B80" i="23"/>
  <c r="Z80" i="23" s="1"/>
  <c r="B169" i="20"/>
  <c r="B128" i="20"/>
  <c r="AI394" i="28" s="1"/>
  <c r="B146" i="20"/>
  <c r="AI428" i="28" s="1"/>
  <c r="B122" i="20"/>
  <c r="AI384" i="28" s="1"/>
  <c r="B71" i="23"/>
  <c r="Z71" i="23" s="1"/>
  <c r="B94" i="23"/>
  <c r="AJ332" i="28" s="1"/>
  <c r="B159" i="23"/>
  <c r="AJ449" i="28" s="1"/>
  <c r="B70" i="23"/>
  <c r="B134" i="23"/>
  <c r="AJ404" i="28" s="1"/>
  <c r="B168" i="23"/>
  <c r="Z168" i="23" s="1"/>
  <c r="B96" i="23"/>
  <c r="AJ338" i="28" s="1"/>
  <c r="B152" i="20"/>
  <c r="AI438" i="28" s="1"/>
  <c r="Z24" i="20"/>
  <c r="B126" i="20"/>
  <c r="AI392" i="28" s="1"/>
  <c r="B69" i="23"/>
  <c r="B97" i="23"/>
  <c r="AJ339" i="28" s="1"/>
  <c r="B167" i="23"/>
  <c r="B74" i="23"/>
  <c r="B143" i="23"/>
  <c r="AJ421" i="28" s="1"/>
  <c r="B99" i="23"/>
  <c r="AJ341" i="28" s="1"/>
  <c r="B176" i="20"/>
  <c r="B76" i="20"/>
  <c r="Z76" i="20" s="1"/>
  <c r="B171" i="20"/>
  <c r="B116" i="20"/>
  <c r="AI374" i="28" s="1"/>
  <c r="Z33" i="20"/>
  <c r="B139" i="20"/>
  <c r="AI413" i="28" s="1"/>
  <c r="B90" i="20"/>
  <c r="AI328" i="28" s="1"/>
  <c r="B79" i="23"/>
  <c r="B103" i="23"/>
  <c r="AJ349" i="28" s="1"/>
  <c r="B76" i="23"/>
  <c r="B178" i="23"/>
  <c r="B102" i="23"/>
  <c r="AJ348" i="28" s="1"/>
  <c r="B71" i="20"/>
  <c r="B119" i="23"/>
  <c r="AJ377" i="28" s="1"/>
  <c r="B143" i="20"/>
  <c r="AI421" i="28" s="1"/>
  <c r="B158" i="23"/>
  <c r="AJ448" i="28" s="1"/>
  <c r="B124" i="23"/>
  <c r="AJ386" i="28" s="1"/>
  <c r="Z29" i="23"/>
  <c r="B98" i="23"/>
  <c r="AJ340" i="28" s="1"/>
  <c r="Z27" i="23"/>
  <c r="B109" i="23"/>
  <c r="AJ359" i="28" s="1"/>
  <c r="B127" i="23"/>
  <c r="AJ393" i="28" s="1"/>
  <c r="B98" i="20"/>
  <c r="AI340" i="28" s="1"/>
  <c r="B78" i="23"/>
  <c r="B173" i="23"/>
  <c r="B106" i="20"/>
  <c r="AI356" i="28" s="1"/>
  <c r="B178" i="20"/>
  <c r="B101" i="20"/>
  <c r="AI347" i="28" s="1"/>
  <c r="B113" i="20"/>
  <c r="AI367" i="28" s="1"/>
  <c r="B179" i="20"/>
  <c r="B148" i="20"/>
  <c r="AI430" i="28" s="1"/>
  <c r="Z38" i="23"/>
  <c r="B137" i="23"/>
  <c r="AJ411" i="28" s="1"/>
  <c r="B107" i="23"/>
  <c r="AJ357" i="28" s="1"/>
  <c r="B104" i="23"/>
  <c r="AJ350" i="28" s="1"/>
  <c r="B113" i="23"/>
  <c r="AJ367" i="28" s="1"/>
  <c r="B131" i="23"/>
  <c r="AJ401" i="28" s="1"/>
  <c r="B132" i="20"/>
  <c r="AI402" i="28" s="1"/>
  <c r="B131" i="20"/>
  <c r="AI401" i="28" s="1"/>
  <c r="B123" i="20"/>
  <c r="AI385" i="28" s="1"/>
  <c r="B166" i="20"/>
  <c r="B117" i="20"/>
  <c r="AI375" i="28" s="1"/>
  <c r="B151" i="20"/>
  <c r="AI437" i="28" s="1"/>
  <c r="B144" i="20"/>
  <c r="AI422" i="28" s="1"/>
  <c r="B177" i="20"/>
  <c r="Z41" i="23"/>
  <c r="Z25" i="23"/>
  <c r="B111" i="23"/>
  <c r="AJ365" i="28" s="1"/>
  <c r="B108" i="23"/>
  <c r="AJ358" i="28" s="1"/>
  <c r="B117" i="23"/>
  <c r="AJ375" i="28" s="1"/>
  <c r="B122" i="23"/>
  <c r="AJ384" i="28" s="1"/>
  <c r="B157" i="23"/>
  <c r="AJ447" i="28" s="1"/>
  <c r="B88" i="23"/>
  <c r="AJ326" i="28" s="1"/>
  <c r="B121" i="20"/>
  <c r="AI383" i="28" s="1"/>
  <c r="B172" i="20"/>
  <c r="Z44" i="23"/>
  <c r="Z28" i="23"/>
  <c r="B133" i="23"/>
  <c r="AJ403" i="28" s="1"/>
  <c r="B112" i="23"/>
  <c r="AJ366" i="28" s="1"/>
  <c r="B139" i="23"/>
  <c r="AJ413" i="28" s="1"/>
  <c r="B144" i="23"/>
  <c r="AJ422" i="28" s="1"/>
  <c r="B127" i="20"/>
  <c r="AI393" i="28" s="1"/>
  <c r="B74" i="20"/>
  <c r="B70" i="20"/>
  <c r="B68" i="20"/>
  <c r="B129" i="20"/>
  <c r="AI395" i="28" s="1"/>
  <c r="B138" i="20"/>
  <c r="AI412" i="28" s="1"/>
  <c r="B78" i="20"/>
  <c r="Z78" i="20" s="1"/>
  <c r="B128" i="23"/>
  <c r="AJ394" i="28" s="1"/>
  <c r="B142" i="23"/>
  <c r="AJ420" i="28" s="1"/>
  <c r="B121" i="23"/>
  <c r="AJ383" i="28" s="1"/>
  <c r="B156" i="23"/>
  <c r="AJ446" i="28" s="1"/>
  <c r="B148" i="23"/>
  <c r="AJ430" i="28" s="1"/>
  <c r="B156" i="20"/>
  <c r="AI446" i="28" s="1"/>
  <c r="B171" i="23"/>
  <c r="B114" i="23"/>
  <c r="AJ368" i="28" s="1"/>
  <c r="B81" i="20"/>
  <c r="B79" i="20"/>
  <c r="B159" i="20"/>
  <c r="AI449" i="28" s="1"/>
  <c r="B142" i="20"/>
  <c r="AI420" i="28" s="1"/>
  <c r="B69" i="20"/>
  <c r="B93" i="20"/>
  <c r="AI331" i="28" s="1"/>
  <c r="B132" i="23"/>
  <c r="AJ402" i="28" s="1"/>
  <c r="B149" i="23"/>
  <c r="AJ431" i="28" s="1"/>
  <c r="B147" i="23"/>
  <c r="AJ429" i="28" s="1"/>
  <c r="B172" i="23"/>
  <c r="Z172" i="23" s="1"/>
  <c r="Z37" i="23"/>
  <c r="B104" i="20"/>
  <c r="AI350" i="28" s="1"/>
  <c r="B92" i="20"/>
  <c r="AI330" i="28" s="1"/>
  <c r="B94" i="20"/>
  <c r="AI332" i="28" s="1"/>
  <c r="B107" i="20"/>
  <c r="AI357" i="28" s="1"/>
  <c r="B167" i="20"/>
  <c r="B174" i="20"/>
  <c r="B80" i="20"/>
  <c r="B96" i="20"/>
  <c r="AI338" i="28" s="1"/>
  <c r="B141" i="23"/>
  <c r="AJ419" i="28" s="1"/>
  <c r="B179" i="23"/>
  <c r="B129" i="23"/>
  <c r="AJ395" i="28" s="1"/>
  <c r="B151" i="23"/>
  <c r="AJ437" i="28" s="1"/>
  <c r="B174" i="23"/>
  <c r="Z40" i="23"/>
  <c r="B116" i="23"/>
  <c r="AJ374" i="28" s="1"/>
  <c r="B75" i="23"/>
  <c r="Z75" i="23" s="1"/>
  <c r="B158" i="20"/>
  <c r="AI448" i="28" s="1"/>
  <c r="B133" i="20"/>
  <c r="AI403" i="28" s="1"/>
  <c r="B97" i="20"/>
  <c r="AI339" i="28" s="1"/>
  <c r="B111" i="20"/>
  <c r="AI365" i="28" s="1"/>
  <c r="B109" i="20"/>
  <c r="AI359" i="28" s="1"/>
  <c r="B99" i="20"/>
  <c r="AI341" i="28" s="1"/>
  <c r="B154" i="23"/>
  <c r="AJ440" i="28" s="1"/>
  <c r="B176" i="23"/>
  <c r="B89" i="23"/>
  <c r="AJ327" i="28" s="1"/>
  <c r="B136" i="20"/>
  <c r="AI410" i="28" s="1"/>
  <c r="Z24" i="23"/>
  <c r="B141" i="20"/>
  <c r="AI419" i="28" s="1"/>
  <c r="B88" i="20"/>
  <c r="AI326" i="28" s="1"/>
  <c r="B119" i="20"/>
  <c r="AI377" i="28" s="1"/>
  <c r="B103" i="20"/>
  <c r="AI349" i="28" s="1"/>
  <c r="B124" i="20"/>
  <c r="AI386" i="28" s="1"/>
  <c r="B75" i="20"/>
  <c r="Z75" i="20" s="1"/>
  <c r="B147" i="20"/>
  <c r="AI429" i="28" s="1"/>
  <c r="B102" i="20"/>
  <c r="AI348" i="28" s="1"/>
  <c r="Z31" i="23"/>
  <c r="B169" i="23"/>
  <c r="Z169" i="23" s="1"/>
  <c r="B81" i="23"/>
  <c r="Z42" i="23"/>
  <c r="B68" i="23"/>
  <c r="Z68" i="23" s="1"/>
  <c r="B106" i="23"/>
  <c r="AJ356" i="28" s="1"/>
  <c r="B118" i="23"/>
  <c r="AJ376" i="28" s="1"/>
  <c r="V55" i="26"/>
  <c r="V54" i="26"/>
  <c r="V53" i="26"/>
  <c r="B166" i="26"/>
  <c r="B136" i="26"/>
  <c r="AK410" i="28" s="1"/>
  <c r="B171" i="26"/>
  <c r="B126" i="26"/>
  <c r="AK392" i="28" s="1"/>
  <c r="B142" i="26"/>
  <c r="AK420" i="28" s="1"/>
  <c r="B74" i="26"/>
  <c r="B101" i="26"/>
  <c r="AK347" i="28" s="1"/>
  <c r="Z31" i="26"/>
  <c r="B179" i="26"/>
  <c r="AK541" i="28" s="1"/>
  <c r="B93" i="26"/>
  <c r="AK331" i="28" s="1"/>
  <c r="B149" i="26"/>
  <c r="AK431" i="28" s="1"/>
  <c r="B144" i="26"/>
  <c r="AK422" i="28" s="1"/>
  <c r="B116" i="26"/>
  <c r="AK374" i="28" s="1"/>
  <c r="Z37" i="26"/>
  <c r="B104" i="26"/>
  <c r="AK350" i="28" s="1"/>
  <c r="B76" i="26"/>
  <c r="B99" i="26"/>
  <c r="AK341" i="28" s="1"/>
  <c r="B177" i="26"/>
  <c r="B168" i="26"/>
  <c r="B151" i="26"/>
  <c r="AK437" i="28" s="1"/>
  <c r="B112" i="26"/>
  <c r="AK366" i="28" s="1"/>
  <c r="B108" i="26"/>
  <c r="AK358" i="28" s="1"/>
  <c r="B78" i="26"/>
  <c r="Z78" i="26" s="1"/>
  <c r="B102" i="26"/>
  <c r="AK348" i="28" s="1"/>
  <c r="Z26" i="26"/>
  <c r="B121" i="26"/>
  <c r="AK383" i="28" s="1"/>
  <c r="B139" i="26"/>
  <c r="AK413" i="28" s="1"/>
  <c r="B117" i="26"/>
  <c r="AK375" i="28" s="1"/>
  <c r="B127" i="26"/>
  <c r="AK393" i="28" s="1"/>
  <c r="B69" i="26"/>
  <c r="B134" i="26"/>
  <c r="AK404" i="28" s="1"/>
  <c r="B156" i="26"/>
  <c r="AK446" i="28" s="1"/>
  <c r="B152" i="26"/>
  <c r="AK438" i="28" s="1"/>
  <c r="B153" i="26"/>
  <c r="AK439" i="28" s="1"/>
  <c r="B79" i="26"/>
  <c r="Z28" i="26"/>
  <c r="Z33" i="26"/>
  <c r="B107" i="26"/>
  <c r="AK357" i="28" s="1"/>
  <c r="B143" i="26"/>
  <c r="AK421" i="28" s="1"/>
  <c r="B172" i="26"/>
  <c r="B119" i="26"/>
  <c r="AK377" i="28" s="1"/>
  <c r="B71" i="26"/>
  <c r="B138" i="26"/>
  <c r="AK412" i="28" s="1"/>
  <c r="B147" i="26"/>
  <c r="AK429" i="28" s="1"/>
  <c r="B122" i="26"/>
  <c r="AK384" i="28" s="1"/>
  <c r="B132" i="26"/>
  <c r="AK402" i="28" s="1"/>
  <c r="B91" i="26"/>
  <c r="AK329" i="28" s="1"/>
  <c r="B178" i="26"/>
  <c r="B174" i="26"/>
  <c r="Z22" i="26"/>
  <c r="B141" i="26"/>
  <c r="AK419" i="28" s="1"/>
  <c r="B94" i="26"/>
  <c r="AK332" i="28" s="1"/>
  <c r="B176" i="26"/>
  <c r="Z176" i="26" s="1"/>
  <c r="B154" i="26"/>
  <c r="AK440" i="28" s="1"/>
  <c r="B103" i="26"/>
  <c r="AK349" i="28" s="1"/>
  <c r="B97" i="26"/>
  <c r="AK339" i="28" s="1"/>
  <c r="B70" i="26"/>
  <c r="B81" i="26"/>
  <c r="Z81" i="26" s="1"/>
  <c r="B173" i="26"/>
  <c r="AK506" i="28" s="1"/>
  <c r="AL506" i="28" s="1"/>
  <c r="B124" i="26"/>
  <c r="AK386" i="28" s="1"/>
  <c r="B133" i="26"/>
  <c r="AK403" i="28" s="1"/>
  <c r="B89" i="26"/>
  <c r="Z32" i="26"/>
  <c r="B123" i="26"/>
  <c r="AK385" i="28" s="1"/>
  <c r="B75" i="26"/>
  <c r="B159" i="26"/>
  <c r="AK449" i="28" s="1"/>
  <c r="B146" i="26"/>
  <c r="AK428" i="28" s="1"/>
  <c r="B109" i="26"/>
  <c r="AK359" i="28" s="1"/>
  <c r="B68" i="26"/>
  <c r="Z68" i="26" s="1"/>
  <c r="B158" i="26"/>
  <c r="B106" i="26"/>
  <c r="AK356" i="28" s="1"/>
  <c r="B167" i="26"/>
  <c r="AK104" i="28"/>
  <c r="B118" i="26"/>
  <c r="B90" i="26"/>
  <c r="AK328" i="28" s="1"/>
  <c r="B128" i="26"/>
  <c r="AK394" i="28" s="1"/>
  <c r="B148" i="26"/>
  <c r="B80" i="26"/>
  <c r="Z80" i="26" s="1"/>
  <c r="B131" i="26"/>
  <c r="AK401" i="28" s="1"/>
  <c r="Z25" i="26"/>
  <c r="B96" i="26"/>
  <c r="AK338" i="28" s="1"/>
  <c r="B137" i="26"/>
  <c r="AK411" i="28" s="1"/>
  <c r="B111" i="26"/>
  <c r="AK365" i="28" s="1"/>
  <c r="B92" i="26"/>
  <c r="AK330" i="28" s="1"/>
  <c r="B157" i="26"/>
  <c r="AK447" i="28" s="1"/>
  <c r="B113" i="26"/>
  <c r="AK367" i="28" s="1"/>
  <c r="B114" i="26"/>
  <c r="AK368" i="28" s="1"/>
  <c r="B169" i="26"/>
  <c r="AK478" i="28" s="1"/>
  <c r="B88" i="26"/>
  <c r="AK326" i="28" s="1"/>
  <c r="B129" i="26"/>
  <c r="AK395" i="28" s="1"/>
  <c r="B98" i="26"/>
  <c r="B73" i="26"/>
  <c r="Z73" i="26" s="1"/>
  <c r="B73" i="23"/>
  <c r="Z73" i="23" s="1"/>
  <c r="B73" i="20"/>
  <c r="Z86" i="26"/>
  <c r="V86" i="26"/>
  <c r="Z179" i="23"/>
  <c r="Z174" i="23"/>
  <c r="Z176" i="23"/>
  <c r="Z81" i="23"/>
  <c r="Z171" i="23"/>
  <c r="Z78" i="23"/>
  <c r="Z177" i="23"/>
  <c r="Z173" i="23"/>
  <c r="Z70" i="23"/>
  <c r="Z74" i="23"/>
  <c r="Z76" i="23"/>
  <c r="Z69" i="23"/>
  <c r="Z79" i="23"/>
  <c r="Z167" i="23"/>
  <c r="Z178" i="23"/>
  <c r="Z71" i="20"/>
  <c r="Z168" i="20"/>
  <c r="Z171" i="20"/>
  <c r="Z176" i="20"/>
  <c r="Z179" i="20"/>
  <c r="Z56" i="20"/>
  <c r="Z166" i="20"/>
  <c r="Z177" i="20"/>
  <c r="Z74" i="20"/>
  <c r="Z172" i="20"/>
  <c r="Z178" i="20"/>
  <c r="Z70" i="20"/>
  <c r="Z68" i="20"/>
  <c r="Z81" i="20"/>
  <c r="Z79" i="20"/>
  <c r="Z69" i="20"/>
  <c r="Z58" i="20"/>
  <c r="Z167" i="20"/>
  <c r="Z174" i="20"/>
  <c r="Z80" i="20"/>
  <c r="Z59" i="20"/>
  <c r="Z73" i="20"/>
  <c r="Z70" i="26"/>
  <c r="Z173" i="26"/>
  <c r="Z167" i="26"/>
  <c r="Z169" i="26"/>
  <c r="Z166" i="26"/>
  <c r="Z171" i="26"/>
  <c r="Z74" i="26"/>
  <c r="Z177" i="26"/>
  <c r="Z168" i="26"/>
  <c r="Z76" i="26"/>
  <c r="Z69" i="26"/>
  <c r="Z79" i="26"/>
  <c r="Z172" i="26"/>
  <c r="Z71" i="26"/>
  <c r="Z178" i="26"/>
  <c r="Z174" i="26"/>
  <c r="Z37" i="20"/>
  <c r="Z44" i="20"/>
  <c r="Z32" i="23"/>
  <c r="Z43" i="26"/>
  <c r="Z25" i="20"/>
  <c r="Z31" i="20"/>
  <c r="Z34" i="23"/>
  <c r="Z35" i="23"/>
  <c r="Z36" i="23"/>
  <c r="Z41" i="26"/>
  <c r="Z22" i="20"/>
  <c r="Z36" i="26"/>
  <c r="Z41" i="20"/>
  <c r="Z28" i="20"/>
  <c r="Z21" i="23"/>
  <c r="Z23" i="20"/>
  <c r="Z26" i="23"/>
  <c r="Z43" i="23"/>
  <c r="Z38" i="26"/>
  <c r="Z29" i="26"/>
  <c r="Z42" i="20"/>
  <c r="Z29" i="20"/>
  <c r="Z39" i="26"/>
  <c r="Z21" i="20"/>
  <c r="Z26" i="20"/>
  <c r="Z35" i="20"/>
  <c r="Z39" i="20"/>
  <c r="Z34" i="20"/>
  <c r="Z30" i="23"/>
  <c r="Z40" i="20"/>
  <c r="Z30" i="26"/>
  <c r="Z36" i="20"/>
  <c r="Z27" i="20"/>
  <c r="Z23" i="23"/>
  <c r="Z44" i="26"/>
  <c r="Z30" i="20"/>
  <c r="Z24" i="26"/>
  <c r="Z22" i="23"/>
  <c r="Z39" i="23"/>
  <c r="Z33" i="23"/>
  <c r="Z35" i="26"/>
  <c r="Z40" i="26"/>
  <c r="Z27" i="26"/>
  <c r="D60" i="23"/>
  <c r="V60" i="23" s="1"/>
  <c r="D61" i="20"/>
  <c r="V61" i="20" s="1"/>
  <c r="B77" i="26"/>
  <c r="AL281" i="28" s="1"/>
  <c r="C77" i="26"/>
  <c r="AK281" i="28" s="1"/>
  <c r="B125" i="26"/>
  <c r="AL391" i="28" s="1"/>
  <c r="B391" i="28" s="1"/>
  <c r="C125" i="26"/>
  <c r="C160" i="26"/>
  <c r="B160" i="26"/>
  <c r="AL454" i="28" s="1"/>
  <c r="B454" i="28" s="1"/>
  <c r="C140" i="26"/>
  <c r="B140" i="26"/>
  <c r="AL418" i="28" s="1"/>
  <c r="B418" i="28" s="1"/>
  <c r="C105" i="26"/>
  <c r="B105" i="26"/>
  <c r="AL355" i="28" s="1"/>
  <c r="B355" i="28" s="1"/>
  <c r="C72" i="26"/>
  <c r="AK252" i="28" s="1"/>
  <c r="C252" i="28" s="1"/>
  <c r="B72" i="26"/>
  <c r="B145" i="26"/>
  <c r="AL427" i="28" s="1"/>
  <c r="B427" i="28" s="1"/>
  <c r="C145" i="26"/>
  <c r="C110" i="26"/>
  <c r="B110" i="26"/>
  <c r="AL364" i="28" s="1"/>
  <c r="B364" i="28" s="1"/>
  <c r="B100" i="26"/>
  <c r="AL346" i="28" s="1"/>
  <c r="B346" i="28" s="1"/>
  <c r="C100" i="26"/>
  <c r="B115" i="26"/>
  <c r="AL373" i="28" s="1"/>
  <c r="B373" i="28" s="1"/>
  <c r="C115" i="26"/>
  <c r="C175" i="26"/>
  <c r="AK517" i="28" s="1"/>
  <c r="B175" i="26"/>
  <c r="AL517" i="28" s="1"/>
  <c r="B150" i="26"/>
  <c r="AL436" i="28" s="1"/>
  <c r="B436" i="28" s="1"/>
  <c r="C150" i="26"/>
  <c r="C120" i="26"/>
  <c r="B120" i="26"/>
  <c r="AL382" i="28" s="1"/>
  <c r="B382" i="28" s="1"/>
  <c r="C135" i="26"/>
  <c r="B135" i="26"/>
  <c r="AL409" i="28" s="1"/>
  <c r="B409" i="28" s="1"/>
  <c r="C180" i="26"/>
  <c r="AK546" i="28" s="1"/>
  <c r="C546" i="28" s="1"/>
  <c r="B180" i="26"/>
  <c r="AL61" i="26"/>
  <c r="B61" i="26" s="1"/>
  <c r="AK217" i="28" s="1"/>
  <c r="AL60" i="26"/>
  <c r="B60" i="26" s="1"/>
  <c r="AK216" i="28" s="1"/>
  <c r="C155" i="26"/>
  <c r="B155" i="26"/>
  <c r="AL445" i="28" s="1"/>
  <c r="B445" i="28" s="1"/>
  <c r="C95" i="26"/>
  <c r="B95" i="26"/>
  <c r="AL337" i="28" s="1"/>
  <c r="B337" i="28" s="1"/>
  <c r="C130" i="26"/>
  <c r="B130" i="26"/>
  <c r="AL400" i="28" s="1"/>
  <c r="B400" i="28" s="1"/>
  <c r="C82" i="26"/>
  <c r="AK310" i="28" s="1"/>
  <c r="C310" i="28" s="1"/>
  <c r="B82" i="26"/>
  <c r="B170" i="26"/>
  <c r="AL488" i="28" s="1"/>
  <c r="C170" i="26"/>
  <c r="AK488" i="28" s="1"/>
  <c r="C155" i="23"/>
  <c r="B155" i="23"/>
  <c r="AL444" i="28" s="1"/>
  <c r="B444" i="28" s="1"/>
  <c r="C100" i="23"/>
  <c r="B100" i="23"/>
  <c r="AL345" i="28" s="1"/>
  <c r="B345" i="28" s="1"/>
  <c r="C105" i="23"/>
  <c r="B105" i="23"/>
  <c r="AL354" i="28" s="1"/>
  <c r="B354" i="28" s="1"/>
  <c r="C150" i="23"/>
  <c r="B150" i="23"/>
  <c r="AL435" i="28" s="1"/>
  <c r="B435" i="28" s="1"/>
  <c r="C140" i="23"/>
  <c r="B140" i="23"/>
  <c r="AL417" i="28" s="1"/>
  <c r="B417" i="28" s="1"/>
  <c r="C95" i="23"/>
  <c r="B95" i="23"/>
  <c r="AL336" i="28" s="1"/>
  <c r="B336" i="28" s="1"/>
  <c r="C110" i="23"/>
  <c r="B110" i="23"/>
  <c r="AL363" i="28" s="1"/>
  <c r="B363" i="28" s="1"/>
  <c r="C82" i="23"/>
  <c r="AK309" i="28" s="1"/>
  <c r="C309" i="28" s="1"/>
  <c r="B82" i="23"/>
  <c r="C120" i="23"/>
  <c r="B120" i="23"/>
  <c r="AL381" i="28" s="1"/>
  <c r="B381" i="28" s="1"/>
  <c r="C170" i="23"/>
  <c r="AK487" i="28" s="1"/>
  <c r="B170" i="23"/>
  <c r="AL487" i="28" s="1"/>
  <c r="C77" i="23"/>
  <c r="AK280" i="28" s="1"/>
  <c r="B77" i="23"/>
  <c r="AL280" i="28" s="1"/>
  <c r="C125" i="23"/>
  <c r="B125" i="23"/>
  <c r="AL390" i="28" s="1"/>
  <c r="B390" i="28" s="1"/>
  <c r="C145" i="23"/>
  <c r="B145" i="23"/>
  <c r="AL426" i="28" s="1"/>
  <c r="B426" i="28" s="1"/>
  <c r="B72" i="23"/>
  <c r="C72" i="23"/>
  <c r="AK251" i="28" s="1"/>
  <c r="C251" i="28" s="1"/>
  <c r="C175" i="23"/>
  <c r="AK516" i="28" s="1"/>
  <c r="B175" i="23"/>
  <c r="AL516" i="28" s="1"/>
  <c r="C135" i="23"/>
  <c r="B135" i="23"/>
  <c r="AL408" i="28" s="1"/>
  <c r="B408" i="28" s="1"/>
  <c r="C130" i="23"/>
  <c r="B130" i="23"/>
  <c r="AL399" i="28" s="1"/>
  <c r="B399" i="28" s="1"/>
  <c r="C160" i="23"/>
  <c r="B160" i="23"/>
  <c r="AL453" i="28" s="1"/>
  <c r="B453" i="28" s="1"/>
  <c r="B115" i="23"/>
  <c r="AL372" i="28" s="1"/>
  <c r="B372" i="28" s="1"/>
  <c r="C115" i="23"/>
  <c r="C180" i="23"/>
  <c r="AK545" i="28" s="1"/>
  <c r="C545" i="28" s="1"/>
  <c r="B180" i="23"/>
  <c r="B115" i="17"/>
  <c r="AL370" i="28" s="1"/>
  <c r="B370" i="28" s="1"/>
  <c r="C115" i="17"/>
  <c r="B145" i="17"/>
  <c r="AL424" i="28" s="1"/>
  <c r="B424" i="28" s="1"/>
  <c r="C145" i="17"/>
  <c r="C120" i="17"/>
  <c r="B120" i="17"/>
  <c r="AL379" i="28" s="1"/>
  <c r="B379" i="28" s="1"/>
  <c r="B130" i="17"/>
  <c r="AL397" i="28" s="1"/>
  <c r="B397" i="28" s="1"/>
  <c r="C130" i="17"/>
  <c r="B160" i="17"/>
  <c r="AL451" i="28" s="1"/>
  <c r="B451" i="28" s="1"/>
  <c r="C160" i="17"/>
  <c r="B140" i="17"/>
  <c r="AL415" i="28" s="1"/>
  <c r="B415" i="28" s="1"/>
  <c r="C140" i="17"/>
  <c r="C155" i="17"/>
  <c r="B155" i="17"/>
  <c r="AL442" i="28" s="1"/>
  <c r="B442" i="28" s="1"/>
  <c r="C110" i="17"/>
  <c r="B110" i="17"/>
  <c r="AL361" i="28" s="1"/>
  <c r="B361" i="28" s="1"/>
  <c r="B135" i="17"/>
  <c r="AL406" i="28" s="1"/>
  <c r="B406" i="28" s="1"/>
  <c r="C135" i="17"/>
  <c r="C125" i="17"/>
  <c r="B125" i="17"/>
  <c r="AL388" i="28" s="1"/>
  <c r="B388" i="28" s="1"/>
  <c r="C150" i="17"/>
  <c r="B150" i="17"/>
  <c r="AL433" i="28" s="1"/>
  <c r="B433" i="28" s="1"/>
  <c r="C160" i="20"/>
  <c r="B160" i="20"/>
  <c r="AL452" i="28" s="1"/>
  <c r="B452" i="28" s="1"/>
  <c r="C135" i="20"/>
  <c r="B135" i="20"/>
  <c r="AL407" i="28" s="1"/>
  <c r="B407" i="28" s="1"/>
  <c r="C125" i="20"/>
  <c r="B125" i="20"/>
  <c r="AL389" i="28" s="1"/>
  <c r="B389" i="28" s="1"/>
  <c r="C100" i="20"/>
  <c r="B100" i="20"/>
  <c r="AL344" i="28" s="1"/>
  <c r="B344" i="28" s="1"/>
  <c r="C155" i="20"/>
  <c r="B155" i="20"/>
  <c r="AL443" i="28" s="1"/>
  <c r="B443" i="28" s="1"/>
  <c r="C175" i="20"/>
  <c r="AK515" i="28" s="1"/>
  <c r="B175" i="20"/>
  <c r="AL515" i="28" s="1"/>
  <c r="C110" i="20"/>
  <c r="B110" i="20"/>
  <c r="AL362" i="28" s="1"/>
  <c r="B362" i="28" s="1"/>
  <c r="C145" i="20"/>
  <c r="B145" i="20"/>
  <c r="AL425" i="28" s="1"/>
  <c r="B425" i="28" s="1"/>
  <c r="C180" i="20"/>
  <c r="AK544" i="28" s="1"/>
  <c r="C544" i="28" s="1"/>
  <c r="B180" i="20"/>
  <c r="C140" i="20"/>
  <c r="B140" i="20"/>
  <c r="AL416" i="28" s="1"/>
  <c r="B416" i="28" s="1"/>
  <c r="C120" i="20"/>
  <c r="B120" i="20"/>
  <c r="AL380" i="28" s="1"/>
  <c r="B380" i="28" s="1"/>
  <c r="C82" i="20"/>
  <c r="AK308" i="28" s="1"/>
  <c r="C308" i="28" s="1"/>
  <c r="B82" i="20"/>
  <c r="C130" i="20"/>
  <c r="B130" i="20"/>
  <c r="AL398" i="28" s="1"/>
  <c r="B398" i="28" s="1"/>
  <c r="C72" i="20"/>
  <c r="AK250" i="28" s="1"/>
  <c r="C250" i="28" s="1"/>
  <c r="B72" i="20"/>
  <c r="C150" i="20"/>
  <c r="B150" i="20"/>
  <c r="AL434" i="28" s="1"/>
  <c r="B434" i="28" s="1"/>
  <c r="C77" i="20"/>
  <c r="AK279" i="28" s="1"/>
  <c r="B77" i="20"/>
  <c r="AL279" i="28" s="1"/>
  <c r="C115" i="20"/>
  <c r="B115" i="20"/>
  <c r="AL371" i="28" s="1"/>
  <c r="B371" i="28" s="1"/>
  <c r="C170" i="20"/>
  <c r="AK486" i="28" s="1"/>
  <c r="B170" i="20"/>
  <c r="AL486" i="28" s="1"/>
  <c r="C105" i="20"/>
  <c r="B105" i="20"/>
  <c r="AL353" i="28" s="1"/>
  <c r="B353" i="28" s="1"/>
  <c r="B95" i="20"/>
  <c r="AL335" i="28" s="1"/>
  <c r="B335" i="28" s="1"/>
  <c r="C95" i="20"/>
  <c r="U23" i="6"/>
  <c r="U25" i="6"/>
  <c r="U26" i="6"/>
  <c r="U27" i="6"/>
  <c r="U28" i="6"/>
  <c r="U29" i="6"/>
  <c r="U30" i="6"/>
  <c r="U31" i="6"/>
  <c r="U32" i="6"/>
  <c r="U33" i="6"/>
  <c r="U34" i="6"/>
  <c r="U35" i="6"/>
  <c r="U37" i="6"/>
  <c r="U38" i="6"/>
  <c r="U39" i="6"/>
  <c r="U40" i="6"/>
  <c r="U41" i="6"/>
  <c r="U42" i="6"/>
  <c r="U43" i="6"/>
  <c r="U44" i="6"/>
  <c r="U22" i="6"/>
  <c r="U21" i="6"/>
  <c r="V160" i="17" l="1"/>
  <c r="V145" i="17"/>
  <c r="V135" i="17"/>
  <c r="V115" i="17"/>
  <c r="V130" i="17"/>
  <c r="V125" i="17"/>
  <c r="V110" i="17"/>
  <c r="V155" i="17"/>
  <c r="V120" i="17"/>
  <c r="V150" i="17"/>
  <c r="V140" i="17"/>
  <c r="U115" i="28"/>
  <c r="U114" i="28"/>
  <c r="U113" i="28"/>
  <c r="U112" i="28"/>
  <c r="U116" i="28"/>
  <c r="AH54" i="22"/>
  <c r="AL83" i="23" s="1"/>
  <c r="B83" i="23" s="1"/>
  <c r="AJ311" i="28"/>
  <c r="AH54" i="19"/>
  <c r="AL83" i="20" s="1"/>
  <c r="B83" i="20" s="1"/>
  <c r="AI311" i="28"/>
  <c r="AK171" i="28"/>
  <c r="D51" i="26"/>
  <c r="V51" i="26" s="1"/>
  <c r="D61" i="23"/>
  <c r="V61" i="23" s="1"/>
  <c r="AK364" i="28"/>
  <c r="C364" i="28" s="1"/>
  <c r="AK346" i="28"/>
  <c r="C346" i="28" s="1"/>
  <c r="AK409" i="28"/>
  <c r="C409" i="28" s="1"/>
  <c r="AK337" i="28"/>
  <c r="C337" i="28" s="1"/>
  <c r="AK427" i="28"/>
  <c r="C427" i="28" s="1"/>
  <c r="AK436" i="28"/>
  <c r="C436" i="28" s="1"/>
  <c r="AK418" i="28"/>
  <c r="C418" i="28" s="1"/>
  <c r="AK382" i="28"/>
  <c r="C382" i="28" s="1"/>
  <c r="AK355" i="28"/>
  <c r="C355" i="28" s="1"/>
  <c r="AK400" i="28"/>
  <c r="C400" i="28" s="1"/>
  <c r="AK454" i="28"/>
  <c r="C454" i="28" s="1"/>
  <c r="AK445" i="28"/>
  <c r="C445" i="28" s="1"/>
  <c r="AK373" i="28"/>
  <c r="C373" i="28" s="1"/>
  <c r="AK391" i="28"/>
  <c r="C391" i="28" s="1"/>
  <c r="AK372" i="28"/>
  <c r="C372" i="28" s="1"/>
  <c r="AK354" i="28"/>
  <c r="C354" i="28" s="1"/>
  <c r="AK390" i="28"/>
  <c r="C390" i="28" s="1"/>
  <c r="AK345" i="28"/>
  <c r="C345" i="28" s="1"/>
  <c r="AK453" i="28"/>
  <c r="C453" i="28" s="1"/>
  <c r="AK399" i="28"/>
  <c r="C399" i="28" s="1"/>
  <c r="AK444" i="28"/>
  <c r="C444" i="28" s="1"/>
  <c r="AK381" i="28"/>
  <c r="C381" i="28" s="1"/>
  <c r="AK363" i="28"/>
  <c r="C363" i="28" s="1"/>
  <c r="AK435" i="28"/>
  <c r="C435" i="28" s="1"/>
  <c r="AK408" i="28"/>
  <c r="C408" i="28" s="1"/>
  <c r="AK336" i="28"/>
  <c r="C336" i="28" s="1"/>
  <c r="AK426" i="28"/>
  <c r="C426" i="28" s="1"/>
  <c r="AK417" i="28"/>
  <c r="C417" i="28" s="1"/>
  <c r="AK443" i="28"/>
  <c r="C443" i="28" s="1"/>
  <c r="AK398" i="28"/>
  <c r="C398" i="28" s="1"/>
  <c r="AK335" i="28"/>
  <c r="C335" i="28" s="1"/>
  <c r="AK344" i="28"/>
  <c r="C344" i="28" s="1"/>
  <c r="AK380" i="28"/>
  <c r="C380" i="28" s="1"/>
  <c r="AK353" i="28"/>
  <c r="C353" i="28" s="1"/>
  <c r="AK389" i="28"/>
  <c r="C389" i="28" s="1"/>
  <c r="AK407" i="28"/>
  <c r="C407" i="28" s="1"/>
  <c r="AK371" i="28"/>
  <c r="C371" i="28" s="1"/>
  <c r="AK452" i="28"/>
  <c r="C452" i="28" s="1"/>
  <c r="AK416" i="28"/>
  <c r="C416" i="28" s="1"/>
  <c r="AK425" i="28"/>
  <c r="C425" i="28" s="1"/>
  <c r="AK434" i="28"/>
  <c r="C434" i="28" s="1"/>
  <c r="AK362" i="28"/>
  <c r="C362" i="28" s="1"/>
  <c r="AK361" i="28"/>
  <c r="C361" i="28" s="1"/>
  <c r="AK442" i="28"/>
  <c r="C442" i="28" s="1"/>
  <c r="AK415" i="28"/>
  <c r="C415" i="28" s="1"/>
  <c r="AK451" i="28"/>
  <c r="C451" i="28" s="1"/>
  <c r="AK397" i="28"/>
  <c r="C397" i="28" s="1"/>
  <c r="AK433" i="28"/>
  <c r="C433" i="28" s="1"/>
  <c r="AK379" i="28"/>
  <c r="C379" i="28" s="1"/>
  <c r="AK388" i="28"/>
  <c r="C388" i="28" s="1"/>
  <c r="AK406" i="28"/>
  <c r="C406" i="28" s="1"/>
  <c r="AK370" i="28"/>
  <c r="C370" i="28" s="1"/>
  <c r="AK424" i="28"/>
  <c r="C424" i="28" s="1"/>
  <c r="Z185" i="28"/>
  <c r="Z205" i="28"/>
  <c r="Z203" i="28"/>
  <c r="Z201" i="28"/>
  <c r="Z191" i="28"/>
  <c r="Z211" i="28"/>
  <c r="Z181" i="28"/>
  <c r="Z319" i="28"/>
  <c r="V319" i="28"/>
  <c r="D60" i="20"/>
  <c r="V60" i="20" s="1"/>
  <c r="Z58" i="23"/>
  <c r="D65" i="20"/>
  <c r="V65" i="20" s="1"/>
  <c r="Z34" i="26"/>
  <c r="Z56" i="23"/>
  <c r="AI220" i="28"/>
  <c r="AI153" i="28"/>
  <c r="AI156" i="28"/>
  <c r="AL156" i="28" s="1"/>
  <c r="B156" i="28" s="1"/>
  <c r="AI99" i="28"/>
  <c r="AI102" i="28"/>
  <c r="AL102" i="28" s="1"/>
  <c r="B102" i="28" s="1"/>
  <c r="AI141" i="28"/>
  <c r="AI144" i="28"/>
  <c r="AL144" i="28" s="1"/>
  <c r="B144" i="28" s="1"/>
  <c r="AI135" i="28"/>
  <c r="AI138" i="28"/>
  <c r="AL138" i="28" s="1"/>
  <c r="B138" i="28" s="1"/>
  <c r="AI129" i="28"/>
  <c r="AI132" i="28"/>
  <c r="AL132" i="28" s="1"/>
  <c r="B132" i="28" s="1"/>
  <c r="AI69" i="28"/>
  <c r="AI72" i="28"/>
  <c r="AL72" i="28" s="1"/>
  <c r="B72" i="28" s="1"/>
  <c r="Z43" i="20"/>
  <c r="AI75" i="28"/>
  <c r="AI78" i="28"/>
  <c r="AL78" i="28" s="1"/>
  <c r="B78" i="28" s="1"/>
  <c r="AI105" i="28"/>
  <c r="AI108" i="28"/>
  <c r="AL108" i="28" s="1"/>
  <c r="B108" i="28" s="1"/>
  <c r="AI51" i="28"/>
  <c r="AI54" i="28"/>
  <c r="AL54" i="28" s="1"/>
  <c r="B54" i="28" s="1"/>
  <c r="AI33" i="28"/>
  <c r="AI36" i="28"/>
  <c r="AL36" i="28" s="1"/>
  <c r="B36" i="28" s="1"/>
  <c r="AI81" i="28"/>
  <c r="AI84" i="28"/>
  <c r="AL84" i="28" s="1"/>
  <c r="B84" i="28" s="1"/>
  <c r="AI147" i="28"/>
  <c r="AI150" i="28"/>
  <c r="AL150" i="28" s="1"/>
  <c r="B150" i="28" s="1"/>
  <c r="AI123" i="28"/>
  <c r="AI126" i="28"/>
  <c r="AL126" i="28" s="1"/>
  <c r="B126" i="28" s="1"/>
  <c r="AI57" i="28"/>
  <c r="AI60" i="28"/>
  <c r="AL60" i="28" s="1"/>
  <c r="B60" i="28" s="1"/>
  <c r="AI21" i="28"/>
  <c r="AI24" i="28"/>
  <c r="AL24" i="28" s="1"/>
  <c r="B24" i="28" s="1"/>
  <c r="AI159" i="28"/>
  <c r="AI162" i="28"/>
  <c r="AL162" i="28" s="1"/>
  <c r="B162" i="28" s="1"/>
  <c r="AI111" i="28"/>
  <c r="AI114" i="28"/>
  <c r="AL114" i="28" s="1"/>
  <c r="B114" i="28" s="1"/>
  <c r="AI117" i="28"/>
  <c r="AI120" i="28"/>
  <c r="AL120" i="28" s="1"/>
  <c r="B120" i="28" s="1"/>
  <c r="AI63" i="28"/>
  <c r="AI66" i="28"/>
  <c r="AL66" i="28" s="1"/>
  <c r="B66" i="28" s="1"/>
  <c r="AI45" i="28"/>
  <c r="AI48" i="28"/>
  <c r="AL48" i="28" s="1"/>
  <c r="B48" i="28" s="1"/>
  <c r="AI93" i="28"/>
  <c r="AI96" i="28"/>
  <c r="AL96" i="28" s="1"/>
  <c r="B96" i="28" s="1"/>
  <c r="AI27" i="28"/>
  <c r="AI30" i="28"/>
  <c r="AL30" i="28" s="1"/>
  <c r="B30" i="28" s="1"/>
  <c r="AI39" i="28"/>
  <c r="AI42" i="28"/>
  <c r="AL42" i="28" s="1"/>
  <c r="B42" i="28" s="1"/>
  <c r="AI87" i="28"/>
  <c r="AI90" i="28"/>
  <c r="AL90" i="28" s="1"/>
  <c r="B90" i="28" s="1"/>
  <c r="AK507" i="28"/>
  <c r="AK512" i="28"/>
  <c r="AL512" i="28" s="1"/>
  <c r="AK530" i="28"/>
  <c r="AK535" i="28"/>
  <c r="AL535" i="28" s="1"/>
  <c r="AK524" i="28"/>
  <c r="AK529" i="28"/>
  <c r="AL529" i="28" s="1"/>
  <c r="AK495" i="28"/>
  <c r="AK500" i="28"/>
  <c r="AL500" i="28" s="1"/>
  <c r="AK518" i="28"/>
  <c r="AK523" i="28"/>
  <c r="AL523" i="28" s="1"/>
  <c r="AJ224" i="28"/>
  <c r="AJ228" i="28"/>
  <c r="AL228" i="28" s="1"/>
  <c r="B228" i="28" s="1"/>
  <c r="AJ495" i="28"/>
  <c r="AJ499" i="28"/>
  <c r="AL499" i="28" s="1"/>
  <c r="B499" i="28" s="1"/>
  <c r="AJ63" i="28"/>
  <c r="AJ67" i="28"/>
  <c r="AL67" i="28" s="1"/>
  <c r="B67" i="28" s="1"/>
  <c r="AJ45" i="28"/>
  <c r="AJ49" i="28"/>
  <c r="AL49" i="28" s="1"/>
  <c r="B49" i="28" s="1"/>
  <c r="AJ69" i="28"/>
  <c r="AJ73" i="28"/>
  <c r="AL73" i="28" s="1"/>
  <c r="B73" i="28" s="1"/>
  <c r="AJ147" i="28"/>
  <c r="AJ151" i="28"/>
  <c r="AL151" i="28" s="1"/>
  <c r="B151" i="28" s="1"/>
  <c r="AJ135" i="28"/>
  <c r="AJ139" i="28"/>
  <c r="AL139" i="28" s="1"/>
  <c r="B139" i="28" s="1"/>
  <c r="AJ159" i="28"/>
  <c r="AJ163" i="28"/>
  <c r="AL163" i="28" s="1"/>
  <c r="B163" i="28" s="1"/>
  <c r="AJ141" i="28"/>
  <c r="AJ145" i="28"/>
  <c r="AL145" i="28" s="1"/>
  <c r="B145" i="28" s="1"/>
  <c r="AJ123" i="28"/>
  <c r="AJ127" i="28"/>
  <c r="AL127" i="28" s="1"/>
  <c r="B127" i="28" s="1"/>
  <c r="AJ472" i="28"/>
  <c r="AJ476" i="28"/>
  <c r="AL476" i="28" s="1"/>
  <c r="B476" i="28" s="1"/>
  <c r="AJ460" i="28"/>
  <c r="AJ464" i="28"/>
  <c r="AL464" i="28" s="1"/>
  <c r="B464" i="28" s="1"/>
  <c r="AJ300" i="28"/>
  <c r="AJ304" i="28"/>
  <c r="AL304" i="28" s="1"/>
  <c r="B304" i="28" s="1"/>
  <c r="AJ518" i="28"/>
  <c r="AJ522" i="28"/>
  <c r="AL522" i="28" s="1"/>
  <c r="B522" i="28" s="1"/>
  <c r="AJ507" i="28"/>
  <c r="AJ511" i="28"/>
  <c r="AL511" i="28" s="1"/>
  <c r="B511" i="28" s="1"/>
  <c r="AJ33" i="28"/>
  <c r="AJ37" i="28"/>
  <c r="AL37" i="28" s="1"/>
  <c r="B37" i="28" s="1"/>
  <c r="AJ99" i="28"/>
  <c r="AJ103" i="28"/>
  <c r="AL103" i="28" s="1"/>
  <c r="B103" i="28" s="1"/>
  <c r="AJ478" i="28"/>
  <c r="AJ482" i="28"/>
  <c r="AL482" i="28" s="1"/>
  <c r="B482" i="28" s="1"/>
  <c r="AJ93" i="28"/>
  <c r="AJ97" i="28"/>
  <c r="AL97" i="28" s="1"/>
  <c r="B97" i="28" s="1"/>
  <c r="AJ236" i="28"/>
  <c r="AJ240" i="28"/>
  <c r="AL240" i="28" s="1"/>
  <c r="B240" i="28" s="1"/>
  <c r="AJ81" i="28"/>
  <c r="AJ85" i="28"/>
  <c r="AL85" i="28" s="1"/>
  <c r="B85" i="28" s="1"/>
  <c r="AJ129" i="28"/>
  <c r="AJ133" i="28"/>
  <c r="AL133" i="28" s="1"/>
  <c r="B133" i="28" s="1"/>
  <c r="AJ27" i="28"/>
  <c r="AJ31" i="28"/>
  <c r="AL31" i="28" s="1"/>
  <c r="B31" i="28" s="1"/>
  <c r="AJ536" i="28"/>
  <c r="AJ540" i="28"/>
  <c r="AL540" i="28" s="1"/>
  <c r="B540" i="28" s="1"/>
  <c r="AJ111" i="28"/>
  <c r="AJ115" i="28"/>
  <c r="AL115" i="28" s="1"/>
  <c r="B115" i="28" s="1"/>
  <c r="AJ242" i="28"/>
  <c r="AJ246" i="28"/>
  <c r="AL246" i="28" s="1"/>
  <c r="B246" i="28" s="1"/>
  <c r="AJ153" i="28"/>
  <c r="AJ157" i="28"/>
  <c r="AL157" i="28" s="1"/>
  <c r="B157" i="28" s="1"/>
  <c r="AJ21" i="28"/>
  <c r="AJ25" i="28"/>
  <c r="AL25" i="28" s="1"/>
  <c r="B25" i="28" s="1"/>
  <c r="AJ105" i="28"/>
  <c r="AJ109" i="28"/>
  <c r="AL109" i="28" s="1"/>
  <c r="B109" i="28" s="1"/>
  <c r="AJ524" i="28"/>
  <c r="AJ528" i="28"/>
  <c r="AL528" i="28" s="1"/>
  <c r="B528" i="28" s="1"/>
  <c r="AJ530" i="28"/>
  <c r="AJ534" i="28"/>
  <c r="AL534" i="28" s="1"/>
  <c r="B534" i="28" s="1"/>
  <c r="AJ501" i="28"/>
  <c r="AJ505" i="28"/>
  <c r="AL505" i="28" s="1"/>
  <c r="B505" i="28" s="1"/>
  <c r="AJ271" i="28"/>
  <c r="AJ275" i="28"/>
  <c r="AL275" i="28" s="1"/>
  <c r="B275" i="28" s="1"/>
  <c r="AJ259" i="28"/>
  <c r="AJ263" i="28"/>
  <c r="AL263" i="28" s="1"/>
  <c r="B263" i="28" s="1"/>
  <c r="AJ282" i="28"/>
  <c r="AJ286" i="28"/>
  <c r="AL286" i="28" s="1"/>
  <c r="B286" i="28" s="1"/>
  <c r="AJ51" i="28"/>
  <c r="AJ55" i="28"/>
  <c r="AL55" i="28" s="1"/>
  <c r="B55" i="28" s="1"/>
  <c r="AJ466" i="28"/>
  <c r="AJ470" i="28"/>
  <c r="AL470" i="28" s="1"/>
  <c r="B470" i="28" s="1"/>
  <c r="AJ288" i="28"/>
  <c r="AJ292" i="28"/>
  <c r="AL292" i="28" s="1"/>
  <c r="B292" i="28" s="1"/>
  <c r="AJ230" i="28"/>
  <c r="AJ234" i="28"/>
  <c r="AL234" i="28" s="1"/>
  <c r="B234" i="28" s="1"/>
  <c r="AJ253" i="28"/>
  <c r="AJ257" i="28"/>
  <c r="AL257" i="28" s="1"/>
  <c r="B257" i="28" s="1"/>
  <c r="AJ87" i="28"/>
  <c r="AJ91" i="28"/>
  <c r="AL91" i="28" s="1"/>
  <c r="B91" i="28" s="1"/>
  <c r="AJ489" i="28"/>
  <c r="AJ493" i="28"/>
  <c r="AL493" i="28" s="1"/>
  <c r="B493" i="28" s="1"/>
  <c r="AJ75" i="28"/>
  <c r="AJ79" i="28"/>
  <c r="AL79" i="28" s="1"/>
  <c r="B79" i="28" s="1"/>
  <c r="AJ57" i="28"/>
  <c r="AJ61" i="28"/>
  <c r="AL61" i="28" s="1"/>
  <c r="B61" i="28" s="1"/>
  <c r="AJ39" i="28"/>
  <c r="AJ43" i="28"/>
  <c r="AL43" i="28" s="1"/>
  <c r="B43" i="28" s="1"/>
  <c r="AJ265" i="28"/>
  <c r="AJ269" i="28"/>
  <c r="AL269" i="28" s="1"/>
  <c r="B269" i="28" s="1"/>
  <c r="AJ117" i="28"/>
  <c r="AJ121" i="28"/>
  <c r="AL121" i="28" s="1"/>
  <c r="B121" i="28" s="1"/>
  <c r="AJ294" i="28"/>
  <c r="AJ298" i="28"/>
  <c r="AL298" i="28" s="1"/>
  <c r="B298" i="28" s="1"/>
  <c r="D63" i="20"/>
  <c r="V63" i="20" s="1"/>
  <c r="Z57" i="23"/>
  <c r="Z59" i="23"/>
  <c r="D51" i="20"/>
  <c r="V51" i="20" s="1"/>
  <c r="C488" i="28"/>
  <c r="B488" i="28"/>
  <c r="C517" i="28"/>
  <c r="C281" i="28"/>
  <c r="C280" i="28"/>
  <c r="C487" i="28"/>
  <c r="B487" i="28"/>
  <c r="C516" i="28"/>
  <c r="AI478" i="28"/>
  <c r="AI481" i="28"/>
  <c r="AL481" i="28" s="1"/>
  <c r="B481" i="28" s="1"/>
  <c r="AI501" i="28"/>
  <c r="AI504" i="28"/>
  <c r="AL504" i="28" s="1"/>
  <c r="B504" i="28" s="1"/>
  <c r="C515" i="28"/>
  <c r="Z169" i="20"/>
  <c r="Z173" i="20"/>
  <c r="AI524" i="28"/>
  <c r="AI527" i="28"/>
  <c r="AL527" i="28" s="1"/>
  <c r="B527" i="28" s="1"/>
  <c r="AI489" i="28"/>
  <c r="AI492" i="28"/>
  <c r="AL492" i="28" s="1"/>
  <c r="B492" i="28" s="1"/>
  <c r="AI495" i="28"/>
  <c r="AI498" i="28"/>
  <c r="AL498" i="28" s="1"/>
  <c r="B498" i="28" s="1"/>
  <c r="AI536" i="28"/>
  <c r="AI539" i="28"/>
  <c r="AL539" i="28" s="1"/>
  <c r="B539" i="28" s="1"/>
  <c r="AI282" i="28"/>
  <c r="AI285" i="28"/>
  <c r="AL285" i="28" s="1"/>
  <c r="B285" i="28" s="1"/>
  <c r="AI271" i="28"/>
  <c r="AI274" i="28"/>
  <c r="AL274" i="28" s="1"/>
  <c r="B274" i="28" s="1"/>
  <c r="AI242" i="28"/>
  <c r="AI245" i="28"/>
  <c r="AL245" i="28" s="1"/>
  <c r="B245" i="28" s="1"/>
  <c r="AI518" i="28"/>
  <c r="AI521" i="28"/>
  <c r="AL521" i="28" s="1"/>
  <c r="B521" i="28" s="1"/>
  <c r="AI230" i="28"/>
  <c r="AI233" i="28"/>
  <c r="AL233" i="28" s="1"/>
  <c r="B233" i="28" s="1"/>
  <c r="AI460" i="28"/>
  <c r="AI463" i="28"/>
  <c r="AL463" i="28" s="1"/>
  <c r="B463" i="28" s="1"/>
  <c r="AI530" i="28"/>
  <c r="AI533" i="28"/>
  <c r="AL533" i="28" s="1"/>
  <c r="B533" i="28" s="1"/>
  <c r="D50" i="20"/>
  <c r="V50" i="20" s="1"/>
  <c r="C486" i="28"/>
  <c r="AI265" i="28"/>
  <c r="AI268" i="28"/>
  <c r="AL268" i="28" s="1"/>
  <c r="B268" i="28" s="1"/>
  <c r="AI294" i="28"/>
  <c r="AI297" i="28"/>
  <c r="AL297" i="28" s="1"/>
  <c r="B297" i="28" s="1"/>
  <c r="AI224" i="28"/>
  <c r="AI227" i="28"/>
  <c r="AL227" i="28" s="1"/>
  <c r="B227" i="28" s="1"/>
  <c r="AI507" i="28"/>
  <c r="AI510" i="28"/>
  <c r="AL510" i="28" s="1"/>
  <c r="B510" i="28" s="1"/>
  <c r="AI288" i="28"/>
  <c r="AI291" i="28"/>
  <c r="AL291" i="28" s="1"/>
  <c r="B291" i="28" s="1"/>
  <c r="AI236" i="28"/>
  <c r="AI239" i="28"/>
  <c r="AL239" i="28" s="1"/>
  <c r="B239" i="28" s="1"/>
  <c r="AI472" i="28"/>
  <c r="AI475" i="28"/>
  <c r="AL475" i="28" s="1"/>
  <c r="B475" i="28" s="1"/>
  <c r="AI466" i="28"/>
  <c r="AI469" i="28"/>
  <c r="AL469" i="28" s="1"/>
  <c r="B469" i="28" s="1"/>
  <c r="AI300" i="28"/>
  <c r="AI303" i="28"/>
  <c r="AL303" i="28" s="1"/>
  <c r="B303" i="28" s="1"/>
  <c r="AI259" i="28"/>
  <c r="AI262" i="28"/>
  <c r="AL262" i="28" s="1"/>
  <c r="B262" i="28" s="1"/>
  <c r="C279" i="28"/>
  <c r="B279" i="28"/>
  <c r="AI253" i="28"/>
  <c r="AI256" i="28"/>
  <c r="AL256" i="28" s="1"/>
  <c r="B256" i="28" s="1"/>
  <c r="AK147" i="28"/>
  <c r="AK152" i="28"/>
  <c r="AL152" i="28" s="1"/>
  <c r="AK105" i="28"/>
  <c r="AK110" i="28"/>
  <c r="AL110" i="28" s="1"/>
  <c r="AK159" i="28"/>
  <c r="AK164" i="28"/>
  <c r="AK33" i="28"/>
  <c r="AK38" i="28"/>
  <c r="AK69" i="28"/>
  <c r="AK74" i="28"/>
  <c r="AK141" i="28"/>
  <c r="AK146" i="28"/>
  <c r="AL146" i="28" s="1"/>
  <c r="AK123" i="28"/>
  <c r="AK128" i="28"/>
  <c r="AK153" i="28"/>
  <c r="AK158" i="28"/>
  <c r="AL158" i="28" s="1"/>
  <c r="AK45" i="28"/>
  <c r="AK50" i="28"/>
  <c r="AK51" i="28"/>
  <c r="AK56" i="28"/>
  <c r="Z23" i="26"/>
  <c r="AK87" i="28"/>
  <c r="AK92" i="28"/>
  <c r="AK93" i="28"/>
  <c r="AK98" i="28"/>
  <c r="AK81" i="28"/>
  <c r="AK86" i="28"/>
  <c r="AK117" i="28"/>
  <c r="AK122" i="28"/>
  <c r="AK27" i="28"/>
  <c r="AK32" i="28"/>
  <c r="AK63" i="28"/>
  <c r="AK68" i="28"/>
  <c r="AL68" i="28" s="1"/>
  <c r="AK39" i="28"/>
  <c r="AK44" i="28"/>
  <c r="AK75" i="28"/>
  <c r="AK80" i="28"/>
  <c r="AK21" i="28"/>
  <c r="AK26" i="28"/>
  <c r="AK135" i="28"/>
  <c r="AK140" i="28"/>
  <c r="AL140" i="28" s="1"/>
  <c r="Z42" i="26"/>
  <c r="AK129" i="28"/>
  <c r="AK134" i="28"/>
  <c r="AK57" i="28"/>
  <c r="AK62" i="28"/>
  <c r="AK111" i="28"/>
  <c r="AK116" i="28"/>
  <c r="Z57" i="26"/>
  <c r="Z183" i="28"/>
  <c r="AL63" i="26"/>
  <c r="B63" i="26" s="1"/>
  <c r="AK219" i="28" s="1"/>
  <c r="AL50" i="26"/>
  <c r="B50" i="26" s="1"/>
  <c r="AK170" i="28" s="1"/>
  <c r="AL64" i="26"/>
  <c r="B64" i="26" s="1"/>
  <c r="AK220" i="28" s="1"/>
  <c r="AL65" i="26"/>
  <c r="AL49" i="26"/>
  <c r="B49" i="26" s="1"/>
  <c r="AK169" i="28" s="1"/>
  <c r="V127" i="17"/>
  <c r="AH393" i="28"/>
  <c r="V114" i="17"/>
  <c r="AH368" i="28"/>
  <c r="V121" i="17"/>
  <c r="AH383" i="28"/>
  <c r="V131" i="17"/>
  <c r="AH401" i="28"/>
  <c r="V122" i="17"/>
  <c r="AH384" i="28"/>
  <c r="V111" i="17"/>
  <c r="AH365" i="28"/>
  <c r="V108" i="17"/>
  <c r="AH358" i="28"/>
  <c r="V137" i="17"/>
  <c r="AH411" i="28"/>
  <c r="V144" i="17"/>
  <c r="AH422" i="28"/>
  <c r="V147" i="17"/>
  <c r="AH429" i="28"/>
  <c r="V113" i="17"/>
  <c r="AH367" i="28"/>
  <c r="V138" i="17"/>
  <c r="AH412" i="28"/>
  <c r="V129" i="17"/>
  <c r="AH395" i="28"/>
  <c r="V149" i="17"/>
  <c r="AH431" i="28"/>
  <c r="V146" i="17"/>
  <c r="AH428" i="28"/>
  <c r="V154" i="17"/>
  <c r="AH440" i="28"/>
  <c r="V139" i="17"/>
  <c r="AH413" i="28"/>
  <c r="V133" i="17"/>
  <c r="AH403" i="28"/>
  <c r="V157" i="17"/>
  <c r="AH447" i="28"/>
  <c r="V141" i="17"/>
  <c r="AH419" i="28"/>
  <c r="V112" i="17"/>
  <c r="AH366" i="28"/>
  <c r="V109" i="17"/>
  <c r="AH359" i="28"/>
  <c r="V118" i="17"/>
  <c r="AH376" i="28"/>
  <c r="V124" i="17"/>
  <c r="AH386" i="28"/>
  <c r="V159" i="17"/>
  <c r="AH449" i="28"/>
  <c r="V151" i="17"/>
  <c r="AH437" i="28"/>
  <c r="V153" i="17"/>
  <c r="AH439" i="28"/>
  <c r="V126" i="17"/>
  <c r="AH392" i="28"/>
  <c r="V143" i="17"/>
  <c r="AH421" i="28"/>
  <c r="V123" i="17"/>
  <c r="AH385" i="28"/>
  <c r="V119" i="17"/>
  <c r="AH377" i="28"/>
  <c r="V148" i="17"/>
  <c r="AH430" i="28"/>
  <c r="V117" i="17"/>
  <c r="AH375" i="28"/>
  <c r="V132" i="17"/>
  <c r="AH402" i="28"/>
  <c r="V158" i="17"/>
  <c r="AH448" i="28"/>
  <c r="V156" i="17"/>
  <c r="AH446" i="28"/>
  <c r="V128" i="17"/>
  <c r="AH394" i="28"/>
  <c r="V116" i="17"/>
  <c r="AH374" i="28"/>
  <c r="V136" i="17"/>
  <c r="AH410" i="28"/>
  <c r="V106" i="17"/>
  <c r="AH356" i="28"/>
  <c r="V152" i="17"/>
  <c r="AH438" i="28"/>
  <c r="V107" i="17"/>
  <c r="AH357" i="28"/>
  <c r="V142" i="17"/>
  <c r="AH420" i="28"/>
  <c r="V134" i="17"/>
  <c r="AH404" i="28"/>
  <c r="D83" i="20"/>
  <c r="V83" i="20" s="1"/>
  <c r="D83" i="23"/>
  <c r="V83" i="23" s="1"/>
  <c r="AK471" i="28"/>
  <c r="AL471" i="28" s="1"/>
  <c r="AK466" i="28"/>
  <c r="AK494" i="28"/>
  <c r="AL494" i="28" s="1"/>
  <c r="AK489" i="28"/>
  <c r="AK276" i="28"/>
  <c r="AL276" i="28" s="1"/>
  <c r="AK271" i="28"/>
  <c r="AK465" i="28"/>
  <c r="AL465" i="28" s="1"/>
  <c r="AK460" i="28"/>
  <c r="AK258" i="28"/>
  <c r="AL258" i="28" s="1"/>
  <c r="AK253" i="28"/>
  <c r="AK305" i="28"/>
  <c r="AK300" i="28"/>
  <c r="V173" i="26"/>
  <c r="AK501" i="28"/>
  <c r="AK270" i="28"/>
  <c r="AL270" i="28" s="1"/>
  <c r="AK265" i="28"/>
  <c r="Z179" i="26"/>
  <c r="AK536" i="28"/>
  <c r="AK299" i="28"/>
  <c r="AL299" i="28" s="1"/>
  <c r="AK294" i="28"/>
  <c r="AK287" i="28"/>
  <c r="AL287" i="28" s="1"/>
  <c r="AK282" i="28"/>
  <c r="AK477" i="28"/>
  <c r="AL477" i="28" s="1"/>
  <c r="AK472" i="28"/>
  <c r="AK293" i="28"/>
  <c r="AL293" i="28" s="1"/>
  <c r="AK288" i="28"/>
  <c r="AK264" i="28"/>
  <c r="AL264" i="28" s="1"/>
  <c r="AK259" i="28"/>
  <c r="Z170" i="20"/>
  <c r="B486" i="28"/>
  <c r="Z170" i="23"/>
  <c r="Z180" i="20"/>
  <c r="AL544" i="28"/>
  <c r="B544" i="28" s="1"/>
  <c r="Z175" i="23"/>
  <c r="B516" i="28"/>
  <c r="Z175" i="20"/>
  <c r="B515" i="28"/>
  <c r="Z180" i="23"/>
  <c r="AL545" i="28"/>
  <c r="B545" i="28" s="1"/>
  <c r="V98" i="26"/>
  <c r="AK340" i="28"/>
  <c r="V148" i="26"/>
  <c r="AK430" i="28"/>
  <c r="V89" i="26"/>
  <c r="AK327" i="28"/>
  <c r="Z75" i="26"/>
  <c r="Z180" i="26"/>
  <c r="AL546" i="28"/>
  <c r="B546" i="28" s="1"/>
  <c r="V169" i="26"/>
  <c r="AK483" i="28"/>
  <c r="AL483" i="28" s="1"/>
  <c r="V118" i="26"/>
  <c r="AK376" i="28"/>
  <c r="AK236" i="28"/>
  <c r="AK241" i="28"/>
  <c r="AL241" i="28" s="1"/>
  <c r="AK230" i="28"/>
  <c r="AK235" i="28"/>
  <c r="AL235" i="28" s="1"/>
  <c r="V158" i="26"/>
  <c r="AK448" i="28"/>
  <c r="Z170" i="26"/>
  <c r="AK224" i="28"/>
  <c r="AK229" i="28"/>
  <c r="AL229" i="28" s="1"/>
  <c r="AK242" i="28"/>
  <c r="AK247" i="28"/>
  <c r="Z175" i="26"/>
  <c r="B517" i="28"/>
  <c r="D83" i="17"/>
  <c r="V83" i="17" s="1"/>
  <c r="D49" i="20"/>
  <c r="V49" i="20" s="1"/>
  <c r="Z72" i="23"/>
  <c r="AL251" i="28"/>
  <c r="B251" i="28" s="1"/>
  <c r="Z82" i="20"/>
  <c r="AL308" i="28"/>
  <c r="B308" i="28" s="1"/>
  <c r="Z77" i="26"/>
  <c r="B281" i="28"/>
  <c r="Z77" i="23"/>
  <c r="B280" i="28"/>
  <c r="Z72" i="26"/>
  <c r="AL252" i="28"/>
  <c r="B252" i="28" s="1"/>
  <c r="Z72" i="20"/>
  <c r="AL250" i="28"/>
  <c r="B250" i="28" s="1"/>
  <c r="Z77" i="20"/>
  <c r="Z82" i="23"/>
  <c r="AL309" i="28"/>
  <c r="B309" i="28" s="1"/>
  <c r="Z82" i="26"/>
  <c r="AL310" i="28"/>
  <c r="B310" i="28" s="1"/>
  <c r="AJ221" i="28"/>
  <c r="D65" i="23"/>
  <c r="V65" i="23" s="1"/>
  <c r="D64" i="23"/>
  <c r="V64" i="23" s="1"/>
  <c r="AJ220" i="28"/>
  <c r="D63" i="23"/>
  <c r="V63" i="23" s="1"/>
  <c r="V34" i="26"/>
  <c r="AK99" i="28"/>
  <c r="AJ170" i="28"/>
  <c r="D51" i="23"/>
  <c r="V51" i="23" s="1"/>
  <c r="V33" i="23"/>
  <c r="V31" i="23"/>
  <c r="V39" i="23"/>
  <c r="V129" i="23"/>
  <c r="V132" i="23"/>
  <c r="V78" i="20"/>
  <c r="V121" i="20"/>
  <c r="V151" i="20"/>
  <c r="V113" i="20"/>
  <c r="V119" i="23"/>
  <c r="V76" i="20"/>
  <c r="V159" i="23"/>
  <c r="V101" i="23"/>
  <c r="V92" i="23"/>
  <c r="V34" i="23"/>
  <c r="V152" i="23"/>
  <c r="V102" i="20"/>
  <c r="V22" i="23"/>
  <c r="V179" i="23"/>
  <c r="V93" i="20"/>
  <c r="V40" i="20"/>
  <c r="V39" i="20"/>
  <c r="V117" i="20"/>
  <c r="V101" i="20"/>
  <c r="V71" i="20"/>
  <c r="V176" i="20"/>
  <c r="V94" i="23"/>
  <c r="V36" i="23"/>
  <c r="V136" i="23"/>
  <c r="V93" i="23"/>
  <c r="V126" i="23"/>
  <c r="V147" i="20"/>
  <c r="V154" i="23"/>
  <c r="V141" i="23"/>
  <c r="V69" i="20"/>
  <c r="V138" i="20"/>
  <c r="V29" i="20"/>
  <c r="V166" i="20"/>
  <c r="V178" i="20"/>
  <c r="V102" i="23"/>
  <c r="V99" i="23"/>
  <c r="V71" i="23"/>
  <c r="V146" i="23"/>
  <c r="V91" i="23"/>
  <c r="V134" i="23"/>
  <c r="V30" i="20"/>
  <c r="V99" i="20"/>
  <c r="V96" i="20"/>
  <c r="V142" i="20"/>
  <c r="V129" i="20"/>
  <c r="V35" i="20"/>
  <c r="V26" i="20"/>
  <c r="V23" i="20"/>
  <c r="V43" i="23"/>
  <c r="V21" i="23"/>
  <c r="V31" i="20"/>
  <c r="V35" i="23"/>
  <c r="V177" i="23"/>
  <c r="V177" i="20"/>
  <c r="V70" i="23"/>
  <c r="V75" i="20"/>
  <c r="V109" i="20"/>
  <c r="V80" i="20"/>
  <c r="V159" i="20"/>
  <c r="V68" i="20"/>
  <c r="V42" i="20"/>
  <c r="V123" i="20"/>
  <c r="V106" i="20"/>
  <c r="V178" i="23"/>
  <c r="V143" i="23"/>
  <c r="V122" i="20"/>
  <c r="V153" i="23"/>
  <c r="V123" i="23"/>
  <c r="V81" i="23"/>
  <c r="V169" i="23"/>
  <c r="V124" i="20"/>
  <c r="V27" i="20"/>
  <c r="V174" i="20"/>
  <c r="V79" i="20"/>
  <c r="V70" i="20"/>
  <c r="V88" i="23"/>
  <c r="V131" i="20"/>
  <c r="V173" i="23"/>
  <c r="V76" i="23"/>
  <c r="V74" i="23"/>
  <c r="V21" i="20"/>
  <c r="V44" i="20"/>
  <c r="V168" i="20"/>
  <c r="V23" i="23"/>
  <c r="V179" i="20"/>
  <c r="V103" i="20"/>
  <c r="V36" i="20"/>
  <c r="V167" i="20"/>
  <c r="V81" i="20"/>
  <c r="V74" i="20"/>
  <c r="V37" i="20"/>
  <c r="V132" i="20"/>
  <c r="V78" i="23"/>
  <c r="V26" i="23"/>
  <c r="V167" i="23"/>
  <c r="V146" i="20"/>
  <c r="V118" i="20"/>
  <c r="V89" i="20"/>
  <c r="V174" i="23"/>
  <c r="V41" i="20"/>
  <c r="V119" i="20"/>
  <c r="V111" i="20"/>
  <c r="V107" i="20"/>
  <c r="V28" i="20"/>
  <c r="V127" i="20"/>
  <c r="V157" i="23"/>
  <c r="V131" i="23"/>
  <c r="V98" i="20"/>
  <c r="V103" i="23"/>
  <c r="V97" i="23"/>
  <c r="V25" i="20"/>
  <c r="V157" i="20"/>
  <c r="V134" i="20"/>
  <c r="V158" i="23"/>
  <c r="V151" i="23"/>
  <c r="V88" i="20"/>
  <c r="V97" i="20"/>
  <c r="V94" i="20"/>
  <c r="V114" i="23"/>
  <c r="V144" i="23"/>
  <c r="V122" i="23"/>
  <c r="V113" i="23"/>
  <c r="V127" i="23"/>
  <c r="V79" i="23"/>
  <c r="V69" i="23"/>
  <c r="V128" i="20"/>
  <c r="V112" i="20"/>
  <c r="V108" i="20"/>
  <c r="V148" i="20"/>
  <c r="V172" i="20"/>
  <c r="V32" i="23"/>
  <c r="V133" i="20"/>
  <c r="V92" i="20"/>
  <c r="V171" i="23"/>
  <c r="V139" i="23"/>
  <c r="V117" i="23"/>
  <c r="V30" i="23"/>
  <c r="V109" i="23"/>
  <c r="V90" i="20"/>
  <c r="V126" i="20"/>
  <c r="V22" i="20"/>
  <c r="V91" i="20"/>
  <c r="V154" i="20"/>
  <c r="V34" i="20"/>
  <c r="V144" i="20"/>
  <c r="V118" i="23"/>
  <c r="V141" i="20"/>
  <c r="V158" i="20"/>
  <c r="V104" i="20"/>
  <c r="V156" i="20"/>
  <c r="V112" i="23"/>
  <c r="V108" i="23"/>
  <c r="V104" i="23"/>
  <c r="V27" i="23"/>
  <c r="V139" i="20"/>
  <c r="V24" i="20"/>
  <c r="V169" i="20"/>
  <c r="V173" i="20"/>
  <c r="V32" i="20"/>
  <c r="V142" i="23"/>
  <c r="V128" i="23"/>
  <c r="V106" i="23"/>
  <c r="V24" i="23"/>
  <c r="V75" i="23"/>
  <c r="V37" i="23"/>
  <c r="V148" i="23"/>
  <c r="V133" i="23"/>
  <c r="V111" i="23"/>
  <c r="V107" i="23"/>
  <c r="V98" i="23"/>
  <c r="V43" i="20"/>
  <c r="V152" i="20"/>
  <c r="V80" i="23"/>
  <c r="V138" i="23"/>
  <c r="V153" i="20"/>
  <c r="V176" i="23"/>
  <c r="V143" i="20"/>
  <c r="V68" i="23"/>
  <c r="V136" i="20"/>
  <c r="V116" i="23"/>
  <c r="V172" i="23"/>
  <c r="V156" i="23"/>
  <c r="V28" i="23"/>
  <c r="V25" i="23"/>
  <c r="V137" i="23"/>
  <c r="V29" i="23"/>
  <c r="V33" i="20"/>
  <c r="V96" i="23"/>
  <c r="V90" i="23"/>
  <c r="V38" i="20"/>
  <c r="V149" i="20"/>
  <c r="V171" i="20"/>
  <c r="V149" i="23"/>
  <c r="V42" i="23"/>
  <c r="V89" i="23"/>
  <c r="V40" i="23"/>
  <c r="V147" i="23"/>
  <c r="V121" i="23"/>
  <c r="V44" i="23"/>
  <c r="V41" i="23"/>
  <c r="V38" i="23"/>
  <c r="V124" i="23"/>
  <c r="V116" i="20"/>
  <c r="V168" i="23"/>
  <c r="V137" i="20"/>
  <c r="V114" i="20"/>
  <c r="V166" i="23"/>
  <c r="V146" i="26"/>
  <c r="V81" i="26"/>
  <c r="V111" i="26"/>
  <c r="V132" i="26"/>
  <c r="V134" i="26"/>
  <c r="V177" i="26"/>
  <c r="V126" i="26"/>
  <c r="V44" i="26"/>
  <c r="V68" i="26"/>
  <c r="V109" i="26"/>
  <c r="V96" i="26"/>
  <c r="V25" i="26"/>
  <c r="V114" i="26"/>
  <c r="V159" i="26"/>
  <c r="V75" i="26"/>
  <c r="V124" i="26"/>
  <c r="V24" i="26"/>
  <c r="V129" i="26"/>
  <c r="V30" i="26"/>
  <c r="V176" i="26"/>
  <c r="V143" i="26"/>
  <c r="V26" i="26"/>
  <c r="V93" i="26"/>
  <c r="V128" i="26"/>
  <c r="V39" i="26"/>
  <c r="V133" i="26"/>
  <c r="V32" i="26"/>
  <c r="V103" i="26"/>
  <c r="V122" i="26"/>
  <c r="V27" i="26"/>
  <c r="Z21" i="26"/>
  <c r="V21" i="26"/>
  <c r="V167" i="26"/>
  <c r="V23" i="26"/>
  <c r="V147" i="26"/>
  <c r="V168" i="26"/>
  <c r="V40" i="26"/>
  <c r="V88" i="26"/>
  <c r="V106" i="26"/>
  <c r="V154" i="26"/>
  <c r="V138" i="26"/>
  <c r="V69" i="26"/>
  <c r="V74" i="26"/>
  <c r="V29" i="26"/>
  <c r="V71" i="26"/>
  <c r="V42" i="26"/>
  <c r="V142" i="26"/>
  <c r="V131" i="26"/>
  <c r="V38" i="26"/>
  <c r="V119" i="26"/>
  <c r="V127" i="26"/>
  <c r="V99" i="26"/>
  <c r="V80" i="26"/>
  <c r="V41" i="26"/>
  <c r="V117" i="26"/>
  <c r="V76" i="26"/>
  <c r="V139" i="26"/>
  <c r="V104" i="26"/>
  <c r="V171" i="26"/>
  <c r="V113" i="26"/>
  <c r="V94" i="26"/>
  <c r="V121" i="26"/>
  <c r="V37" i="26"/>
  <c r="V136" i="26"/>
  <c r="V157" i="26"/>
  <c r="V141" i="26"/>
  <c r="V43" i="26"/>
  <c r="V116" i="26"/>
  <c r="V35" i="26"/>
  <c r="V22" i="26"/>
  <c r="V107" i="26"/>
  <c r="V144" i="26"/>
  <c r="V166" i="26"/>
  <c r="V172" i="26"/>
  <c r="V174" i="26"/>
  <c r="V33" i="26"/>
  <c r="V149" i="26"/>
  <c r="V178" i="26"/>
  <c r="V28" i="26"/>
  <c r="V102" i="26"/>
  <c r="V90" i="26"/>
  <c r="V91" i="26"/>
  <c r="V79" i="26"/>
  <c r="V78" i="26"/>
  <c r="V70" i="26"/>
  <c r="V36" i="26"/>
  <c r="V153" i="26"/>
  <c r="V108" i="26"/>
  <c r="V179" i="26"/>
  <c r="V152" i="26"/>
  <c r="V112" i="26"/>
  <c r="V31" i="26"/>
  <c r="V137" i="26"/>
  <c r="V123" i="26"/>
  <c r="V97" i="26"/>
  <c r="V156" i="26"/>
  <c r="V151" i="26"/>
  <c r="V101" i="26"/>
  <c r="V92" i="26"/>
  <c r="V73" i="26"/>
  <c r="V73" i="23"/>
  <c r="V73" i="20"/>
  <c r="AL83" i="26"/>
  <c r="B83" i="26" s="1"/>
  <c r="Z58" i="26"/>
  <c r="Z56" i="26"/>
  <c r="V145" i="26"/>
  <c r="V427" i="28"/>
  <c r="V170" i="26"/>
  <c r="V130" i="26"/>
  <c r="V400" i="28"/>
  <c r="V105" i="26"/>
  <c r="V355" i="28"/>
  <c r="V150" i="26"/>
  <c r="V436" i="28"/>
  <c r="V95" i="26"/>
  <c r="V337" i="28"/>
  <c r="V175" i="26"/>
  <c r="V140" i="26"/>
  <c r="V418" i="28"/>
  <c r="V72" i="26"/>
  <c r="V155" i="26"/>
  <c r="V445" i="28"/>
  <c r="V160" i="26"/>
  <c r="V454" i="28"/>
  <c r="V115" i="26"/>
  <c r="V373" i="28"/>
  <c r="V120" i="26"/>
  <c r="V382" i="28"/>
  <c r="V125" i="26"/>
  <c r="V391" i="28"/>
  <c r="V100" i="26"/>
  <c r="V346" i="28"/>
  <c r="V77" i="26"/>
  <c r="V110" i="26"/>
  <c r="V364" i="28"/>
  <c r="V82" i="26"/>
  <c r="V180" i="26"/>
  <c r="V135" i="26"/>
  <c r="V409" i="28"/>
  <c r="V160" i="23"/>
  <c r="V453" i="28"/>
  <c r="V170" i="23"/>
  <c r="V100" i="23"/>
  <c r="V345" i="28"/>
  <c r="V130" i="23"/>
  <c r="V399" i="28"/>
  <c r="V120" i="23"/>
  <c r="V381" i="28"/>
  <c r="V155" i="23"/>
  <c r="V444" i="28"/>
  <c r="V135" i="23"/>
  <c r="V408" i="28"/>
  <c r="V82" i="23"/>
  <c r="V77" i="23"/>
  <c r="V175" i="23"/>
  <c r="V110" i="23"/>
  <c r="V363" i="28"/>
  <c r="V95" i="23"/>
  <c r="V336" i="28"/>
  <c r="V72" i="23"/>
  <c r="V105" i="23"/>
  <c r="V354" i="28"/>
  <c r="V145" i="23"/>
  <c r="V426" i="28"/>
  <c r="V140" i="23"/>
  <c r="V417" i="28"/>
  <c r="V180" i="23"/>
  <c r="V115" i="23"/>
  <c r="V372" i="28"/>
  <c r="V125" i="23"/>
  <c r="V390" i="28"/>
  <c r="V150" i="23"/>
  <c r="V435" i="28"/>
  <c r="V180" i="20"/>
  <c r="V150" i="20"/>
  <c r="V434" i="28"/>
  <c r="V110" i="20"/>
  <c r="V362" i="28"/>
  <c r="V170" i="20"/>
  <c r="V155" i="20"/>
  <c r="V443" i="28"/>
  <c r="V82" i="20"/>
  <c r="V175" i="20"/>
  <c r="V100" i="20"/>
  <c r="V344" i="28"/>
  <c r="V95" i="20"/>
  <c r="V335" i="28"/>
  <c r="V115" i="20"/>
  <c r="V371" i="28"/>
  <c r="V130" i="20"/>
  <c r="V398" i="28"/>
  <c r="V105" i="20"/>
  <c r="V353" i="28"/>
  <c r="V120" i="20"/>
  <c r="V380" i="28"/>
  <c r="V125" i="20"/>
  <c r="V389" i="28"/>
  <c r="V135" i="20"/>
  <c r="V407" i="28"/>
  <c r="V140" i="20"/>
  <c r="V416" i="28"/>
  <c r="V160" i="20"/>
  <c r="V452" i="28"/>
  <c r="V145" i="20"/>
  <c r="V425" i="28"/>
  <c r="V406" i="28"/>
  <c r="V424" i="28"/>
  <c r="V397" i="28"/>
  <c r="V379" i="28"/>
  <c r="V370" i="28"/>
  <c r="V388" i="28"/>
  <c r="V361" i="28"/>
  <c r="V433" i="28"/>
  <c r="V415" i="28"/>
  <c r="V451" i="28"/>
  <c r="V442" i="28"/>
  <c r="D61" i="26"/>
  <c r="V61" i="26" s="1"/>
  <c r="D60" i="26"/>
  <c r="V60" i="26" s="1"/>
  <c r="U24" i="6"/>
  <c r="U36" i="6"/>
  <c r="BE58" i="8" a="1"/>
  <c r="BE58" i="8" s="1"/>
  <c r="AO25" i="8"/>
  <c r="AC25" i="8"/>
  <c r="Z213" i="28" l="1"/>
  <c r="Z193" i="28"/>
  <c r="Z195" i="28"/>
  <c r="D63" i="26"/>
  <c r="V63" i="26" s="1"/>
  <c r="Z78" i="28"/>
  <c r="V78" i="28"/>
  <c r="Z30" i="28"/>
  <c r="V30" i="28"/>
  <c r="V60" i="28"/>
  <c r="Z60" i="28"/>
  <c r="Z72" i="28"/>
  <c r="V72" i="28"/>
  <c r="V96" i="28"/>
  <c r="Z96" i="28"/>
  <c r="Z126" i="28"/>
  <c r="V126" i="28"/>
  <c r="Z132" i="28"/>
  <c r="V132" i="28"/>
  <c r="V24" i="28"/>
  <c r="Z24" i="28"/>
  <c r="Z48" i="28"/>
  <c r="V48" i="28"/>
  <c r="Z150" i="28"/>
  <c r="V150" i="28"/>
  <c r="Z42" i="28"/>
  <c r="V42" i="28"/>
  <c r="Z138" i="28"/>
  <c r="V138" i="28"/>
  <c r="Z66" i="28"/>
  <c r="V66" i="28"/>
  <c r="V84" i="28"/>
  <c r="Z84" i="28"/>
  <c r="Z144" i="28"/>
  <c r="V144" i="28"/>
  <c r="Z120" i="28"/>
  <c r="V120" i="28"/>
  <c r="Z36" i="28"/>
  <c r="V36" i="28"/>
  <c r="V102" i="28"/>
  <c r="Z102" i="28"/>
  <c r="Z114" i="28"/>
  <c r="V114" i="28"/>
  <c r="Z54" i="28"/>
  <c r="V54" i="28"/>
  <c r="Z156" i="28"/>
  <c r="V156" i="28"/>
  <c r="Z90" i="28"/>
  <c r="V90" i="28"/>
  <c r="Z162" i="28"/>
  <c r="V162" i="28"/>
  <c r="V108" i="28"/>
  <c r="Z108" i="28"/>
  <c r="Z298" i="28"/>
  <c r="V298" i="28"/>
  <c r="Z257" i="28"/>
  <c r="V257" i="28"/>
  <c r="Z505" i="28"/>
  <c r="V505" i="28"/>
  <c r="Z540" i="28"/>
  <c r="V540" i="28"/>
  <c r="Z37" i="28"/>
  <c r="V37" i="28"/>
  <c r="Z163" i="28"/>
  <c r="V163" i="28"/>
  <c r="Z121" i="28"/>
  <c r="V121" i="28"/>
  <c r="Z234" i="28"/>
  <c r="V234" i="28"/>
  <c r="Z534" i="28"/>
  <c r="V534" i="28"/>
  <c r="V31" i="28"/>
  <c r="Z31" i="28"/>
  <c r="Z511" i="28"/>
  <c r="V511" i="28"/>
  <c r="Z139" i="28"/>
  <c r="V139" i="28"/>
  <c r="Z269" i="28"/>
  <c r="V269" i="28"/>
  <c r="Z292" i="28"/>
  <c r="V292" i="28"/>
  <c r="Z528" i="28"/>
  <c r="V528" i="28"/>
  <c r="Z133" i="28"/>
  <c r="V133" i="28"/>
  <c r="Z522" i="28"/>
  <c r="V522" i="28"/>
  <c r="Z151" i="28"/>
  <c r="V151" i="28"/>
  <c r="V43" i="28"/>
  <c r="Z43" i="28"/>
  <c r="Z470" i="28"/>
  <c r="V470" i="28"/>
  <c r="Z109" i="28"/>
  <c r="V109" i="28"/>
  <c r="Z85" i="28"/>
  <c r="V85" i="28"/>
  <c r="Z304" i="28"/>
  <c r="V304" i="28"/>
  <c r="Z73" i="28"/>
  <c r="V73" i="28"/>
  <c r="V61" i="28"/>
  <c r="Z61" i="28"/>
  <c r="Z55" i="28"/>
  <c r="V55" i="28"/>
  <c r="V25" i="28"/>
  <c r="Z25" i="28"/>
  <c r="Z240" i="28"/>
  <c r="V240" i="28"/>
  <c r="Z464" i="28"/>
  <c r="V464" i="28"/>
  <c r="Z49" i="28"/>
  <c r="V49" i="28"/>
  <c r="Z79" i="28"/>
  <c r="V79" i="28"/>
  <c r="V286" i="28"/>
  <c r="Z286" i="28"/>
  <c r="Z157" i="28"/>
  <c r="V157" i="28"/>
  <c r="Z97" i="28"/>
  <c r="V97" i="28"/>
  <c r="Z476" i="28"/>
  <c r="V476" i="28"/>
  <c r="Z67" i="28"/>
  <c r="V67" i="28"/>
  <c r="V493" i="28"/>
  <c r="Z493" i="28"/>
  <c r="Z263" i="28"/>
  <c r="V263" i="28"/>
  <c r="Z246" i="28"/>
  <c r="V246" i="28"/>
  <c r="Z482" i="28"/>
  <c r="V482" i="28"/>
  <c r="Z127" i="28"/>
  <c r="V127" i="28"/>
  <c r="Z499" i="28"/>
  <c r="V499" i="28"/>
  <c r="Z91" i="28"/>
  <c r="V91" i="28"/>
  <c r="Z275" i="28"/>
  <c r="V275" i="28"/>
  <c r="V115" i="28"/>
  <c r="Z115" i="28"/>
  <c r="V103" i="28"/>
  <c r="Z103" i="28"/>
  <c r="Z145" i="28"/>
  <c r="V145" i="28"/>
  <c r="V228" i="28"/>
  <c r="Z228" i="28"/>
  <c r="D64" i="26"/>
  <c r="V64" i="26" s="1"/>
  <c r="D49" i="26"/>
  <c r="V49" i="26" s="1"/>
  <c r="Z533" i="28"/>
  <c r="V533" i="28"/>
  <c r="Z498" i="28"/>
  <c r="V498" i="28"/>
  <c r="V539" i="28"/>
  <c r="Z539" i="28"/>
  <c r="Z475" i="28"/>
  <c r="V475" i="28"/>
  <c r="Z239" i="28"/>
  <c r="V239" i="28"/>
  <c r="Z463" i="28"/>
  <c r="V463" i="28"/>
  <c r="Z492" i="28"/>
  <c r="V492" i="28"/>
  <c r="Z291" i="28"/>
  <c r="V291" i="28"/>
  <c r="Z256" i="28"/>
  <c r="V256" i="28"/>
  <c r="Z233" i="28"/>
  <c r="V233" i="28"/>
  <c r="Z527" i="28"/>
  <c r="V527" i="28"/>
  <c r="Z510" i="28"/>
  <c r="V510" i="28"/>
  <c r="V227" i="28"/>
  <c r="Z227" i="28"/>
  <c r="Z245" i="28"/>
  <c r="V245" i="28"/>
  <c r="Z521" i="28"/>
  <c r="V521" i="28"/>
  <c r="Z262" i="28"/>
  <c r="V262" i="28"/>
  <c r="Z297" i="28"/>
  <c r="V297" i="28"/>
  <c r="Z274" i="28"/>
  <c r="V274" i="28"/>
  <c r="Z504" i="28"/>
  <c r="V504" i="28"/>
  <c r="Z303" i="28"/>
  <c r="V303" i="28"/>
  <c r="Z268" i="28"/>
  <c r="V268" i="28"/>
  <c r="Z285" i="28"/>
  <c r="V285" i="28"/>
  <c r="V481" i="28"/>
  <c r="Z481" i="28"/>
  <c r="Z469" i="28"/>
  <c r="V469" i="28"/>
  <c r="D50" i="26"/>
  <c r="V50" i="26" s="1"/>
  <c r="AB18" i="20"/>
  <c r="D83" i="26"/>
  <c r="V83" i="26" s="1"/>
  <c r="AB18" i="23"/>
  <c r="AB18" i="26"/>
  <c r="V546" i="28"/>
  <c r="V516" i="28"/>
  <c r="V487" i="28"/>
  <c r="V486" i="28"/>
  <c r="V488" i="28"/>
  <c r="V544" i="28"/>
  <c r="V251" i="28"/>
  <c r="V252" i="28"/>
  <c r="V515" i="28"/>
  <c r="V517" i="28"/>
  <c r="V250" i="28"/>
  <c r="V545" i="28"/>
  <c r="AB19" i="23"/>
  <c r="V181" i="23" s="1"/>
  <c r="AB19" i="20"/>
  <c r="V181" i="20" s="1"/>
  <c r="AW180" i="6"/>
  <c r="AU180" i="6"/>
  <c r="AW175" i="6"/>
  <c r="AU175" i="6"/>
  <c r="AW170" i="6"/>
  <c r="AU170" i="6"/>
  <c r="AP161" i="6"/>
  <c r="AH161" i="6"/>
  <c r="AB19" i="26" l="1"/>
  <c r="V309" i="28"/>
  <c r="V281" i="28"/>
  <c r="V310" i="28"/>
  <c r="V279" i="28"/>
  <c r="V308" i="28"/>
  <c r="V280" i="28"/>
  <c r="AZ180" i="6"/>
  <c r="AZ175" i="6"/>
  <c r="AZ170" i="6"/>
  <c r="AL90" i="6"/>
  <c r="AL89" i="6"/>
  <c r="AL88" i="6"/>
  <c r="AL85" i="6"/>
  <c r="AL67" i="6"/>
  <c r="AL66" i="6"/>
  <c r="AL47" i="6"/>
  <c r="AL46" i="6"/>
  <c r="AL45" i="6"/>
  <c r="AH58" i="6" l="1"/>
  <c r="AH57" i="6"/>
  <c r="AH56" i="6"/>
  <c r="AL55" i="6"/>
  <c r="AL54" i="6"/>
  <c r="AL53" i="6"/>
  <c r="AH55" i="6"/>
  <c r="AH54" i="6"/>
  <c r="AH53" i="6"/>
  <c r="AH59" i="6"/>
  <c r="AH52" i="6"/>
  <c r="AL52" i="6"/>
  <c r="Y20" i="1" l="1"/>
  <c r="G168" i="28" l="1"/>
  <c r="G48" i="17"/>
  <c r="G48" i="23"/>
  <c r="G48" i="6"/>
  <c r="K24" i="25"/>
  <c r="K24" i="22"/>
  <c r="K24" i="19"/>
  <c r="K24" i="16"/>
  <c r="K24" i="5"/>
  <c r="G48" i="20"/>
  <c r="G48" i="26"/>
  <c r="G64" i="20"/>
  <c r="G170" i="28"/>
  <c r="G83" i="17"/>
  <c r="G63" i="20"/>
  <c r="G169" i="28"/>
  <c r="G63" i="6"/>
  <c r="G83" i="20"/>
  <c r="G65" i="17"/>
  <c r="G51" i="26"/>
  <c r="G61" i="6"/>
  <c r="G83" i="23"/>
  <c r="G64" i="17"/>
  <c r="G50" i="26"/>
  <c r="G60" i="6"/>
  <c r="G83" i="26"/>
  <c r="G63" i="17"/>
  <c r="G49" i="26"/>
  <c r="G51" i="6"/>
  <c r="G311" i="28"/>
  <c r="G61" i="17"/>
  <c r="G51" i="23"/>
  <c r="G50" i="6"/>
  <c r="G221" i="28"/>
  <c r="G60" i="17"/>
  <c r="G50" i="23"/>
  <c r="G49" i="6"/>
  <c r="G220" i="28"/>
  <c r="G61" i="20"/>
  <c r="G49" i="23"/>
  <c r="G219" i="28"/>
  <c r="G60" i="20"/>
  <c r="G51" i="20"/>
  <c r="G65" i="26"/>
  <c r="G61" i="23"/>
  <c r="G50" i="20"/>
  <c r="G64" i="26"/>
  <c r="G60" i="23"/>
  <c r="G49" i="20"/>
  <c r="G65" i="6"/>
  <c r="G63" i="26"/>
  <c r="G61" i="26"/>
  <c r="G51" i="17"/>
  <c r="G65" i="20"/>
  <c r="G65" i="23"/>
  <c r="G60" i="26"/>
  <c r="G50" i="17"/>
  <c r="K28" i="5"/>
  <c r="G64" i="23"/>
  <c r="G217" i="28"/>
  <c r="G49" i="17"/>
  <c r="G171" i="28"/>
  <c r="G63" i="23"/>
  <c r="G216" i="28"/>
  <c r="G83" i="6"/>
  <c r="G64" i="6"/>
  <c r="K28" i="16"/>
  <c r="K28" i="19"/>
  <c r="K15" i="5"/>
  <c r="L20" i="1"/>
  <c r="N24" i="1"/>
  <c r="N22" i="1"/>
  <c r="C556" i="28"/>
  <c r="C190" i="26"/>
  <c r="C190" i="23"/>
  <c r="C190" i="20"/>
  <c r="C190" i="17"/>
  <c r="C190" i="6"/>
  <c r="AC549" i="28"/>
  <c r="G479" i="28"/>
  <c r="G463" i="28"/>
  <c r="G169" i="17"/>
  <c r="G164" i="23"/>
  <c r="G447" i="28"/>
  <c r="G157" i="17"/>
  <c r="G440" i="28"/>
  <c r="G154" i="17"/>
  <c r="G150" i="17"/>
  <c r="G147" i="20"/>
  <c r="G145" i="23"/>
  <c r="G144" i="20"/>
  <c r="G414" i="28"/>
  <c r="G137" i="23"/>
  <c r="G407" i="28"/>
  <c r="G318" i="28"/>
  <c r="G54" i="17"/>
  <c r="L43" i="4"/>
  <c r="G251" i="28"/>
  <c r="S18" i="5"/>
  <c r="G250" i="28"/>
  <c r="AA552" i="28"/>
  <c r="B44" i="1"/>
  <c r="G130" i="17"/>
  <c r="G235" i="28"/>
  <c r="N29" i="1"/>
  <c r="G55" i="6"/>
  <c r="G155" i="17"/>
  <c r="G139" i="23"/>
  <c r="G69" i="20"/>
  <c r="AC548" i="28"/>
  <c r="G478" i="28"/>
  <c r="G462" i="28"/>
  <c r="G168" i="17"/>
  <c r="G164" i="20"/>
  <c r="G446" i="28"/>
  <c r="G156" i="17"/>
  <c r="G439" i="28"/>
  <c r="G153" i="17"/>
  <c r="G146" i="20"/>
  <c r="G145" i="20"/>
  <c r="G143" i="20"/>
  <c r="G140" i="26"/>
  <c r="G136" i="23"/>
  <c r="G406" i="28"/>
  <c r="G133" i="23"/>
  <c r="G399" i="28"/>
  <c r="G126" i="26"/>
  <c r="G126" i="6"/>
  <c r="G123" i="26"/>
  <c r="G123" i="6"/>
  <c r="G116" i="17"/>
  <c r="G319" i="28"/>
  <c r="G242" i="28"/>
  <c r="G70" i="17"/>
  <c r="K11" i="19"/>
  <c r="AD182" i="6"/>
  <c r="G119" i="6"/>
  <c r="G225" i="28"/>
  <c r="K11" i="16"/>
  <c r="G118" i="6"/>
  <c r="G54" i="6"/>
  <c r="G117" i="6"/>
  <c r="J1" i="28"/>
  <c r="J1" i="26"/>
  <c r="AD183" i="20"/>
  <c r="G125" i="23"/>
  <c r="J1" i="17"/>
  <c r="G116" i="20"/>
  <c r="G465" i="28"/>
  <c r="G129" i="26"/>
  <c r="AC183" i="26"/>
  <c r="G477" i="28"/>
  <c r="G461" i="28"/>
  <c r="G167" i="17"/>
  <c r="G164" i="17"/>
  <c r="G159" i="26"/>
  <c r="G159" i="6"/>
  <c r="G438" i="28"/>
  <c r="G152" i="17"/>
  <c r="G431" i="28"/>
  <c r="G149" i="17"/>
  <c r="G145" i="17"/>
  <c r="G142" i="20"/>
  <c r="G140" i="23"/>
  <c r="G139" i="20"/>
  <c r="G405" i="28"/>
  <c r="G132" i="23"/>
  <c r="G398" i="28"/>
  <c r="G129" i="23"/>
  <c r="G391" i="28"/>
  <c r="G122" i="6"/>
  <c r="G119" i="26"/>
  <c r="G241" i="28"/>
  <c r="S18" i="16"/>
  <c r="G317" i="28"/>
  <c r="G68" i="17"/>
  <c r="B58" i="1"/>
  <c r="G71" i="26"/>
  <c r="AB185" i="20"/>
  <c r="G378" i="28"/>
  <c r="G72" i="23"/>
  <c r="AA186" i="26"/>
  <c r="AA186" i="6"/>
  <c r="G416" i="28"/>
  <c r="G85" i="23"/>
  <c r="AC182" i="26"/>
  <c r="G476" i="28"/>
  <c r="G460" i="28"/>
  <c r="G166" i="17"/>
  <c r="G164" i="6"/>
  <c r="G158" i="26"/>
  <c r="G158" i="6"/>
  <c r="G437" i="28"/>
  <c r="G151" i="17"/>
  <c r="G430" i="28"/>
  <c r="G148" i="17"/>
  <c r="G141" i="20"/>
  <c r="G140" i="20"/>
  <c r="G138" i="20"/>
  <c r="G135" i="26"/>
  <c r="G131" i="23"/>
  <c r="G397" i="28"/>
  <c r="G128" i="23"/>
  <c r="G390" i="28"/>
  <c r="G121" i="26"/>
  <c r="G121" i="6"/>
  <c r="G118" i="26"/>
  <c r="G240" i="28"/>
  <c r="K11" i="5"/>
  <c r="G239" i="28"/>
  <c r="B55" i="1"/>
  <c r="B53" i="1"/>
  <c r="AD549" i="28"/>
  <c r="G86" i="23"/>
  <c r="AA186" i="17"/>
  <c r="K29" i="16"/>
  <c r="G152" i="20"/>
  <c r="G384" i="28"/>
  <c r="AC183" i="23"/>
  <c r="G475" i="28"/>
  <c r="G169" i="26"/>
  <c r="G169" i="6"/>
  <c r="G454" i="28"/>
  <c r="G157" i="26"/>
  <c r="G157" i="6"/>
  <c r="G154" i="26"/>
  <c r="G154" i="6"/>
  <c r="G429" i="28"/>
  <c r="G147" i="17"/>
  <c r="G422" i="28"/>
  <c r="G144" i="17"/>
  <c r="G140" i="17"/>
  <c r="G137" i="20"/>
  <c r="G135" i="23"/>
  <c r="G134" i="20"/>
  <c r="G396" i="28"/>
  <c r="G127" i="23"/>
  <c r="G389" i="28"/>
  <c r="G124" i="23"/>
  <c r="G382" i="28"/>
  <c r="G117" i="26"/>
  <c r="G316" i="28"/>
  <c r="AB551" i="28"/>
  <c r="G124" i="20"/>
  <c r="G167" i="20"/>
  <c r="G132" i="26"/>
  <c r="G174" i="28"/>
  <c r="AC182" i="23"/>
  <c r="G474" i="28"/>
  <c r="G168" i="26"/>
  <c r="G168" i="6"/>
  <c r="G453" i="28"/>
  <c r="G156" i="26"/>
  <c r="G156" i="6"/>
  <c r="G153" i="26"/>
  <c r="G153" i="6"/>
  <c r="G428" i="28"/>
  <c r="G146" i="17"/>
  <c r="G421" i="28"/>
  <c r="G143" i="17"/>
  <c r="G136" i="20"/>
  <c r="G135" i="20"/>
  <c r="G133" i="20"/>
  <c r="G130" i="26"/>
  <c r="G126" i="23"/>
  <c r="G388" i="28"/>
  <c r="G123" i="23"/>
  <c r="G381" i="28"/>
  <c r="G116" i="26"/>
  <c r="G116" i="6"/>
  <c r="G315" i="28"/>
  <c r="G249" i="28"/>
  <c r="G238" i="28"/>
  <c r="G70" i="26"/>
  <c r="AD182" i="20"/>
  <c r="G323" i="28"/>
  <c r="L35" i="1"/>
  <c r="G85" i="26"/>
  <c r="G449" i="28"/>
  <c r="G87" i="20"/>
  <c r="AC183" i="20"/>
  <c r="G473" i="28"/>
  <c r="G167" i="26"/>
  <c r="G167" i="6"/>
  <c r="G452" i="28"/>
  <c r="G159" i="23"/>
  <c r="G445" i="28"/>
  <c r="G152" i="26"/>
  <c r="G152" i="6"/>
  <c r="G149" i="26"/>
  <c r="G149" i="6"/>
  <c r="G420" i="28"/>
  <c r="G142" i="17"/>
  <c r="G413" i="28"/>
  <c r="G139" i="17"/>
  <c r="G135" i="17"/>
  <c r="G132" i="20"/>
  <c r="G130" i="23"/>
  <c r="G129" i="20"/>
  <c r="G387" i="28"/>
  <c r="G122" i="23"/>
  <c r="G380" i="28"/>
  <c r="G119" i="23"/>
  <c r="G325" i="28"/>
  <c r="G314" i="28"/>
  <c r="G248" i="28"/>
  <c r="G237" i="28"/>
  <c r="G69" i="26"/>
  <c r="G69" i="6"/>
  <c r="J1" i="23"/>
  <c r="AC550" i="28"/>
  <c r="L47" i="1"/>
  <c r="G117" i="23"/>
  <c r="G175" i="28"/>
  <c r="AB185" i="17"/>
  <c r="AD182" i="26"/>
  <c r="G142" i="23"/>
  <c r="G245" i="28"/>
  <c r="AC182" i="20"/>
  <c r="G472" i="28"/>
  <c r="G166" i="26"/>
  <c r="G166" i="6"/>
  <c r="G451" i="28"/>
  <c r="G158" i="23"/>
  <c r="G444" i="28"/>
  <c r="G151" i="26"/>
  <c r="G151" i="6"/>
  <c r="G148" i="26"/>
  <c r="G148" i="6"/>
  <c r="G419" i="28"/>
  <c r="G141" i="17"/>
  <c r="G412" i="28"/>
  <c r="G138" i="17"/>
  <c r="G131" i="20"/>
  <c r="G130" i="20"/>
  <c r="G128" i="20"/>
  <c r="G125" i="26"/>
  <c r="G121" i="23"/>
  <c r="G379" i="28"/>
  <c r="G118" i="23"/>
  <c r="G324" i="28"/>
  <c r="G86" i="26"/>
  <c r="G72" i="26"/>
  <c r="G236" i="28"/>
  <c r="G68" i="26"/>
  <c r="G68" i="6"/>
  <c r="J1" i="20"/>
  <c r="G127" i="20"/>
  <c r="AD548" i="28"/>
  <c r="G159" i="17"/>
  <c r="G119" i="17"/>
  <c r="AC183" i="17"/>
  <c r="G471" i="28"/>
  <c r="G169" i="23"/>
  <c r="G459" i="28"/>
  <c r="G450" i="28"/>
  <c r="G157" i="23"/>
  <c r="G443" i="28"/>
  <c r="G154" i="23"/>
  <c r="G436" i="28"/>
  <c r="G147" i="26"/>
  <c r="G147" i="6"/>
  <c r="G144" i="26"/>
  <c r="G144" i="6"/>
  <c r="G411" i="28"/>
  <c r="G137" i="17"/>
  <c r="G404" i="28"/>
  <c r="K29" i="5"/>
  <c r="AC182" i="17"/>
  <c r="G470" i="28"/>
  <c r="G168" i="23"/>
  <c r="G165" i="26"/>
  <c r="G160" i="26"/>
  <c r="G156" i="23"/>
  <c r="G442" i="28"/>
  <c r="G153" i="23"/>
  <c r="G435" i="28"/>
  <c r="G146" i="26"/>
  <c r="G146" i="6"/>
  <c r="G143" i="26"/>
  <c r="G143" i="6"/>
  <c r="G410" i="28"/>
  <c r="G136" i="17"/>
  <c r="G403" i="28"/>
  <c r="G133" i="17"/>
  <c r="G126" i="20"/>
  <c r="G125" i="20"/>
  <c r="G123" i="20"/>
  <c r="G120" i="26"/>
  <c r="G116" i="23"/>
  <c r="G322" i="28"/>
  <c r="G86" i="20"/>
  <c r="G72" i="20"/>
  <c r="G234" i="28"/>
  <c r="G70" i="23"/>
  <c r="G55" i="26"/>
  <c r="J1" i="6"/>
  <c r="G87" i="23"/>
  <c r="G481" i="28"/>
  <c r="G132" i="6"/>
  <c r="AB185" i="6"/>
  <c r="AC183" i="6"/>
  <c r="G469" i="28"/>
  <c r="G167" i="23"/>
  <c r="G165" i="23"/>
  <c r="G160" i="23"/>
  <c r="G159" i="20"/>
  <c r="G441" i="28"/>
  <c r="G152" i="23"/>
  <c r="G434" i="28"/>
  <c r="G149" i="23"/>
  <c r="G427" i="28"/>
  <c r="G142" i="26"/>
  <c r="G142" i="6"/>
  <c r="G139" i="26"/>
  <c r="G139" i="6"/>
  <c r="G402" i="28"/>
  <c r="G132" i="17"/>
  <c r="G395" i="28"/>
  <c r="G129" i="17"/>
  <c r="G125" i="17"/>
  <c r="G122" i="20"/>
  <c r="G120" i="23"/>
  <c r="G119" i="20"/>
  <c r="G321" i="28"/>
  <c r="G86" i="17"/>
  <c r="G72" i="17"/>
  <c r="G233" i="28"/>
  <c r="G69" i="23"/>
  <c r="G55" i="23"/>
  <c r="K29" i="25"/>
  <c r="AB185" i="26"/>
  <c r="AC184" i="17"/>
  <c r="N32" i="1"/>
  <c r="G320" i="28"/>
  <c r="G232" i="28"/>
  <c r="G55" i="20"/>
  <c r="AC184" i="26"/>
  <c r="L28" i="1"/>
  <c r="G133" i="6"/>
  <c r="G385" i="28"/>
  <c r="G70" i="20"/>
  <c r="G423" i="28"/>
  <c r="G122" i="17"/>
  <c r="AC182" i="6"/>
  <c r="G468" i="28"/>
  <c r="G166" i="23"/>
  <c r="G165" i="20"/>
  <c r="G160" i="20"/>
  <c r="G158" i="20"/>
  <c r="G155" i="26"/>
  <c r="G151" i="23"/>
  <c r="G433" i="28"/>
  <c r="G148" i="23"/>
  <c r="G426" i="28"/>
  <c r="G141" i="26"/>
  <c r="G141" i="6"/>
  <c r="G138" i="26"/>
  <c r="G138" i="6"/>
  <c r="G401" i="28"/>
  <c r="G131" i="17"/>
  <c r="G394" i="28"/>
  <c r="G128" i="17"/>
  <c r="G121" i="20"/>
  <c r="G120" i="20"/>
  <c r="G118" i="20"/>
  <c r="G86" i="6"/>
  <c r="G72" i="6"/>
  <c r="G68" i="23"/>
  <c r="K29" i="22"/>
  <c r="AD183" i="17"/>
  <c r="AD182" i="17"/>
  <c r="G392" i="28"/>
  <c r="G230" i="28"/>
  <c r="G150" i="23"/>
  <c r="G409" i="28"/>
  <c r="G229" i="28"/>
  <c r="G483" i="28"/>
  <c r="G467" i="28"/>
  <c r="G169" i="20"/>
  <c r="G165" i="17"/>
  <c r="G160" i="17"/>
  <c r="G157" i="20"/>
  <c r="G155" i="23"/>
  <c r="G154" i="20"/>
  <c r="G432" i="28"/>
  <c r="G147" i="23"/>
  <c r="G425" i="28"/>
  <c r="G144" i="23"/>
  <c r="G418" i="28"/>
  <c r="G137" i="26"/>
  <c r="G137" i="6"/>
  <c r="G134" i="26"/>
  <c r="G134" i="6"/>
  <c r="G393" i="28"/>
  <c r="G127" i="17"/>
  <c r="G386" i="28"/>
  <c r="G124" i="17"/>
  <c r="G120" i="17"/>
  <c r="G117" i="20"/>
  <c r="G87" i="26"/>
  <c r="G313" i="28"/>
  <c r="G247" i="28"/>
  <c r="G231" i="28"/>
  <c r="G71" i="20"/>
  <c r="G55" i="17"/>
  <c r="K29" i="19"/>
  <c r="AD183" i="26"/>
  <c r="G126" i="17"/>
  <c r="G246" i="28"/>
  <c r="G149" i="20"/>
  <c r="G129" i="6"/>
  <c r="AA186" i="23"/>
  <c r="G482" i="28"/>
  <c r="G466" i="28"/>
  <c r="G168" i="20"/>
  <c r="G165" i="6"/>
  <c r="G156" i="20"/>
  <c r="G155" i="20"/>
  <c r="G153" i="20"/>
  <c r="G150" i="26"/>
  <c r="G146" i="23"/>
  <c r="G424" i="28"/>
  <c r="G143" i="23"/>
  <c r="G417" i="28"/>
  <c r="G136" i="26"/>
  <c r="G136" i="6"/>
  <c r="G133" i="26"/>
  <c r="G480" i="28"/>
  <c r="G464" i="28"/>
  <c r="G166" i="20"/>
  <c r="G164" i="26"/>
  <c r="G448" i="28"/>
  <c r="G158" i="17"/>
  <c r="G151" i="20"/>
  <c r="G150" i="20"/>
  <c r="G148" i="20"/>
  <c r="G145" i="26"/>
  <c r="G141" i="23"/>
  <c r="G415" i="28"/>
  <c r="G138" i="23"/>
  <c r="G408" i="28"/>
  <c r="G131" i="26"/>
  <c r="G131" i="6"/>
  <c r="G128" i="26"/>
  <c r="G128" i="6"/>
  <c r="G383" i="28"/>
  <c r="G121" i="17"/>
  <c r="G376" i="28"/>
  <c r="G118" i="17"/>
  <c r="G87" i="17"/>
  <c r="G85" i="20"/>
  <c r="G244" i="28"/>
  <c r="G228" i="28"/>
  <c r="G68" i="20"/>
  <c r="G54" i="26"/>
  <c r="S18" i="25"/>
  <c r="K11" i="25"/>
  <c r="AB185" i="23"/>
  <c r="AC184" i="6"/>
  <c r="G134" i="23"/>
  <c r="G400" i="28"/>
  <c r="G127" i="26"/>
  <c r="G127" i="6"/>
  <c r="G124" i="26"/>
  <c r="G124" i="6"/>
  <c r="G375" i="28"/>
  <c r="G117" i="17"/>
  <c r="G87" i="6"/>
  <c r="G85" i="17"/>
  <c r="G243" i="28"/>
  <c r="G227" i="28"/>
  <c r="G71" i="17"/>
  <c r="G54" i="23"/>
  <c r="S18" i="22"/>
  <c r="K11" i="22"/>
  <c r="AC184" i="23"/>
  <c r="AD183" i="6"/>
  <c r="G374" i="28"/>
  <c r="G85" i="6"/>
  <c r="G226" i="28"/>
  <c r="G54" i="20"/>
  <c r="S18" i="19"/>
  <c r="AD183" i="23"/>
  <c r="G122" i="26"/>
  <c r="G252" i="28"/>
  <c r="G69" i="17"/>
  <c r="AD182" i="23"/>
  <c r="G224" i="28"/>
  <c r="AA186" i="20"/>
  <c r="G71" i="6"/>
  <c r="G70" i="6"/>
  <c r="AC184" i="20"/>
  <c r="G134" i="17"/>
  <c r="G71" i="23"/>
  <c r="G123" i="17"/>
  <c r="G458" i="28"/>
  <c r="G377" i="28"/>
  <c r="B39" i="5"/>
  <c r="B39" i="19"/>
  <c r="B39" i="16"/>
  <c r="B39" i="25"/>
  <c r="B39" i="22"/>
  <c r="E47" i="23"/>
  <c r="E46" i="17"/>
  <c r="T5" i="6"/>
  <c r="S9" i="25"/>
  <c r="W11" i="16"/>
  <c r="G45" i="17"/>
  <c r="S16" i="22"/>
  <c r="U11" i="16"/>
  <c r="E48" i="6"/>
  <c r="G46" i="23"/>
  <c r="U11" i="5"/>
  <c r="E46" i="23"/>
  <c r="P51" i="1"/>
  <c r="G45" i="23"/>
  <c r="E45" i="23"/>
  <c r="E48" i="20"/>
  <c r="G46" i="6"/>
  <c r="U11" i="22"/>
  <c r="G47" i="20"/>
  <c r="G45" i="6"/>
  <c r="F18" i="5"/>
  <c r="E48" i="26"/>
  <c r="E47" i="20"/>
  <c r="E168" i="28"/>
  <c r="G47" i="26"/>
  <c r="G46" i="20"/>
  <c r="S15" i="19"/>
  <c r="E46" i="26"/>
  <c r="T5" i="20"/>
  <c r="S13" i="16"/>
  <c r="S13" i="22"/>
  <c r="G167" i="28"/>
  <c r="E47" i="26"/>
  <c r="E46" i="20"/>
  <c r="S13" i="19"/>
  <c r="G166" i="28"/>
  <c r="U11" i="19"/>
  <c r="U11" i="25"/>
  <c r="E45" i="17"/>
  <c r="S9" i="22"/>
  <c r="E167" i="28"/>
  <c r="G46" i="26"/>
  <c r="G45" i="20"/>
  <c r="W11" i="19"/>
  <c r="E45" i="20"/>
  <c r="S16" i="25"/>
  <c r="S15" i="16"/>
  <c r="T5" i="17"/>
  <c r="S15" i="22"/>
  <c r="T5" i="28"/>
  <c r="W11" i="5"/>
  <c r="E166" i="28"/>
  <c r="G45" i="26"/>
  <c r="E48" i="17"/>
  <c r="T5" i="26"/>
  <c r="S15" i="25"/>
  <c r="S9" i="19"/>
  <c r="W11" i="25"/>
  <c r="G47" i="23"/>
  <c r="W11" i="22"/>
  <c r="S16" i="19"/>
  <c r="G165" i="28"/>
  <c r="E45" i="26"/>
  <c r="G47" i="17"/>
  <c r="T5" i="23"/>
  <c r="S13" i="25"/>
  <c r="S16" i="16"/>
  <c r="E165" i="28"/>
  <c r="E48" i="23"/>
  <c r="E47" i="17"/>
  <c r="G46" i="17"/>
  <c r="S9" i="16"/>
  <c r="S16" i="5"/>
  <c r="Y1" i="16"/>
  <c r="G109" i="26"/>
  <c r="G114" i="23"/>
  <c r="G94" i="23"/>
  <c r="G99" i="20"/>
  <c r="G104" i="17"/>
  <c r="G109" i="6"/>
  <c r="G104" i="26"/>
  <c r="G103" i="6"/>
  <c r="G106" i="23"/>
  <c r="G108" i="26"/>
  <c r="G113" i="23"/>
  <c r="G93" i="23"/>
  <c r="G98" i="20"/>
  <c r="G103" i="17"/>
  <c r="G108" i="6"/>
  <c r="G107" i="26"/>
  <c r="G112" i="23"/>
  <c r="G92" i="23"/>
  <c r="G97" i="20"/>
  <c r="G102" i="17"/>
  <c r="G107" i="6"/>
  <c r="G106" i="26"/>
  <c r="G111" i="23"/>
  <c r="G91" i="23"/>
  <c r="G96" i="20"/>
  <c r="G101" i="17"/>
  <c r="G106" i="6"/>
  <c r="G108" i="23"/>
  <c r="G112" i="20"/>
  <c r="G111" i="20"/>
  <c r="G99" i="26"/>
  <c r="G104" i="23"/>
  <c r="G109" i="20"/>
  <c r="G114" i="17"/>
  <c r="G94" i="17"/>
  <c r="G99" i="6"/>
  <c r="G108" i="20"/>
  <c r="G93" i="17"/>
  <c r="G101" i="20"/>
  <c r="G99" i="17"/>
  <c r="G113" i="20"/>
  <c r="G91" i="20"/>
  <c r="G98" i="26"/>
  <c r="G103" i="23"/>
  <c r="G113" i="17"/>
  <c r="G98" i="6"/>
  <c r="G106" i="17"/>
  <c r="G104" i="6"/>
  <c r="G107" i="23"/>
  <c r="G101" i="26"/>
  <c r="G97" i="26"/>
  <c r="G102" i="23"/>
  <c r="G107" i="20"/>
  <c r="G112" i="17"/>
  <c r="G92" i="17"/>
  <c r="G97" i="6"/>
  <c r="G102" i="20"/>
  <c r="G111" i="26"/>
  <c r="G94" i="20"/>
  <c r="G93" i="20"/>
  <c r="G97" i="17"/>
  <c r="G96" i="26"/>
  <c r="G101" i="23"/>
  <c r="G106" i="20"/>
  <c r="G111" i="17"/>
  <c r="G91" i="17"/>
  <c r="G96" i="6"/>
  <c r="G114" i="6"/>
  <c r="G93" i="6"/>
  <c r="G97" i="23"/>
  <c r="G92" i="6"/>
  <c r="G111" i="6"/>
  <c r="G109" i="23"/>
  <c r="G98" i="17"/>
  <c r="G102" i="6"/>
  <c r="G114" i="26"/>
  <c r="G94" i="26"/>
  <c r="G99" i="23"/>
  <c r="G104" i="20"/>
  <c r="G109" i="17"/>
  <c r="G94" i="6"/>
  <c r="G112" i="26"/>
  <c r="G107" i="17"/>
  <c r="G96" i="23"/>
  <c r="G114" i="20"/>
  <c r="G102" i="26"/>
  <c r="G96" i="17"/>
  <c r="G113" i="26"/>
  <c r="G93" i="26"/>
  <c r="G98" i="23"/>
  <c r="G103" i="20"/>
  <c r="G108" i="17"/>
  <c r="G113" i="6"/>
  <c r="G92" i="26"/>
  <c r="G112" i="6"/>
  <c r="G91" i="26"/>
  <c r="G91" i="6"/>
  <c r="G103" i="26"/>
  <c r="G92" i="20"/>
  <c r="G101" i="6"/>
  <c r="E324" i="28"/>
  <c r="E323" i="28"/>
  <c r="E317" i="28"/>
  <c r="E316" i="28"/>
  <c r="E322" i="28"/>
  <c r="E325" i="28"/>
  <c r="E319" i="28"/>
  <c r="E318" i="28"/>
  <c r="V41" i="1"/>
  <c r="G215" i="28"/>
  <c r="G56" i="26"/>
  <c r="G58" i="26"/>
  <c r="G58" i="20"/>
  <c r="G59" i="20"/>
  <c r="G57" i="26"/>
  <c r="G56" i="23"/>
  <c r="G56" i="20"/>
  <c r="G59" i="23"/>
  <c r="G59" i="26"/>
  <c r="G57" i="23"/>
  <c r="G58" i="23"/>
  <c r="G57" i="20"/>
  <c r="G110" i="20"/>
  <c r="G100" i="23"/>
  <c r="G95" i="20"/>
  <c r="G195" i="28"/>
  <c r="G201" i="28"/>
  <c r="G110" i="17"/>
  <c r="G194" i="28"/>
  <c r="G200" i="28"/>
  <c r="G100" i="20"/>
  <c r="G211" i="28"/>
  <c r="G105" i="26"/>
  <c r="G205" i="28"/>
  <c r="G191" i="28"/>
  <c r="G192" i="28"/>
  <c r="G204" i="28"/>
  <c r="G190" i="28"/>
  <c r="G214" i="28"/>
  <c r="G105" i="20"/>
  <c r="G193" i="28"/>
  <c r="G110" i="23"/>
  <c r="G213" i="28"/>
  <c r="G210" i="28"/>
  <c r="G182" i="28"/>
  <c r="G110" i="26"/>
  <c r="G115" i="26"/>
  <c r="G212" i="28"/>
  <c r="G115" i="20"/>
  <c r="G181" i="28"/>
  <c r="G100" i="26"/>
  <c r="G95" i="23"/>
  <c r="G203" i="28"/>
  <c r="G105" i="23"/>
  <c r="G115" i="23"/>
  <c r="G115" i="17"/>
  <c r="G202" i="28"/>
  <c r="G183" i="28"/>
  <c r="G95" i="26"/>
  <c r="G185" i="28"/>
  <c r="G180" i="28"/>
  <c r="G184" i="28"/>
  <c r="V38" i="1"/>
  <c r="V39" i="1"/>
  <c r="A9" i="114"/>
  <c r="F7" i="114"/>
  <c r="D7" i="114"/>
  <c r="B7" i="114"/>
  <c r="A3" i="114"/>
  <c r="A1" i="114"/>
  <c r="C17" i="26"/>
  <c r="C16" i="25"/>
  <c r="T43" i="25"/>
  <c r="C15" i="16"/>
  <c r="C16" i="22"/>
  <c r="C17" i="20"/>
  <c r="T43" i="19"/>
  <c r="C17" i="17"/>
  <c r="C16" i="16"/>
  <c r="T43" i="16"/>
  <c r="C17" i="6"/>
  <c r="AA182" i="26"/>
  <c r="U182" i="26" s="1"/>
  <c r="AA182" i="23"/>
  <c r="AA182" i="20"/>
  <c r="AA182" i="17"/>
  <c r="C16" i="28"/>
  <c r="C15" i="22"/>
  <c r="C15" i="19"/>
  <c r="C15" i="5"/>
  <c r="C16" i="19"/>
  <c r="C16" i="26"/>
  <c r="C16" i="6"/>
  <c r="C15" i="25"/>
  <c r="T43" i="22"/>
  <c r="C16" i="23"/>
  <c r="C16" i="17"/>
  <c r="C17" i="23"/>
  <c r="B18" i="1"/>
  <c r="C16" i="5"/>
  <c r="C16" i="20"/>
  <c r="T43" i="5"/>
  <c r="AA548" i="28"/>
  <c r="AA182" i="6"/>
  <c r="Q63" i="1"/>
  <c r="V4" i="23"/>
  <c r="V4" i="20"/>
  <c r="V4" i="26"/>
  <c r="G530" i="28"/>
  <c r="E295" i="28"/>
  <c r="E283" i="28"/>
  <c r="E266" i="28"/>
  <c r="E254" i="28"/>
  <c r="E237" i="28"/>
  <c r="E225" i="28"/>
  <c r="G87" i="28"/>
  <c r="E132" i="28"/>
  <c r="E120" i="28"/>
  <c r="E109" i="28"/>
  <c r="E97" i="28"/>
  <c r="G524" i="28"/>
  <c r="E534" i="28"/>
  <c r="E522" i="28"/>
  <c r="E505" i="28"/>
  <c r="E493" i="28"/>
  <c r="E476" i="28"/>
  <c r="E464" i="28"/>
  <c r="G159" i="28"/>
  <c r="E156" i="28"/>
  <c r="E144" i="28"/>
  <c r="G507" i="28"/>
  <c r="E304" i="28"/>
  <c r="E292" i="28"/>
  <c r="E275" i="28"/>
  <c r="E263" i="28"/>
  <c r="E246" i="28"/>
  <c r="E234" i="28"/>
  <c r="G153" i="28"/>
  <c r="E85" i="28"/>
  <c r="E131" i="28"/>
  <c r="E108" i="28"/>
  <c r="E96" i="28"/>
  <c r="E73" i="28"/>
  <c r="E61" i="28"/>
  <c r="G501" i="28"/>
  <c r="E533" i="28"/>
  <c r="E521" i="28"/>
  <c r="E504" i="28"/>
  <c r="E492" i="28"/>
  <c r="E475" i="28"/>
  <c r="E463" i="28"/>
  <c r="G147" i="28"/>
  <c r="E155" i="28"/>
  <c r="E143" i="28"/>
  <c r="E119" i="28"/>
  <c r="G495" i="28"/>
  <c r="E303" i="28"/>
  <c r="E291" i="28"/>
  <c r="E274" i="28"/>
  <c r="E262" i="28"/>
  <c r="E245" i="28"/>
  <c r="E233" i="28"/>
  <c r="G135" i="28"/>
  <c r="E84" i="28"/>
  <c r="E142" i="28"/>
  <c r="E118" i="28"/>
  <c r="E95" i="28"/>
  <c r="E60" i="28"/>
  <c r="E532" i="28"/>
  <c r="E520" i="28"/>
  <c r="E503" i="28"/>
  <c r="E491" i="28"/>
  <c r="E474" i="28"/>
  <c r="E462" i="28"/>
  <c r="G129" i="28"/>
  <c r="E154" i="28"/>
  <c r="E130" i="28"/>
  <c r="E107" i="28"/>
  <c r="E72" i="28"/>
  <c r="E79" i="28"/>
  <c r="E508" i="28"/>
  <c r="E302" i="28"/>
  <c r="E290" i="28"/>
  <c r="E273" i="28"/>
  <c r="E261" i="28"/>
  <c r="E244" i="28"/>
  <c r="E232" i="28"/>
  <c r="G111" i="28"/>
  <c r="E83" i="28"/>
  <c r="E139" i="28"/>
  <c r="G105" i="28"/>
  <c r="E94" i="28"/>
  <c r="E531" i="28"/>
  <c r="E519" i="28"/>
  <c r="E502" i="28"/>
  <c r="E490" i="28"/>
  <c r="E473" i="28"/>
  <c r="E461" i="28"/>
  <c r="E163" i="28"/>
  <c r="E151" i="28"/>
  <c r="E127" i="28"/>
  <c r="E106" i="28"/>
  <c r="E71" i="28"/>
  <c r="E59" i="28"/>
  <c r="E525" i="28"/>
  <c r="G300" i="28"/>
  <c r="E301" i="28"/>
  <c r="E289" i="28"/>
  <c r="E272" i="28"/>
  <c r="E260" i="28"/>
  <c r="E243" i="28"/>
  <c r="E231" i="28"/>
  <c r="E82" i="28"/>
  <c r="E126" i="28"/>
  <c r="E103" i="28"/>
  <c r="G81" i="28"/>
  <c r="E58" i="28"/>
  <c r="E55" i="28"/>
  <c r="E479" i="28"/>
  <c r="E157" i="28"/>
  <c r="E540" i="28"/>
  <c r="E528" i="28"/>
  <c r="E511" i="28"/>
  <c r="E499" i="28"/>
  <c r="E482" i="28"/>
  <c r="E470" i="28"/>
  <c r="G294" i="28"/>
  <c r="E162" i="28"/>
  <c r="E150" i="28"/>
  <c r="E138" i="28"/>
  <c r="E115" i="28"/>
  <c r="E91" i="28"/>
  <c r="E70" i="28"/>
  <c r="E67" i="28"/>
  <c r="E496" i="28"/>
  <c r="Y2" i="25"/>
  <c r="G288" i="28"/>
  <c r="E298" i="28"/>
  <c r="E286" i="28"/>
  <c r="E269" i="28"/>
  <c r="E257" i="28"/>
  <c r="E240" i="28"/>
  <c r="E228" i="28"/>
  <c r="E161" i="28"/>
  <c r="E137" i="28"/>
  <c r="E114" i="28"/>
  <c r="Y2" i="22"/>
  <c r="E539" i="28"/>
  <c r="E527" i="28"/>
  <c r="E510" i="28"/>
  <c r="E498" i="28"/>
  <c r="E481" i="28"/>
  <c r="E469" i="28"/>
  <c r="G271" i="28"/>
  <c r="E149" i="28"/>
  <c r="E125" i="28"/>
  <c r="E102" i="28"/>
  <c r="E90" i="28"/>
  <c r="Y2" i="19"/>
  <c r="G265" i="28"/>
  <c r="E297" i="28"/>
  <c r="E285" i="28"/>
  <c r="E268" i="28"/>
  <c r="E256" i="28"/>
  <c r="E239" i="28"/>
  <c r="E227" i="28"/>
  <c r="E124" i="28"/>
  <c r="E101" i="28"/>
  <c r="E78" i="28"/>
  <c r="E52" i="28"/>
  <c r="E538" i="28"/>
  <c r="E526" i="28"/>
  <c r="E509" i="28"/>
  <c r="E497" i="28"/>
  <c r="E480" i="28"/>
  <c r="E468" i="28"/>
  <c r="G259" i="28"/>
  <c r="E160" i="28"/>
  <c r="E148" i="28"/>
  <c r="E136" i="28"/>
  <c r="E113" i="28"/>
  <c r="E89" i="28"/>
  <c r="E66" i="28"/>
  <c r="E54" i="28"/>
  <c r="E296" i="28"/>
  <c r="E284" i="28"/>
  <c r="E267" i="28"/>
  <c r="E255" i="28"/>
  <c r="E238" i="28"/>
  <c r="E226" i="28"/>
  <c r="G536" i="28"/>
  <c r="E537" i="28"/>
  <c r="E467" i="28"/>
  <c r="E145" i="28"/>
  <c r="E133" i="28"/>
  <c r="E121" i="28"/>
  <c r="E112" i="28"/>
  <c r="E100" i="28"/>
  <c r="E88" i="28"/>
  <c r="E77" i="28"/>
  <c r="E65" i="28"/>
  <c r="E53" i="28"/>
  <c r="E76" i="28"/>
  <c r="E64" i="28"/>
  <c r="E46" i="28"/>
  <c r="E40" i="28"/>
  <c r="E49" i="28"/>
  <c r="E43" i="28"/>
  <c r="E48" i="28"/>
  <c r="E42" i="28"/>
  <c r="E41" i="28"/>
  <c r="E47" i="28"/>
  <c r="E37" i="28"/>
  <c r="E24" i="28"/>
  <c r="E23" i="28"/>
  <c r="E34" i="28"/>
  <c r="E22" i="28"/>
  <c r="E35" i="28"/>
  <c r="E25" i="28"/>
  <c r="E28" i="28"/>
  <c r="E36" i="28"/>
  <c r="E29" i="28"/>
  <c r="E30" i="28"/>
  <c r="E31" i="28"/>
  <c r="G519" i="28"/>
  <c r="G100" i="28"/>
  <c r="G157" i="28"/>
  <c r="G298" i="28"/>
  <c r="G61" i="28"/>
  <c r="G120" i="28"/>
  <c r="G297" i="28"/>
  <c r="G273" i="28"/>
  <c r="G65" i="28"/>
  <c r="G134" i="28"/>
  <c r="G92" i="28"/>
  <c r="G122" i="28"/>
  <c r="G500" i="28"/>
  <c r="G112" i="28"/>
  <c r="G114" i="28"/>
  <c r="G503" i="28"/>
  <c r="G50" i="28"/>
  <c r="G163" i="28"/>
  <c r="G47" i="28"/>
  <c r="G43" i="28"/>
  <c r="G38" i="28"/>
  <c r="G510" i="28"/>
  <c r="G54" i="28"/>
  <c r="G276" i="28"/>
  <c r="G102" i="28"/>
  <c r="G144" i="28"/>
  <c r="G118" i="28"/>
  <c r="G64" i="28"/>
  <c r="G254" i="28"/>
  <c r="G292" i="28"/>
  <c r="G499" i="28"/>
  <c r="G498" i="28"/>
  <c r="G162" i="28"/>
  <c r="G126" i="28"/>
  <c r="G149" i="28"/>
  <c r="G509" i="28"/>
  <c r="G264" i="28"/>
  <c r="G56" i="28"/>
  <c r="G104" i="28"/>
  <c r="G296" i="28"/>
  <c r="G103" i="28"/>
  <c r="G520" i="28"/>
  <c r="G98" i="28"/>
  <c r="G138" i="28"/>
  <c r="G26" i="28"/>
  <c r="G305" i="28"/>
  <c r="G146" i="28"/>
  <c r="G74" i="28"/>
  <c r="G492" i="28"/>
  <c r="G508" i="28"/>
  <c r="G272" i="28"/>
  <c r="G275" i="28"/>
  <c r="G91" i="28"/>
  <c r="G108" i="28"/>
  <c r="G84" i="28"/>
  <c r="G261" i="28"/>
  <c r="G107" i="28"/>
  <c r="G290" i="28"/>
  <c r="G116" i="28"/>
  <c r="G68" i="28"/>
  <c r="G88" i="28"/>
  <c r="G132" i="28"/>
  <c r="G80" i="28"/>
  <c r="G115" i="28"/>
  <c r="G533" i="28"/>
  <c r="G29" i="28"/>
  <c r="G60" i="28"/>
  <c r="G25" i="28"/>
  <c r="G24" i="28"/>
  <c r="G36" i="28"/>
  <c r="G293" i="28"/>
  <c r="G158" i="28"/>
  <c r="G140" i="28"/>
  <c r="G255" i="28"/>
  <c r="G34" i="28"/>
  <c r="G295" i="28"/>
  <c r="G58" i="28"/>
  <c r="G130" i="28"/>
  <c r="G97" i="28"/>
  <c r="G85" i="28"/>
  <c r="G73" i="28"/>
  <c r="G527" i="28"/>
  <c r="G521" i="28"/>
  <c r="G83" i="28"/>
  <c r="G497" i="28"/>
  <c r="G161" i="28"/>
  <c r="G494" i="28"/>
  <c r="G121" i="28"/>
  <c r="G504" i="28"/>
  <c r="G48" i="28"/>
  <c r="G541" i="28"/>
  <c r="G285" i="28"/>
  <c r="G86" i="28"/>
  <c r="G89" i="28"/>
  <c r="G55" i="28"/>
  <c r="G31" i="28"/>
  <c r="G32" i="28"/>
  <c r="G28" i="28"/>
  <c r="G491" i="28"/>
  <c r="G490" i="28"/>
  <c r="G525" i="28"/>
  <c r="G79" i="28"/>
  <c r="G67" i="28"/>
  <c r="G304" i="28"/>
  <c r="G256" i="28"/>
  <c r="G274" i="28"/>
  <c r="G150" i="28"/>
  <c r="G59" i="28"/>
  <c r="G95" i="28"/>
  <c r="G119" i="28"/>
  <c r="G258" i="28"/>
  <c r="G263" i="28"/>
  <c r="G77" i="28"/>
  <c r="G301" i="28"/>
  <c r="G125" i="28"/>
  <c r="G269" i="28"/>
  <c r="G535" i="28"/>
  <c r="G532" i="28"/>
  <c r="G287" i="28"/>
  <c r="G270" i="28"/>
  <c r="G49" i="28"/>
  <c r="G529" i="28"/>
  <c r="G526" i="28"/>
  <c r="G143" i="28"/>
  <c r="G131" i="28"/>
  <c r="G137" i="28"/>
  <c r="G82" i="28"/>
  <c r="G94" i="28"/>
  <c r="G151" i="28"/>
  <c r="G139" i="28"/>
  <c r="G534" i="28"/>
  <c r="G72" i="28"/>
  <c r="G78" i="28"/>
  <c r="G284" i="28"/>
  <c r="G53" i="28"/>
  <c r="G44" i="28"/>
  <c r="G266" i="28"/>
  <c r="G155" i="28"/>
  <c r="G35" i="28"/>
  <c r="G30" i="28"/>
  <c r="G286" i="28"/>
  <c r="G71" i="28"/>
  <c r="G23" i="28"/>
  <c r="G302" i="28"/>
  <c r="G506" i="28"/>
  <c r="G133" i="28"/>
  <c r="G502" i="28"/>
  <c r="G299" i="28"/>
  <c r="G52" i="28"/>
  <c r="G62" i="28"/>
  <c r="G267" i="28"/>
  <c r="G152" i="28"/>
  <c r="G101" i="28"/>
  <c r="G268" i="28"/>
  <c r="G289" i="28"/>
  <c r="G148" i="28"/>
  <c r="G522" i="28"/>
  <c r="G505" i="28"/>
  <c r="G127" i="28"/>
  <c r="G66" i="28"/>
  <c r="G303" i="28"/>
  <c r="G42" i="28"/>
  <c r="G113" i="28"/>
  <c r="G41" i="28"/>
  <c r="G164" i="28"/>
  <c r="G537" i="28"/>
  <c r="G124" i="28"/>
  <c r="G106" i="28"/>
  <c r="G154" i="28"/>
  <c r="G260" i="28"/>
  <c r="G46" i="28"/>
  <c r="G70" i="28"/>
  <c r="G142" i="28"/>
  <c r="G40" i="28"/>
  <c r="G109" i="28"/>
  <c r="G257" i="28"/>
  <c r="G291" i="28"/>
  <c r="G262" i="28"/>
  <c r="G156" i="28"/>
  <c r="G496" i="28"/>
  <c r="G136" i="28"/>
  <c r="G37" i="28"/>
  <c r="G493" i="28"/>
  <c r="G540" i="28"/>
  <c r="G90" i="28"/>
  <c r="G283" i="28"/>
  <c r="G76" i="28"/>
  <c r="G528" i="28"/>
  <c r="G511" i="28"/>
  <c r="G96" i="28"/>
  <c r="G539" i="28"/>
  <c r="G538" i="28"/>
  <c r="G512" i="28"/>
  <c r="G128" i="28"/>
  <c r="G523" i="28"/>
  <c r="G22" i="28"/>
  <c r="G531" i="28"/>
  <c r="G145" i="28"/>
  <c r="G110" i="28"/>
  <c r="G160" i="28"/>
  <c r="S36" i="25"/>
  <c r="S30" i="19"/>
  <c r="K27" i="25"/>
  <c r="S36" i="5"/>
  <c r="K27" i="19"/>
  <c r="K17" i="19"/>
  <c r="S36" i="19"/>
  <c r="S4" i="16"/>
  <c r="S35" i="25"/>
  <c r="S29" i="19"/>
  <c r="K17" i="25"/>
  <c r="B27" i="25"/>
  <c r="S35" i="5"/>
  <c r="S31" i="5"/>
  <c r="B27" i="19"/>
  <c r="S4" i="25"/>
  <c r="K17" i="16"/>
  <c r="K23" i="25"/>
  <c r="K23" i="16"/>
  <c r="S34" i="25"/>
  <c r="S36" i="16"/>
  <c r="B17" i="25"/>
  <c r="K27" i="22"/>
  <c r="S34" i="5"/>
  <c r="S29" i="25"/>
  <c r="S29" i="16"/>
  <c r="K4" i="25"/>
  <c r="B37" i="16"/>
  <c r="S34" i="19"/>
  <c r="S31" i="25"/>
  <c r="S35" i="16"/>
  <c r="B27" i="22"/>
  <c r="B17" i="22"/>
  <c r="B27" i="16"/>
  <c r="S4" i="22"/>
  <c r="B36" i="25"/>
  <c r="B36" i="19"/>
  <c r="S30" i="25"/>
  <c r="S34" i="16"/>
  <c r="K17" i="22"/>
  <c r="S31" i="16"/>
  <c r="K27" i="16"/>
  <c r="B37" i="25"/>
  <c r="K4" i="22"/>
  <c r="B36" i="22"/>
  <c r="S36" i="22"/>
  <c r="S30" i="16"/>
  <c r="B17" i="19"/>
  <c r="B37" i="22"/>
  <c r="S4" i="19"/>
  <c r="K23" i="19"/>
  <c r="S35" i="22"/>
  <c r="B37" i="19"/>
  <c r="K23" i="22"/>
  <c r="S34" i="22"/>
  <c r="S29" i="22"/>
  <c r="S35" i="19"/>
  <c r="B36" i="16"/>
  <c r="S31" i="22"/>
  <c r="K4" i="19"/>
  <c r="S30" i="22"/>
  <c r="S31" i="19"/>
  <c r="B17" i="16"/>
  <c r="K4" i="16"/>
  <c r="S30" i="5"/>
  <c r="S29" i="5"/>
  <c r="G40" i="26"/>
  <c r="G175" i="23"/>
  <c r="G53" i="23"/>
  <c r="G66" i="20"/>
  <c r="G89" i="17"/>
  <c r="G546" i="28"/>
  <c r="G484" i="28"/>
  <c r="G360" i="28"/>
  <c r="G344" i="28"/>
  <c r="G332" i="28"/>
  <c r="G253" i="28"/>
  <c r="G359" i="28"/>
  <c r="G343" i="28"/>
  <c r="G141" i="28"/>
  <c r="G170" i="17"/>
  <c r="G84" i="17"/>
  <c r="G373" i="28"/>
  <c r="G117" i="28"/>
  <c r="G178" i="20"/>
  <c r="G38" i="26"/>
  <c r="G170" i="23"/>
  <c r="G84" i="23"/>
  <c r="G52" i="23"/>
  <c r="G180" i="17"/>
  <c r="G88" i="17"/>
  <c r="G545" i="28"/>
  <c r="G331" i="28"/>
  <c r="G82" i="23"/>
  <c r="G52" i="17"/>
  <c r="G341" i="28"/>
  <c r="G26" i="26"/>
  <c r="G62" i="26"/>
  <c r="G175" i="17"/>
  <c r="G53" i="17"/>
  <c r="G544" i="28"/>
  <c r="G358" i="28"/>
  <c r="G342" i="28"/>
  <c r="G330" i="28"/>
  <c r="G123" i="28"/>
  <c r="G357" i="28"/>
  <c r="G25" i="26"/>
  <c r="G543" i="28"/>
  <c r="G24" i="26"/>
  <c r="G90" i="26"/>
  <c r="G163" i="23"/>
  <c r="G77" i="23"/>
  <c r="G62" i="20"/>
  <c r="G542" i="28"/>
  <c r="G372" i="28"/>
  <c r="G356" i="28"/>
  <c r="G340" i="28"/>
  <c r="G99" i="28"/>
  <c r="G88" i="23"/>
  <c r="G179" i="20"/>
  <c r="G22" i="26"/>
  <c r="G89" i="26"/>
  <c r="G162" i="23"/>
  <c r="G82" i="17"/>
  <c r="G518" i="28"/>
  <c r="G371" i="28"/>
  <c r="G355" i="28"/>
  <c r="G339" i="28"/>
  <c r="G310" i="28"/>
  <c r="G93" i="28"/>
  <c r="G67" i="20"/>
  <c r="G174" i="20"/>
  <c r="G180" i="26"/>
  <c r="G88" i="26"/>
  <c r="G161" i="23"/>
  <c r="G67" i="23"/>
  <c r="G90" i="20"/>
  <c r="G163" i="17"/>
  <c r="G77" i="17"/>
  <c r="G517" i="28"/>
  <c r="G370" i="28"/>
  <c r="G354" i="28"/>
  <c r="G338" i="28"/>
  <c r="G309" i="28"/>
  <c r="G75" i="28"/>
  <c r="G327" i="28"/>
  <c r="G485" i="28"/>
  <c r="G277" i="28"/>
  <c r="G173" i="20"/>
  <c r="G175" i="26"/>
  <c r="G53" i="26"/>
  <c r="G66" i="23"/>
  <c r="G89" i="20"/>
  <c r="G162" i="17"/>
  <c r="G516" i="28"/>
  <c r="G369" i="28"/>
  <c r="G353" i="28"/>
  <c r="G337" i="28"/>
  <c r="G308" i="28"/>
  <c r="G69" i="28"/>
  <c r="G66" i="26"/>
  <c r="G278" i="28"/>
  <c r="G172" i="20"/>
  <c r="G170" i="26"/>
  <c r="G84" i="26"/>
  <c r="G52" i="26"/>
  <c r="G180" i="20"/>
  <c r="G88" i="20"/>
  <c r="G161" i="17"/>
  <c r="G67" i="17"/>
  <c r="G515" i="28"/>
  <c r="G368" i="28"/>
  <c r="G352" i="28"/>
  <c r="G336" i="28"/>
  <c r="G307" i="28"/>
  <c r="G362" i="28"/>
  <c r="G90" i="17"/>
  <c r="G75" i="20"/>
  <c r="G175" i="20"/>
  <c r="G53" i="20"/>
  <c r="G66" i="17"/>
  <c r="G514" i="28"/>
  <c r="G367" i="28"/>
  <c r="G351" i="28"/>
  <c r="G335" i="28"/>
  <c r="G306" i="28"/>
  <c r="G180" i="23"/>
  <c r="G161" i="20"/>
  <c r="G74" i="20"/>
  <c r="G82" i="26"/>
  <c r="G170" i="20"/>
  <c r="G84" i="20"/>
  <c r="G52" i="20"/>
  <c r="G513" i="28"/>
  <c r="G366" i="28"/>
  <c r="G350" i="28"/>
  <c r="G334" i="28"/>
  <c r="G282" i="28"/>
  <c r="G162" i="20"/>
  <c r="G486" i="28"/>
  <c r="G361" i="28"/>
  <c r="G73" i="20"/>
  <c r="G163" i="26"/>
  <c r="G77" i="26"/>
  <c r="G62" i="23"/>
  <c r="G489" i="28"/>
  <c r="G365" i="28"/>
  <c r="G349" i="28"/>
  <c r="G333" i="28"/>
  <c r="G281" i="28"/>
  <c r="G89" i="23"/>
  <c r="G346" i="28"/>
  <c r="G345" i="28"/>
  <c r="G162" i="26"/>
  <c r="G82" i="20"/>
  <c r="G488" i="28"/>
  <c r="G364" i="28"/>
  <c r="G348" i="28"/>
  <c r="G329" i="28"/>
  <c r="G280" i="28"/>
  <c r="G161" i="26"/>
  <c r="G67" i="26"/>
  <c r="G90" i="23"/>
  <c r="G163" i="20"/>
  <c r="G77" i="20"/>
  <c r="G62" i="17"/>
  <c r="G487" i="28"/>
  <c r="G363" i="28"/>
  <c r="G347" i="28"/>
  <c r="G328" i="28"/>
  <c r="G279" i="28"/>
  <c r="G326" i="28"/>
  <c r="G41" i="26"/>
  <c r="G178" i="23"/>
  <c r="G35" i="20"/>
  <c r="G22" i="20"/>
  <c r="G33" i="23"/>
  <c r="G23" i="23"/>
  <c r="G80" i="26"/>
  <c r="G33" i="26"/>
  <c r="G74" i="26"/>
  <c r="G51" i="28"/>
  <c r="G33" i="28"/>
  <c r="G37" i="26"/>
  <c r="G78" i="23"/>
  <c r="G79" i="23"/>
  <c r="G37" i="20"/>
  <c r="G27" i="20"/>
  <c r="G39" i="23"/>
  <c r="G28" i="26"/>
  <c r="G45" i="28"/>
  <c r="G27" i="28"/>
  <c r="G179" i="26"/>
  <c r="G171" i="20"/>
  <c r="G179" i="23"/>
  <c r="G38" i="20"/>
  <c r="G43" i="20"/>
  <c r="G33" i="20"/>
  <c r="G44" i="26"/>
  <c r="G39" i="28"/>
  <c r="G177" i="20"/>
  <c r="G57" i="28"/>
  <c r="G80" i="23"/>
  <c r="G36" i="20"/>
  <c r="G34" i="23"/>
  <c r="G24" i="23"/>
  <c r="G81" i="26"/>
  <c r="G34" i="26"/>
  <c r="G79" i="20"/>
  <c r="G171" i="23"/>
  <c r="G81" i="23"/>
  <c r="G29" i="23"/>
  <c r="G28" i="20"/>
  <c r="G40" i="23"/>
  <c r="G29" i="26"/>
  <c r="G38" i="23"/>
  <c r="G43" i="26"/>
  <c r="G78" i="26"/>
  <c r="G23" i="20"/>
  <c r="G44" i="20"/>
  <c r="G34" i="20"/>
  <c r="G21" i="28"/>
  <c r="G21" i="26"/>
  <c r="G27" i="26"/>
  <c r="G44" i="23"/>
  <c r="G80" i="20"/>
  <c r="G172" i="23"/>
  <c r="G174" i="26"/>
  <c r="G39" i="20"/>
  <c r="G35" i="23"/>
  <c r="G25" i="23"/>
  <c r="G35" i="26"/>
  <c r="G21" i="20"/>
  <c r="G173" i="26"/>
  <c r="G73" i="23"/>
  <c r="G76" i="26"/>
  <c r="G30" i="23"/>
  <c r="G29" i="20"/>
  <c r="G23" i="26"/>
  <c r="G30" i="26"/>
  <c r="G36" i="26"/>
  <c r="G173" i="23"/>
  <c r="G177" i="26"/>
  <c r="G24" i="20"/>
  <c r="G36" i="23"/>
  <c r="G39" i="26"/>
  <c r="G171" i="26"/>
  <c r="G26" i="20"/>
  <c r="G42" i="20"/>
  <c r="G74" i="23"/>
  <c r="G26" i="23"/>
  <c r="G40" i="20"/>
  <c r="G30" i="20"/>
  <c r="G75" i="26"/>
  <c r="G172" i="26"/>
  <c r="G81" i="20"/>
  <c r="G174" i="23"/>
  <c r="G27" i="23"/>
  <c r="G31" i="23"/>
  <c r="G21" i="23"/>
  <c r="G176" i="26"/>
  <c r="G31" i="26"/>
  <c r="G32" i="26"/>
  <c r="G41" i="23"/>
  <c r="G75" i="23"/>
  <c r="G28" i="23"/>
  <c r="G25" i="20"/>
  <c r="G37" i="23"/>
  <c r="G42" i="26"/>
  <c r="G76" i="20"/>
  <c r="G176" i="23"/>
  <c r="G42" i="23"/>
  <c r="G41" i="20"/>
  <c r="G31" i="20"/>
  <c r="G79" i="26"/>
  <c r="G73" i="26"/>
  <c r="G78" i="20"/>
  <c r="G76" i="23"/>
  <c r="G176" i="20"/>
  <c r="G43" i="23"/>
  <c r="G32" i="23"/>
  <c r="G22" i="23"/>
  <c r="G63" i="28"/>
  <c r="G32" i="20"/>
  <c r="G177" i="23"/>
  <c r="G178" i="26"/>
  <c r="E514" i="28"/>
  <c r="E252" i="28"/>
  <c r="E309" i="28"/>
  <c r="E211" i="28"/>
  <c r="E183" i="28"/>
  <c r="E81" i="28"/>
  <c r="E517" i="28"/>
  <c r="E445" i="28"/>
  <c r="E419" i="28"/>
  <c r="E394" i="28"/>
  <c r="E373" i="28"/>
  <c r="E347" i="28"/>
  <c r="E327" i="28"/>
  <c r="E299" i="28"/>
  <c r="G222" i="28"/>
  <c r="E217" i="28"/>
  <c r="E173" i="28"/>
  <c r="E86" i="28"/>
  <c r="D20" i="28"/>
  <c r="AA185" i="26"/>
  <c r="AA181" i="26"/>
  <c r="E70" i="26"/>
  <c r="E61" i="26"/>
  <c r="E51" i="26"/>
  <c r="E37" i="26"/>
  <c r="E21" i="26"/>
  <c r="C8" i="26"/>
  <c r="B28" i="25"/>
  <c r="AD185" i="23"/>
  <c r="E168" i="23"/>
  <c r="E159" i="23"/>
  <c r="E151" i="23"/>
  <c r="E143" i="23"/>
  <c r="E135" i="23"/>
  <c r="E127" i="23"/>
  <c r="E119" i="23"/>
  <c r="E111" i="23"/>
  <c r="E103" i="23"/>
  <c r="E95" i="23"/>
  <c r="E86" i="23"/>
  <c r="E73" i="23"/>
  <c r="E39" i="23"/>
  <c r="E23" i="23"/>
  <c r="C12" i="23"/>
  <c r="S5" i="22"/>
  <c r="AB186" i="20"/>
  <c r="AA183" i="20"/>
  <c r="E170" i="20"/>
  <c r="E160" i="20"/>
  <c r="E152" i="20"/>
  <c r="E144" i="20"/>
  <c r="E136" i="20"/>
  <c r="E128" i="20"/>
  <c r="E120" i="20"/>
  <c r="E112" i="20"/>
  <c r="E104" i="20"/>
  <c r="E96" i="20"/>
  <c r="E88" i="20"/>
  <c r="E75" i="20"/>
  <c r="E41" i="20"/>
  <c r="E25" i="20"/>
  <c r="Y16" i="20"/>
  <c r="F24" i="19"/>
  <c r="N15" i="19"/>
  <c r="C7" i="19"/>
  <c r="E172" i="17"/>
  <c r="E161" i="17"/>
  <c r="E153" i="17"/>
  <c r="E145" i="17"/>
  <c r="E137" i="17"/>
  <c r="E129" i="17"/>
  <c r="E121" i="17"/>
  <c r="V4" i="28"/>
  <c r="E515" i="28"/>
  <c r="E443" i="28"/>
  <c r="E425" i="28"/>
  <c r="E407" i="28"/>
  <c r="E388" i="28"/>
  <c r="E371" i="28"/>
  <c r="E353" i="28"/>
  <c r="E335" i="28"/>
  <c r="E545" i="28"/>
  <c r="E300" i="28"/>
  <c r="E208" i="28"/>
  <c r="E182" i="28"/>
  <c r="AA549" i="28"/>
  <c r="AB552" i="28"/>
  <c r="E75" i="28"/>
  <c r="E512" i="28"/>
  <c r="G457" i="28"/>
  <c r="E440" i="28"/>
  <c r="E393" i="28"/>
  <c r="E368" i="28"/>
  <c r="E293" i="28"/>
  <c r="E222" i="28"/>
  <c r="E80" i="28"/>
  <c r="C20" i="28"/>
  <c r="AE184" i="26"/>
  <c r="E180" i="26"/>
  <c r="E165" i="26"/>
  <c r="E157" i="26"/>
  <c r="E149" i="26"/>
  <c r="E141" i="26"/>
  <c r="E133" i="26"/>
  <c r="E125" i="26"/>
  <c r="E117" i="26"/>
  <c r="E109" i="26"/>
  <c r="E101" i="26"/>
  <c r="E93" i="26"/>
  <c r="E84" i="26"/>
  <c r="E69" i="26"/>
  <c r="E36" i="26"/>
  <c r="V20" i="26"/>
  <c r="C6" i="26"/>
  <c r="K34" i="25"/>
  <c r="K21" i="25"/>
  <c r="C13" i="25"/>
  <c r="C5" i="25"/>
  <c r="AC185" i="23"/>
  <c r="AB182" i="23"/>
  <c r="E167" i="23"/>
  <c r="E72" i="23"/>
  <c r="E62" i="23"/>
  <c r="E52" i="23"/>
  <c r="E38" i="23"/>
  <c r="E22" i="23"/>
  <c r="C10" i="23"/>
  <c r="K28" i="22"/>
  <c r="F23" i="22"/>
  <c r="N13" i="22"/>
  <c r="N5" i="22"/>
  <c r="E169" i="20"/>
  <c r="E87" i="20"/>
  <c r="E74" i="20"/>
  <c r="E63" i="20"/>
  <c r="E53" i="20"/>
  <c r="E40" i="20"/>
  <c r="E24" i="20"/>
  <c r="C14" i="20"/>
  <c r="K35" i="19"/>
  <c r="B24" i="19"/>
  <c r="K15" i="19"/>
  <c r="V5" i="19"/>
  <c r="AA187" i="17"/>
  <c r="AB183" i="17"/>
  <c r="E171" i="17"/>
  <c r="E76" i="17"/>
  <c r="E64" i="17"/>
  <c r="E54" i="17"/>
  <c r="E320" i="28"/>
  <c r="E513" i="28"/>
  <c r="E536" i="28"/>
  <c r="E294" i="28"/>
  <c r="E207" i="28"/>
  <c r="E179" i="28"/>
  <c r="AB549" i="28"/>
  <c r="AA553" i="28"/>
  <c r="E69" i="28"/>
  <c r="E506" i="28"/>
  <c r="E457" i="28"/>
  <c r="E439" i="28"/>
  <c r="E418" i="28"/>
  <c r="E392" i="28"/>
  <c r="E367" i="28"/>
  <c r="E346" i="28"/>
  <c r="E326" i="28"/>
  <c r="E287" i="28"/>
  <c r="G172" i="28"/>
  <c r="E74" i="28"/>
  <c r="B20" i="28"/>
  <c r="AD184" i="26"/>
  <c r="E179" i="26"/>
  <c r="E68" i="26"/>
  <c r="E60" i="26"/>
  <c r="E50" i="26"/>
  <c r="E35" i="26"/>
  <c r="U20" i="26"/>
  <c r="D5" i="26"/>
  <c r="B34" i="25"/>
  <c r="K20" i="25"/>
  <c r="D4" i="25"/>
  <c r="AB181" i="23"/>
  <c r="U181" i="23" s="1"/>
  <c r="E166" i="23"/>
  <c r="E158" i="23"/>
  <c r="E150" i="23"/>
  <c r="E142" i="23"/>
  <c r="E134" i="23"/>
  <c r="E126" i="23"/>
  <c r="E118" i="23"/>
  <c r="E110" i="23"/>
  <c r="E102" i="23"/>
  <c r="E94" i="23"/>
  <c r="E85" i="23"/>
  <c r="E71" i="23"/>
  <c r="E37" i="23"/>
  <c r="E21" i="23"/>
  <c r="C8" i="23"/>
  <c r="B23" i="22"/>
  <c r="K13" i="22"/>
  <c r="K5" i="22"/>
  <c r="AD185" i="20"/>
  <c r="E168" i="20"/>
  <c r="E159" i="20"/>
  <c r="E151" i="20"/>
  <c r="E143" i="20"/>
  <c r="E135" i="20"/>
  <c r="E127" i="20"/>
  <c r="E119" i="20"/>
  <c r="E111" i="20"/>
  <c r="E103" i="20"/>
  <c r="E95" i="20"/>
  <c r="E86" i="20"/>
  <c r="E73" i="20"/>
  <c r="E39" i="20"/>
  <c r="E23" i="20"/>
  <c r="C12" i="20"/>
  <c r="S5" i="19"/>
  <c r="AB186" i="17"/>
  <c r="AA183" i="17"/>
  <c r="E170" i="17"/>
  <c r="E160" i="17"/>
  <c r="E152" i="17"/>
  <c r="E144" i="17"/>
  <c r="E136" i="17"/>
  <c r="E128" i="17"/>
  <c r="E120" i="17"/>
  <c r="E112" i="17"/>
  <c r="E104" i="17"/>
  <c r="E314" i="28"/>
  <c r="E485" i="28"/>
  <c r="E441" i="28"/>
  <c r="E423" i="28"/>
  <c r="E405" i="28"/>
  <c r="E387" i="28"/>
  <c r="E369" i="28"/>
  <c r="E351" i="28"/>
  <c r="E333" i="28"/>
  <c r="E530" i="28"/>
  <c r="E288" i="28"/>
  <c r="E206" i="28"/>
  <c r="E178" i="28"/>
  <c r="E159" i="28"/>
  <c r="E63" i="28"/>
  <c r="E500" i="28"/>
  <c r="E438" i="28"/>
  <c r="E413" i="28"/>
  <c r="E366" i="28"/>
  <c r="E341" i="28"/>
  <c r="E321" i="28"/>
  <c r="E281" i="28"/>
  <c r="E216" i="28"/>
  <c r="E172" i="28"/>
  <c r="E164" i="28"/>
  <c r="E68" i="28"/>
  <c r="U18" i="28"/>
  <c r="E178" i="26"/>
  <c r="E164" i="26"/>
  <c r="E156" i="26"/>
  <c r="E148" i="26"/>
  <c r="E140" i="26"/>
  <c r="E132" i="26"/>
  <c r="E124" i="26"/>
  <c r="E116" i="26"/>
  <c r="E108" i="26"/>
  <c r="E100" i="26"/>
  <c r="E92" i="26"/>
  <c r="E83" i="26"/>
  <c r="E59" i="26"/>
  <c r="E34" i="26"/>
  <c r="G20" i="26"/>
  <c r="K33" i="25"/>
  <c r="K19" i="25"/>
  <c r="Y1" i="25"/>
  <c r="AA185" i="23"/>
  <c r="AA181" i="23"/>
  <c r="E70" i="23"/>
  <c r="E61" i="23"/>
  <c r="E51" i="23"/>
  <c r="E36" i="23"/>
  <c r="V20" i="23"/>
  <c r="C6" i="23"/>
  <c r="K34" i="22"/>
  <c r="B28" i="22"/>
  <c r="AC185" i="20"/>
  <c r="AB182" i="20"/>
  <c r="E167" i="20"/>
  <c r="E72" i="20"/>
  <c r="E62" i="20"/>
  <c r="E52" i="20"/>
  <c r="E38" i="20"/>
  <c r="E22" i="20"/>
  <c r="C10" i="20"/>
  <c r="F23" i="19"/>
  <c r="N13" i="19"/>
  <c r="N5" i="19"/>
  <c r="E169" i="17"/>
  <c r="E87" i="17"/>
  <c r="E74" i="17"/>
  <c r="E63" i="17"/>
  <c r="E53" i="17"/>
  <c r="E40" i="17"/>
  <c r="E24" i="17"/>
  <c r="C14" i="17"/>
  <c r="K35" i="16"/>
  <c r="E200" i="28"/>
  <c r="E486" i="28"/>
  <c r="E524" i="28"/>
  <c r="E282" i="28"/>
  <c r="E213" i="28"/>
  <c r="E177" i="28"/>
  <c r="E153" i="28"/>
  <c r="E57" i="28"/>
  <c r="E494" i="28"/>
  <c r="G456" i="28"/>
  <c r="E437" i="28"/>
  <c r="E412" i="28"/>
  <c r="E391" i="28"/>
  <c r="E365" i="28"/>
  <c r="E340" i="28"/>
  <c r="E315" i="28"/>
  <c r="E276" i="28"/>
  <c r="E221" i="28"/>
  <c r="E215" i="28"/>
  <c r="E158" i="28"/>
  <c r="E62" i="28"/>
  <c r="C14" i="28"/>
  <c r="AB184" i="26"/>
  <c r="E177" i="26"/>
  <c r="E82" i="26"/>
  <c r="E67" i="26"/>
  <c r="E58" i="26"/>
  <c r="E49" i="26"/>
  <c r="E33" i="26"/>
  <c r="F20" i="26"/>
  <c r="B33" i="25"/>
  <c r="R25" i="25"/>
  <c r="W19" i="25"/>
  <c r="AE184" i="23"/>
  <c r="E180" i="23"/>
  <c r="E165" i="23"/>
  <c r="E157" i="23"/>
  <c r="E149" i="23"/>
  <c r="E141" i="23"/>
  <c r="E133" i="23"/>
  <c r="E125" i="23"/>
  <c r="E117" i="23"/>
  <c r="E109" i="23"/>
  <c r="E101" i="23"/>
  <c r="E93" i="23"/>
  <c r="E84" i="23"/>
  <c r="E69" i="23"/>
  <c r="E35" i="23"/>
  <c r="U20" i="23"/>
  <c r="D5" i="23"/>
  <c r="B34" i="22"/>
  <c r="K21" i="22"/>
  <c r="C13" i="22"/>
  <c r="C5" i="22"/>
  <c r="AB181" i="20"/>
  <c r="U181" i="20" s="1"/>
  <c r="E166" i="20"/>
  <c r="E158" i="20"/>
  <c r="E150" i="20"/>
  <c r="E142" i="20"/>
  <c r="E134" i="20"/>
  <c r="E126" i="20"/>
  <c r="E118" i="20"/>
  <c r="E110" i="20"/>
  <c r="E102" i="20"/>
  <c r="E94" i="20"/>
  <c r="E85" i="20"/>
  <c r="E71" i="20"/>
  <c r="E37" i="20"/>
  <c r="E21" i="20"/>
  <c r="C8" i="20"/>
  <c r="B23" i="19"/>
  <c r="K13" i="19"/>
  <c r="K5" i="19"/>
  <c r="AD185" i="17"/>
  <c r="E168" i="17"/>
  <c r="E159" i="17"/>
  <c r="E151" i="17"/>
  <c r="E143" i="17"/>
  <c r="E135" i="17"/>
  <c r="E199" i="28"/>
  <c r="E484" i="28"/>
  <c r="E444" i="28"/>
  <c r="E426" i="28"/>
  <c r="E408" i="28"/>
  <c r="E390" i="28"/>
  <c r="E372" i="28"/>
  <c r="E354" i="28"/>
  <c r="E336" i="28"/>
  <c r="E518" i="28"/>
  <c r="E280" i="28"/>
  <c r="E212" i="28"/>
  <c r="E176" i="28"/>
  <c r="AE549" i="28"/>
  <c r="E147" i="28"/>
  <c r="E51" i="28"/>
  <c r="E488" i="28"/>
  <c r="E456" i="28"/>
  <c r="E411" i="28"/>
  <c r="E386" i="28"/>
  <c r="E339" i="28"/>
  <c r="E270" i="28"/>
  <c r="E205" i="28"/>
  <c r="E152" i="28"/>
  <c r="E56" i="28"/>
  <c r="C12" i="28"/>
  <c r="AA184" i="26"/>
  <c r="E176" i="26"/>
  <c r="E163" i="26"/>
  <c r="E155" i="26"/>
  <c r="E147" i="26"/>
  <c r="E139" i="26"/>
  <c r="E131" i="26"/>
  <c r="E123" i="26"/>
  <c r="E115" i="26"/>
  <c r="E107" i="26"/>
  <c r="E99" i="26"/>
  <c r="E91" i="26"/>
  <c r="E81" i="26"/>
  <c r="E57" i="26"/>
  <c r="E32" i="26"/>
  <c r="E20" i="26"/>
  <c r="K32" i="25"/>
  <c r="K25" i="25"/>
  <c r="U19" i="25"/>
  <c r="C11" i="25"/>
  <c r="AD184" i="23"/>
  <c r="E179" i="23"/>
  <c r="E68" i="23"/>
  <c r="E60" i="23"/>
  <c r="E50" i="23"/>
  <c r="E34" i="23"/>
  <c r="G20" i="23"/>
  <c r="K33" i="22"/>
  <c r="K20" i="22"/>
  <c r="D4" i="22"/>
  <c r="AA185" i="20"/>
  <c r="AA181" i="20"/>
  <c r="E70" i="20"/>
  <c r="E61" i="20"/>
  <c r="E51" i="20"/>
  <c r="E36" i="20"/>
  <c r="V20" i="20"/>
  <c r="C6" i="20"/>
  <c r="K34" i="19"/>
  <c r="B28" i="19"/>
  <c r="AC185" i="17"/>
  <c r="AB182" i="17"/>
  <c r="E167" i="17"/>
  <c r="E72" i="17"/>
  <c r="E62" i="17"/>
  <c r="E52" i="17"/>
  <c r="E38" i="17"/>
  <c r="E22" i="17"/>
  <c r="C10" i="17"/>
  <c r="B23" i="16"/>
  <c r="K13" i="16"/>
  <c r="E201" i="28"/>
  <c r="E307" i="28"/>
  <c r="E516" i="28"/>
  <c r="E271" i="28"/>
  <c r="E214" i="28"/>
  <c r="E181" i="28"/>
  <c r="AF549" i="28"/>
  <c r="E141" i="28"/>
  <c r="E45" i="28"/>
  <c r="E483" i="28"/>
  <c r="E436" i="28"/>
  <c r="E410" i="28"/>
  <c r="E385" i="28"/>
  <c r="E364" i="28"/>
  <c r="E338" i="28"/>
  <c r="E264" i="28"/>
  <c r="E195" i="28"/>
  <c r="E171" i="28"/>
  <c r="E146" i="28"/>
  <c r="E50" i="28"/>
  <c r="C10" i="28"/>
  <c r="AF183" i="26"/>
  <c r="E175" i="26"/>
  <c r="E80" i="26"/>
  <c r="E66" i="26"/>
  <c r="E56" i="26"/>
  <c r="E31" i="26"/>
  <c r="D20" i="26"/>
  <c r="B32" i="25"/>
  <c r="F25" i="25"/>
  <c r="S19" i="25"/>
  <c r="E178" i="23"/>
  <c r="E164" i="23"/>
  <c r="E156" i="23"/>
  <c r="E148" i="23"/>
  <c r="E140" i="23"/>
  <c r="E132" i="23"/>
  <c r="E124" i="23"/>
  <c r="E116" i="23"/>
  <c r="E108" i="23"/>
  <c r="E100" i="23"/>
  <c r="E92" i="23"/>
  <c r="E83" i="23"/>
  <c r="E59" i="23"/>
  <c r="E33" i="23"/>
  <c r="F20" i="23"/>
  <c r="B33" i="22"/>
  <c r="K19" i="22"/>
  <c r="Y1" i="22"/>
  <c r="AE184" i="20"/>
  <c r="E180" i="20"/>
  <c r="E165" i="20"/>
  <c r="E157" i="20"/>
  <c r="E149" i="20"/>
  <c r="E141" i="20"/>
  <c r="E133" i="20"/>
  <c r="E125" i="20"/>
  <c r="E117" i="20"/>
  <c r="E109" i="20"/>
  <c r="E101" i="20"/>
  <c r="E93" i="20"/>
  <c r="E84" i="20"/>
  <c r="E69" i="20"/>
  <c r="E35" i="20"/>
  <c r="U20" i="20"/>
  <c r="D5" i="20"/>
  <c r="B34" i="19"/>
  <c r="K21" i="19"/>
  <c r="C13" i="19"/>
  <c r="C5" i="19"/>
  <c r="AB181" i="17"/>
  <c r="E166" i="17"/>
  <c r="E158" i="17"/>
  <c r="E150" i="17"/>
  <c r="E198" i="28"/>
  <c r="E451" i="28"/>
  <c r="E433" i="28"/>
  <c r="E415" i="28"/>
  <c r="E398" i="28"/>
  <c r="E379" i="28"/>
  <c r="E361" i="28"/>
  <c r="E343" i="28"/>
  <c r="E308" i="28"/>
  <c r="E507" i="28"/>
  <c r="E265" i="28"/>
  <c r="E190" i="28"/>
  <c r="E180" i="28"/>
  <c r="AA550" i="28"/>
  <c r="E135" i="28"/>
  <c r="E39" i="28"/>
  <c r="E477" i="28"/>
  <c r="G455" i="28"/>
  <c r="E431" i="28"/>
  <c r="E384" i="28"/>
  <c r="E359" i="28"/>
  <c r="E313" i="28"/>
  <c r="E258" i="28"/>
  <c r="E220" i="28"/>
  <c r="E185" i="28"/>
  <c r="E140" i="28"/>
  <c r="E44" i="28"/>
  <c r="C8" i="28"/>
  <c r="AE183" i="26"/>
  <c r="E174" i="26"/>
  <c r="E162" i="26"/>
  <c r="E154" i="26"/>
  <c r="E146" i="26"/>
  <c r="E138" i="26"/>
  <c r="E130" i="26"/>
  <c r="E122" i="26"/>
  <c r="E114" i="26"/>
  <c r="E106" i="26"/>
  <c r="E98" i="26"/>
  <c r="E90" i="26"/>
  <c r="E79" i="26"/>
  <c r="E30" i="26"/>
  <c r="C20" i="26"/>
  <c r="K37" i="25"/>
  <c r="K31" i="25"/>
  <c r="B25" i="25"/>
  <c r="K18" i="25"/>
  <c r="AB184" i="23"/>
  <c r="E177" i="23"/>
  <c r="E82" i="23"/>
  <c r="E67" i="23"/>
  <c r="E58" i="23"/>
  <c r="E49" i="23"/>
  <c r="E32" i="23"/>
  <c r="E20" i="23"/>
  <c r="K32" i="22"/>
  <c r="R25" i="22"/>
  <c r="W19" i="22"/>
  <c r="AD184" i="20"/>
  <c r="E179" i="20"/>
  <c r="E68" i="20"/>
  <c r="E60" i="20"/>
  <c r="E50" i="20"/>
  <c r="E34" i="20"/>
  <c r="G20" i="20"/>
  <c r="K33" i="19"/>
  <c r="K20" i="19"/>
  <c r="D4" i="19"/>
  <c r="AA185" i="17"/>
  <c r="AA181" i="17"/>
  <c r="E70" i="17"/>
  <c r="E61" i="17"/>
  <c r="E51" i="17"/>
  <c r="E36" i="17"/>
  <c r="V20" i="17"/>
  <c r="C6" i="17"/>
  <c r="K34" i="16"/>
  <c r="B28" i="16"/>
  <c r="K21" i="16"/>
  <c r="E197" i="28"/>
  <c r="E306" i="28"/>
  <c r="E501" i="28"/>
  <c r="E259" i="28"/>
  <c r="E189" i="28"/>
  <c r="E184" i="28"/>
  <c r="AB550" i="28"/>
  <c r="E129" i="28"/>
  <c r="E33" i="28"/>
  <c r="E471" i="28"/>
  <c r="E455" i="28"/>
  <c r="E430" i="28"/>
  <c r="E409" i="28"/>
  <c r="E383" i="28"/>
  <c r="E358" i="28"/>
  <c r="E337" i="28"/>
  <c r="E247" i="28"/>
  <c r="E134" i="28"/>
  <c r="E38" i="28"/>
  <c r="C6" i="28"/>
  <c r="E173" i="26"/>
  <c r="E78" i="26"/>
  <c r="E65" i="26"/>
  <c r="E55" i="26"/>
  <c r="E29" i="26"/>
  <c r="B20" i="26"/>
  <c r="B31" i="25"/>
  <c r="F18" i="25"/>
  <c r="C9" i="25"/>
  <c r="AA184" i="23"/>
  <c r="E176" i="23"/>
  <c r="E163" i="23"/>
  <c r="E155" i="23"/>
  <c r="E147" i="23"/>
  <c r="E139" i="23"/>
  <c r="E131" i="23"/>
  <c r="E123" i="23"/>
  <c r="E115" i="23"/>
  <c r="E107" i="23"/>
  <c r="E99" i="23"/>
  <c r="E91" i="23"/>
  <c r="E81" i="23"/>
  <c r="E57" i="23"/>
  <c r="E31" i="23"/>
  <c r="D20" i="23"/>
  <c r="B32" i="22"/>
  <c r="K25" i="22"/>
  <c r="U19" i="22"/>
  <c r="C11" i="22"/>
  <c r="E178" i="20"/>
  <c r="E164" i="20"/>
  <c r="E156" i="20"/>
  <c r="E148" i="20"/>
  <c r="E140" i="20"/>
  <c r="E132" i="20"/>
  <c r="E124" i="20"/>
  <c r="E116" i="20"/>
  <c r="E108" i="20"/>
  <c r="E100" i="20"/>
  <c r="E92" i="20"/>
  <c r="E83" i="20"/>
  <c r="E59" i="20"/>
  <c r="E33" i="20"/>
  <c r="F20" i="20"/>
  <c r="B33" i="19"/>
  <c r="K19" i="19"/>
  <c r="Y1" i="19"/>
  <c r="AE184" i="17"/>
  <c r="E180" i="17"/>
  <c r="E165" i="17"/>
  <c r="E157" i="17"/>
  <c r="E149" i="17"/>
  <c r="E141" i="17"/>
  <c r="E133" i="17"/>
  <c r="E125" i="17"/>
  <c r="E196" i="28"/>
  <c r="E452" i="28"/>
  <c r="E434" i="28"/>
  <c r="E416" i="28"/>
  <c r="E397" i="28"/>
  <c r="E380" i="28"/>
  <c r="E362" i="28"/>
  <c r="E344" i="28"/>
  <c r="E278" i="28"/>
  <c r="E495" i="28"/>
  <c r="E253" i="28"/>
  <c r="E191" i="28"/>
  <c r="Y16" i="28"/>
  <c r="E123" i="28"/>
  <c r="E27" i="28"/>
  <c r="E465" i="28"/>
  <c r="E429" i="28"/>
  <c r="E404" i="28"/>
  <c r="E357" i="28"/>
  <c r="E332" i="28"/>
  <c r="G312" i="28"/>
  <c r="E241" i="28"/>
  <c r="E170" i="28"/>
  <c r="E128" i="28"/>
  <c r="E32" i="28"/>
  <c r="D5" i="28"/>
  <c r="E172" i="26"/>
  <c r="E161" i="26"/>
  <c r="E153" i="26"/>
  <c r="E145" i="26"/>
  <c r="E137" i="26"/>
  <c r="E129" i="26"/>
  <c r="E121" i="26"/>
  <c r="E113" i="26"/>
  <c r="E105" i="26"/>
  <c r="E97" i="26"/>
  <c r="E89" i="26"/>
  <c r="E77" i="26"/>
  <c r="E44" i="26"/>
  <c r="E28" i="26"/>
  <c r="Y18" i="26"/>
  <c r="K36" i="25"/>
  <c r="K30" i="25"/>
  <c r="R24" i="25"/>
  <c r="B18" i="25"/>
  <c r="K7" i="25"/>
  <c r="AF183" i="23"/>
  <c r="E175" i="23"/>
  <c r="E80" i="23"/>
  <c r="E66" i="23"/>
  <c r="E56" i="23"/>
  <c r="E30" i="23"/>
  <c r="C20" i="23"/>
  <c r="K37" i="22"/>
  <c r="K31" i="22"/>
  <c r="F25" i="22"/>
  <c r="S19" i="22"/>
  <c r="AB184" i="20"/>
  <c r="E177" i="20"/>
  <c r="E82" i="20"/>
  <c r="E67" i="20"/>
  <c r="E203" i="28"/>
  <c r="E279" i="28"/>
  <c r="E489" i="28"/>
  <c r="E242" i="28"/>
  <c r="E188" i="28"/>
  <c r="Y17" i="28"/>
  <c r="AD550" i="28"/>
  <c r="E117" i="28"/>
  <c r="E21" i="28"/>
  <c r="E454" i="28"/>
  <c r="E428" i="28"/>
  <c r="E403" i="28"/>
  <c r="E382" i="28"/>
  <c r="E356" i="28"/>
  <c r="E331" i="28"/>
  <c r="E312" i="28"/>
  <c r="E235" i="28"/>
  <c r="E219" i="28"/>
  <c r="E175" i="28"/>
  <c r="E122" i="28"/>
  <c r="E26" i="28"/>
  <c r="AA187" i="26"/>
  <c r="AB183" i="26"/>
  <c r="E171" i="26"/>
  <c r="E76" i="26"/>
  <c r="E64" i="26"/>
  <c r="E54" i="26"/>
  <c r="E43" i="26"/>
  <c r="E27" i="26"/>
  <c r="U18" i="26"/>
  <c r="AE183" i="23"/>
  <c r="E174" i="23"/>
  <c r="E162" i="23"/>
  <c r="E154" i="23"/>
  <c r="E146" i="23"/>
  <c r="E138" i="23"/>
  <c r="E130" i="23"/>
  <c r="E122" i="23"/>
  <c r="E114" i="23"/>
  <c r="E106" i="23"/>
  <c r="E98" i="23"/>
  <c r="E90" i="23"/>
  <c r="E79" i="23"/>
  <c r="E29" i="23"/>
  <c r="B20" i="23"/>
  <c r="B31" i="22"/>
  <c r="B25" i="22"/>
  <c r="K18" i="22"/>
  <c r="AA184" i="20"/>
  <c r="E176" i="20"/>
  <c r="E163" i="20"/>
  <c r="E155" i="20"/>
  <c r="E147" i="20"/>
  <c r="E139" i="20"/>
  <c r="E131" i="20"/>
  <c r="E123" i="20"/>
  <c r="E115" i="20"/>
  <c r="E107" i="20"/>
  <c r="E99" i="20"/>
  <c r="E91" i="20"/>
  <c r="E81" i="20"/>
  <c r="E57" i="20"/>
  <c r="E31" i="20"/>
  <c r="D20" i="20"/>
  <c r="B32" i="19"/>
  <c r="K25" i="19"/>
  <c r="U19" i="19"/>
  <c r="C11" i="19"/>
  <c r="V4" i="17"/>
  <c r="E178" i="17"/>
  <c r="E164" i="17"/>
  <c r="E156" i="17"/>
  <c r="E148" i="17"/>
  <c r="E140" i="17"/>
  <c r="E132" i="17"/>
  <c r="E202" i="28"/>
  <c r="E450" i="28"/>
  <c r="E432" i="28"/>
  <c r="E414" i="28"/>
  <c r="E396" i="28"/>
  <c r="E378" i="28"/>
  <c r="E360" i="28"/>
  <c r="E342" i="28"/>
  <c r="E277" i="28"/>
  <c r="E487" i="28"/>
  <c r="E236" i="28"/>
  <c r="E187" i="28"/>
  <c r="Y18" i="28"/>
  <c r="AE550" i="28"/>
  <c r="E111" i="28"/>
  <c r="E546" i="28"/>
  <c r="E449" i="28"/>
  <c r="E402" i="28"/>
  <c r="E377" i="28"/>
  <c r="E330" i="28"/>
  <c r="E229" i="28"/>
  <c r="E116" i="28"/>
  <c r="V20" i="28"/>
  <c r="AB186" i="26"/>
  <c r="AA183" i="26"/>
  <c r="E170" i="26"/>
  <c r="E160" i="26"/>
  <c r="E152" i="26"/>
  <c r="E144" i="26"/>
  <c r="E136" i="26"/>
  <c r="E128" i="26"/>
  <c r="E120" i="26"/>
  <c r="E112" i="26"/>
  <c r="E104" i="26"/>
  <c r="E96" i="26"/>
  <c r="E88" i="26"/>
  <c r="E75" i="26"/>
  <c r="E42" i="26"/>
  <c r="E26" i="26"/>
  <c r="Y17" i="26"/>
  <c r="B29" i="25"/>
  <c r="F24" i="25"/>
  <c r="N15" i="25"/>
  <c r="C7" i="25"/>
  <c r="E173" i="23"/>
  <c r="E78" i="23"/>
  <c r="E65" i="23"/>
  <c r="E55" i="23"/>
  <c r="E44" i="23"/>
  <c r="E28" i="23"/>
  <c r="Y18" i="23"/>
  <c r="K36" i="22"/>
  <c r="K30" i="22"/>
  <c r="F18" i="22"/>
  <c r="C9" i="22"/>
  <c r="AF183" i="20"/>
  <c r="E175" i="20"/>
  <c r="E80" i="20"/>
  <c r="E66" i="20"/>
  <c r="E56" i="20"/>
  <c r="E30" i="20"/>
  <c r="C20" i="20"/>
  <c r="K37" i="19"/>
  <c r="K31" i="19"/>
  <c r="F25" i="19"/>
  <c r="S19" i="19"/>
  <c r="AB184" i="17"/>
  <c r="E177" i="17"/>
  <c r="E82" i="17"/>
  <c r="E67" i="17"/>
  <c r="E58" i="17"/>
  <c r="E49" i="17"/>
  <c r="E32" i="17"/>
  <c r="E20" i="17"/>
  <c r="K32" i="16"/>
  <c r="E204" i="28"/>
  <c r="E251" i="28"/>
  <c r="E478" i="28"/>
  <c r="E230" i="28"/>
  <c r="E186" i="28"/>
  <c r="AA547" i="28"/>
  <c r="AA551" i="28"/>
  <c r="E105" i="28"/>
  <c r="E541" i="28"/>
  <c r="E459" i="28"/>
  <c r="E448" i="28"/>
  <c r="E427" i="28"/>
  <c r="E401" i="28"/>
  <c r="E376" i="28"/>
  <c r="E355" i="28"/>
  <c r="E329" i="28"/>
  <c r="G218" i="28"/>
  <c r="E169" i="28"/>
  <c r="E110" i="28"/>
  <c r="U20" i="28"/>
  <c r="E169" i="26"/>
  <c r="E87" i="26"/>
  <c r="E74" i="26"/>
  <c r="E63" i="26"/>
  <c r="E53" i="26"/>
  <c r="E41" i="26"/>
  <c r="E25" i="26"/>
  <c r="Y16" i="26"/>
  <c r="B24" i="25"/>
  <c r="K15" i="25"/>
  <c r="V5" i="25"/>
  <c r="E172" i="23"/>
  <c r="E161" i="23"/>
  <c r="E153" i="23"/>
  <c r="E145" i="23"/>
  <c r="E137" i="23"/>
  <c r="E129" i="23"/>
  <c r="E121" i="23"/>
  <c r="E113" i="23"/>
  <c r="E105" i="23"/>
  <c r="E97" i="23"/>
  <c r="E89" i="23"/>
  <c r="E77" i="23"/>
  <c r="E43" i="23"/>
  <c r="E27" i="23"/>
  <c r="U18" i="23"/>
  <c r="R24" i="22"/>
  <c r="B18" i="22"/>
  <c r="K7" i="22"/>
  <c r="AE183" i="20"/>
  <c r="E174" i="20"/>
  <c r="E162" i="20"/>
  <c r="E154" i="20"/>
  <c r="E146" i="20"/>
  <c r="E138" i="20"/>
  <c r="E130" i="20"/>
  <c r="E122" i="20"/>
  <c r="E114" i="20"/>
  <c r="E106" i="20"/>
  <c r="E98" i="20"/>
  <c r="E90" i="20"/>
  <c r="E79" i="20"/>
  <c r="E29" i="20"/>
  <c r="B20" i="20"/>
  <c r="B31" i="19"/>
  <c r="B25" i="19"/>
  <c r="K18" i="19"/>
  <c r="AA184" i="17"/>
  <c r="E176" i="17"/>
  <c r="E163" i="17"/>
  <c r="E155" i="17"/>
  <c r="E147" i="17"/>
  <c r="E139" i="17"/>
  <c r="E131" i="17"/>
  <c r="E543" i="28"/>
  <c r="E453" i="28"/>
  <c r="E435" i="28"/>
  <c r="E417" i="28"/>
  <c r="E399" i="28"/>
  <c r="E381" i="28"/>
  <c r="E363" i="28"/>
  <c r="E345" i="28"/>
  <c r="E250" i="28"/>
  <c r="E472" i="28"/>
  <c r="E224" i="28"/>
  <c r="E193" i="28"/>
  <c r="AB547" i="28"/>
  <c r="E99" i="28"/>
  <c r="E535" i="28"/>
  <c r="E447" i="28"/>
  <c r="E422" i="28"/>
  <c r="E375" i="28"/>
  <c r="E350" i="28"/>
  <c r="E311" i="28"/>
  <c r="G223" i="28"/>
  <c r="E218" i="28"/>
  <c r="E174" i="28"/>
  <c r="E104" i="28"/>
  <c r="G20" i="28"/>
  <c r="AD185" i="26"/>
  <c r="E168" i="26"/>
  <c r="E159" i="26"/>
  <c r="E151" i="26"/>
  <c r="E143" i="26"/>
  <c r="E135" i="26"/>
  <c r="E127" i="26"/>
  <c r="E119" i="26"/>
  <c r="E111" i="26"/>
  <c r="E103" i="26"/>
  <c r="E95" i="26"/>
  <c r="E86" i="26"/>
  <c r="E73" i="26"/>
  <c r="E40" i="26"/>
  <c r="E24" i="26"/>
  <c r="C14" i="26"/>
  <c r="K35" i="25"/>
  <c r="S5" i="25"/>
  <c r="AA187" i="23"/>
  <c r="AB183" i="23"/>
  <c r="E171" i="23"/>
  <c r="E76" i="23"/>
  <c r="E64" i="23"/>
  <c r="E54" i="23"/>
  <c r="E42" i="23"/>
  <c r="E26" i="23"/>
  <c r="Y17" i="23"/>
  <c r="B29" i="22"/>
  <c r="E173" i="20"/>
  <c r="E78" i="20"/>
  <c r="E65" i="20"/>
  <c r="E55" i="20"/>
  <c r="E44" i="20"/>
  <c r="E28" i="20"/>
  <c r="Y18" i="20"/>
  <c r="K36" i="19"/>
  <c r="K30" i="19"/>
  <c r="F18" i="19"/>
  <c r="C9" i="19"/>
  <c r="AF183" i="17"/>
  <c r="E175" i="17"/>
  <c r="E80" i="17"/>
  <c r="E66" i="17"/>
  <c r="E542" i="28"/>
  <c r="E249" i="28"/>
  <c r="E466" i="28"/>
  <c r="E210" i="28"/>
  <c r="E192" i="28"/>
  <c r="AB548" i="28"/>
  <c r="AC551" i="28"/>
  <c r="E93" i="28"/>
  <c r="E529" i="28"/>
  <c r="E446" i="28"/>
  <c r="E421" i="28"/>
  <c r="E400" i="28"/>
  <c r="E374" i="28"/>
  <c r="E349" i="28"/>
  <c r="E328" i="28"/>
  <c r="E310" i="28"/>
  <c r="E223" i="28"/>
  <c r="E98" i="28"/>
  <c r="F20" i="28"/>
  <c r="AC185" i="26"/>
  <c r="AB182" i="26"/>
  <c r="E167" i="26"/>
  <c r="E72" i="26"/>
  <c r="E62" i="26"/>
  <c r="E52" i="26"/>
  <c r="E39" i="26"/>
  <c r="E23" i="26"/>
  <c r="C12" i="26"/>
  <c r="K28" i="25"/>
  <c r="F23" i="25"/>
  <c r="N13" i="25"/>
  <c r="N5" i="25"/>
  <c r="AB186" i="23"/>
  <c r="AA183" i="23"/>
  <c r="E170" i="23"/>
  <c r="E160" i="23"/>
  <c r="E152" i="23"/>
  <c r="E144" i="23"/>
  <c r="E136" i="23"/>
  <c r="E128" i="23"/>
  <c r="E120" i="23"/>
  <c r="E112" i="23"/>
  <c r="E104" i="23"/>
  <c r="E96" i="23"/>
  <c r="E88" i="23"/>
  <c r="E75" i="23"/>
  <c r="E41" i="23"/>
  <c r="E25" i="23"/>
  <c r="Y16" i="23"/>
  <c r="F24" i="22"/>
  <c r="N15" i="22"/>
  <c r="C7" i="22"/>
  <c r="E172" i="20"/>
  <c r="E161" i="20"/>
  <c r="E153" i="20"/>
  <c r="E145" i="20"/>
  <c r="E137" i="20"/>
  <c r="E129" i="20"/>
  <c r="E121" i="20"/>
  <c r="E113" i="20"/>
  <c r="E105" i="20"/>
  <c r="E97" i="20"/>
  <c r="E89" i="20"/>
  <c r="E77" i="20"/>
  <c r="E424" i="28"/>
  <c r="E134" i="26"/>
  <c r="E87" i="23"/>
  <c r="K35" i="22"/>
  <c r="E171" i="20"/>
  <c r="R25" i="19"/>
  <c r="E162" i="17"/>
  <c r="E106" i="17"/>
  <c r="E73" i="17"/>
  <c r="E56" i="17"/>
  <c r="E41" i="17"/>
  <c r="G20" i="17"/>
  <c r="K37" i="16"/>
  <c r="B24" i="16"/>
  <c r="N13" i="16"/>
  <c r="K5" i="16"/>
  <c r="E83" i="17"/>
  <c r="B18" i="16"/>
  <c r="N15" i="16"/>
  <c r="E544" i="28"/>
  <c r="E248" i="28"/>
  <c r="E169" i="23"/>
  <c r="E53" i="23"/>
  <c r="E134" i="17"/>
  <c r="E123" i="17"/>
  <c r="E114" i="17"/>
  <c r="E97" i="17"/>
  <c r="E89" i="17"/>
  <c r="E71" i="17"/>
  <c r="E39" i="17"/>
  <c r="F20" i="17"/>
  <c r="B29" i="16"/>
  <c r="F23" i="16"/>
  <c r="C13" i="16"/>
  <c r="K25" i="16"/>
  <c r="K7" i="16"/>
  <c r="D5" i="17"/>
  <c r="E57" i="17"/>
  <c r="E389" i="28"/>
  <c r="E460" i="28"/>
  <c r="E118" i="26"/>
  <c r="E76" i="20"/>
  <c r="R24" i="19"/>
  <c r="E146" i="17"/>
  <c r="E105" i="17"/>
  <c r="E69" i="17"/>
  <c r="E55" i="17"/>
  <c r="E37" i="17"/>
  <c r="D20" i="17"/>
  <c r="K36" i="16"/>
  <c r="C5" i="16"/>
  <c r="Y16" i="17"/>
  <c r="E109" i="17"/>
  <c r="C7" i="16"/>
  <c r="E75" i="17"/>
  <c r="E209" i="28"/>
  <c r="E420" i="28"/>
  <c r="G173" i="28"/>
  <c r="E122" i="17"/>
  <c r="E113" i="17"/>
  <c r="E96" i="17"/>
  <c r="E88" i="17"/>
  <c r="E68" i="17"/>
  <c r="E35" i="17"/>
  <c r="C20" i="17"/>
  <c r="D4" i="16"/>
  <c r="B34" i="16"/>
  <c r="F25" i="16"/>
  <c r="E26" i="17"/>
  <c r="R24" i="16"/>
  <c r="E98" i="17"/>
  <c r="E352" i="28"/>
  <c r="E194" i="28"/>
  <c r="E102" i="26"/>
  <c r="K5" i="25"/>
  <c r="E74" i="23"/>
  <c r="V5" i="22"/>
  <c r="E86" i="17"/>
  <c r="E34" i="17"/>
  <c r="B20" i="17"/>
  <c r="K20" i="16"/>
  <c r="C11" i="16"/>
  <c r="C12" i="17"/>
  <c r="F18" i="16"/>
  <c r="B32" i="16"/>
  <c r="K15" i="22"/>
  <c r="E158" i="26"/>
  <c r="E85" i="26"/>
  <c r="E49" i="20"/>
  <c r="E103" i="17"/>
  <c r="E95" i="17"/>
  <c r="E33" i="17"/>
  <c r="Y18" i="17"/>
  <c r="K19" i="16"/>
  <c r="E31" i="17"/>
  <c r="W19" i="16"/>
  <c r="E29" i="17"/>
  <c r="C9" i="16"/>
  <c r="E44" i="17"/>
  <c r="Y2" i="16"/>
  <c r="N5" i="16"/>
  <c r="AD551" i="28"/>
  <c r="E305" i="28"/>
  <c r="E40" i="23"/>
  <c r="E43" i="20"/>
  <c r="W19" i="19"/>
  <c r="AD184" i="17"/>
  <c r="E130" i="17"/>
  <c r="E111" i="17"/>
  <c r="E85" i="17"/>
  <c r="U18" i="17"/>
  <c r="R25" i="16"/>
  <c r="E27" i="17"/>
  <c r="E91" i="17"/>
  <c r="E124" i="17"/>
  <c r="E442" i="28"/>
  <c r="E87" i="28"/>
  <c r="E395" i="28"/>
  <c r="E142" i="26"/>
  <c r="E24" i="23"/>
  <c r="E64" i="20"/>
  <c r="E42" i="20"/>
  <c r="B18" i="19"/>
  <c r="AE183" i="17"/>
  <c r="E142" i="17"/>
  <c r="E119" i="17"/>
  <c r="E102" i="17"/>
  <c r="E94" i="17"/>
  <c r="E65" i="17"/>
  <c r="E30" i="17"/>
  <c r="Y17" i="17"/>
  <c r="U19" i="16"/>
  <c r="E28" i="17"/>
  <c r="B33" i="16"/>
  <c r="V5" i="16"/>
  <c r="E523" i="28"/>
  <c r="E71" i="26"/>
  <c r="C14" i="23"/>
  <c r="E32" i="20"/>
  <c r="K32" i="19"/>
  <c r="E110" i="17"/>
  <c r="E84" i="17"/>
  <c r="E50" i="17"/>
  <c r="S19" i="16"/>
  <c r="K33" i="16"/>
  <c r="B25" i="16"/>
  <c r="F24" i="16"/>
  <c r="E406" i="28"/>
  <c r="E92" i="28"/>
  <c r="E126" i="26"/>
  <c r="E38" i="26"/>
  <c r="E27" i="20"/>
  <c r="E179" i="17"/>
  <c r="E154" i="17"/>
  <c r="E118" i="17"/>
  <c r="E101" i="17"/>
  <c r="E93" i="17"/>
  <c r="K18" i="16"/>
  <c r="E92" i="17"/>
  <c r="K31" i="16"/>
  <c r="E42" i="17"/>
  <c r="E20" i="28"/>
  <c r="E22" i="26"/>
  <c r="E63" i="23"/>
  <c r="E26" i="20"/>
  <c r="B29" i="19"/>
  <c r="E174" i="17"/>
  <c r="E127" i="17"/>
  <c r="C8" i="17"/>
  <c r="U20" i="17"/>
  <c r="E370" i="28"/>
  <c r="E458" i="28"/>
  <c r="AB181" i="26"/>
  <c r="E110" i="26"/>
  <c r="C10" i="26"/>
  <c r="E20" i="20"/>
  <c r="E173" i="17"/>
  <c r="E117" i="17"/>
  <c r="E100" i="17"/>
  <c r="E81" i="17"/>
  <c r="E60" i="17"/>
  <c r="K13" i="25"/>
  <c r="E54" i="20"/>
  <c r="E90" i="17"/>
  <c r="E166" i="26"/>
  <c r="B24" i="22"/>
  <c r="E58" i="20"/>
  <c r="U18" i="20"/>
  <c r="K7" i="19"/>
  <c r="E138" i="17"/>
  <c r="E126" i="17"/>
  <c r="E108" i="17"/>
  <c r="E79" i="17"/>
  <c r="E25" i="17"/>
  <c r="E78" i="17"/>
  <c r="E334" i="28"/>
  <c r="E348" i="28"/>
  <c r="E94" i="26"/>
  <c r="B23" i="25"/>
  <c r="Y17" i="20"/>
  <c r="E116" i="17"/>
  <c r="E99" i="17"/>
  <c r="E23" i="17"/>
  <c r="K30" i="16"/>
  <c r="E150" i="26"/>
  <c r="AA187" i="20"/>
  <c r="E107" i="17"/>
  <c r="E77" i="17"/>
  <c r="E59" i="17"/>
  <c r="E43" i="17"/>
  <c r="E21" i="17"/>
  <c r="B31" i="16"/>
  <c r="K15" i="16"/>
  <c r="S5" i="16"/>
  <c r="AB183" i="20"/>
  <c r="E115" i="17"/>
  <c r="G40" i="17"/>
  <c r="G78" i="17"/>
  <c r="G178" i="17"/>
  <c r="G21" i="17"/>
  <c r="G22" i="17"/>
  <c r="G171" i="17"/>
  <c r="G73" i="17"/>
  <c r="G26" i="17"/>
  <c r="G172" i="17"/>
  <c r="G39" i="17"/>
  <c r="G76" i="17"/>
  <c r="G33" i="17"/>
  <c r="G43" i="17"/>
  <c r="G29" i="17"/>
  <c r="G38" i="17"/>
  <c r="G31" i="17"/>
  <c r="G34" i="17"/>
  <c r="G173" i="17"/>
  <c r="G37" i="17"/>
  <c r="AA187" i="6"/>
  <c r="G42" i="17"/>
  <c r="G36" i="17"/>
  <c r="G75" i="17"/>
  <c r="G32" i="17"/>
  <c r="G25" i="17"/>
  <c r="G35" i="17"/>
  <c r="G80" i="17"/>
  <c r="G177" i="17"/>
  <c r="G74" i="17"/>
  <c r="G81" i="17"/>
  <c r="G30" i="17"/>
  <c r="G79" i="17"/>
  <c r="G41" i="17"/>
  <c r="G176" i="17"/>
  <c r="G44" i="17"/>
  <c r="G174" i="17"/>
  <c r="G28" i="17"/>
  <c r="G27" i="17"/>
  <c r="G179" i="17"/>
  <c r="G23" i="17"/>
  <c r="G24" i="17"/>
  <c r="E58" i="6"/>
  <c r="E57" i="6"/>
  <c r="E59" i="6"/>
  <c r="E56" i="6"/>
  <c r="AC185" i="6"/>
  <c r="AD184" i="6"/>
  <c r="AE183" i="6"/>
  <c r="AB186" i="6"/>
  <c r="AD185" i="6"/>
  <c r="AE184" i="6"/>
  <c r="AF183" i="6"/>
  <c r="AB184" i="6"/>
  <c r="AB183" i="6"/>
  <c r="AB182" i="6"/>
  <c r="AB181" i="6"/>
  <c r="AA181" i="6"/>
  <c r="AA185" i="6"/>
  <c r="AA183" i="6"/>
  <c r="AA184" i="6"/>
  <c r="G180" i="6"/>
  <c r="G163" i="6"/>
  <c r="G162" i="6"/>
  <c r="G161" i="6"/>
  <c r="G175" i="6"/>
  <c r="G170" i="6"/>
  <c r="G84" i="6"/>
  <c r="G52" i="6"/>
  <c r="E83" i="6"/>
  <c r="E178" i="6"/>
  <c r="E162" i="6"/>
  <c r="E146" i="6"/>
  <c r="E130" i="6"/>
  <c r="E114" i="6"/>
  <c r="E98" i="6"/>
  <c r="E80" i="6"/>
  <c r="E55" i="6"/>
  <c r="E34" i="6"/>
  <c r="G20" i="6"/>
  <c r="C6" i="6"/>
  <c r="G67" i="6"/>
  <c r="E61" i="6"/>
  <c r="E177" i="6"/>
  <c r="E161" i="6"/>
  <c r="E145" i="6"/>
  <c r="E129" i="6"/>
  <c r="E113" i="6"/>
  <c r="E97" i="6"/>
  <c r="E79" i="6"/>
  <c r="E54" i="6"/>
  <c r="E33" i="6"/>
  <c r="F20" i="6"/>
  <c r="C9" i="5"/>
  <c r="D5" i="6"/>
  <c r="G82" i="6"/>
  <c r="G66" i="6"/>
  <c r="E60" i="6"/>
  <c r="E176" i="6"/>
  <c r="E160" i="6"/>
  <c r="E144" i="6"/>
  <c r="E128" i="6"/>
  <c r="E112" i="6"/>
  <c r="E96" i="6"/>
  <c r="E78" i="6"/>
  <c r="E53" i="6"/>
  <c r="E32" i="6"/>
  <c r="E20" i="6"/>
  <c r="C8" i="6"/>
  <c r="E175" i="6"/>
  <c r="E159" i="6"/>
  <c r="E143" i="6"/>
  <c r="E127" i="6"/>
  <c r="E111" i="6"/>
  <c r="E95" i="6"/>
  <c r="E77" i="6"/>
  <c r="E52" i="6"/>
  <c r="E31" i="6"/>
  <c r="D20" i="6"/>
  <c r="G47" i="6"/>
  <c r="E174" i="6"/>
  <c r="E158" i="6"/>
  <c r="E142" i="6"/>
  <c r="E126" i="6"/>
  <c r="E110" i="6"/>
  <c r="E94" i="6"/>
  <c r="E76" i="6"/>
  <c r="E46" i="6"/>
  <c r="E30" i="6"/>
  <c r="C20" i="6"/>
  <c r="V4" i="6"/>
  <c r="E173" i="6"/>
  <c r="E157" i="6"/>
  <c r="E141" i="6"/>
  <c r="E125" i="6"/>
  <c r="E109" i="6"/>
  <c r="E93" i="6"/>
  <c r="E75" i="6"/>
  <c r="E45" i="6"/>
  <c r="E29" i="6"/>
  <c r="B20" i="6"/>
  <c r="G62" i="6"/>
  <c r="E172" i="6"/>
  <c r="E156" i="6"/>
  <c r="E140" i="6"/>
  <c r="E124" i="6"/>
  <c r="E108" i="6"/>
  <c r="E92" i="6"/>
  <c r="E74" i="6"/>
  <c r="E44" i="6"/>
  <c r="E28" i="6"/>
  <c r="Y18" i="6"/>
  <c r="G77" i="6"/>
  <c r="E65" i="6"/>
  <c r="E171" i="6"/>
  <c r="E155" i="6"/>
  <c r="E139" i="6"/>
  <c r="E123" i="6"/>
  <c r="E107" i="6"/>
  <c r="E91" i="6"/>
  <c r="E73" i="6"/>
  <c r="E43" i="6"/>
  <c r="E27" i="6"/>
  <c r="Y17" i="6"/>
  <c r="E64" i="6"/>
  <c r="E170" i="6"/>
  <c r="E154" i="6"/>
  <c r="E138" i="6"/>
  <c r="E122" i="6"/>
  <c r="E106" i="6"/>
  <c r="E90" i="6"/>
  <c r="E72" i="6"/>
  <c r="E42" i="6"/>
  <c r="E26" i="6"/>
  <c r="Y16" i="6"/>
  <c r="E63" i="6"/>
  <c r="E169" i="6"/>
  <c r="E153" i="6"/>
  <c r="E137" i="6"/>
  <c r="E121" i="6"/>
  <c r="E105" i="6"/>
  <c r="E89" i="6"/>
  <c r="E71" i="6"/>
  <c r="E25" i="6"/>
  <c r="G90" i="6"/>
  <c r="E51" i="6"/>
  <c r="E168" i="6"/>
  <c r="E152" i="6"/>
  <c r="E136" i="6"/>
  <c r="E120" i="6"/>
  <c r="E104" i="6"/>
  <c r="E88" i="6"/>
  <c r="E70" i="6"/>
  <c r="E40" i="6"/>
  <c r="E24" i="6"/>
  <c r="C10" i="6"/>
  <c r="U18" i="6"/>
  <c r="G89" i="6"/>
  <c r="E50" i="6"/>
  <c r="E167" i="6"/>
  <c r="E151" i="6"/>
  <c r="E135" i="6"/>
  <c r="E119" i="6"/>
  <c r="E103" i="6"/>
  <c r="E87" i="6"/>
  <c r="E69" i="6"/>
  <c r="E39" i="6"/>
  <c r="E23" i="6"/>
  <c r="C14" i="6"/>
  <c r="G88" i="6"/>
  <c r="E49" i="6"/>
  <c r="E166" i="6"/>
  <c r="E150" i="6"/>
  <c r="E134" i="6"/>
  <c r="E118" i="6"/>
  <c r="E102" i="6"/>
  <c r="E86" i="6"/>
  <c r="E68" i="6"/>
  <c r="E38" i="6"/>
  <c r="E22" i="6"/>
  <c r="E47" i="6"/>
  <c r="E165" i="6"/>
  <c r="E149" i="6"/>
  <c r="E133" i="6"/>
  <c r="E117" i="6"/>
  <c r="E101" i="6"/>
  <c r="E85" i="6"/>
  <c r="E67" i="6"/>
  <c r="E37" i="6"/>
  <c r="E21" i="6"/>
  <c r="C13" i="5"/>
  <c r="E180" i="6"/>
  <c r="E164" i="6"/>
  <c r="E148" i="6"/>
  <c r="E132" i="6"/>
  <c r="E116" i="6"/>
  <c r="E100" i="6"/>
  <c r="E82" i="6"/>
  <c r="E66" i="6"/>
  <c r="E36" i="6"/>
  <c r="V20" i="6"/>
  <c r="C12" i="6"/>
  <c r="E41" i="6"/>
  <c r="G53" i="6"/>
  <c r="E84" i="6"/>
  <c r="E179" i="6"/>
  <c r="E163" i="6"/>
  <c r="E147" i="6"/>
  <c r="E131" i="6"/>
  <c r="E115" i="6"/>
  <c r="E99" i="6"/>
  <c r="E81" i="6"/>
  <c r="E62" i="6"/>
  <c r="E35" i="6"/>
  <c r="U20" i="6"/>
  <c r="C11" i="5"/>
  <c r="K4" i="5"/>
  <c r="K7" i="5"/>
  <c r="U19" i="5"/>
  <c r="K37" i="5"/>
  <c r="S19" i="5"/>
  <c r="K19" i="5"/>
  <c r="K36" i="5"/>
  <c r="K17" i="5"/>
  <c r="K35" i="5"/>
  <c r="S15" i="5"/>
  <c r="K18" i="5"/>
  <c r="B23" i="5"/>
  <c r="K33" i="5"/>
  <c r="K34" i="5"/>
  <c r="S13" i="5"/>
  <c r="C7" i="5"/>
  <c r="K32" i="5"/>
  <c r="S9" i="5"/>
  <c r="B31" i="5"/>
  <c r="B17" i="5"/>
  <c r="Y2" i="5"/>
  <c r="N46" i="1"/>
  <c r="S4" i="5"/>
  <c r="B34" i="5"/>
  <c r="N15" i="5"/>
  <c r="Y1" i="5"/>
  <c r="B18" i="5"/>
  <c r="K31" i="5"/>
  <c r="V5" i="5"/>
  <c r="B33" i="5"/>
  <c r="N13" i="5"/>
  <c r="K30" i="5"/>
  <c r="S5" i="5"/>
  <c r="B32" i="5"/>
  <c r="R25" i="5"/>
  <c r="B29" i="5"/>
  <c r="K13" i="5"/>
  <c r="R24" i="5"/>
  <c r="K27" i="5"/>
  <c r="B28" i="5"/>
  <c r="K5" i="5"/>
  <c r="C5" i="5"/>
  <c r="B37" i="5"/>
  <c r="K25" i="5"/>
  <c r="B27" i="5"/>
  <c r="N5" i="5"/>
  <c r="K20" i="5"/>
  <c r="B36" i="5"/>
  <c r="K23" i="5"/>
  <c r="F25" i="5"/>
  <c r="B24" i="5"/>
  <c r="W19" i="5"/>
  <c r="K21" i="5"/>
  <c r="B25" i="5"/>
  <c r="D4" i="5"/>
  <c r="F24" i="5"/>
  <c r="F23" i="5"/>
  <c r="C39" i="4"/>
  <c r="C53" i="4"/>
  <c r="A52" i="4"/>
  <c r="C50" i="4"/>
  <c r="H48" i="4"/>
  <c r="H47" i="4"/>
  <c r="H46" i="4"/>
  <c r="C40" i="4"/>
  <c r="C38" i="4"/>
  <c r="B37" i="4"/>
  <c r="M56" i="4"/>
  <c r="N32" i="4"/>
  <c r="N31" i="4"/>
  <c r="C34" i="4"/>
  <c r="C32" i="4"/>
  <c r="C31" i="4"/>
  <c r="B30" i="4"/>
  <c r="N33" i="4"/>
  <c r="C33" i="4"/>
  <c r="C35" i="4"/>
  <c r="B7" i="4"/>
  <c r="B12" i="4"/>
  <c r="D5" i="4"/>
  <c r="D2" i="4"/>
  <c r="C36" i="1"/>
  <c r="H20" i="1"/>
  <c r="B12" i="1"/>
  <c r="C35" i="1"/>
  <c r="B14" i="1"/>
  <c r="D2" i="1"/>
  <c r="B20" i="1"/>
  <c r="B34" i="1"/>
  <c r="B16" i="1"/>
  <c r="I33" i="1"/>
  <c r="F32" i="1"/>
  <c r="B8" i="1"/>
  <c r="B31" i="1"/>
  <c r="B10" i="1"/>
  <c r="D5" i="1"/>
  <c r="N44" i="1"/>
  <c r="I41" i="1"/>
  <c r="C41" i="1"/>
  <c r="N26" i="1"/>
  <c r="N40" i="1"/>
  <c r="I26" i="1"/>
  <c r="C40" i="1"/>
  <c r="B26" i="1"/>
  <c r="C39" i="1"/>
  <c r="C38" i="1"/>
  <c r="B23" i="1"/>
  <c r="N36" i="1"/>
  <c r="AP115" i="6"/>
  <c r="AY115" i="6" s="1"/>
  <c r="AP114" i="6"/>
  <c r="AY114" i="6" s="1"/>
  <c r="AP113" i="6"/>
  <c r="AY113" i="6" s="1"/>
  <c r="AP111" i="6"/>
  <c r="AY111" i="6" s="1"/>
  <c r="AP110" i="6"/>
  <c r="AY110" i="6" s="1"/>
  <c r="AP109" i="6"/>
  <c r="AY109" i="6" s="1"/>
  <c r="AP108" i="6"/>
  <c r="AY108" i="6" s="1"/>
  <c r="AP107" i="6"/>
  <c r="AY107" i="6" s="1"/>
  <c r="AP106" i="6"/>
  <c r="AY106" i="6" s="1"/>
  <c r="AY160" i="6"/>
  <c r="AY159" i="6"/>
  <c r="AY158" i="6"/>
  <c r="AY157" i="6"/>
  <c r="AY156" i="6"/>
  <c r="AY155" i="6"/>
  <c r="AY154" i="6"/>
  <c r="AY153" i="6"/>
  <c r="AY152" i="6"/>
  <c r="AY151" i="6"/>
  <c r="AY150" i="6"/>
  <c r="AY149" i="6"/>
  <c r="AY148" i="6"/>
  <c r="AY147" i="6"/>
  <c r="AY146" i="6"/>
  <c r="AY145" i="6"/>
  <c r="AY144" i="6"/>
  <c r="AY143" i="6"/>
  <c r="AY142" i="6"/>
  <c r="AY141" i="6"/>
  <c r="AY140" i="6"/>
  <c r="AY139" i="6"/>
  <c r="AY138" i="6"/>
  <c r="AY136" i="6"/>
  <c r="AY135" i="6"/>
  <c r="AY134" i="6"/>
  <c r="AY133" i="6"/>
  <c r="AY131" i="6"/>
  <c r="AY130" i="6"/>
  <c r="AY129" i="6"/>
  <c r="AY128" i="6"/>
  <c r="AY126" i="6"/>
  <c r="AY125" i="6"/>
  <c r="AY124" i="6"/>
  <c r="AY123" i="6"/>
  <c r="AY121" i="6"/>
  <c r="AY120" i="6"/>
  <c r="AY119" i="6"/>
  <c r="AY118" i="6"/>
  <c r="AY116" i="6"/>
  <c r="AP112" i="6"/>
  <c r="AY112" i="6" s="1"/>
  <c r="AQ105" i="6"/>
  <c r="AO105" i="6"/>
  <c r="AL105" i="6" s="1"/>
  <c r="AY105" i="6" s="1"/>
  <c r="AQ104" i="6"/>
  <c r="AO104" i="6"/>
  <c r="AQ103" i="6"/>
  <c r="AO103" i="6"/>
  <c r="AL103" i="6" s="1"/>
  <c r="AY103" i="6" s="1"/>
  <c r="AQ101" i="6"/>
  <c r="AO101" i="6"/>
  <c r="AL101" i="6" s="1"/>
  <c r="AY101" i="6" s="1"/>
  <c r="AQ102" i="6"/>
  <c r="AL102" i="6" s="1"/>
  <c r="AY102" i="6" s="1"/>
  <c r="AO102" i="6"/>
  <c r="AL100" i="6"/>
  <c r="AL99" i="6"/>
  <c r="AL98" i="6"/>
  <c r="AL97" i="6"/>
  <c r="AL96" i="6"/>
  <c r="AL95" i="6"/>
  <c r="AL94" i="6"/>
  <c r="AL93" i="6"/>
  <c r="AL91" i="6"/>
  <c r="AL92" i="6"/>
  <c r="AQ100" i="6"/>
  <c r="AO100" i="6"/>
  <c r="AQ99" i="6"/>
  <c r="AO99" i="6"/>
  <c r="AQ98" i="6"/>
  <c r="AO98" i="6"/>
  <c r="AQ97" i="6"/>
  <c r="AO97" i="6"/>
  <c r="AQ96" i="6"/>
  <c r="AO96" i="6"/>
  <c r="AQ95" i="6"/>
  <c r="AO95" i="6"/>
  <c r="AQ94" i="6"/>
  <c r="AO94" i="6"/>
  <c r="AQ93" i="6"/>
  <c r="AO93" i="6"/>
  <c r="AQ92" i="6"/>
  <c r="AO92" i="6"/>
  <c r="AQ91" i="6"/>
  <c r="AO91" i="6"/>
  <c r="AL84" i="6"/>
  <c r="AW82" i="6"/>
  <c r="AU82" i="6"/>
  <c r="AW81" i="6"/>
  <c r="AU81" i="6"/>
  <c r="AW80" i="6"/>
  <c r="AU80" i="6"/>
  <c r="AW79" i="6"/>
  <c r="AU79" i="6"/>
  <c r="AW78" i="6"/>
  <c r="AU78" i="6"/>
  <c r="AW77" i="6"/>
  <c r="AU77" i="6"/>
  <c r="AW76" i="6"/>
  <c r="AU76" i="6"/>
  <c r="AW75" i="6"/>
  <c r="AU75" i="6"/>
  <c r="AW74" i="6"/>
  <c r="AU74" i="6"/>
  <c r="AW73" i="6"/>
  <c r="AU73" i="6"/>
  <c r="AW72" i="6"/>
  <c r="AU72" i="6"/>
  <c r="AW71" i="6"/>
  <c r="AU71" i="6"/>
  <c r="AW70" i="6"/>
  <c r="AU70" i="6"/>
  <c r="AW69" i="6"/>
  <c r="AU69" i="6"/>
  <c r="AW68" i="6"/>
  <c r="AU68" i="6"/>
  <c r="AT53" i="6"/>
  <c r="AT52" i="6"/>
  <c r="AT55" i="6"/>
  <c r="U183" i="26" l="1"/>
  <c r="V183" i="26" s="1"/>
  <c r="V182" i="26"/>
  <c r="U182" i="20"/>
  <c r="V182" i="20" s="1"/>
  <c r="U182" i="23"/>
  <c r="V182" i="23" s="1"/>
  <c r="AL104" i="6"/>
  <c r="AY104" i="6" s="1"/>
  <c r="AZ70" i="6"/>
  <c r="AY99" i="6"/>
  <c r="AZ74" i="6"/>
  <c r="AZ69" i="6"/>
  <c r="AZ82" i="6"/>
  <c r="AY97" i="6"/>
  <c r="AZ73" i="6"/>
  <c r="AZ81" i="6"/>
  <c r="AY98" i="6"/>
  <c r="AY100" i="6"/>
  <c r="AZ68" i="6"/>
  <c r="AZ76" i="6"/>
  <c r="AZ77" i="6"/>
  <c r="AY92" i="6"/>
  <c r="AZ78" i="6"/>
  <c r="AY91" i="6"/>
  <c r="AZ75" i="6"/>
  <c r="AY93" i="6"/>
  <c r="AZ71" i="6"/>
  <c r="AZ79" i="6"/>
  <c r="AY94" i="6"/>
  <c r="AY95" i="6"/>
  <c r="AZ72" i="6"/>
  <c r="AZ80" i="6"/>
  <c r="AY96" i="6"/>
  <c r="AP52" i="6"/>
  <c r="AP53" i="6"/>
  <c r="AP54" i="6"/>
  <c r="AP55" i="6"/>
  <c r="AT54" i="6"/>
  <c r="BG55" i="6"/>
  <c r="BG52" i="6"/>
  <c r="BS55" i="6"/>
  <c r="BS54" i="6"/>
  <c r="BS53" i="6"/>
  <c r="BS52" i="6"/>
  <c r="AW179" i="6"/>
  <c r="AU179" i="6"/>
  <c r="AW178" i="6"/>
  <c r="AU178" i="6"/>
  <c r="AW177" i="6"/>
  <c r="AU177" i="6"/>
  <c r="AW176" i="6"/>
  <c r="AU176" i="6"/>
  <c r="AW174" i="6"/>
  <c r="AU174" i="6"/>
  <c r="AW173" i="6"/>
  <c r="AU173" i="6"/>
  <c r="AW172" i="6"/>
  <c r="AU172" i="6"/>
  <c r="AW171" i="6"/>
  <c r="AU171" i="6"/>
  <c r="AW169" i="6"/>
  <c r="AU169" i="6"/>
  <c r="AW168" i="6"/>
  <c r="AU168" i="6"/>
  <c r="AW167" i="6"/>
  <c r="AU167" i="6"/>
  <c r="AW166" i="6"/>
  <c r="AU166" i="6"/>
  <c r="AH162" i="6"/>
  <c r="AG162" i="6" s="1"/>
  <c r="AG163" i="6"/>
  <c r="AL163" i="6"/>
  <c r="AL162" i="6"/>
  <c r="AP165" i="6"/>
  <c r="AU165" i="6" s="1"/>
  <c r="AP164" i="6"/>
  <c r="AU164" i="6" s="1"/>
  <c r="AL165" i="6"/>
  <c r="AL164" i="6"/>
  <c r="AH165" i="6"/>
  <c r="AH164" i="6"/>
  <c r="AH44" i="6"/>
  <c r="AH43" i="6"/>
  <c r="AH42" i="6"/>
  <c r="AH41" i="6"/>
  <c r="AH32" i="6"/>
  <c r="AH31" i="6"/>
  <c r="AH30" i="6"/>
  <c r="AH29" i="6"/>
  <c r="AH40" i="6"/>
  <c r="AH39" i="6"/>
  <c r="AH38" i="6"/>
  <c r="AH37" i="6"/>
  <c r="AH28" i="6"/>
  <c r="AH27" i="6"/>
  <c r="AH26" i="6"/>
  <c r="AH25" i="6"/>
  <c r="AH36" i="6"/>
  <c r="AH35" i="6"/>
  <c r="AH34" i="6"/>
  <c r="AH33" i="6"/>
  <c r="AH24" i="6"/>
  <c r="AH23" i="6"/>
  <c r="AH22" i="6"/>
  <c r="U183" i="20" l="1"/>
  <c r="U184" i="20" s="1"/>
  <c r="U184" i="26"/>
  <c r="V184" i="26" s="1"/>
  <c r="U183" i="23"/>
  <c r="V183" i="23" s="1"/>
  <c r="AZ173" i="6"/>
  <c r="AZ172" i="6"/>
  <c r="AZ169" i="6"/>
  <c r="AZ178" i="6"/>
  <c r="AZ179" i="6"/>
  <c r="AZ168" i="6"/>
  <c r="AU162" i="6"/>
  <c r="AU163" i="6"/>
  <c r="AZ167" i="6"/>
  <c r="AZ171" i="6"/>
  <c r="AZ177" i="6"/>
  <c r="AZ174" i="6"/>
  <c r="AZ166" i="6"/>
  <c r="AZ176" i="6"/>
  <c r="BG53" i="6"/>
  <c r="BO55" i="6"/>
  <c r="BK55" i="6"/>
  <c r="BK52" i="6"/>
  <c r="BO52" i="6"/>
  <c r="BG54" i="6"/>
  <c r="BO54" i="6" s="1"/>
  <c r="BB55" i="6"/>
  <c r="AX55" i="6"/>
  <c r="BB54" i="6"/>
  <c r="BX54" i="6" s="1"/>
  <c r="BB53" i="6"/>
  <c r="AX53" i="6"/>
  <c r="BB52" i="6"/>
  <c r="BX52" i="6" s="1"/>
  <c r="AX52" i="6"/>
  <c r="AG164" i="6"/>
  <c r="AG165" i="6"/>
  <c r="V183" i="20" l="1"/>
  <c r="V184" i="20" s="1"/>
  <c r="U185" i="26"/>
  <c r="V185" i="26" s="1"/>
  <c r="U185" i="20"/>
  <c r="V185" i="20" s="1"/>
  <c r="U184" i="23"/>
  <c r="V184" i="23" s="1"/>
  <c r="BX53" i="6"/>
  <c r="CA52" i="6"/>
  <c r="CA55" i="6"/>
  <c r="BK53" i="6"/>
  <c r="BO53" i="6"/>
  <c r="BX55" i="6"/>
  <c r="BK54" i="6"/>
  <c r="CA54" i="6" s="1"/>
  <c r="B165" i="6"/>
  <c r="AG459" i="28" s="1"/>
  <c r="B164" i="6"/>
  <c r="AG458" i="28" s="1"/>
  <c r="B162" i="6"/>
  <c r="AG456" i="28" s="1"/>
  <c r="U186" i="20" l="1"/>
  <c r="V186" i="20" s="1"/>
  <c r="U186" i="26"/>
  <c r="V186" i="26" s="1"/>
  <c r="U185" i="23"/>
  <c r="V185" i="23" s="1"/>
  <c r="V162" i="6"/>
  <c r="V164" i="6"/>
  <c r="V165" i="6"/>
  <c r="CA53" i="6"/>
  <c r="CE53" i="6" s="1"/>
  <c r="AG53" i="6" s="1"/>
  <c r="B53" i="6" s="1"/>
  <c r="AG173" i="28" s="1"/>
  <c r="CE54" i="6"/>
  <c r="CE55" i="6"/>
  <c r="AG55" i="6" s="1"/>
  <c r="B55" i="6" s="1"/>
  <c r="AG175" i="28" s="1"/>
  <c r="CE52" i="6"/>
  <c r="AL180" i="6"/>
  <c r="AL179" i="6"/>
  <c r="AL178" i="6"/>
  <c r="AL177" i="6"/>
  <c r="AL176" i="6"/>
  <c r="AL175" i="6"/>
  <c r="AL174" i="6"/>
  <c r="AL173" i="6"/>
  <c r="AL172" i="6"/>
  <c r="AL171" i="6"/>
  <c r="AH180" i="6"/>
  <c r="AH179" i="6"/>
  <c r="AH178" i="6"/>
  <c r="AH177" i="6"/>
  <c r="AH176" i="6"/>
  <c r="AH175" i="6"/>
  <c r="AH174" i="6"/>
  <c r="AH173" i="6"/>
  <c r="AH172" i="6"/>
  <c r="AL170" i="6"/>
  <c r="AL169" i="6"/>
  <c r="AL166" i="6"/>
  <c r="AL167" i="6"/>
  <c r="AL168" i="6"/>
  <c r="AH169" i="6"/>
  <c r="AH168" i="6"/>
  <c r="AH167" i="6"/>
  <c r="AH166" i="6"/>
  <c r="AH170" i="6"/>
  <c r="AG161" i="6"/>
  <c r="AH160" i="6"/>
  <c r="AH159" i="6"/>
  <c r="AH158" i="6"/>
  <c r="AH157" i="6"/>
  <c r="AH156" i="6"/>
  <c r="AH155" i="6"/>
  <c r="AH154" i="6"/>
  <c r="AH153" i="6"/>
  <c r="AH152" i="6"/>
  <c r="AH151" i="6"/>
  <c r="AH150" i="6"/>
  <c r="AH149" i="6"/>
  <c r="AH148" i="6"/>
  <c r="AH147" i="6"/>
  <c r="AH146" i="6"/>
  <c r="AH145" i="6"/>
  <c r="AH144" i="6"/>
  <c r="AH143" i="6"/>
  <c r="AH142" i="6"/>
  <c r="AH141" i="6"/>
  <c r="AH140" i="6"/>
  <c r="AH139" i="6"/>
  <c r="AH138" i="6"/>
  <c r="AH137" i="6"/>
  <c r="AH136" i="6"/>
  <c r="AH135" i="6"/>
  <c r="AH134" i="6"/>
  <c r="AH133" i="6"/>
  <c r="AH132" i="6"/>
  <c r="AH131" i="6"/>
  <c r="AH130" i="6"/>
  <c r="AH129" i="6"/>
  <c r="AH128" i="6"/>
  <c r="AH127" i="6"/>
  <c r="AH126" i="6"/>
  <c r="AH125" i="6"/>
  <c r="AH124" i="6"/>
  <c r="AH123" i="6"/>
  <c r="AH122" i="6"/>
  <c r="AH121" i="6"/>
  <c r="AH115" i="6"/>
  <c r="AH114" i="6"/>
  <c r="AH113" i="6"/>
  <c r="AH112" i="6"/>
  <c r="AH111" i="6"/>
  <c r="AH120" i="6"/>
  <c r="AH119" i="6"/>
  <c r="AH118" i="6"/>
  <c r="AH117" i="6"/>
  <c r="AH116" i="6"/>
  <c r="AH110" i="6"/>
  <c r="AH109" i="6"/>
  <c r="AH108" i="6"/>
  <c r="AH107" i="6"/>
  <c r="AH106" i="6"/>
  <c r="AH105" i="6"/>
  <c r="AH104" i="6"/>
  <c r="AH103" i="6"/>
  <c r="AH102" i="6"/>
  <c r="AH101" i="6"/>
  <c r="AH100" i="6"/>
  <c r="AH99" i="6"/>
  <c r="AH98" i="6"/>
  <c r="AH97" i="6"/>
  <c r="AH96" i="6"/>
  <c r="AH95" i="6"/>
  <c r="AH94" i="6"/>
  <c r="AH93" i="6"/>
  <c r="AH92" i="6"/>
  <c r="AH91" i="6"/>
  <c r="AG87" i="6"/>
  <c r="AG86" i="6"/>
  <c r="AG85" i="6"/>
  <c r="B85" i="6" s="1"/>
  <c r="AG313" i="28" s="1"/>
  <c r="AG84" i="6"/>
  <c r="AH82" i="6"/>
  <c r="AH81" i="6"/>
  <c r="AH80" i="6"/>
  <c r="AH79" i="6"/>
  <c r="AH78" i="6"/>
  <c r="AL82" i="6"/>
  <c r="AL81" i="6"/>
  <c r="AL80" i="6"/>
  <c r="AL79" i="6"/>
  <c r="AL78" i="6"/>
  <c r="AH77" i="6"/>
  <c r="AH76" i="6"/>
  <c r="AH75" i="6"/>
  <c r="AH74" i="6"/>
  <c r="AH73" i="6"/>
  <c r="AL77" i="6"/>
  <c r="AL76" i="6"/>
  <c r="AL75" i="6"/>
  <c r="AL74" i="6"/>
  <c r="AL73" i="6"/>
  <c r="AL72" i="6"/>
  <c r="AL71" i="6"/>
  <c r="AL70" i="6"/>
  <c r="AL69" i="6"/>
  <c r="AL68" i="6"/>
  <c r="AH72" i="6"/>
  <c r="AH71" i="6"/>
  <c r="AH70" i="6"/>
  <c r="AH69" i="6"/>
  <c r="AH68" i="6"/>
  <c r="AG67" i="6"/>
  <c r="B67" i="6" s="1"/>
  <c r="AG66" i="6"/>
  <c r="B66" i="6" s="1"/>
  <c r="AG65" i="6"/>
  <c r="AG63" i="6"/>
  <c r="AG64" i="6"/>
  <c r="AG58" i="6"/>
  <c r="AG59" i="6"/>
  <c r="AG56" i="6"/>
  <c r="AG47" i="6"/>
  <c r="B47" i="6" s="1"/>
  <c r="AG167" i="28" s="1"/>
  <c r="AG46" i="6"/>
  <c r="B46" i="6" s="1"/>
  <c r="AG166" i="28" s="1"/>
  <c r="AG45" i="6"/>
  <c r="B45" i="6" s="1"/>
  <c r="AG165" i="28" s="1"/>
  <c r="U187" i="20" l="1"/>
  <c r="V187" i="20" s="1"/>
  <c r="U187" i="26"/>
  <c r="V187" i="26" s="1"/>
  <c r="B167" i="28"/>
  <c r="V167" i="28" s="1"/>
  <c r="B166" i="28"/>
  <c r="V166" i="28" s="1"/>
  <c r="B165" i="28"/>
  <c r="V165" i="28" s="1"/>
  <c r="U186" i="23"/>
  <c r="V186" i="23" s="1"/>
  <c r="AG223" i="28"/>
  <c r="D67" i="6"/>
  <c r="AG222" i="28"/>
  <c r="V85" i="6"/>
  <c r="V67" i="6"/>
  <c r="V45" i="6"/>
  <c r="V46" i="6"/>
  <c r="V47" i="6"/>
  <c r="V55" i="6"/>
  <c r="V53" i="6"/>
  <c r="D66" i="6"/>
  <c r="V66" i="6"/>
  <c r="AG52" i="6"/>
  <c r="B52" i="6" s="1"/>
  <c r="AG172" i="28" s="1"/>
  <c r="AG54" i="6"/>
  <c r="B54" i="6" s="1"/>
  <c r="AG174" i="28" s="1"/>
  <c r="U8" i="6"/>
  <c r="S16" i="6"/>
  <c r="S14" i="6"/>
  <c r="S12" i="6"/>
  <c r="S10" i="6"/>
  <c r="U187" i="23" l="1"/>
  <c r="V187" i="23" s="1"/>
  <c r="G174" i="6"/>
  <c r="G36" i="6"/>
  <c r="G173" i="6"/>
  <c r="G35" i="6"/>
  <c r="G172" i="6"/>
  <c r="G34" i="6"/>
  <c r="G171" i="6"/>
  <c r="G33" i="6"/>
  <c r="G32" i="6"/>
  <c r="G31" i="6"/>
  <c r="G30" i="6"/>
  <c r="G29" i="6"/>
  <c r="G81" i="6"/>
  <c r="G44" i="6"/>
  <c r="G28" i="6"/>
  <c r="G74" i="6"/>
  <c r="G22" i="6"/>
  <c r="G21" i="6"/>
  <c r="G80" i="6"/>
  <c r="G43" i="6"/>
  <c r="G27" i="6"/>
  <c r="G39" i="6"/>
  <c r="G79" i="6"/>
  <c r="G42" i="6"/>
  <c r="G26" i="6"/>
  <c r="G23" i="6"/>
  <c r="G78" i="6"/>
  <c r="G41" i="6"/>
  <c r="G25" i="6"/>
  <c r="G38" i="6"/>
  <c r="G179" i="6"/>
  <c r="G76" i="6"/>
  <c r="G40" i="6"/>
  <c r="G24" i="6"/>
  <c r="G178" i="6"/>
  <c r="G75" i="6"/>
  <c r="G37" i="6"/>
  <c r="G177" i="6"/>
  <c r="G176" i="6"/>
  <c r="G73" i="6"/>
  <c r="V54" i="6"/>
  <c r="V52" i="6"/>
  <c r="AH48" i="5"/>
  <c r="AH49" i="5"/>
  <c r="AH47" i="5"/>
  <c r="AH39" i="5"/>
  <c r="AH36" i="5"/>
  <c r="AH41" i="5" l="1"/>
  <c r="AH40" i="5"/>
  <c r="AL59" i="6" s="1"/>
  <c r="B59" i="6" s="1"/>
  <c r="AH50" i="5"/>
  <c r="AH34" i="5"/>
  <c r="AH35" i="5"/>
  <c r="AI51" i="5" l="1"/>
  <c r="AH51" i="5" s="1"/>
  <c r="AG207" i="28"/>
  <c r="AM207" i="28" s="1"/>
  <c r="AG206" i="28"/>
  <c r="AM206" i="28" s="1"/>
  <c r="B206" i="28" s="1"/>
  <c r="AP84" i="6"/>
  <c r="AU84" i="6" s="1"/>
  <c r="AN55" i="5"/>
  <c r="AM55" i="5"/>
  <c r="AO55" i="5"/>
  <c r="AP55" i="5"/>
  <c r="AL57" i="6"/>
  <c r="B57" i="6" s="1"/>
  <c r="AL58" i="6"/>
  <c r="B58" i="6" s="1"/>
  <c r="AL56" i="6"/>
  <c r="B56" i="6" s="1"/>
  <c r="AH52" i="5"/>
  <c r="H34" i="5"/>
  <c r="AP21" i="6" l="1"/>
  <c r="AG21" i="6" s="1"/>
  <c r="B21" i="6" s="1"/>
  <c r="AG197" i="28"/>
  <c r="AM197" i="28" s="1"/>
  <c r="AG196" i="28"/>
  <c r="AM196" i="28" s="1"/>
  <c r="B196" i="28" s="1"/>
  <c r="AG177" i="28"/>
  <c r="AM177" i="28" s="1"/>
  <c r="AG176" i="28"/>
  <c r="AM176" i="28" s="1"/>
  <c r="AG186" i="28"/>
  <c r="AM186" i="28" s="1"/>
  <c r="B186" i="28" s="1"/>
  <c r="AG187" i="28"/>
  <c r="AM187" i="28" s="1"/>
  <c r="AN187" i="28"/>
  <c r="C187" i="28" s="1"/>
  <c r="B207" i="28"/>
  <c r="AH55" i="5"/>
  <c r="Z87" i="6"/>
  <c r="B84" i="6"/>
  <c r="AW145" i="6"/>
  <c r="AW140" i="6"/>
  <c r="AW135" i="6"/>
  <c r="AW130" i="6"/>
  <c r="AW125" i="6"/>
  <c r="AW115" i="6"/>
  <c r="AW120" i="6"/>
  <c r="AW110" i="6"/>
  <c r="AW105" i="6"/>
  <c r="AS180" i="6"/>
  <c r="AW100" i="6"/>
  <c r="AS175" i="6"/>
  <c r="AW95" i="6"/>
  <c r="AS170" i="6"/>
  <c r="AW160" i="6"/>
  <c r="AW155" i="6"/>
  <c r="AW150" i="6"/>
  <c r="AS77" i="6"/>
  <c r="AS82" i="6"/>
  <c r="AS72" i="6"/>
  <c r="AP35" i="6"/>
  <c r="AG35" i="6" s="1"/>
  <c r="B35" i="6" s="1"/>
  <c r="AP44" i="6"/>
  <c r="AG44" i="6" s="1"/>
  <c r="B44" i="6" s="1"/>
  <c r="AP33" i="6"/>
  <c r="AG33" i="6" s="1"/>
  <c r="B33" i="6" s="1"/>
  <c r="AP32" i="6"/>
  <c r="AG32" i="6" s="1"/>
  <c r="AP25" i="6"/>
  <c r="AG25" i="6" s="1"/>
  <c r="AP43" i="6"/>
  <c r="AG43" i="6" s="1"/>
  <c r="B43" i="6" s="1"/>
  <c r="AP22" i="6"/>
  <c r="AG22" i="6" s="1"/>
  <c r="AP23" i="6"/>
  <c r="AG23" i="6" s="1"/>
  <c r="AP42" i="6"/>
  <c r="AG42" i="6" s="1"/>
  <c r="B42" i="6" s="1"/>
  <c r="AP31" i="6"/>
  <c r="AG31" i="6" s="1"/>
  <c r="AP41" i="6"/>
  <c r="AG41" i="6" s="1"/>
  <c r="B41" i="6" s="1"/>
  <c r="AP30" i="6"/>
  <c r="AG30" i="6" s="1"/>
  <c r="AP38" i="6"/>
  <c r="AG38" i="6" s="1"/>
  <c r="B38" i="6" s="1"/>
  <c r="AP37" i="6"/>
  <c r="AG37" i="6" s="1"/>
  <c r="B37" i="6" s="1"/>
  <c r="AP29" i="6"/>
  <c r="AG29" i="6" s="1"/>
  <c r="AP28" i="6"/>
  <c r="AG28" i="6" s="1"/>
  <c r="AP40" i="6"/>
  <c r="AG40" i="6" s="1"/>
  <c r="B40" i="6" s="1"/>
  <c r="AP27" i="6"/>
  <c r="AG27" i="6" s="1"/>
  <c r="AP39" i="6"/>
  <c r="AG39" i="6" s="1"/>
  <c r="B39" i="6" s="1"/>
  <c r="AP24" i="6"/>
  <c r="AG24" i="6" s="1"/>
  <c r="AP34" i="6"/>
  <c r="AG34" i="6" s="1"/>
  <c r="B34" i="6" s="1"/>
  <c r="AP36" i="6"/>
  <c r="AG36" i="6" s="1"/>
  <c r="B36" i="6" s="1"/>
  <c r="AP26" i="6"/>
  <c r="AG26" i="6" s="1"/>
  <c r="AP179" i="6"/>
  <c r="AP176" i="6"/>
  <c r="AP178" i="6"/>
  <c r="AP177" i="6"/>
  <c r="AP171" i="6"/>
  <c r="AP172" i="6"/>
  <c r="AP174" i="6"/>
  <c r="AP173" i="6"/>
  <c r="AP170" i="6"/>
  <c r="AG170" i="6" s="1"/>
  <c r="AP180" i="6"/>
  <c r="AG180" i="6" s="1"/>
  <c r="AP175" i="6"/>
  <c r="AG175" i="6" s="1"/>
  <c r="AU150" i="6"/>
  <c r="AG150" i="6" s="1"/>
  <c r="AU115" i="6"/>
  <c r="AG115" i="6" s="1"/>
  <c r="AP82" i="6"/>
  <c r="AG82" i="6" s="1"/>
  <c r="AU110" i="6"/>
  <c r="AG110" i="6" s="1"/>
  <c r="AU140" i="6"/>
  <c r="AG140" i="6" s="1"/>
  <c r="AU125" i="6"/>
  <c r="AG125" i="6" s="1"/>
  <c r="AU95" i="6"/>
  <c r="AG95" i="6" s="1"/>
  <c r="C95" i="6" s="1"/>
  <c r="AU105" i="6"/>
  <c r="AG105" i="6" s="1"/>
  <c r="AU100" i="6"/>
  <c r="AG100" i="6" s="1"/>
  <c r="AU145" i="6"/>
  <c r="AG145" i="6" s="1"/>
  <c r="AU155" i="6"/>
  <c r="AG155" i="6" s="1"/>
  <c r="AU160" i="6"/>
  <c r="AG160" i="6" s="1"/>
  <c r="AU135" i="6"/>
  <c r="AG135" i="6" s="1"/>
  <c r="AU120" i="6"/>
  <c r="AG120" i="6" s="1"/>
  <c r="AP72" i="6"/>
  <c r="AG72" i="6" s="1"/>
  <c r="AU130" i="6"/>
  <c r="AG130" i="6" s="1"/>
  <c r="AP77" i="6"/>
  <c r="AG77" i="6" s="1"/>
  <c r="AP169" i="6"/>
  <c r="AP168" i="6"/>
  <c r="AP167" i="6"/>
  <c r="AP166" i="6"/>
  <c r="AU138" i="6"/>
  <c r="AG138" i="6" s="1"/>
  <c r="B138" i="6" s="1"/>
  <c r="AG412" i="28" s="1"/>
  <c r="AL412" i="28" s="1"/>
  <c r="B412" i="28" s="1"/>
  <c r="AU152" i="6"/>
  <c r="AG152" i="6" s="1"/>
  <c r="B152" i="6" s="1"/>
  <c r="AG438" i="28" s="1"/>
  <c r="AL438" i="28" s="1"/>
  <c r="B438" i="28" s="1"/>
  <c r="AU114" i="6"/>
  <c r="AG114" i="6" s="1"/>
  <c r="B114" i="6" s="1"/>
  <c r="AG368" i="28" s="1"/>
  <c r="AL368" i="28" s="1"/>
  <c r="B368" i="28" s="1"/>
  <c r="AU119" i="6"/>
  <c r="AG119" i="6" s="1"/>
  <c r="B119" i="6" s="1"/>
  <c r="AG377" i="28" s="1"/>
  <c r="AL377" i="28" s="1"/>
  <c r="B377" i="28" s="1"/>
  <c r="AU142" i="6"/>
  <c r="AG142" i="6" s="1"/>
  <c r="B142" i="6" s="1"/>
  <c r="AG420" i="28" s="1"/>
  <c r="AL420" i="28" s="1"/>
  <c r="B420" i="28" s="1"/>
  <c r="AU147" i="6"/>
  <c r="AG147" i="6" s="1"/>
  <c r="B147" i="6" s="1"/>
  <c r="AG429" i="28" s="1"/>
  <c r="AL429" i="28" s="1"/>
  <c r="B429" i="28" s="1"/>
  <c r="AU134" i="6"/>
  <c r="AG134" i="6" s="1"/>
  <c r="B134" i="6" s="1"/>
  <c r="AG404" i="28" s="1"/>
  <c r="AL404" i="28" s="1"/>
  <c r="B404" i="28" s="1"/>
  <c r="AU126" i="6"/>
  <c r="AG126" i="6" s="1"/>
  <c r="B126" i="6" s="1"/>
  <c r="AG392" i="28" s="1"/>
  <c r="AL392" i="28" s="1"/>
  <c r="B392" i="28" s="1"/>
  <c r="AU122" i="6"/>
  <c r="AU156" i="6"/>
  <c r="AG156" i="6" s="1"/>
  <c r="B156" i="6" s="1"/>
  <c r="AG446" i="28" s="1"/>
  <c r="AL446" i="28" s="1"/>
  <c r="B446" i="28" s="1"/>
  <c r="AU113" i="6"/>
  <c r="AG113" i="6" s="1"/>
  <c r="B113" i="6" s="1"/>
  <c r="AG367" i="28" s="1"/>
  <c r="AL367" i="28" s="1"/>
  <c r="B367" i="28" s="1"/>
  <c r="AU144" i="6"/>
  <c r="AG144" i="6" s="1"/>
  <c r="B144" i="6" s="1"/>
  <c r="AG422" i="28" s="1"/>
  <c r="AL422" i="28" s="1"/>
  <c r="B422" i="28" s="1"/>
  <c r="AU153" i="6"/>
  <c r="AG153" i="6" s="1"/>
  <c r="B153" i="6" s="1"/>
  <c r="AG439" i="28" s="1"/>
  <c r="AL439" i="28" s="1"/>
  <c r="B439" i="28" s="1"/>
  <c r="AU151" i="6"/>
  <c r="AG151" i="6" s="1"/>
  <c r="B151" i="6" s="1"/>
  <c r="AG437" i="28" s="1"/>
  <c r="AL437" i="28" s="1"/>
  <c r="B437" i="28" s="1"/>
  <c r="AU141" i="6"/>
  <c r="AG141" i="6" s="1"/>
  <c r="B141" i="6" s="1"/>
  <c r="AG419" i="28" s="1"/>
  <c r="AL419" i="28" s="1"/>
  <c r="B419" i="28" s="1"/>
  <c r="AU137" i="6"/>
  <c r="AU118" i="6"/>
  <c r="AG118" i="6" s="1"/>
  <c r="B118" i="6" s="1"/>
  <c r="AG376" i="28" s="1"/>
  <c r="AL376" i="28" s="1"/>
  <c r="B376" i="28" s="1"/>
  <c r="AU121" i="6"/>
  <c r="AG121" i="6" s="1"/>
  <c r="B121" i="6" s="1"/>
  <c r="AG383" i="28" s="1"/>
  <c r="AL383" i="28" s="1"/>
  <c r="B383" i="28" s="1"/>
  <c r="AU123" i="6"/>
  <c r="AG123" i="6" s="1"/>
  <c r="B123" i="6" s="1"/>
  <c r="AG385" i="28" s="1"/>
  <c r="AL385" i="28" s="1"/>
  <c r="B385" i="28" s="1"/>
  <c r="AU146" i="6"/>
  <c r="AG146" i="6" s="1"/>
  <c r="B146" i="6" s="1"/>
  <c r="AG428" i="28" s="1"/>
  <c r="AL428" i="28" s="1"/>
  <c r="B428" i="28" s="1"/>
  <c r="AU112" i="6"/>
  <c r="AG112" i="6" s="1"/>
  <c r="B112" i="6" s="1"/>
  <c r="AG366" i="28" s="1"/>
  <c r="AL366" i="28" s="1"/>
  <c r="B366" i="28" s="1"/>
  <c r="AU133" i="6"/>
  <c r="AG133" i="6" s="1"/>
  <c r="B133" i="6" s="1"/>
  <c r="AG403" i="28" s="1"/>
  <c r="AL403" i="28" s="1"/>
  <c r="B403" i="28" s="1"/>
  <c r="AU129" i="6"/>
  <c r="AG129" i="6" s="1"/>
  <c r="B129" i="6" s="1"/>
  <c r="AG395" i="28" s="1"/>
  <c r="AL395" i="28" s="1"/>
  <c r="B395" i="28" s="1"/>
  <c r="AU159" i="6"/>
  <c r="AG159" i="6" s="1"/>
  <c r="B159" i="6" s="1"/>
  <c r="AG449" i="28" s="1"/>
  <c r="AL449" i="28" s="1"/>
  <c r="B449" i="28" s="1"/>
  <c r="AU111" i="6"/>
  <c r="AG111" i="6" s="1"/>
  <c r="B111" i="6" s="1"/>
  <c r="AG365" i="28" s="1"/>
  <c r="AL365" i="28" s="1"/>
  <c r="B365" i="28" s="1"/>
  <c r="AU117" i="6"/>
  <c r="AU157" i="6"/>
  <c r="AG157" i="6" s="1"/>
  <c r="B157" i="6" s="1"/>
  <c r="AG447" i="28" s="1"/>
  <c r="AL447" i="28" s="1"/>
  <c r="B447" i="28" s="1"/>
  <c r="AU136" i="6"/>
  <c r="AG136" i="6" s="1"/>
  <c r="B136" i="6" s="1"/>
  <c r="AG410" i="28" s="1"/>
  <c r="AL410" i="28" s="1"/>
  <c r="B410" i="28" s="1"/>
  <c r="AU127" i="6"/>
  <c r="AU148" i="6"/>
  <c r="AG148" i="6" s="1"/>
  <c r="B148" i="6" s="1"/>
  <c r="AG430" i="28" s="1"/>
  <c r="AL430" i="28" s="1"/>
  <c r="B430" i="28" s="1"/>
  <c r="AU158" i="6"/>
  <c r="AG158" i="6" s="1"/>
  <c r="B158" i="6" s="1"/>
  <c r="AG448" i="28" s="1"/>
  <c r="AL448" i="28" s="1"/>
  <c r="B448" i="28" s="1"/>
  <c r="AU154" i="6"/>
  <c r="AG154" i="6" s="1"/>
  <c r="B154" i="6" s="1"/>
  <c r="AG440" i="28" s="1"/>
  <c r="AL440" i="28" s="1"/>
  <c r="B440" i="28" s="1"/>
  <c r="AU132" i="6"/>
  <c r="AU128" i="6"/>
  <c r="AG128" i="6" s="1"/>
  <c r="B128" i="6" s="1"/>
  <c r="AG394" i="28" s="1"/>
  <c r="AL394" i="28" s="1"/>
  <c r="B394" i="28" s="1"/>
  <c r="AU124" i="6"/>
  <c r="AG124" i="6" s="1"/>
  <c r="B124" i="6" s="1"/>
  <c r="AG386" i="28" s="1"/>
  <c r="AL386" i="28" s="1"/>
  <c r="B386" i="28" s="1"/>
  <c r="AU116" i="6"/>
  <c r="AG116" i="6" s="1"/>
  <c r="B116" i="6" s="1"/>
  <c r="AG374" i="28" s="1"/>
  <c r="AL374" i="28" s="1"/>
  <c r="B374" i="28" s="1"/>
  <c r="AU131" i="6"/>
  <c r="AG131" i="6" s="1"/>
  <c r="B131" i="6" s="1"/>
  <c r="AG401" i="28" s="1"/>
  <c r="AL401" i="28" s="1"/>
  <c r="B401" i="28" s="1"/>
  <c r="AU149" i="6"/>
  <c r="AG149" i="6" s="1"/>
  <c r="B149" i="6" s="1"/>
  <c r="AG431" i="28" s="1"/>
  <c r="AL431" i="28" s="1"/>
  <c r="B431" i="28" s="1"/>
  <c r="AU143" i="6"/>
  <c r="AG143" i="6" s="1"/>
  <c r="B143" i="6" s="1"/>
  <c r="AG421" i="28" s="1"/>
  <c r="AL421" i="28" s="1"/>
  <c r="B421" i="28" s="1"/>
  <c r="AU139" i="6"/>
  <c r="AG139" i="6" s="1"/>
  <c r="B139" i="6" s="1"/>
  <c r="AG413" i="28" s="1"/>
  <c r="AL413" i="28" s="1"/>
  <c r="B413" i="28" s="1"/>
  <c r="AU106" i="6"/>
  <c r="AG106" i="6" s="1"/>
  <c r="B106" i="6" s="1"/>
  <c r="AG356" i="28" s="1"/>
  <c r="AL356" i="28" s="1"/>
  <c r="B356" i="28" s="1"/>
  <c r="AU104" i="6"/>
  <c r="AG104" i="6" s="1"/>
  <c r="B104" i="6" s="1"/>
  <c r="AG350" i="28" s="1"/>
  <c r="AU107" i="6"/>
  <c r="AU108" i="6"/>
  <c r="AG108" i="6" s="1"/>
  <c r="B108" i="6" s="1"/>
  <c r="AG358" i="28" s="1"/>
  <c r="AL358" i="28" s="1"/>
  <c r="B358" i="28" s="1"/>
  <c r="AU102" i="6"/>
  <c r="AG102" i="6" s="1"/>
  <c r="B102" i="6" s="1"/>
  <c r="AG348" i="28" s="1"/>
  <c r="AU101" i="6"/>
  <c r="AG101" i="6" s="1"/>
  <c r="B101" i="6" s="1"/>
  <c r="AG347" i="28" s="1"/>
  <c r="AU103" i="6"/>
  <c r="AG103" i="6" s="1"/>
  <c r="B103" i="6" s="1"/>
  <c r="AG349" i="28" s="1"/>
  <c r="AU109" i="6"/>
  <c r="AG109" i="6" s="1"/>
  <c r="B109" i="6" s="1"/>
  <c r="AG359" i="28" s="1"/>
  <c r="AL359" i="28" s="1"/>
  <c r="B359" i="28" s="1"/>
  <c r="AU96" i="6"/>
  <c r="AG96" i="6" s="1"/>
  <c r="B96" i="6" s="1"/>
  <c r="AG338" i="28" s="1"/>
  <c r="AU91" i="6"/>
  <c r="AG91" i="6" s="1"/>
  <c r="B91" i="6" s="1"/>
  <c r="AU99" i="6"/>
  <c r="AG99" i="6" s="1"/>
  <c r="B99" i="6" s="1"/>
  <c r="AG341" i="28" s="1"/>
  <c r="AU98" i="6"/>
  <c r="AG98" i="6" s="1"/>
  <c r="B98" i="6" s="1"/>
  <c r="AG340" i="28" s="1"/>
  <c r="AU97" i="6"/>
  <c r="AG97" i="6" s="1"/>
  <c r="B97" i="6" s="1"/>
  <c r="AG339" i="28" s="1"/>
  <c r="AU92" i="6"/>
  <c r="AG92" i="6" s="1"/>
  <c r="B92" i="6" s="1"/>
  <c r="AU94" i="6"/>
  <c r="AG94" i="6" s="1"/>
  <c r="B94" i="6" s="1"/>
  <c r="AG332" i="28" s="1"/>
  <c r="AU93" i="6"/>
  <c r="AG93" i="6" s="1"/>
  <c r="B93" i="6" s="1"/>
  <c r="AG331" i="28" s="1"/>
  <c r="AU89" i="6"/>
  <c r="AG89" i="6" s="1"/>
  <c r="B89" i="6" s="1"/>
  <c r="AG327" i="28" s="1"/>
  <c r="AU88" i="6"/>
  <c r="AG88" i="6" s="1"/>
  <c r="B88" i="6" s="1"/>
  <c r="AG326" i="28" s="1"/>
  <c r="AU90" i="6"/>
  <c r="AG90" i="6" s="1"/>
  <c r="B90" i="6" s="1"/>
  <c r="AG328" i="28" s="1"/>
  <c r="AP81" i="6"/>
  <c r="AG81" i="6" s="1"/>
  <c r="B81" i="6" s="1"/>
  <c r="AP78" i="6"/>
  <c r="AP80" i="6"/>
  <c r="AG80" i="6" s="1"/>
  <c r="B80" i="6" s="1"/>
  <c r="AP79" i="6"/>
  <c r="AG79" i="6" s="1"/>
  <c r="B79" i="6" s="1"/>
  <c r="AP76" i="6"/>
  <c r="AG76" i="6" s="1"/>
  <c r="B76" i="6" s="1"/>
  <c r="AP75" i="6"/>
  <c r="AG75" i="6" s="1"/>
  <c r="B75" i="6" s="1"/>
  <c r="AP74" i="6"/>
  <c r="AP73" i="6"/>
  <c r="AG73" i="6" s="1"/>
  <c r="AP71" i="6"/>
  <c r="AG71" i="6" s="1"/>
  <c r="B71" i="6" s="1"/>
  <c r="AP70" i="6"/>
  <c r="AG70" i="6" s="1"/>
  <c r="B70" i="6" s="1"/>
  <c r="AP69" i="6"/>
  <c r="AG69" i="6" s="1"/>
  <c r="B69" i="6" s="1"/>
  <c r="AP68" i="6"/>
  <c r="AI26" i="5"/>
  <c r="AL87" i="6" l="1"/>
  <c r="B87" i="6" s="1"/>
  <c r="G95" i="6"/>
  <c r="G187" i="28"/>
  <c r="B28" i="6"/>
  <c r="B29" i="6"/>
  <c r="B30" i="6"/>
  <c r="B31" i="6"/>
  <c r="B23" i="6"/>
  <c r="V23" i="6" s="1"/>
  <c r="B26" i="6"/>
  <c r="B22" i="6"/>
  <c r="AG28" i="28" s="1"/>
  <c r="AL28" i="28" s="1"/>
  <c r="B28" i="28" s="1"/>
  <c r="V28" i="28" s="1"/>
  <c r="B25" i="6"/>
  <c r="B24" i="6"/>
  <c r="V24" i="6" s="1"/>
  <c r="B32" i="6"/>
  <c r="AG88" i="28" s="1"/>
  <c r="AL88" i="28" s="1"/>
  <c r="B88" i="28" s="1"/>
  <c r="B27" i="6"/>
  <c r="AG58" i="28" s="1"/>
  <c r="AL58" i="28" s="1"/>
  <c r="B58" i="28" s="1"/>
  <c r="C35" i="87"/>
  <c r="C39" i="87" s="1"/>
  <c r="C44" i="87"/>
  <c r="C46" i="87" s="1"/>
  <c r="C64" i="88"/>
  <c r="C65" i="88" s="1"/>
  <c r="C62" i="90"/>
  <c r="C63" i="90" s="1"/>
  <c r="C69" i="95"/>
  <c r="C51" i="93"/>
  <c r="C56" i="94"/>
  <c r="D56" i="94" s="1"/>
  <c r="D57" i="88"/>
  <c r="D58" i="88" s="1"/>
  <c r="C28" i="88"/>
  <c r="D65" i="95"/>
  <c r="C46" i="94"/>
  <c r="D57" i="90"/>
  <c r="D58" i="90" s="1"/>
  <c r="C56" i="91"/>
  <c r="D56" i="91" s="1"/>
  <c r="P30" i="90"/>
  <c r="C27" i="88"/>
  <c r="D66" i="95"/>
  <c r="D59" i="95"/>
  <c r="C58" i="95"/>
  <c r="C53" i="94"/>
  <c r="D53" i="94" s="1"/>
  <c r="C30" i="90"/>
  <c r="C55" i="88"/>
  <c r="C56" i="88" s="1"/>
  <c r="C49" i="95"/>
  <c r="C51" i="91"/>
  <c r="C53" i="93"/>
  <c r="D53" i="93" s="1"/>
  <c r="D29" i="90"/>
  <c r="C55" i="90"/>
  <c r="C56" i="90" s="1"/>
  <c r="C48" i="95"/>
  <c r="C51" i="92"/>
  <c r="C70" i="95"/>
  <c r="C53" i="92"/>
  <c r="D53" i="92" s="1"/>
  <c r="C30" i="88"/>
  <c r="D27" i="90"/>
  <c r="D70" i="95"/>
  <c r="D51" i="92"/>
  <c r="C27" i="90"/>
  <c r="C47" i="94"/>
  <c r="C53" i="91"/>
  <c r="D53" i="91" s="1"/>
  <c r="C29" i="90"/>
  <c r="D27" i="88"/>
  <c r="D69" i="95"/>
  <c r="D51" i="91"/>
  <c r="C47" i="93"/>
  <c r="C56" i="93"/>
  <c r="D56" i="93" s="1"/>
  <c r="D29" i="88"/>
  <c r="C65" i="95"/>
  <c r="D49" i="95"/>
  <c r="D51" i="93"/>
  <c r="P28" i="88"/>
  <c r="C47" i="92"/>
  <c r="C56" i="92"/>
  <c r="D56" i="92" s="1"/>
  <c r="C29" i="88"/>
  <c r="D62" i="88"/>
  <c r="D63" i="88" s="1"/>
  <c r="D48" i="95"/>
  <c r="D51" i="94"/>
  <c r="P30" i="88"/>
  <c r="D64" i="90"/>
  <c r="D65" i="90" s="1"/>
  <c r="D30" i="90"/>
  <c r="D28" i="90"/>
  <c r="C46" i="92"/>
  <c r="D30" i="88"/>
  <c r="C57" i="90"/>
  <c r="C58" i="90" s="1"/>
  <c r="C66" i="95"/>
  <c r="C46" i="93"/>
  <c r="C57" i="88"/>
  <c r="C58" i="88" s="1"/>
  <c r="P28" i="90"/>
  <c r="D55" i="90"/>
  <c r="D56" i="90" s="1"/>
  <c r="C59" i="95"/>
  <c r="C46" i="91"/>
  <c r="D64" i="88"/>
  <c r="D65" i="88" s="1"/>
  <c r="C62" i="88"/>
  <c r="C63" i="88" s="1"/>
  <c r="D62" i="90"/>
  <c r="D63" i="90" s="1"/>
  <c r="D58" i="95"/>
  <c r="C64" i="90"/>
  <c r="C65" i="90" s="1"/>
  <c r="C28" i="90"/>
  <c r="D55" i="88"/>
  <c r="D56" i="88" s="1"/>
  <c r="C51" i="94"/>
  <c r="D28" i="88"/>
  <c r="C35" i="96"/>
  <c r="C39" i="96" s="1"/>
  <c r="C44" i="96"/>
  <c r="C46" i="96" s="1"/>
  <c r="C53" i="100"/>
  <c r="D53" i="100" s="1"/>
  <c r="D29" i="97"/>
  <c r="D27" i="99"/>
  <c r="D48" i="104"/>
  <c r="D51" i="100"/>
  <c r="C53" i="101"/>
  <c r="D53" i="101" s="1"/>
  <c r="D51" i="101"/>
  <c r="C64" i="97"/>
  <c r="C65" i="97" s="1"/>
  <c r="C57" i="97"/>
  <c r="C58" i="97" s="1"/>
  <c r="D55" i="99"/>
  <c r="D56" i="99" s="1"/>
  <c r="C49" i="104"/>
  <c r="C57" i="99"/>
  <c r="C58" i="99" s="1"/>
  <c r="D29" i="99"/>
  <c r="D27" i="97"/>
  <c r="C48" i="104"/>
  <c r="D64" i="99"/>
  <c r="D65" i="99" s="1"/>
  <c r="C62" i="99"/>
  <c r="C63" i="99" s="1"/>
  <c r="D28" i="97"/>
  <c r="C46" i="100"/>
  <c r="D62" i="97"/>
  <c r="D63" i="97" s="1"/>
  <c r="C46" i="101"/>
  <c r="C29" i="97"/>
  <c r="P28" i="97"/>
  <c r="D55" i="97"/>
  <c r="D56" i="97" s="1"/>
  <c r="D49" i="104"/>
  <c r="C29" i="99"/>
  <c r="C55" i="99"/>
  <c r="C56" i="99" s="1"/>
  <c r="D70" i="104"/>
  <c r="D69" i="104"/>
  <c r="C53" i="102"/>
  <c r="D53" i="102" s="1"/>
  <c r="C64" i="99"/>
  <c r="C65" i="99" s="1"/>
  <c r="C62" i="97"/>
  <c r="C63" i="97" s="1"/>
  <c r="C70" i="104"/>
  <c r="D59" i="104"/>
  <c r="C51" i="103"/>
  <c r="D62" i="99"/>
  <c r="D63" i="99" s="1"/>
  <c r="C30" i="97"/>
  <c r="C27" i="99"/>
  <c r="C69" i="104"/>
  <c r="C59" i="104"/>
  <c r="D30" i="99"/>
  <c r="C28" i="97"/>
  <c r="C66" i="104"/>
  <c r="C58" i="104"/>
  <c r="C30" i="99"/>
  <c r="C47" i="102"/>
  <c r="C53" i="103"/>
  <c r="D53" i="103" s="1"/>
  <c r="P30" i="97"/>
  <c r="C27" i="97"/>
  <c r="D65" i="104"/>
  <c r="C51" i="100"/>
  <c r="D51" i="102"/>
  <c r="C47" i="103"/>
  <c r="C56" i="100"/>
  <c r="D56" i="100" s="1"/>
  <c r="D57" i="97"/>
  <c r="D58" i="97" s="1"/>
  <c r="C55" i="97"/>
  <c r="C56" i="97" s="1"/>
  <c r="C65" i="104"/>
  <c r="C51" i="102"/>
  <c r="C47" i="100"/>
  <c r="C56" i="101"/>
  <c r="D56" i="101" s="1"/>
  <c r="D64" i="97"/>
  <c r="D65" i="97" s="1"/>
  <c r="P28" i="99"/>
  <c r="D66" i="104"/>
  <c r="D58" i="104"/>
  <c r="C47" i="101"/>
  <c r="C56" i="102"/>
  <c r="D56" i="102" s="1"/>
  <c r="P30" i="99"/>
  <c r="C28" i="99"/>
  <c r="C46" i="102"/>
  <c r="C51" i="101"/>
  <c r="C56" i="103"/>
  <c r="D56" i="103" s="1"/>
  <c r="D57" i="99"/>
  <c r="D58" i="99" s="1"/>
  <c r="D28" i="99"/>
  <c r="C46" i="103"/>
  <c r="D51" i="103"/>
  <c r="D30" i="97"/>
  <c r="C44" i="105"/>
  <c r="C46" i="105" s="1"/>
  <c r="C35" i="105"/>
  <c r="C39" i="105" s="1"/>
  <c r="C47" i="110"/>
  <c r="C30" i="108"/>
  <c r="D29" i="108"/>
  <c r="C65" i="113"/>
  <c r="C46" i="111"/>
  <c r="C56" i="109"/>
  <c r="D56" i="109" s="1"/>
  <c r="D64" i="106"/>
  <c r="D65" i="106" s="1"/>
  <c r="P30" i="106"/>
  <c r="C69" i="113"/>
  <c r="D58" i="113"/>
  <c r="C28" i="106"/>
  <c r="C53" i="109"/>
  <c r="D53" i="109" s="1"/>
  <c r="C29" i="108"/>
  <c r="C27" i="106"/>
  <c r="D48" i="113"/>
  <c r="C46" i="112"/>
  <c r="C55" i="106"/>
  <c r="C56" i="106" s="1"/>
  <c r="D59" i="113"/>
  <c r="C56" i="110"/>
  <c r="D56" i="110" s="1"/>
  <c r="P28" i="108"/>
  <c r="D30" i="106"/>
  <c r="C49" i="113"/>
  <c r="C58" i="113"/>
  <c r="C57" i="108"/>
  <c r="C58" i="108" s="1"/>
  <c r="D57" i="108"/>
  <c r="D58" i="108" s="1"/>
  <c r="C62" i="108"/>
  <c r="C63" i="108" s="1"/>
  <c r="C48" i="113"/>
  <c r="C59" i="113"/>
  <c r="D27" i="108"/>
  <c r="C64" i="106"/>
  <c r="C65" i="106" s="1"/>
  <c r="C29" i="106"/>
  <c r="D65" i="113"/>
  <c r="D49" i="113"/>
  <c r="D51" i="112"/>
  <c r="C56" i="111"/>
  <c r="D56" i="111" s="1"/>
  <c r="C27" i="108"/>
  <c r="D66" i="113"/>
  <c r="C51" i="112"/>
  <c r="D51" i="109"/>
  <c r="C57" i="106"/>
  <c r="C58" i="106" s="1"/>
  <c r="D57" i="106"/>
  <c r="D58" i="106" s="1"/>
  <c r="D62" i="106"/>
  <c r="D63" i="106" s="1"/>
  <c r="C70" i="113"/>
  <c r="D51" i="111"/>
  <c r="C46" i="109"/>
  <c r="C53" i="111"/>
  <c r="D53" i="111" s="1"/>
  <c r="P28" i="106"/>
  <c r="C66" i="113"/>
  <c r="D69" i="113"/>
  <c r="D51" i="110"/>
  <c r="C64" i="108"/>
  <c r="C65" i="108" s="1"/>
  <c r="D29" i="106"/>
  <c r="D55" i="108"/>
  <c r="D56" i="108" s="1"/>
  <c r="C51" i="111"/>
  <c r="D64" i="108"/>
  <c r="D65" i="108" s="1"/>
  <c r="C53" i="110"/>
  <c r="D53" i="110" s="1"/>
  <c r="C55" i="108"/>
  <c r="C56" i="108" s="1"/>
  <c r="D28" i="106"/>
  <c r="C51" i="110"/>
  <c r="C47" i="111"/>
  <c r="C56" i="112"/>
  <c r="D56" i="112" s="1"/>
  <c r="D30" i="108"/>
  <c r="D28" i="108"/>
  <c r="D70" i="113"/>
  <c r="C53" i="112"/>
  <c r="D53" i="112" s="1"/>
  <c r="C62" i="106"/>
  <c r="C63" i="106" s="1"/>
  <c r="D55" i="106"/>
  <c r="D56" i="106" s="1"/>
  <c r="C51" i="109"/>
  <c r="P30" i="108"/>
  <c r="D27" i="106"/>
  <c r="C47" i="109"/>
  <c r="C30" i="106"/>
  <c r="C28" i="108"/>
  <c r="D62" i="108"/>
  <c r="D63" i="108" s="1"/>
  <c r="C46" i="110"/>
  <c r="C47" i="112"/>
  <c r="AG329" i="28"/>
  <c r="B325" i="28"/>
  <c r="AG330" i="28"/>
  <c r="AG130" i="28"/>
  <c r="AL130" i="28" s="1"/>
  <c r="B130" i="28" s="1"/>
  <c r="AG94" i="28"/>
  <c r="AL94" i="28" s="1"/>
  <c r="B94" i="28" s="1"/>
  <c r="AG64" i="28"/>
  <c r="AL64" i="28" s="1"/>
  <c r="B64" i="28" s="1"/>
  <c r="AG106" i="28"/>
  <c r="AL106" i="28" s="1"/>
  <c r="B106" i="28" s="1"/>
  <c r="AG118" i="28"/>
  <c r="AL118" i="28" s="1"/>
  <c r="B118" i="28" s="1"/>
  <c r="AG124" i="28"/>
  <c r="AL124" i="28" s="1"/>
  <c r="B124" i="28" s="1"/>
  <c r="AG76" i="28"/>
  <c r="AL76" i="28" s="1"/>
  <c r="B76" i="28" s="1"/>
  <c r="AG136" i="28"/>
  <c r="AL136" i="28" s="1"/>
  <c r="B136" i="28" s="1"/>
  <c r="AG142" i="28"/>
  <c r="AL142" i="28" s="1"/>
  <c r="B142" i="28" s="1"/>
  <c r="AG82" i="28"/>
  <c r="AL82" i="28" s="1"/>
  <c r="B82" i="28" s="1"/>
  <c r="AG148" i="28"/>
  <c r="AL148" i="28" s="1"/>
  <c r="B148" i="28" s="1"/>
  <c r="AG22" i="28"/>
  <c r="AL22" i="28" s="1"/>
  <c r="B22" i="28" s="1"/>
  <c r="V22" i="28" s="1"/>
  <c r="AG21" i="28"/>
  <c r="AG34" i="28"/>
  <c r="AL34" i="28" s="1"/>
  <c r="B34" i="28" s="1"/>
  <c r="Z34" i="28" s="1"/>
  <c r="AG160" i="28"/>
  <c r="AL160" i="28" s="1"/>
  <c r="B160" i="28" s="1"/>
  <c r="AG52" i="28"/>
  <c r="AL52" i="28" s="1"/>
  <c r="B52" i="28" s="1"/>
  <c r="AG112" i="28"/>
  <c r="AL112" i="28" s="1"/>
  <c r="B112" i="28" s="1"/>
  <c r="AG154" i="28"/>
  <c r="AL154" i="28" s="1"/>
  <c r="B154" i="28" s="1"/>
  <c r="AG100" i="28"/>
  <c r="AL100" i="28" s="1"/>
  <c r="B100" i="28" s="1"/>
  <c r="AG243" i="28"/>
  <c r="AL243" i="28" s="1"/>
  <c r="B243" i="28" s="1"/>
  <c r="AG242" i="28"/>
  <c r="AG231" i="28"/>
  <c r="AL231" i="28" s="1"/>
  <c r="B231" i="28" s="1"/>
  <c r="AG230" i="28"/>
  <c r="AG266" i="28"/>
  <c r="AL266" i="28" s="1"/>
  <c r="B266" i="28" s="1"/>
  <c r="AG265" i="28"/>
  <c r="AG272" i="28"/>
  <c r="AL272" i="28" s="1"/>
  <c r="B272" i="28" s="1"/>
  <c r="AG271" i="28"/>
  <c r="AG237" i="28"/>
  <c r="AL237" i="28" s="1"/>
  <c r="B237" i="28" s="1"/>
  <c r="AG236" i="28"/>
  <c r="AG289" i="28"/>
  <c r="AL289" i="28" s="1"/>
  <c r="B289" i="28" s="1"/>
  <c r="AG288" i="28"/>
  <c r="AG295" i="28"/>
  <c r="AL295" i="28" s="1"/>
  <c r="B295" i="28" s="1"/>
  <c r="AG294" i="28"/>
  <c r="AG301" i="28"/>
  <c r="AL301" i="28" s="1"/>
  <c r="B301" i="28" s="1"/>
  <c r="AG300" i="28"/>
  <c r="B197" i="28"/>
  <c r="B177" i="28"/>
  <c r="B187" i="28"/>
  <c r="D187" i="28" s="1"/>
  <c r="V187" i="28" s="1"/>
  <c r="B176" i="28"/>
  <c r="AG167" i="6"/>
  <c r="B167" i="6" s="1"/>
  <c r="AG168" i="6"/>
  <c r="B168" i="6" s="1"/>
  <c r="AG169" i="6"/>
  <c r="B169" i="6" s="1"/>
  <c r="AG177" i="6"/>
  <c r="B177" i="6" s="1"/>
  <c r="AG176" i="6"/>
  <c r="B176" i="6" s="1"/>
  <c r="AG166" i="6"/>
  <c r="B166" i="6" s="1"/>
  <c r="AG460" i="28" s="1"/>
  <c r="AG179" i="6"/>
  <c r="B179" i="6" s="1"/>
  <c r="AG173" i="6"/>
  <c r="B173" i="6" s="1"/>
  <c r="AG501" i="28" s="1"/>
  <c r="AG174" i="6"/>
  <c r="B174" i="6" s="1"/>
  <c r="AG172" i="6"/>
  <c r="B172" i="6" s="1"/>
  <c r="AG178" i="6"/>
  <c r="B178" i="6" s="1"/>
  <c r="AG171" i="6"/>
  <c r="B171" i="6" s="1"/>
  <c r="Z171" i="6" s="1"/>
  <c r="AG312" i="28"/>
  <c r="V84" i="6"/>
  <c r="AG78" i="6"/>
  <c r="B78" i="6" s="1"/>
  <c r="AG68" i="6"/>
  <c r="B68" i="6" s="1"/>
  <c r="AG74" i="6"/>
  <c r="B74" i="6" s="1"/>
  <c r="B73" i="6"/>
  <c r="Z73" i="6" s="1"/>
  <c r="AH53" i="5"/>
  <c r="AG311" i="28" s="1"/>
  <c r="V152" i="6"/>
  <c r="V438" i="28"/>
  <c r="V109" i="6"/>
  <c r="V359" i="28"/>
  <c r="V154" i="6"/>
  <c r="V440" i="28"/>
  <c r="V138" i="6"/>
  <c r="V412" i="28"/>
  <c r="V103" i="6"/>
  <c r="V158" i="6"/>
  <c r="V448" i="28"/>
  <c r="V141" i="6"/>
  <c r="V419" i="28"/>
  <c r="V123" i="6"/>
  <c r="V385" i="28"/>
  <c r="V96" i="6"/>
  <c r="V148" i="6"/>
  <c r="V430" i="28"/>
  <c r="V102" i="6"/>
  <c r="V153" i="6"/>
  <c r="V439" i="28"/>
  <c r="V114" i="6"/>
  <c r="V368" i="28"/>
  <c r="V121" i="6"/>
  <c r="V383" i="28"/>
  <c r="V99" i="6"/>
  <c r="V91" i="6"/>
  <c r="V108" i="6"/>
  <c r="V358" i="28"/>
  <c r="V136" i="6"/>
  <c r="V410" i="28"/>
  <c r="V144" i="6"/>
  <c r="V422" i="28"/>
  <c r="V90" i="6"/>
  <c r="V157" i="6"/>
  <c r="V447" i="28"/>
  <c r="V113" i="6"/>
  <c r="V367" i="28"/>
  <c r="V106" i="6"/>
  <c r="V356" i="28"/>
  <c r="V104" i="6"/>
  <c r="V111" i="6"/>
  <c r="V365" i="28"/>
  <c r="V93" i="6"/>
  <c r="V139" i="6"/>
  <c r="V413" i="28"/>
  <c r="V159" i="6"/>
  <c r="V449" i="28"/>
  <c r="V126" i="6"/>
  <c r="V392" i="28"/>
  <c r="V124" i="6"/>
  <c r="V386" i="28"/>
  <c r="V128" i="6"/>
  <c r="V394" i="28"/>
  <c r="V101" i="6"/>
  <c r="V88" i="6"/>
  <c r="V89" i="6"/>
  <c r="V94" i="6"/>
  <c r="V129" i="6"/>
  <c r="V395" i="28"/>
  <c r="V118" i="6"/>
  <c r="V376" i="28"/>
  <c r="V151" i="6"/>
  <c r="V437" i="28"/>
  <c r="V156" i="6"/>
  <c r="V446" i="28"/>
  <c r="V143" i="6"/>
  <c r="V421" i="28"/>
  <c r="V134" i="6"/>
  <c r="V404" i="28"/>
  <c r="V92" i="6"/>
  <c r="V149" i="6"/>
  <c r="V431" i="28"/>
  <c r="V133" i="6"/>
  <c r="V403" i="28"/>
  <c r="V147" i="6"/>
  <c r="V429" i="28"/>
  <c r="V97" i="6"/>
  <c r="V131" i="6"/>
  <c r="V401" i="28"/>
  <c r="V112" i="6"/>
  <c r="V366" i="28"/>
  <c r="V142" i="6"/>
  <c r="V420" i="28"/>
  <c r="V98" i="6"/>
  <c r="V116" i="6"/>
  <c r="V374" i="28"/>
  <c r="V146" i="6"/>
  <c r="V428" i="28"/>
  <c r="V119" i="6"/>
  <c r="V377" i="28"/>
  <c r="Z44" i="6"/>
  <c r="Z35" i="6"/>
  <c r="Z28" i="6"/>
  <c r="Z37" i="6"/>
  <c r="Z38" i="6"/>
  <c r="Z30" i="6"/>
  <c r="Z41" i="6"/>
  <c r="Z31" i="6"/>
  <c r="Z40" i="6"/>
  <c r="Z42" i="6"/>
  <c r="V21" i="6"/>
  <c r="Z21" i="6"/>
  <c r="Z23" i="6"/>
  <c r="Z26" i="6"/>
  <c r="Z22" i="6"/>
  <c r="Z36" i="6"/>
  <c r="Z43" i="6"/>
  <c r="Z34" i="6"/>
  <c r="Z24" i="6"/>
  <c r="Z32" i="6"/>
  <c r="Z27" i="6"/>
  <c r="Z39" i="6"/>
  <c r="Z33" i="6"/>
  <c r="Z86" i="6"/>
  <c r="V79" i="6"/>
  <c r="Z79" i="6"/>
  <c r="V80" i="6"/>
  <c r="Z80" i="6"/>
  <c r="V69" i="6"/>
  <c r="Z69" i="6"/>
  <c r="Z172" i="6"/>
  <c r="V71" i="6"/>
  <c r="Z71" i="6"/>
  <c r="V76" i="6"/>
  <c r="Z76" i="6"/>
  <c r="Z167" i="6"/>
  <c r="Z68" i="6"/>
  <c r="Z178" i="6"/>
  <c r="Z174" i="6"/>
  <c r="V70" i="6"/>
  <c r="Z70" i="6"/>
  <c r="Z177" i="6"/>
  <c r="Z74" i="6"/>
  <c r="Z176" i="6"/>
  <c r="V75" i="6"/>
  <c r="Z75" i="6"/>
  <c r="Z179" i="6"/>
  <c r="Z169" i="6"/>
  <c r="V81" i="6"/>
  <c r="Z81" i="6"/>
  <c r="AL161" i="6"/>
  <c r="AU161" i="6" s="1"/>
  <c r="AY161" i="6" s="1"/>
  <c r="B161" i="6" s="1"/>
  <c r="AG455" i="28" s="1"/>
  <c r="AG107" i="6"/>
  <c r="B107" i="6" s="1"/>
  <c r="AG357" i="28" s="1"/>
  <c r="AL357" i="28" s="1"/>
  <c r="B357" i="28" s="1"/>
  <c r="B115" i="6"/>
  <c r="AL369" i="28" s="1"/>
  <c r="B369" i="28" s="1"/>
  <c r="C115" i="6"/>
  <c r="B150" i="6"/>
  <c r="AL432" i="28" s="1"/>
  <c r="B432" i="28" s="1"/>
  <c r="C150" i="6"/>
  <c r="C180" i="6"/>
  <c r="B180" i="6"/>
  <c r="AL542" i="28" s="1"/>
  <c r="B542" i="28" s="1"/>
  <c r="B130" i="6"/>
  <c r="AL396" i="28" s="1"/>
  <c r="B396" i="28" s="1"/>
  <c r="C130" i="6"/>
  <c r="B160" i="6"/>
  <c r="AL450" i="28" s="1"/>
  <c r="B450" i="28" s="1"/>
  <c r="C160" i="6"/>
  <c r="B120" i="6"/>
  <c r="AL378" i="28" s="1"/>
  <c r="B378" i="28" s="1"/>
  <c r="C120" i="6"/>
  <c r="B155" i="6"/>
  <c r="AL441" i="28" s="1"/>
  <c r="B441" i="28" s="1"/>
  <c r="C155" i="6"/>
  <c r="B135" i="6"/>
  <c r="AL405" i="28" s="1"/>
  <c r="B405" i="28" s="1"/>
  <c r="C135" i="6"/>
  <c r="B145" i="6"/>
  <c r="AL423" i="28" s="1"/>
  <c r="B423" i="28" s="1"/>
  <c r="C145" i="6"/>
  <c r="B100" i="6"/>
  <c r="AL342" i="28" s="1"/>
  <c r="B342" i="28" s="1"/>
  <c r="C100" i="6"/>
  <c r="C175" i="6"/>
  <c r="B175" i="6"/>
  <c r="AL513" i="28" s="1"/>
  <c r="B105" i="6"/>
  <c r="AL351" i="28" s="1"/>
  <c r="B351" i="28" s="1"/>
  <c r="C105" i="6"/>
  <c r="B95" i="6"/>
  <c r="AL333" i="28" s="1"/>
  <c r="B333" i="28" s="1"/>
  <c r="AK333" i="28"/>
  <c r="C333" i="28" s="1"/>
  <c r="C170" i="6"/>
  <c r="B170" i="6"/>
  <c r="AL484" i="28" s="1"/>
  <c r="B125" i="6"/>
  <c r="AL387" i="28" s="1"/>
  <c r="B387" i="28" s="1"/>
  <c r="C125" i="6"/>
  <c r="B140" i="6"/>
  <c r="AL414" i="28" s="1"/>
  <c r="B414" i="28" s="1"/>
  <c r="C140" i="6"/>
  <c r="B110" i="6"/>
  <c r="AL360" i="28" s="1"/>
  <c r="B360" i="28" s="1"/>
  <c r="C110" i="6"/>
  <c r="C82" i="6"/>
  <c r="B82" i="6"/>
  <c r="AL306" i="28" s="1"/>
  <c r="B306" i="28" s="1"/>
  <c r="B77" i="6"/>
  <c r="AL277" i="28" s="1"/>
  <c r="C77" i="6"/>
  <c r="B72" i="6"/>
  <c r="AL248" i="28" s="1"/>
  <c r="B248" i="28" s="1"/>
  <c r="C72" i="6"/>
  <c r="AG26" i="5"/>
  <c r="AY137" i="6" s="1"/>
  <c r="AG25" i="5"/>
  <c r="AY132" i="6" s="1"/>
  <c r="AG24" i="5"/>
  <c r="AY127" i="6" s="1"/>
  <c r="AG23" i="5"/>
  <c r="AY122" i="6" s="1"/>
  <c r="AG22" i="5"/>
  <c r="AY117" i="6" s="1"/>
  <c r="B163" i="6"/>
  <c r="AG457" i="28" s="1"/>
  <c r="P29" i="106" l="1"/>
  <c r="AG321" i="28"/>
  <c r="AL321" i="28" s="1"/>
  <c r="AG320" i="28"/>
  <c r="V87" i="6"/>
  <c r="V105" i="6"/>
  <c r="G120" i="6"/>
  <c r="V120" i="6"/>
  <c r="G125" i="6"/>
  <c r="V125" i="6"/>
  <c r="G155" i="6"/>
  <c r="V155" i="6"/>
  <c r="G160" i="6"/>
  <c r="V160" i="6"/>
  <c r="G130" i="6"/>
  <c r="V130" i="6"/>
  <c r="V100" i="6"/>
  <c r="G150" i="6"/>
  <c r="V150" i="6"/>
  <c r="V110" i="6"/>
  <c r="G145" i="6"/>
  <c r="V145" i="6"/>
  <c r="V115" i="6"/>
  <c r="G140" i="6"/>
  <c r="V140" i="6"/>
  <c r="G135" i="6"/>
  <c r="V135" i="6"/>
  <c r="AK484" i="28"/>
  <c r="V170" i="6"/>
  <c r="AK277" i="28"/>
  <c r="C277" i="28" s="1"/>
  <c r="V77" i="6"/>
  <c r="AK248" i="28"/>
  <c r="C248" i="28" s="1"/>
  <c r="V72" i="6"/>
  <c r="AK513" i="28"/>
  <c r="C513" i="28" s="1"/>
  <c r="V175" i="6"/>
  <c r="AK306" i="28"/>
  <c r="C306" i="28" s="1"/>
  <c r="V82" i="6"/>
  <c r="AK542" i="28"/>
  <c r="C542" i="28" s="1"/>
  <c r="V180" i="6"/>
  <c r="V95" i="6"/>
  <c r="C48" i="103"/>
  <c r="P31" i="88"/>
  <c r="C68" i="88"/>
  <c r="C68" i="106"/>
  <c r="C48" i="109"/>
  <c r="D34" i="89"/>
  <c r="AG40" i="28"/>
  <c r="AL40" i="28" s="1"/>
  <c r="B40" i="28" s="1"/>
  <c r="V40" i="28" s="1"/>
  <c r="D33" i="107"/>
  <c r="D68" i="89"/>
  <c r="P29" i="97"/>
  <c r="C68" i="89"/>
  <c r="P31" i="89"/>
  <c r="P31" i="107"/>
  <c r="D68" i="98"/>
  <c r="P29" i="89"/>
  <c r="D68" i="107"/>
  <c r="D36" i="107"/>
  <c r="V43" i="6"/>
  <c r="AG153" i="28"/>
  <c r="V36" i="6"/>
  <c r="AG111" i="28"/>
  <c r="AG27" i="28"/>
  <c r="V22" i="6"/>
  <c r="AG123" i="28"/>
  <c r="V38" i="6"/>
  <c r="AG51" i="28"/>
  <c r="V26" i="6"/>
  <c r="V35" i="6"/>
  <c r="AG105" i="28"/>
  <c r="AG135" i="28"/>
  <c r="V40" i="6"/>
  <c r="V34" i="6"/>
  <c r="AG99" i="28"/>
  <c r="V44" i="6"/>
  <c r="AG159" i="28"/>
  <c r="V42" i="6"/>
  <c r="AG147" i="28"/>
  <c r="AG57" i="28"/>
  <c r="V27" i="6"/>
  <c r="V31" i="6"/>
  <c r="AG81" i="28"/>
  <c r="V33" i="6"/>
  <c r="AG93" i="28"/>
  <c r="V41" i="6"/>
  <c r="AG141" i="28"/>
  <c r="AG129" i="28"/>
  <c r="V39" i="6"/>
  <c r="AG75" i="28"/>
  <c r="V30" i="6"/>
  <c r="V32" i="6"/>
  <c r="AG87" i="28"/>
  <c r="V37" i="6"/>
  <c r="AG117" i="28"/>
  <c r="AG63" i="28"/>
  <c r="V28" i="6"/>
  <c r="AG33" i="28"/>
  <c r="AG39" i="28"/>
  <c r="P29" i="98"/>
  <c r="C60" i="108"/>
  <c r="C33" i="98"/>
  <c r="D35" i="98"/>
  <c r="C33" i="89"/>
  <c r="C35" i="89"/>
  <c r="D33" i="89"/>
  <c r="C46" i="89" s="1"/>
  <c r="D35" i="107"/>
  <c r="P31" i="98"/>
  <c r="C36" i="98"/>
  <c r="C60" i="107"/>
  <c r="C34" i="107"/>
  <c r="C60" i="98"/>
  <c r="D34" i="98"/>
  <c r="C35" i="107"/>
  <c r="D68" i="106"/>
  <c r="D68" i="108"/>
  <c r="C60" i="106"/>
  <c r="P31" i="97"/>
  <c r="C68" i="97"/>
  <c r="P29" i="99"/>
  <c r="C60" i="89"/>
  <c r="P29" i="90"/>
  <c r="P31" i="90"/>
  <c r="C48" i="93"/>
  <c r="C48" i="112"/>
  <c r="C48" i="92"/>
  <c r="C48" i="94"/>
  <c r="D33" i="98"/>
  <c r="C68" i="98"/>
  <c r="D34" i="107"/>
  <c r="C34" i="98"/>
  <c r="C33" i="107"/>
  <c r="D36" i="89"/>
  <c r="P29" i="107"/>
  <c r="C68" i="107"/>
  <c r="C35" i="98"/>
  <c r="C36" i="89"/>
  <c r="C36" i="107"/>
  <c r="D35" i="89"/>
  <c r="C34" i="89"/>
  <c r="D36" i="98"/>
  <c r="C68" i="108"/>
  <c r="P29" i="88"/>
  <c r="C60" i="99"/>
  <c r="C48" i="101"/>
  <c r="D33" i="90"/>
  <c r="D35" i="90"/>
  <c r="C33" i="88"/>
  <c r="C35" i="88"/>
  <c r="C39" i="113"/>
  <c r="C44" i="113" s="1"/>
  <c r="D39" i="113"/>
  <c r="D44" i="113" s="1"/>
  <c r="D35" i="97"/>
  <c r="D33" i="97"/>
  <c r="D34" i="108"/>
  <c r="D36" i="108"/>
  <c r="C27" i="113"/>
  <c r="C54" i="113" s="1"/>
  <c r="D27" i="113"/>
  <c r="D54" i="113" s="1"/>
  <c r="D36" i="88"/>
  <c r="D34" i="88"/>
  <c r="D27" i="104"/>
  <c r="D54" i="104" s="1"/>
  <c r="C27" i="104"/>
  <c r="C54" i="104" s="1"/>
  <c r="C35" i="106"/>
  <c r="C33" i="106"/>
  <c r="D35" i="108"/>
  <c r="D33" i="108"/>
  <c r="C36" i="97"/>
  <c r="C34" i="97"/>
  <c r="C36" i="90"/>
  <c r="C34" i="90"/>
  <c r="D34" i="90"/>
  <c r="D36" i="90"/>
  <c r="C60" i="90"/>
  <c r="D39" i="104"/>
  <c r="D44" i="104" s="1"/>
  <c r="C39" i="104"/>
  <c r="C44" i="104" s="1"/>
  <c r="C48" i="110"/>
  <c r="C36" i="106"/>
  <c r="C34" i="106"/>
  <c r="D34" i="99"/>
  <c r="D36" i="99"/>
  <c r="C34" i="88"/>
  <c r="C36" i="88"/>
  <c r="D36" i="106"/>
  <c r="D34" i="106"/>
  <c r="C60" i="97"/>
  <c r="C34" i="108"/>
  <c r="C36" i="108"/>
  <c r="D68" i="90"/>
  <c r="D35" i="88"/>
  <c r="D33" i="88"/>
  <c r="P31" i="106"/>
  <c r="C33" i="99"/>
  <c r="C35" i="99"/>
  <c r="C48" i="102"/>
  <c r="C60" i="88"/>
  <c r="D35" i="106"/>
  <c r="D33" i="106"/>
  <c r="C36" i="99"/>
  <c r="C34" i="99"/>
  <c r="D68" i="99"/>
  <c r="D68" i="97"/>
  <c r="D68" i="88"/>
  <c r="C68" i="90"/>
  <c r="P31" i="108"/>
  <c r="C48" i="111"/>
  <c r="P31" i="99"/>
  <c r="C48" i="100"/>
  <c r="D33" i="99"/>
  <c r="D35" i="99"/>
  <c r="C35" i="90"/>
  <c r="C33" i="90"/>
  <c r="C35" i="108"/>
  <c r="C33" i="108"/>
  <c r="P29" i="108"/>
  <c r="D36" i="97"/>
  <c r="D34" i="97"/>
  <c r="D27" i="95"/>
  <c r="D54" i="95" s="1"/>
  <c r="C27" i="95"/>
  <c r="C54" i="95" s="1"/>
  <c r="C35" i="97"/>
  <c r="C33" i="97"/>
  <c r="C68" i="99"/>
  <c r="D39" i="95"/>
  <c r="D44" i="95" s="1"/>
  <c r="C39" i="95"/>
  <c r="C44" i="95" s="1"/>
  <c r="AK342" i="28"/>
  <c r="C342" i="28" s="1"/>
  <c r="G100" i="6"/>
  <c r="AK360" i="28"/>
  <c r="C360" i="28" s="1"/>
  <c r="G110" i="6"/>
  <c r="AK423" i="28"/>
  <c r="C423" i="28" s="1"/>
  <c r="AK369" i="28"/>
  <c r="C369" i="28" s="1"/>
  <c r="G115" i="6"/>
  <c r="AK396" i="28"/>
  <c r="C396" i="28" s="1"/>
  <c r="AK432" i="28"/>
  <c r="C432" i="28" s="1"/>
  <c r="AK414" i="28"/>
  <c r="C414" i="28" s="1"/>
  <c r="AK405" i="28"/>
  <c r="C405" i="28" s="1"/>
  <c r="AK441" i="28"/>
  <c r="C441" i="28" s="1"/>
  <c r="AK378" i="28"/>
  <c r="C378" i="28" s="1"/>
  <c r="AK351" i="28"/>
  <c r="C351" i="28" s="1"/>
  <c r="G105" i="6"/>
  <c r="AK387" i="28"/>
  <c r="C387" i="28" s="1"/>
  <c r="AK450" i="28"/>
  <c r="C450" i="28" s="1"/>
  <c r="Z325" i="28"/>
  <c r="V325" i="28"/>
  <c r="AH207" i="28"/>
  <c r="AN207" i="28" s="1"/>
  <c r="AH197" i="28"/>
  <c r="AN197" i="28" s="1"/>
  <c r="AH177" i="28"/>
  <c r="AN177" i="28" s="1"/>
  <c r="Z173" i="6"/>
  <c r="Z166" i="6"/>
  <c r="B513" i="28"/>
  <c r="V513" i="28" s="1"/>
  <c r="Z160" i="28"/>
  <c r="V160" i="28"/>
  <c r="Z295" i="28"/>
  <c r="V295" i="28"/>
  <c r="Z88" i="28"/>
  <c r="V88" i="28"/>
  <c r="Z243" i="28"/>
  <c r="V243" i="28"/>
  <c r="Z237" i="28"/>
  <c r="V237" i="28"/>
  <c r="Z106" i="28"/>
  <c r="V106" i="28"/>
  <c r="Z154" i="28"/>
  <c r="V154" i="28"/>
  <c r="Z82" i="28"/>
  <c r="V82" i="28"/>
  <c r="Z58" i="28"/>
  <c r="V58" i="28"/>
  <c r="Z124" i="28"/>
  <c r="V124" i="28"/>
  <c r="Z289" i="28"/>
  <c r="V289" i="28"/>
  <c r="C484" i="28"/>
  <c r="B484" i="28"/>
  <c r="V484" i="28" s="1"/>
  <c r="Z301" i="28"/>
  <c r="V301" i="28"/>
  <c r="Z148" i="28"/>
  <c r="V148" i="28"/>
  <c r="Z272" i="28"/>
  <c r="V272" i="28"/>
  <c r="Z112" i="28"/>
  <c r="V112" i="28"/>
  <c r="Z142" i="28"/>
  <c r="V142" i="28"/>
  <c r="Z64" i="28"/>
  <c r="V64" i="28"/>
  <c r="Z118" i="28"/>
  <c r="V118" i="28"/>
  <c r="Z100" i="28"/>
  <c r="V100" i="28"/>
  <c r="Z266" i="28"/>
  <c r="V266" i="28"/>
  <c r="Z136" i="28"/>
  <c r="V136" i="28"/>
  <c r="Z94" i="28"/>
  <c r="V94" i="28"/>
  <c r="B277" i="28"/>
  <c r="Z231" i="28"/>
  <c r="V231" i="28"/>
  <c r="Z52" i="28"/>
  <c r="V52" i="28"/>
  <c r="Z76" i="28"/>
  <c r="V76" i="28"/>
  <c r="Z130" i="28"/>
  <c r="V130" i="28"/>
  <c r="Z28" i="28"/>
  <c r="Z22" i="28"/>
  <c r="V34" i="28"/>
  <c r="AG46" i="28"/>
  <c r="AL46" i="28" s="1"/>
  <c r="B46" i="28" s="1"/>
  <c r="AG45" i="28"/>
  <c r="AG70" i="28"/>
  <c r="AL70" i="28" s="1"/>
  <c r="B70" i="28" s="1"/>
  <c r="AG69" i="28"/>
  <c r="AG467" i="28"/>
  <c r="AL467" i="28" s="1"/>
  <c r="B467" i="28" s="1"/>
  <c r="AG466" i="28"/>
  <c r="AG490" i="28"/>
  <c r="AL490" i="28" s="1"/>
  <c r="B490" i="28" s="1"/>
  <c r="AG489" i="28"/>
  <c r="AG531" i="28"/>
  <c r="AL531" i="28" s="1"/>
  <c r="B531" i="28" s="1"/>
  <c r="AG530" i="28"/>
  <c r="AG496" i="28"/>
  <c r="AL496" i="28" s="1"/>
  <c r="B496" i="28" s="1"/>
  <c r="AG495" i="28"/>
  <c r="AG508" i="28"/>
  <c r="AL508" i="28" s="1"/>
  <c r="B508" i="28" s="1"/>
  <c r="AG507" i="28"/>
  <c r="AG537" i="28"/>
  <c r="AL537" i="28" s="1"/>
  <c r="B537" i="28" s="1"/>
  <c r="AG536" i="28"/>
  <c r="AG254" i="28"/>
  <c r="AL254" i="28" s="1"/>
  <c r="B254" i="28" s="1"/>
  <c r="AG253" i="28"/>
  <c r="AG260" i="28"/>
  <c r="AL260" i="28" s="1"/>
  <c r="B260" i="28" s="1"/>
  <c r="AG259" i="28"/>
  <c r="AG519" i="28"/>
  <c r="AL519" i="28" s="1"/>
  <c r="B519" i="28" s="1"/>
  <c r="AG518" i="28"/>
  <c r="AG225" i="28"/>
  <c r="AL225" i="28" s="1"/>
  <c r="B225" i="28" s="1"/>
  <c r="AG224" i="28"/>
  <c r="AG525" i="28"/>
  <c r="AL525" i="28" s="1"/>
  <c r="B525" i="28" s="1"/>
  <c r="AG524" i="28"/>
  <c r="AG479" i="28"/>
  <c r="AL479" i="28" s="1"/>
  <c r="B479" i="28" s="1"/>
  <c r="AG478" i="28"/>
  <c r="AG283" i="28"/>
  <c r="AL283" i="28" s="1"/>
  <c r="B283" i="28" s="1"/>
  <c r="AG282" i="28"/>
  <c r="AG473" i="28"/>
  <c r="AL473" i="28" s="1"/>
  <c r="B473" i="28" s="1"/>
  <c r="AG472" i="28"/>
  <c r="Z168" i="6"/>
  <c r="Z78" i="6"/>
  <c r="V166" i="6"/>
  <c r="AG461" i="28"/>
  <c r="AL461" i="28" s="1"/>
  <c r="B461" i="28" s="1"/>
  <c r="V173" i="6"/>
  <c r="AG502" i="28"/>
  <c r="AL502" i="28" s="1"/>
  <c r="B502" i="28" s="1"/>
  <c r="Z25" i="6"/>
  <c r="Z29" i="6"/>
  <c r="V172" i="6"/>
  <c r="V178" i="6"/>
  <c r="V179" i="6"/>
  <c r="V171" i="6"/>
  <c r="V174" i="6"/>
  <c r="V176" i="6"/>
  <c r="V177" i="6"/>
  <c r="V169" i="6"/>
  <c r="V168" i="6"/>
  <c r="V167" i="6"/>
  <c r="V78" i="6"/>
  <c r="V68" i="6"/>
  <c r="V25" i="6"/>
  <c r="V29" i="6"/>
  <c r="V74" i="6"/>
  <c r="V73" i="6"/>
  <c r="AH54" i="5"/>
  <c r="AL83" i="6" s="1"/>
  <c r="B83" i="6" s="1"/>
  <c r="V248" i="28"/>
  <c r="V542" i="28"/>
  <c r="V342" i="28"/>
  <c r="V423" i="28"/>
  <c r="V405" i="28"/>
  <c r="V360" i="28"/>
  <c r="V107" i="6"/>
  <c r="V357" i="28"/>
  <c r="V414" i="28"/>
  <c r="V161" i="6"/>
  <c r="V387" i="28"/>
  <c r="V432" i="28"/>
  <c r="V369" i="28"/>
  <c r="V441" i="28"/>
  <c r="V378" i="28"/>
  <c r="V163" i="6"/>
  <c r="V333" i="28"/>
  <c r="V450" i="28"/>
  <c r="V351" i="28"/>
  <c r="V396" i="28"/>
  <c r="Z187" i="28"/>
  <c r="Z72" i="6"/>
  <c r="Z175" i="6"/>
  <c r="Z180" i="6"/>
  <c r="Z82" i="6"/>
  <c r="Z77" i="6"/>
  <c r="Z170" i="6"/>
  <c r="AG127" i="6"/>
  <c r="B127" i="6" s="1"/>
  <c r="AG393" i="28" s="1"/>
  <c r="AL393" i="28" s="1"/>
  <c r="B393" i="28" s="1"/>
  <c r="AG137" i="6"/>
  <c r="B137" i="6" s="1"/>
  <c r="AG411" i="28" s="1"/>
  <c r="AL411" i="28" s="1"/>
  <c r="B411" i="28" s="1"/>
  <c r="AG122" i="6"/>
  <c r="B122" i="6" s="1"/>
  <c r="AG384" i="28" s="1"/>
  <c r="AL384" i="28" s="1"/>
  <c r="B384" i="28" s="1"/>
  <c r="AG117" i="6"/>
  <c r="B117" i="6" s="1"/>
  <c r="AG375" i="28" s="1"/>
  <c r="AL375" i="28" s="1"/>
  <c r="B375" i="28" s="1"/>
  <c r="AG132" i="6"/>
  <c r="B132" i="6" s="1"/>
  <c r="AG402" i="28" s="1"/>
  <c r="AL402" i="28" s="1"/>
  <c r="B402" i="28" s="1"/>
  <c r="C70" i="88" l="1"/>
  <c r="Z40" i="28"/>
  <c r="C70" i="97"/>
  <c r="C42" i="108"/>
  <c r="C70" i="106"/>
  <c r="C70" i="108"/>
  <c r="C70" i="89"/>
  <c r="C46" i="107"/>
  <c r="C42" i="97"/>
  <c r="C70" i="98"/>
  <c r="C70" i="107"/>
  <c r="J60" i="105" s="1"/>
  <c r="X35" i="25" s="1"/>
  <c r="C46" i="98"/>
  <c r="C42" i="98"/>
  <c r="C42" i="107"/>
  <c r="C70" i="99"/>
  <c r="C42" i="89"/>
  <c r="C41" i="89"/>
  <c r="C47" i="89" s="1"/>
  <c r="C49" i="89" s="1"/>
  <c r="C51" i="89" s="1"/>
  <c r="C41" i="107"/>
  <c r="C47" i="107" s="1"/>
  <c r="C49" i="107" s="1"/>
  <c r="C50" i="107" s="1"/>
  <c r="C41" i="98"/>
  <c r="C47" i="98" s="1"/>
  <c r="C49" i="98" s="1"/>
  <c r="C50" i="98" s="1"/>
  <c r="J60" i="87"/>
  <c r="X35" i="19" s="1"/>
  <c r="J55" i="105"/>
  <c r="X30" i="25" s="1"/>
  <c r="J55" i="96"/>
  <c r="X30" i="22" s="1"/>
  <c r="C42" i="90"/>
  <c r="C70" i="90"/>
  <c r="C46" i="88"/>
  <c r="C41" i="88"/>
  <c r="C46" i="104"/>
  <c r="C51" i="104" s="1"/>
  <c r="C45" i="104"/>
  <c r="C50" i="104" s="1"/>
  <c r="D46" i="104"/>
  <c r="D51" i="104" s="1"/>
  <c r="D45" i="104"/>
  <c r="D50" i="104" s="1"/>
  <c r="C52" i="102"/>
  <c r="C54" i="102" s="1"/>
  <c r="C55" i="102" s="1"/>
  <c r="C52" i="100"/>
  <c r="C54" i="100" s="1"/>
  <c r="C55" i="100" s="1"/>
  <c r="C52" i="103"/>
  <c r="C54" i="103" s="1"/>
  <c r="C55" i="103" s="1"/>
  <c r="C52" i="101"/>
  <c r="C54" i="101" s="1"/>
  <c r="C55" i="101" s="1"/>
  <c r="C56" i="104"/>
  <c r="C61" i="104" s="1"/>
  <c r="C55" i="104"/>
  <c r="C60" i="104" s="1"/>
  <c r="D55" i="113"/>
  <c r="D60" i="113" s="1"/>
  <c r="D56" i="113"/>
  <c r="D61" i="113" s="1"/>
  <c r="D52" i="112"/>
  <c r="D54" i="112" s="1"/>
  <c r="D55" i="112" s="1"/>
  <c r="D52" i="109"/>
  <c r="D54" i="109" s="1"/>
  <c r="D55" i="109" s="1"/>
  <c r="D52" i="111"/>
  <c r="D54" i="111" s="1"/>
  <c r="D55" i="111" s="1"/>
  <c r="D52" i="110"/>
  <c r="D54" i="110" s="1"/>
  <c r="D55" i="110" s="1"/>
  <c r="C56" i="95"/>
  <c r="C61" i="95" s="1"/>
  <c r="C55" i="95"/>
  <c r="C60" i="95" s="1"/>
  <c r="C56" i="113"/>
  <c r="C61" i="113" s="1"/>
  <c r="C55" i="113"/>
  <c r="C60" i="113" s="1"/>
  <c r="D52" i="92"/>
  <c r="D54" i="92" s="1"/>
  <c r="D55" i="92" s="1"/>
  <c r="D56" i="95"/>
  <c r="D61" i="95" s="1"/>
  <c r="D52" i="91"/>
  <c r="D54" i="91" s="1"/>
  <c r="D55" i="91" s="1"/>
  <c r="D52" i="93"/>
  <c r="D54" i="93" s="1"/>
  <c r="D55" i="93" s="1"/>
  <c r="D55" i="95"/>
  <c r="D60" i="95" s="1"/>
  <c r="D52" i="94"/>
  <c r="D54" i="94" s="1"/>
  <c r="D55" i="94" s="1"/>
  <c r="C46" i="97"/>
  <c r="C41" i="97"/>
  <c r="C52" i="91"/>
  <c r="C54" i="91" s="1"/>
  <c r="C55" i="91" s="1"/>
  <c r="C52" i="93"/>
  <c r="C54" i="93" s="1"/>
  <c r="C55" i="93" s="1"/>
  <c r="D45" i="95"/>
  <c r="D50" i="95" s="1"/>
  <c r="C52" i="92"/>
  <c r="C54" i="92" s="1"/>
  <c r="C55" i="92" s="1"/>
  <c r="D46" i="95"/>
  <c r="D51" i="95" s="1"/>
  <c r="C52" i="94"/>
  <c r="C54" i="94" s="1"/>
  <c r="C55" i="94" s="1"/>
  <c r="C41" i="106"/>
  <c r="C46" i="106"/>
  <c r="D45" i="113"/>
  <c r="D50" i="113" s="1"/>
  <c r="C52" i="112"/>
  <c r="C54" i="112" s="1"/>
  <c r="C55" i="112" s="1"/>
  <c r="C52" i="111"/>
  <c r="C54" i="111" s="1"/>
  <c r="C55" i="111" s="1"/>
  <c r="C52" i="110"/>
  <c r="C54" i="110" s="1"/>
  <c r="C55" i="110" s="1"/>
  <c r="D46" i="113"/>
  <c r="D51" i="113" s="1"/>
  <c r="C52" i="109"/>
  <c r="C54" i="109" s="1"/>
  <c r="C55" i="109" s="1"/>
  <c r="C45" i="95"/>
  <c r="C50" i="95" s="1"/>
  <c r="C46" i="95"/>
  <c r="C51" i="95" s="1"/>
  <c r="C46" i="108"/>
  <c r="C41" i="108"/>
  <c r="C47" i="108" s="1"/>
  <c r="C49" i="108" s="1"/>
  <c r="C50" i="108" s="1"/>
  <c r="C45" i="113"/>
  <c r="C50" i="113" s="1"/>
  <c r="C46" i="113"/>
  <c r="C51" i="113" s="1"/>
  <c r="D52" i="103"/>
  <c r="D54" i="103" s="1"/>
  <c r="D55" i="103" s="1"/>
  <c r="D52" i="101"/>
  <c r="D54" i="101" s="1"/>
  <c r="D55" i="101" s="1"/>
  <c r="D52" i="100"/>
  <c r="D54" i="100" s="1"/>
  <c r="D55" i="100" s="1"/>
  <c r="D56" i="104"/>
  <c r="D61" i="104" s="1"/>
  <c r="D55" i="104"/>
  <c r="D60" i="104" s="1"/>
  <c r="D52" i="102"/>
  <c r="D54" i="102" s="1"/>
  <c r="D55" i="102" s="1"/>
  <c r="C42" i="88"/>
  <c r="C46" i="99"/>
  <c r="C41" i="99"/>
  <c r="C42" i="99"/>
  <c r="C42" i="106"/>
  <c r="C46" i="90"/>
  <c r="C41" i="90"/>
  <c r="C47" i="90" s="1"/>
  <c r="C49" i="90" s="1"/>
  <c r="C51" i="90" s="1"/>
  <c r="Z225" i="28"/>
  <c r="V225" i="28"/>
  <c r="Z490" i="28"/>
  <c r="V490" i="28"/>
  <c r="Z479" i="28"/>
  <c r="V479" i="28"/>
  <c r="Z531" i="28"/>
  <c r="V531" i="28"/>
  <c r="Z519" i="28"/>
  <c r="V519" i="28"/>
  <c r="Z461" i="28"/>
  <c r="V461" i="28"/>
  <c r="Z260" i="28"/>
  <c r="V260" i="28"/>
  <c r="Z70" i="28"/>
  <c r="V70" i="28"/>
  <c r="Z508" i="28"/>
  <c r="V508" i="28"/>
  <c r="Z496" i="28"/>
  <c r="V496" i="28"/>
  <c r="Z467" i="28"/>
  <c r="V467" i="28"/>
  <c r="Z525" i="28"/>
  <c r="V525" i="28"/>
  <c r="Z502" i="28"/>
  <c r="V502" i="28"/>
  <c r="Z254" i="28"/>
  <c r="V254" i="28"/>
  <c r="Z46" i="28"/>
  <c r="V46" i="28"/>
  <c r="Z283" i="28"/>
  <c r="V283" i="28"/>
  <c r="Z473" i="28"/>
  <c r="V473" i="28"/>
  <c r="Z537" i="28"/>
  <c r="V537" i="28"/>
  <c r="C177" i="28"/>
  <c r="D177" i="28" s="1"/>
  <c r="V177" i="28" s="1"/>
  <c r="C207" i="28"/>
  <c r="D207" i="28" s="1"/>
  <c r="V207" i="28" s="1"/>
  <c r="C197" i="28"/>
  <c r="D197" i="28" s="1"/>
  <c r="V197" i="28" s="1"/>
  <c r="D83" i="6"/>
  <c r="V83" i="6" s="1"/>
  <c r="AL311" i="28"/>
  <c r="B311" i="28" s="1"/>
  <c r="D311" i="28" s="1"/>
  <c r="V311" i="28" s="1"/>
  <c r="Z58" i="6"/>
  <c r="Z59" i="6"/>
  <c r="Z57" i="6"/>
  <c r="V306" i="28"/>
  <c r="V277" i="28"/>
  <c r="Z56" i="6"/>
  <c r="V132" i="6"/>
  <c r="V402" i="28"/>
  <c r="V117" i="6"/>
  <c r="V375" i="28"/>
  <c r="V122" i="6"/>
  <c r="V384" i="28"/>
  <c r="V137" i="6"/>
  <c r="V411" i="28"/>
  <c r="V127" i="6"/>
  <c r="V393" i="28"/>
  <c r="J60" i="96" l="1"/>
  <c r="X35" i="22" s="1"/>
  <c r="C47" i="99"/>
  <c r="C49" i="99" s="1"/>
  <c r="C51" i="99" s="1"/>
  <c r="C51" i="107"/>
  <c r="C50" i="89"/>
  <c r="C51" i="98"/>
  <c r="C57" i="110"/>
  <c r="C57" i="111"/>
  <c r="C57" i="109"/>
  <c r="C50" i="90"/>
  <c r="C57" i="112"/>
  <c r="I56" i="105" s="1"/>
  <c r="W31" i="25" s="1"/>
  <c r="C47" i="106"/>
  <c r="C49" i="106" s="1"/>
  <c r="C57" i="101"/>
  <c r="C28" i="110"/>
  <c r="C28" i="112"/>
  <c r="C28" i="111"/>
  <c r="C28" i="109"/>
  <c r="C57" i="103"/>
  <c r="C27" i="109"/>
  <c r="C27" i="112"/>
  <c r="C27" i="110"/>
  <c r="C27" i="111"/>
  <c r="C57" i="94"/>
  <c r="C57" i="100"/>
  <c r="C57" i="102"/>
  <c r="C57" i="92"/>
  <c r="C51" i="108"/>
  <c r="C28" i="92"/>
  <c r="C28" i="94"/>
  <c r="C28" i="91"/>
  <c r="C28" i="93"/>
  <c r="C57" i="93"/>
  <c r="C27" i="101"/>
  <c r="C27" i="102"/>
  <c r="C27" i="100"/>
  <c r="C27" i="103"/>
  <c r="C27" i="94"/>
  <c r="C27" i="91"/>
  <c r="C27" i="92"/>
  <c r="C27" i="93"/>
  <c r="C57" i="91"/>
  <c r="C28" i="102"/>
  <c r="C28" i="103"/>
  <c r="C28" i="100"/>
  <c r="C28" i="101"/>
  <c r="C47" i="97"/>
  <c r="C49" i="97" s="1"/>
  <c r="C47" i="88"/>
  <c r="C49" i="88" s="1"/>
  <c r="G197" i="28"/>
  <c r="Z207" i="28"/>
  <c r="G207" i="28"/>
  <c r="G177" i="28"/>
  <c r="AB18" i="6"/>
  <c r="C50" i="99" l="1"/>
  <c r="Z197" i="28"/>
  <c r="Z177" i="28"/>
  <c r="I56" i="96"/>
  <c r="W31" i="22" s="1"/>
  <c r="I56" i="87"/>
  <c r="W31" i="19" s="1"/>
  <c r="C37" i="110"/>
  <c r="C33" i="110"/>
  <c r="C38" i="110" s="1"/>
  <c r="C40" i="110" s="1"/>
  <c r="C41" i="110" s="1"/>
  <c r="C33" i="112"/>
  <c r="C38" i="112" s="1"/>
  <c r="C40" i="112" s="1"/>
  <c r="C41" i="112" s="1"/>
  <c r="C37" i="112"/>
  <c r="C37" i="93"/>
  <c r="C33" i="93"/>
  <c r="C38" i="93" s="1"/>
  <c r="C40" i="93" s="1"/>
  <c r="C41" i="93" s="1"/>
  <c r="C37" i="91"/>
  <c r="C33" i="91"/>
  <c r="C37" i="94"/>
  <c r="C33" i="94"/>
  <c r="C38" i="94" s="1"/>
  <c r="C40" i="94" s="1"/>
  <c r="C41" i="94" s="1"/>
  <c r="C51" i="88"/>
  <c r="I59" i="87" s="1"/>
  <c r="W34" i="19" s="1"/>
  <c r="C50" i="88"/>
  <c r="I61" i="87" s="1"/>
  <c r="W36" i="19" s="1"/>
  <c r="C37" i="92"/>
  <c r="C33" i="92"/>
  <c r="C38" i="92" s="1"/>
  <c r="C40" i="92" s="1"/>
  <c r="C41" i="92" s="1"/>
  <c r="C37" i="109"/>
  <c r="C33" i="109"/>
  <c r="C38" i="109" s="1"/>
  <c r="C40" i="109" s="1"/>
  <c r="C41" i="109" s="1"/>
  <c r="C50" i="97"/>
  <c r="I61" i="96" s="1"/>
  <c r="W36" i="22" s="1"/>
  <c r="C51" i="97"/>
  <c r="I59" i="96" s="1"/>
  <c r="W34" i="22" s="1"/>
  <c r="C33" i="111"/>
  <c r="C38" i="111" s="1"/>
  <c r="C40" i="111" s="1"/>
  <c r="C41" i="111" s="1"/>
  <c r="C37" i="111"/>
  <c r="C37" i="101"/>
  <c r="C33" i="101"/>
  <c r="C38" i="101" s="1"/>
  <c r="C40" i="101" s="1"/>
  <c r="C41" i="101" s="1"/>
  <c r="C37" i="103"/>
  <c r="C33" i="103"/>
  <c r="C38" i="103" s="1"/>
  <c r="C40" i="103" s="1"/>
  <c r="C41" i="103" s="1"/>
  <c r="C33" i="102"/>
  <c r="C38" i="102" s="1"/>
  <c r="C40" i="102" s="1"/>
  <c r="C41" i="102" s="1"/>
  <c r="C37" i="102"/>
  <c r="C37" i="100"/>
  <c r="C33" i="100"/>
  <c r="C51" i="106"/>
  <c r="I59" i="105" s="1"/>
  <c r="W34" i="25" s="1"/>
  <c r="C50" i="106"/>
  <c r="I61" i="105" s="1"/>
  <c r="W36" i="25" s="1"/>
  <c r="Z34" i="22" l="1"/>
  <c r="Z34" i="25"/>
  <c r="Z34" i="19"/>
  <c r="I54" i="105"/>
  <c r="W29" i="25" s="1"/>
  <c r="C38" i="91"/>
  <c r="C40" i="91" s="1"/>
  <c r="C41" i="91" s="1"/>
  <c r="I54" i="87"/>
  <c r="W29" i="19" s="1"/>
  <c r="C38" i="100"/>
  <c r="C40" i="100" s="1"/>
  <c r="C41" i="100" s="1"/>
  <c r="I54" i="96"/>
  <c r="W29" i="22" s="1"/>
  <c r="Z28" i="25" l="1"/>
  <c r="Z44" i="25" s="1"/>
  <c r="S38" i="25"/>
  <c r="Z28" i="22"/>
  <c r="Z44" i="22" s="1"/>
  <c r="S38" i="22"/>
  <c r="AB17" i="17"/>
  <c r="AG50" i="17"/>
  <c r="AL94" i="17"/>
  <c r="AG94" i="17" s="1"/>
  <c r="AL174" i="17"/>
  <c r="AG174" i="17" s="1"/>
  <c r="B174" i="17" s="1"/>
  <c r="AL70" i="17"/>
  <c r="AG70" i="17" s="1"/>
  <c r="B70" i="17" s="1"/>
  <c r="AL69" i="17"/>
  <c r="AG69" i="17" s="1"/>
  <c r="AL79" i="17"/>
  <c r="AG79" i="17" s="1"/>
  <c r="AL170" i="17"/>
  <c r="AG170" i="17" s="1"/>
  <c r="AG46" i="17"/>
  <c r="B46" i="17" s="1"/>
  <c r="V46" i="17" s="1"/>
  <c r="AL73" i="17"/>
  <c r="AG73" i="17" s="1"/>
  <c r="B73" i="17" s="1"/>
  <c r="BG55" i="17"/>
  <c r="BK55" i="17" s="1"/>
  <c r="AL168" i="17"/>
  <c r="AG168" i="17" s="1"/>
  <c r="B168" i="17" s="1"/>
  <c r="AG51" i="17"/>
  <c r="AL80" i="17"/>
  <c r="AG80" i="17" s="1"/>
  <c r="B80" i="17" s="1"/>
  <c r="AL167" i="17"/>
  <c r="AG167" i="17" s="1"/>
  <c r="B167" i="17" s="1"/>
  <c r="AL81" i="17"/>
  <c r="AG81" i="17" s="1"/>
  <c r="B81" i="17" s="1"/>
  <c r="AG66" i="17"/>
  <c r="B66" i="17" s="1"/>
  <c r="AL77" i="17"/>
  <c r="AG77" i="17" s="1"/>
  <c r="AL166" i="17"/>
  <c r="AG166" i="17" s="1"/>
  <c r="AL101" i="17"/>
  <c r="AG101" i="17" s="1"/>
  <c r="B101" i="17" s="1"/>
  <c r="AL169" i="17"/>
  <c r="AG169" i="17" s="1"/>
  <c r="B169" i="17" s="1"/>
  <c r="AL72" i="17"/>
  <c r="AG72" i="17" s="1"/>
  <c r="B72" i="17" s="1"/>
  <c r="Z72" i="17" s="1"/>
  <c r="AL173" i="17"/>
  <c r="AG173" i="17" s="1"/>
  <c r="AL177" i="17"/>
  <c r="AG177" i="17" s="1"/>
  <c r="AG45" i="17"/>
  <c r="B45" i="17" s="1"/>
  <c r="V45" i="17" s="1"/>
  <c r="AL178" i="17"/>
  <c r="AG178" i="17" s="1"/>
  <c r="B178" i="17" s="1"/>
  <c r="AL75" i="17"/>
  <c r="AG75" i="17" s="1"/>
  <c r="B75" i="17" s="1"/>
  <c r="AG49" i="17"/>
  <c r="AL104" i="17"/>
  <c r="AY104" i="17" s="1"/>
  <c r="AL88" i="17"/>
  <c r="AG88" i="17" s="1"/>
  <c r="B88" i="17" s="1"/>
  <c r="AH326" i="28" s="1"/>
  <c r="AL326" i="28" s="1"/>
  <c r="B326" i="28" s="1"/>
  <c r="V326" i="28" s="1"/>
  <c r="AL89" i="17"/>
  <c r="AG89" i="17" s="1"/>
  <c r="B89" i="17" s="1"/>
  <c r="AL99" i="17"/>
  <c r="AG99" i="17" s="1"/>
  <c r="B99" i="17" s="1"/>
  <c r="AL172" i="17"/>
  <c r="AG172" i="17" s="1"/>
  <c r="AL68" i="17"/>
  <c r="AG68" i="17" s="1"/>
  <c r="AL92" i="17"/>
  <c r="AG92" i="17" s="1"/>
  <c r="AL176" i="17"/>
  <c r="AG176" i="17" s="1"/>
  <c r="B176" i="17" s="1"/>
  <c r="AL71" i="17"/>
  <c r="AG71" i="17" s="1"/>
  <c r="AG65" i="17"/>
  <c r="B65" i="17" s="1"/>
  <c r="AL74" i="17"/>
  <c r="AG74" i="17" s="1"/>
  <c r="AL102" i="17"/>
  <c r="AY102" i="17" s="1"/>
  <c r="AL82" i="17"/>
  <c r="AG82" i="17" s="1"/>
  <c r="AL76" i="17"/>
  <c r="AG76" i="17" s="1"/>
  <c r="B76" i="17" s="1"/>
  <c r="AG87" i="17"/>
  <c r="B87" i="17" s="1"/>
  <c r="AH322" i="28" s="1"/>
  <c r="AL322" i="28" s="1"/>
  <c r="B322" i="28" s="1"/>
  <c r="AG161" i="17"/>
  <c r="B161" i="17" s="1"/>
  <c r="AL78" i="17"/>
  <c r="AG78" i="17" s="1"/>
  <c r="AL171" i="17"/>
  <c r="AG171" i="17" s="1"/>
  <c r="B171" i="17" s="1"/>
  <c r="AL180" i="17"/>
  <c r="AG180" i="17" s="1"/>
  <c r="AL164" i="17"/>
  <c r="AG85" i="17"/>
  <c r="B85" i="17" s="1"/>
  <c r="AL179" i="17"/>
  <c r="AG179" i="17" s="1"/>
  <c r="B179" i="17" s="1"/>
  <c r="U57" i="17"/>
  <c r="AH162" i="17"/>
  <c r="AG162" i="17" s="1"/>
  <c r="B162" i="17" s="1"/>
  <c r="AH456" i="28" s="1"/>
  <c r="AL456" i="28" s="1"/>
  <c r="B456" i="28" s="1"/>
  <c r="V456" i="28" s="1"/>
  <c r="AU73" i="17"/>
  <c r="AZ73" i="17" s="1"/>
  <c r="AU166" i="17"/>
  <c r="AZ166" i="17" s="1"/>
  <c r="AL93" i="17"/>
  <c r="AG93" i="17" s="1"/>
  <c r="AG63" i="17"/>
  <c r="B63" i="17" s="1"/>
  <c r="AL97" i="17"/>
  <c r="AG97" i="17" s="1"/>
  <c r="AU179" i="17"/>
  <c r="AZ179" i="17" s="1"/>
  <c r="AU79" i="17"/>
  <c r="AZ79" i="17" s="1"/>
  <c r="AG84" i="17"/>
  <c r="B84" i="17" s="1"/>
  <c r="BG53" i="17"/>
  <c r="BK53" i="17" s="1"/>
  <c r="AH163" i="17"/>
  <c r="AG163" i="17" s="1"/>
  <c r="AH208" i="28"/>
  <c r="AU72" i="17"/>
  <c r="AZ72" i="17" s="1"/>
  <c r="AG47" i="17"/>
  <c r="B47" i="17" s="1"/>
  <c r="V47" i="17" s="1"/>
  <c r="AU178" i="17"/>
  <c r="AZ178" i="17" s="1"/>
  <c r="AU80" i="17"/>
  <c r="AZ80" i="17" s="1"/>
  <c r="AL165" i="17"/>
  <c r="AL96" i="17"/>
  <c r="AG96" i="17" s="1"/>
  <c r="B96" i="17" s="1"/>
  <c r="AH188" i="28"/>
  <c r="AU170" i="17"/>
  <c r="AZ170" i="17" s="1"/>
  <c r="AL100" i="17"/>
  <c r="AG100" i="17" s="1"/>
  <c r="AL98" i="17"/>
  <c r="AY98" i="17" s="1"/>
  <c r="U58" i="17"/>
  <c r="AG86" i="17"/>
  <c r="AL175" i="17"/>
  <c r="AG175" i="17" s="1"/>
  <c r="AG64" i="17"/>
  <c r="B64" i="17" s="1"/>
  <c r="AH199" i="28"/>
  <c r="AM199" i="28" s="1"/>
  <c r="B199" i="28" s="1"/>
  <c r="AG67" i="17"/>
  <c r="B67" i="17" s="1"/>
  <c r="D67" i="17" s="1"/>
  <c r="AU75" i="17"/>
  <c r="AZ75" i="17" s="1"/>
  <c r="AU81" i="17"/>
  <c r="AZ81" i="17" s="1"/>
  <c r="BG52" i="17"/>
  <c r="BK52" i="17" s="1"/>
  <c r="AH209" i="28"/>
  <c r="AM209" i="28" s="1"/>
  <c r="B209" i="28" s="1"/>
  <c r="AU70" i="17"/>
  <c r="AZ70" i="17" s="1"/>
  <c r="AL91" i="17"/>
  <c r="AG91" i="17" s="1"/>
  <c r="AL95" i="17"/>
  <c r="AY95" i="17" s="1"/>
  <c r="AL90" i="17"/>
  <c r="AG90" i="17" s="1"/>
  <c r="B90" i="17" s="1"/>
  <c r="AU180" i="17"/>
  <c r="AZ180" i="17" s="1"/>
  <c r="AH189" i="28"/>
  <c r="AM189" i="28" s="1"/>
  <c r="B189" i="28" s="1"/>
  <c r="AL105" i="17"/>
  <c r="AG105" i="17" s="1"/>
  <c r="AH198" i="28"/>
  <c r="BG54" i="17"/>
  <c r="BO54" i="17" s="1"/>
  <c r="AU171" i="17"/>
  <c r="AZ171" i="17" s="1"/>
  <c r="AL103" i="17"/>
  <c r="AG103" i="17" s="1"/>
  <c r="B103" i="17" s="1"/>
  <c r="AH34" i="16"/>
  <c r="AH37" i="16" s="1"/>
  <c r="AH38" i="16" s="1"/>
  <c r="AH42" i="16" s="1"/>
  <c r="D27" i="15"/>
  <c r="G27" i="15" s="1"/>
  <c r="AU177" i="17"/>
  <c r="AZ177" i="17" s="1"/>
  <c r="AU78" i="17"/>
  <c r="AZ78" i="17" s="1"/>
  <c r="AU82" i="17"/>
  <c r="AZ82" i="17" s="1"/>
  <c r="AU173" i="17"/>
  <c r="AZ173" i="17" s="1"/>
  <c r="AU176" i="17"/>
  <c r="AZ176" i="17" s="1"/>
  <c r="AU175" i="17"/>
  <c r="AZ175" i="17" s="1"/>
  <c r="AU174" i="17"/>
  <c r="AZ174" i="17" s="1"/>
  <c r="AU168" i="17"/>
  <c r="AZ168" i="17" s="1"/>
  <c r="AU74" i="17"/>
  <c r="AZ74" i="17" s="1"/>
  <c r="AU167" i="17"/>
  <c r="AZ167" i="17" s="1"/>
  <c r="AI26" i="16"/>
  <c r="AU172" i="17"/>
  <c r="AZ172" i="17" s="1"/>
  <c r="AU71" i="17"/>
  <c r="AZ71" i="17" s="1"/>
  <c r="AU164" i="17"/>
  <c r="AU163" i="17" s="1"/>
  <c r="AU169" i="17"/>
  <c r="AZ169" i="17" s="1"/>
  <c r="AU77" i="17"/>
  <c r="AZ77" i="17" s="1"/>
  <c r="AU165" i="17"/>
  <c r="AU162" i="17" s="1"/>
  <c r="AU69" i="17"/>
  <c r="AZ69" i="17" s="1"/>
  <c r="AU76" i="17"/>
  <c r="AZ76" i="17" s="1"/>
  <c r="AU68" i="17"/>
  <c r="AZ68" i="17" s="1"/>
  <c r="U56" i="17"/>
  <c r="S14" i="17"/>
  <c r="U59" i="17"/>
  <c r="B78" i="17" l="1"/>
  <c r="V78" i="17" s="1"/>
  <c r="B172" i="17"/>
  <c r="V172" i="17" s="1"/>
  <c r="C19" i="86"/>
  <c r="P28" i="79" s="1"/>
  <c r="H39" i="16"/>
  <c r="H41" i="16" s="1"/>
  <c r="B74" i="17"/>
  <c r="AH259" i="28" s="1"/>
  <c r="B71" i="17"/>
  <c r="AH242" i="28" s="1"/>
  <c r="B69" i="17"/>
  <c r="V69" i="17" s="1"/>
  <c r="Z322" i="28"/>
  <c r="V322" i="28"/>
  <c r="B79" i="17"/>
  <c r="AH288" i="28" s="1"/>
  <c r="B177" i="17"/>
  <c r="AH524" i="28" s="1"/>
  <c r="AY94" i="17"/>
  <c r="B94" i="17" s="1"/>
  <c r="C48" i="91"/>
  <c r="B163" i="17"/>
  <c r="V163" i="17" s="1"/>
  <c r="AY101" i="17"/>
  <c r="B68" i="17"/>
  <c r="AH226" i="28" s="1"/>
  <c r="AG164" i="17"/>
  <c r="B164" i="17" s="1"/>
  <c r="AH458" i="28" s="1"/>
  <c r="AL458" i="28" s="1"/>
  <c r="B458" i="28" s="1"/>
  <c r="V458" i="28" s="1"/>
  <c r="B166" i="17"/>
  <c r="AH460" i="28" s="1"/>
  <c r="AL460" i="28" s="1"/>
  <c r="B460" i="28" s="1"/>
  <c r="V460" i="28" s="1"/>
  <c r="AH238" i="28"/>
  <c r="Z70" i="17"/>
  <c r="AH497" i="28"/>
  <c r="Z172" i="17"/>
  <c r="AH101" i="28"/>
  <c r="Z34" i="17"/>
  <c r="AH71" i="28"/>
  <c r="Z29" i="17"/>
  <c r="AH89" i="28"/>
  <c r="Z32" i="17"/>
  <c r="AH480" i="28"/>
  <c r="Z169" i="17"/>
  <c r="AH83" i="28"/>
  <c r="Z31" i="17"/>
  <c r="V76" i="17"/>
  <c r="AH273" i="28"/>
  <c r="Z76" i="17"/>
  <c r="AH53" i="28"/>
  <c r="Z26" i="17"/>
  <c r="AG102" i="17"/>
  <c r="B102" i="17" s="1"/>
  <c r="V102" i="17" s="1"/>
  <c r="AH474" i="28"/>
  <c r="Z168" i="17"/>
  <c r="V21" i="17"/>
  <c r="AH23" i="28"/>
  <c r="Z21" i="17"/>
  <c r="AH155" i="28"/>
  <c r="Z43" i="17"/>
  <c r="AH131" i="28"/>
  <c r="Z39" i="17"/>
  <c r="AH255" i="28"/>
  <c r="Z73" i="17"/>
  <c r="B321" i="28"/>
  <c r="Z87" i="17"/>
  <c r="AH261" i="28"/>
  <c r="Z74" i="17"/>
  <c r="AH95" i="28"/>
  <c r="Z33" i="17"/>
  <c r="AH462" i="28"/>
  <c r="Z166" i="17"/>
  <c r="Z68" i="17"/>
  <c r="AH125" i="28"/>
  <c r="Z38" i="17"/>
  <c r="AH284" i="28"/>
  <c r="Z78" i="17"/>
  <c r="AH244" i="28"/>
  <c r="Z71" i="17"/>
  <c r="AH41" i="28"/>
  <c r="Z24" i="17"/>
  <c r="AH509" i="28"/>
  <c r="Z174" i="17"/>
  <c r="AH267" i="28"/>
  <c r="Z75" i="17"/>
  <c r="AH77" i="28"/>
  <c r="Z30" i="17"/>
  <c r="AH149" i="28"/>
  <c r="Z42" i="17"/>
  <c r="AH161" i="28"/>
  <c r="Z44" i="17"/>
  <c r="AH137" i="28"/>
  <c r="Z40" i="17"/>
  <c r="AH520" i="28"/>
  <c r="Z176" i="17"/>
  <c r="AH302" i="28"/>
  <c r="Z81" i="17"/>
  <c r="AH47" i="28"/>
  <c r="Z25" i="17"/>
  <c r="AH538" i="28"/>
  <c r="Z179" i="17"/>
  <c r="AH491" i="28"/>
  <c r="Z171" i="17"/>
  <c r="V41" i="17"/>
  <c r="AH143" i="28"/>
  <c r="Z41" i="17"/>
  <c r="AH107" i="28"/>
  <c r="Z35" i="17"/>
  <c r="AH113" i="28"/>
  <c r="Z36" i="17"/>
  <c r="AH532" i="28"/>
  <c r="Z178" i="17"/>
  <c r="AH35" i="28"/>
  <c r="Z23" i="17"/>
  <c r="AH119" i="28"/>
  <c r="Z37" i="17"/>
  <c r="AH29" i="28"/>
  <c r="Z22" i="17"/>
  <c r="AH468" i="28"/>
  <c r="Z167" i="17"/>
  <c r="AH526" i="28"/>
  <c r="Z177" i="17"/>
  <c r="AH296" i="28"/>
  <c r="Z80" i="17"/>
  <c r="AH290" i="28"/>
  <c r="Z79" i="17"/>
  <c r="AH65" i="28"/>
  <c r="Z28" i="17"/>
  <c r="AH59" i="28"/>
  <c r="Z27" i="17"/>
  <c r="AH232" i="28"/>
  <c r="Z69" i="17"/>
  <c r="AM188" i="28"/>
  <c r="B188" i="28" s="1"/>
  <c r="AM208" i="28"/>
  <c r="B208" i="28" s="1"/>
  <c r="AM198" i="28"/>
  <c r="B198" i="28" s="1"/>
  <c r="BO52" i="17"/>
  <c r="CA52" i="17" s="1"/>
  <c r="CE52" i="17" s="1"/>
  <c r="AG52" i="17" s="1"/>
  <c r="B52" i="17" s="1"/>
  <c r="B173" i="17"/>
  <c r="V173" i="17" s="1"/>
  <c r="AG165" i="17"/>
  <c r="B165" i="17" s="1"/>
  <c r="V165" i="17" s="1"/>
  <c r="AH320" i="28"/>
  <c r="V87" i="17"/>
  <c r="AH530" i="28"/>
  <c r="V178" i="17"/>
  <c r="V38" i="17"/>
  <c r="AH123" i="28"/>
  <c r="AL123" i="28" s="1"/>
  <c r="B123" i="28" s="1"/>
  <c r="V123" i="28" s="1"/>
  <c r="V85" i="17"/>
  <c r="AH313" i="28"/>
  <c r="AL313" i="28" s="1"/>
  <c r="B313" i="28" s="1"/>
  <c r="V313" i="28" s="1"/>
  <c r="V24" i="17"/>
  <c r="AH39" i="28"/>
  <c r="AL39" i="28" s="1"/>
  <c r="B39" i="28" s="1"/>
  <c r="V39" i="28" s="1"/>
  <c r="AH338" i="28"/>
  <c r="AL338" i="28" s="1"/>
  <c r="B338" i="28" s="1"/>
  <c r="V338" i="28" s="1"/>
  <c r="V96" i="17"/>
  <c r="V30" i="17"/>
  <c r="AH75" i="28"/>
  <c r="AL75" i="28" s="1"/>
  <c r="B75" i="28" s="1"/>
  <c r="V75" i="28" s="1"/>
  <c r="C77" i="17"/>
  <c r="B77" i="17"/>
  <c r="V25" i="17"/>
  <c r="AH45" i="28"/>
  <c r="AL45" i="28" s="1"/>
  <c r="B45" i="28" s="1"/>
  <c r="V45" i="28" s="1"/>
  <c r="AH165" i="28"/>
  <c r="AL165" i="28" s="1"/>
  <c r="AH222" i="28"/>
  <c r="AL222" i="28" s="1"/>
  <c r="B222" i="28" s="1"/>
  <c r="D66" i="17"/>
  <c r="V66" i="17"/>
  <c r="B180" i="17"/>
  <c r="Z180" i="17" s="1"/>
  <c r="C180" i="17"/>
  <c r="AH69" i="28"/>
  <c r="AL69" i="28" s="1"/>
  <c r="B69" i="28" s="1"/>
  <c r="V69" i="28" s="1"/>
  <c r="V29" i="17"/>
  <c r="V80" i="17"/>
  <c r="AH294" i="28"/>
  <c r="AH166" i="28"/>
  <c r="AL166" i="28" s="1"/>
  <c r="C82" i="17"/>
  <c r="B82" i="17"/>
  <c r="Z82" i="17" s="1"/>
  <c r="B170" i="17"/>
  <c r="C170" i="17"/>
  <c r="V26" i="17"/>
  <c r="AH51" i="28"/>
  <c r="AL51" i="28" s="1"/>
  <c r="B51" i="28" s="1"/>
  <c r="V51" i="28" s="1"/>
  <c r="AH220" i="28"/>
  <c r="D64" i="17"/>
  <c r="V64" i="17" s="1"/>
  <c r="AL249" i="28"/>
  <c r="B249" i="28" s="1"/>
  <c r="V249" i="28" s="1"/>
  <c r="AH135" i="28"/>
  <c r="AL135" i="28" s="1"/>
  <c r="B135" i="28" s="1"/>
  <c r="V135" i="28" s="1"/>
  <c r="V40" i="17"/>
  <c r="AH87" i="28"/>
  <c r="AL87" i="28" s="1"/>
  <c r="B87" i="28" s="1"/>
  <c r="V87" i="28" s="1"/>
  <c r="V32" i="17"/>
  <c r="V44" i="17"/>
  <c r="AH159" i="28"/>
  <c r="V27" i="17"/>
  <c r="AH57" i="28"/>
  <c r="AL57" i="28" s="1"/>
  <c r="B57" i="28" s="1"/>
  <c r="V57" i="28" s="1"/>
  <c r="V34" i="17"/>
  <c r="AH99" i="28"/>
  <c r="AL99" i="28" s="1"/>
  <c r="B99" i="28" s="1"/>
  <c r="V99" i="28" s="1"/>
  <c r="V39" i="17"/>
  <c r="AH129" i="28"/>
  <c r="AL129" i="28" s="1"/>
  <c r="B129" i="28" s="1"/>
  <c r="V129" i="28" s="1"/>
  <c r="AH236" i="28"/>
  <c r="V70" i="17"/>
  <c r="B105" i="17"/>
  <c r="C105" i="17"/>
  <c r="D63" i="17"/>
  <c r="V63" i="17" s="1"/>
  <c r="AH219" i="28"/>
  <c r="V81" i="17"/>
  <c r="AH300" i="28"/>
  <c r="AH327" i="28"/>
  <c r="AL327" i="28" s="1"/>
  <c r="B327" i="28" s="1"/>
  <c r="V327" i="28" s="1"/>
  <c r="V89" i="17"/>
  <c r="V35" i="17"/>
  <c r="AH105" i="28"/>
  <c r="AL105" i="28" s="1"/>
  <c r="B105" i="28" s="1"/>
  <c r="V105" i="28" s="1"/>
  <c r="V169" i="17"/>
  <c r="AH478" i="28"/>
  <c r="AH507" i="28"/>
  <c r="V174" i="17"/>
  <c r="V73" i="17"/>
  <c r="AH253" i="28"/>
  <c r="AL253" i="28" s="1"/>
  <c r="B253" i="28" s="1"/>
  <c r="V253" i="28" s="1"/>
  <c r="V37" i="17"/>
  <c r="AH117" i="28"/>
  <c r="AL117" i="28" s="1"/>
  <c r="B117" i="28" s="1"/>
  <c r="V117" i="28" s="1"/>
  <c r="V167" i="17"/>
  <c r="AH466" i="28"/>
  <c r="AH167" i="28"/>
  <c r="AL167" i="28" s="1"/>
  <c r="AH282" i="28"/>
  <c r="D65" i="17"/>
  <c r="V65" i="17" s="1"/>
  <c r="AH221" i="28"/>
  <c r="AH312" i="28"/>
  <c r="AL312" i="28" s="1"/>
  <c r="B312" i="28" s="1"/>
  <c r="V312" i="28" s="1"/>
  <c r="V84" i="17"/>
  <c r="V176" i="17"/>
  <c r="AH518" i="28"/>
  <c r="AH223" i="28"/>
  <c r="AL223" i="28" s="1"/>
  <c r="B223" i="28" s="1"/>
  <c r="V67" i="17"/>
  <c r="V99" i="17"/>
  <c r="AH341" i="28"/>
  <c r="AL341" i="28" s="1"/>
  <c r="B341" i="28" s="1"/>
  <c r="V341" i="28" s="1"/>
  <c r="V90" i="17"/>
  <c r="AH328" i="28"/>
  <c r="AL328" i="28" s="1"/>
  <c r="B328" i="28" s="1"/>
  <c r="V328" i="28" s="1"/>
  <c r="AT57" i="17"/>
  <c r="C57" i="17" s="1"/>
  <c r="D57" i="17" s="1"/>
  <c r="V57" i="17" s="1"/>
  <c r="AH43" i="16"/>
  <c r="AH44" i="16"/>
  <c r="AH45" i="16" s="1"/>
  <c r="AT58" i="17"/>
  <c r="C58" i="17" s="1"/>
  <c r="D58" i="17" s="1"/>
  <c r="V58" i="17" s="1"/>
  <c r="R34" i="61"/>
  <c r="R37" i="61" s="1"/>
  <c r="AT56" i="17"/>
  <c r="C56" i="17" s="1"/>
  <c r="D56" i="17" s="1"/>
  <c r="V56" i="17" s="1"/>
  <c r="AO34" i="61"/>
  <c r="AO37" i="61" s="1"/>
  <c r="BL34" i="61"/>
  <c r="BL37" i="61" s="1"/>
  <c r="AT59" i="17"/>
  <c r="C59" i="17" s="1"/>
  <c r="D59" i="17" s="1"/>
  <c r="V59" i="17" s="1"/>
  <c r="AL86" i="17"/>
  <c r="B86" i="17" s="1"/>
  <c r="AH314" i="28" s="1"/>
  <c r="AH455" i="28"/>
  <c r="AL455" i="28" s="1"/>
  <c r="B455" i="28" s="1"/>
  <c r="V455" i="28" s="1"/>
  <c r="V161" i="17"/>
  <c r="AH111" i="28"/>
  <c r="V36" i="17"/>
  <c r="V75" i="17"/>
  <c r="AH265" i="28"/>
  <c r="AH347" i="28"/>
  <c r="AL347" i="28" s="1"/>
  <c r="B347" i="28" s="1"/>
  <c r="V347" i="28" s="1"/>
  <c r="V101" i="17"/>
  <c r="V31" i="17"/>
  <c r="AH81" i="28"/>
  <c r="AL81" i="28" s="1"/>
  <c r="B81" i="28" s="1"/>
  <c r="V81" i="28" s="1"/>
  <c r="AH153" i="28"/>
  <c r="V43" i="17"/>
  <c r="AH33" i="28"/>
  <c r="AL33" i="28" s="1"/>
  <c r="B33" i="28" s="1"/>
  <c r="V33" i="28" s="1"/>
  <c r="V23" i="17"/>
  <c r="B175" i="17"/>
  <c r="C175" i="17"/>
  <c r="AH489" i="28"/>
  <c r="V171" i="17"/>
  <c r="AH147" i="28"/>
  <c r="V42" i="17"/>
  <c r="C100" i="17"/>
  <c r="B100" i="17"/>
  <c r="V103" i="17"/>
  <c r="AH349" i="28"/>
  <c r="AL349" i="28" s="1"/>
  <c r="B349" i="28" s="1"/>
  <c r="V349" i="28" s="1"/>
  <c r="AH536" i="28"/>
  <c r="V179" i="17"/>
  <c r="V28" i="17"/>
  <c r="AH63" i="28"/>
  <c r="AL63" i="28" s="1"/>
  <c r="B63" i="28" s="1"/>
  <c r="V63" i="28" s="1"/>
  <c r="AH27" i="28"/>
  <c r="AL27" i="28" s="1"/>
  <c r="B27" i="28" s="1"/>
  <c r="V27" i="28" s="1"/>
  <c r="V22" i="17"/>
  <c r="V33" i="17"/>
  <c r="AH93" i="28"/>
  <c r="AL93" i="28" s="1"/>
  <c r="B93" i="28" s="1"/>
  <c r="V93" i="28" s="1"/>
  <c r="V168" i="17"/>
  <c r="AH472" i="28"/>
  <c r="AY105" i="17"/>
  <c r="AH141" i="28"/>
  <c r="AH271" i="28"/>
  <c r="V88" i="17"/>
  <c r="AG98" i="17"/>
  <c r="B98" i="17" s="1"/>
  <c r="AY92" i="17"/>
  <c r="B92" i="17" s="1"/>
  <c r="AY103" i="17"/>
  <c r="AG95" i="17"/>
  <c r="AY97" i="17"/>
  <c r="B97" i="17" s="1"/>
  <c r="AY100" i="17"/>
  <c r="V162" i="17"/>
  <c r="AG104" i="17"/>
  <c r="B104" i="17" s="1"/>
  <c r="AY91" i="17"/>
  <c r="B91" i="17" s="1"/>
  <c r="BO53" i="17"/>
  <c r="CA53" i="17" s="1"/>
  <c r="CE53" i="17" s="1"/>
  <c r="AG53" i="17" s="1"/>
  <c r="B53" i="17" s="1"/>
  <c r="V53" i="17" s="1"/>
  <c r="AY99" i="17"/>
  <c r="AY96" i="17"/>
  <c r="AY93" i="17"/>
  <c r="B93" i="17" s="1"/>
  <c r="BK54" i="17"/>
  <c r="CA54" i="17" s="1"/>
  <c r="CE54" i="17" s="1"/>
  <c r="AG54" i="17" s="1"/>
  <c r="B54" i="17" s="1"/>
  <c r="C72" i="17"/>
  <c r="V72" i="17" s="1"/>
  <c r="AH21" i="28"/>
  <c r="AL21" i="28" s="1"/>
  <c r="B21" i="28" s="1"/>
  <c r="V21" i="28" s="1"/>
  <c r="BO55" i="17"/>
  <c r="CA55" i="17" s="1"/>
  <c r="CE55" i="17" s="1"/>
  <c r="AG55" i="17" s="1"/>
  <c r="B55" i="17" s="1"/>
  <c r="AH495" i="28" l="1"/>
  <c r="AL495" i="28" s="1"/>
  <c r="B495" i="28" s="1"/>
  <c r="V495" i="28" s="1"/>
  <c r="C27" i="78"/>
  <c r="C53" i="82"/>
  <c r="D53" i="82" s="1"/>
  <c r="V180" i="17"/>
  <c r="V170" i="17"/>
  <c r="V100" i="17"/>
  <c r="V175" i="17"/>
  <c r="V77" i="17"/>
  <c r="V82" i="17"/>
  <c r="V105" i="17"/>
  <c r="V74" i="17"/>
  <c r="C53" i="84"/>
  <c r="D53" i="84" s="1"/>
  <c r="AK307" i="28"/>
  <c r="C307" i="28" s="1"/>
  <c r="AK278" i="28"/>
  <c r="AK249" i="28"/>
  <c r="C249" i="28" s="1"/>
  <c r="AK485" i="28"/>
  <c r="C485" i="28" s="1"/>
  <c r="AK543" i="28"/>
  <c r="C543" i="28" s="1"/>
  <c r="AK514" i="28"/>
  <c r="C514" i="28" s="1"/>
  <c r="C53" i="83"/>
  <c r="D53" i="83" s="1"/>
  <c r="C47" i="83"/>
  <c r="C46" i="83"/>
  <c r="C51" i="82"/>
  <c r="C58" i="85"/>
  <c r="D65" i="85"/>
  <c r="D29" i="80"/>
  <c r="D30" i="78"/>
  <c r="C29" i="79"/>
  <c r="C55" i="80"/>
  <c r="C56" i="80" s="1"/>
  <c r="D29" i="79"/>
  <c r="D62" i="79"/>
  <c r="D63" i="79" s="1"/>
  <c r="D64" i="80"/>
  <c r="D65" i="80" s="1"/>
  <c r="V79" i="17"/>
  <c r="V71" i="17"/>
  <c r="AH230" i="28"/>
  <c r="AL230" i="28" s="1"/>
  <c r="B230" i="28" s="1"/>
  <c r="V230" i="28" s="1"/>
  <c r="C51" i="84"/>
  <c r="D66" i="85"/>
  <c r="D55" i="80"/>
  <c r="D56" i="80" s="1"/>
  <c r="C46" i="84"/>
  <c r="C47" i="84"/>
  <c r="C62" i="79"/>
  <c r="C63" i="79" s="1"/>
  <c r="C59" i="85"/>
  <c r="D29" i="78"/>
  <c r="D57" i="78"/>
  <c r="D58" i="78" s="1"/>
  <c r="C27" i="80"/>
  <c r="C30" i="79"/>
  <c r="C48" i="85"/>
  <c r="D28" i="78"/>
  <c r="D57" i="80"/>
  <c r="D58" i="80" s="1"/>
  <c r="C56" i="84"/>
  <c r="D56" i="84" s="1"/>
  <c r="D30" i="79"/>
  <c r="D51" i="84"/>
  <c r="C49" i="85"/>
  <c r="D27" i="78"/>
  <c r="D62" i="78"/>
  <c r="D63" i="78" s="1"/>
  <c r="C28" i="78"/>
  <c r="P30" i="79"/>
  <c r="C64" i="79"/>
  <c r="C65" i="79" s="1"/>
  <c r="D51" i="82"/>
  <c r="D70" i="85"/>
  <c r="C69" i="85"/>
  <c r="D62" i="80"/>
  <c r="D63" i="80" s="1"/>
  <c r="C28" i="80"/>
  <c r="D51" i="81"/>
  <c r="C65" i="85"/>
  <c r="C70" i="85"/>
  <c r="C56" i="83"/>
  <c r="D56" i="83" s="1"/>
  <c r="P28" i="78"/>
  <c r="C35" i="86"/>
  <c r="C39" i="86" s="1"/>
  <c r="C39" i="85" s="1"/>
  <c r="C44" i="85" s="1"/>
  <c r="D64" i="79"/>
  <c r="D65" i="79" s="1"/>
  <c r="D51" i="83"/>
  <c r="C66" i="85"/>
  <c r="C57" i="78"/>
  <c r="C58" i="78" s="1"/>
  <c r="D55" i="78"/>
  <c r="D56" i="78" s="1"/>
  <c r="C30" i="80"/>
  <c r="C44" i="86"/>
  <c r="C46" i="86" s="1"/>
  <c r="C27" i="85" s="1"/>
  <c r="C54" i="85" s="1"/>
  <c r="C57" i="79"/>
  <c r="C58" i="79" s="1"/>
  <c r="D58" i="85"/>
  <c r="D48" i="85"/>
  <c r="C62" i="78"/>
  <c r="C63" i="78" s="1"/>
  <c r="C53" i="81"/>
  <c r="D53" i="81" s="1"/>
  <c r="D59" i="85"/>
  <c r="P28" i="80"/>
  <c r="C56" i="82"/>
  <c r="D56" i="82" s="1"/>
  <c r="C29" i="78"/>
  <c r="C27" i="79"/>
  <c r="P29" i="79" s="1"/>
  <c r="C46" i="81"/>
  <c r="D69" i="85"/>
  <c r="C62" i="80"/>
  <c r="C63" i="80" s="1"/>
  <c r="C64" i="78"/>
  <c r="C65" i="78" s="1"/>
  <c r="P30" i="80"/>
  <c r="D55" i="79"/>
  <c r="D56" i="79" s="1"/>
  <c r="P30" i="78"/>
  <c r="C55" i="79"/>
  <c r="C56" i="79" s="1"/>
  <c r="D49" i="85"/>
  <c r="C51" i="81"/>
  <c r="D27" i="80"/>
  <c r="C29" i="80"/>
  <c r="C64" i="80"/>
  <c r="C65" i="80" s="1"/>
  <c r="C56" i="81"/>
  <c r="D56" i="81" s="1"/>
  <c r="C28" i="79"/>
  <c r="D57" i="79"/>
  <c r="D58" i="79" s="1"/>
  <c r="C57" i="80"/>
  <c r="C58" i="80" s="1"/>
  <c r="C46" i="82"/>
  <c r="D30" i="80"/>
  <c r="C30" i="78"/>
  <c r="C47" i="82"/>
  <c r="D28" i="79"/>
  <c r="D27" i="79"/>
  <c r="C51" i="83"/>
  <c r="D28" i="80"/>
  <c r="C55" i="78"/>
  <c r="C56" i="78" s="1"/>
  <c r="D64" i="78"/>
  <c r="D65" i="78" s="1"/>
  <c r="C47" i="81"/>
  <c r="AH332" i="28"/>
  <c r="AL332" i="28" s="1"/>
  <c r="B332" i="28" s="1"/>
  <c r="V332" i="28" s="1"/>
  <c r="V94" i="17"/>
  <c r="G58" i="17"/>
  <c r="V68" i="17"/>
  <c r="V177" i="17"/>
  <c r="AH224" i="28"/>
  <c r="AL224" i="28" s="1"/>
  <c r="B224" i="28" s="1"/>
  <c r="V224" i="28" s="1"/>
  <c r="J55" i="87"/>
  <c r="X30" i="19" s="1"/>
  <c r="AK343" i="28"/>
  <c r="C343" i="28" s="1"/>
  <c r="G100" i="17"/>
  <c r="AK352" i="28"/>
  <c r="C352" i="28" s="1"/>
  <c r="G105" i="17"/>
  <c r="AI178" i="28"/>
  <c r="AN178" i="28" s="1"/>
  <c r="C178" i="28" s="1"/>
  <c r="D178" i="28" s="1"/>
  <c r="V178" i="28" s="1"/>
  <c r="G56" i="17"/>
  <c r="AI188" i="28"/>
  <c r="AN188" i="28" s="1"/>
  <c r="C188" i="28" s="1"/>
  <c r="G188" i="28" s="1"/>
  <c r="G57" i="17"/>
  <c r="AI208" i="28"/>
  <c r="AN208" i="28" s="1"/>
  <c r="C208" i="28" s="1"/>
  <c r="G208" i="28" s="1"/>
  <c r="G59" i="17"/>
  <c r="V166" i="17"/>
  <c r="AL320" i="28"/>
  <c r="B320" i="28" s="1"/>
  <c r="V320" i="28" s="1"/>
  <c r="V97" i="17"/>
  <c r="AH339" i="28"/>
  <c r="AL339" i="28" s="1"/>
  <c r="B339" i="28" s="1"/>
  <c r="V339" i="28" s="1"/>
  <c r="V86" i="17"/>
  <c r="Z86" i="17"/>
  <c r="AH316" i="28"/>
  <c r="AH330" i="28"/>
  <c r="AL330" i="28" s="1"/>
  <c r="B330" i="28" s="1"/>
  <c r="V330" i="28" s="1"/>
  <c r="V92" i="17"/>
  <c r="V164" i="17"/>
  <c r="AH457" i="28"/>
  <c r="AL457" i="28" s="1"/>
  <c r="B457" i="28" s="1"/>
  <c r="V457" i="28" s="1"/>
  <c r="C48" i="83"/>
  <c r="Z58" i="17"/>
  <c r="AI198" i="28"/>
  <c r="AN198" i="28" s="1"/>
  <c r="C198" i="28" s="1"/>
  <c r="AH501" i="28"/>
  <c r="AL501" i="28" s="1"/>
  <c r="B501" i="28" s="1"/>
  <c r="V501" i="28" s="1"/>
  <c r="AI209" i="28"/>
  <c r="AN209" i="28" s="1"/>
  <c r="C209" i="28" s="1"/>
  <c r="D209" i="28" s="1"/>
  <c r="V209" i="28" s="1"/>
  <c r="V223" i="28"/>
  <c r="D223" i="28"/>
  <c r="V91" i="17"/>
  <c r="AH329" i="28"/>
  <c r="AL329" i="28" s="1"/>
  <c r="B329" i="28" s="1"/>
  <c r="V329" i="28" s="1"/>
  <c r="AH459" i="28"/>
  <c r="AL459" i="28" s="1"/>
  <c r="B459" i="28" s="1"/>
  <c r="V459" i="28" s="1"/>
  <c r="AH173" i="28"/>
  <c r="AL173" i="28" s="1"/>
  <c r="B173" i="28" s="1"/>
  <c r="V173" i="28" s="1"/>
  <c r="Z175" i="17"/>
  <c r="AL514" i="28"/>
  <c r="B514" i="28" s="1"/>
  <c r="V514" i="28" s="1"/>
  <c r="Z77" i="17"/>
  <c r="AL278" i="28"/>
  <c r="B278" i="28" s="1"/>
  <c r="V278" i="28" s="1"/>
  <c r="Z170" i="17"/>
  <c r="AL485" i="28"/>
  <c r="B485" i="28" s="1"/>
  <c r="V485" i="28" s="1"/>
  <c r="C278" i="28"/>
  <c r="AI199" i="28"/>
  <c r="AN199" i="28" s="1"/>
  <c r="C199" i="28" s="1"/>
  <c r="D199" i="28" s="1"/>
  <c r="V199" i="28" s="1"/>
  <c r="AH348" i="28"/>
  <c r="AL348" i="28" s="1"/>
  <c r="B348" i="28" s="1"/>
  <c r="V348" i="28" s="1"/>
  <c r="AL288" i="28"/>
  <c r="B288" i="28" s="1"/>
  <c r="V288" i="28" s="1"/>
  <c r="AL478" i="28"/>
  <c r="B478" i="28" s="1"/>
  <c r="V478" i="28" s="1"/>
  <c r="B529" i="28"/>
  <c r="V529" i="28" s="1"/>
  <c r="AL526" i="28"/>
  <c r="B526" i="28" s="1"/>
  <c r="AL236" i="28"/>
  <c r="B236" i="28" s="1"/>
  <c r="V236" i="28" s="1"/>
  <c r="AL472" i="28"/>
  <c r="B472" i="28" s="1"/>
  <c r="V472" i="28" s="1"/>
  <c r="B235" i="28"/>
  <c r="V235" i="28" s="1"/>
  <c r="AL232" i="28"/>
  <c r="B232" i="28" s="1"/>
  <c r="AL489" i="28"/>
  <c r="B489" i="28" s="1"/>
  <c r="V489" i="28" s="1"/>
  <c r="B465" i="28"/>
  <c r="V465" i="28" s="1"/>
  <c r="AL462" i="28"/>
  <c r="B462" i="28" s="1"/>
  <c r="AL466" i="28"/>
  <c r="B466" i="28" s="1"/>
  <c r="V466" i="28" s="1"/>
  <c r="AL242" i="28"/>
  <c r="B242" i="28" s="1"/>
  <c r="V242" i="28" s="1"/>
  <c r="AL271" i="28"/>
  <c r="B271" i="28" s="1"/>
  <c r="V271" i="28" s="1"/>
  <c r="B287" i="28"/>
  <c r="V287" i="28" s="1"/>
  <c r="AL284" i="28"/>
  <c r="B284" i="28" s="1"/>
  <c r="B483" i="28"/>
  <c r="V483" i="28" s="1"/>
  <c r="AL480" i="28"/>
  <c r="B480" i="28" s="1"/>
  <c r="B471" i="28"/>
  <c r="V471" i="28" s="1"/>
  <c r="AL468" i="28"/>
  <c r="B468" i="28" s="1"/>
  <c r="AL265" i="28"/>
  <c r="B265" i="28" s="1"/>
  <c r="V265" i="28" s="1"/>
  <c r="AL282" i="28"/>
  <c r="B282" i="28" s="1"/>
  <c r="V282" i="28" s="1"/>
  <c r="AL507" i="28"/>
  <c r="B507" i="28" s="1"/>
  <c r="V507" i="28" s="1"/>
  <c r="AL294" i="28"/>
  <c r="B294" i="28" s="1"/>
  <c r="V294" i="28" s="1"/>
  <c r="AL524" i="28"/>
  <c r="B524" i="28" s="1"/>
  <c r="V524" i="28" s="1"/>
  <c r="B494" i="28"/>
  <c r="V494" i="28" s="1"/>
  <c r="AL491" i="28"/>
  <c r="B491" i="28" s="1"/>
  <c r="AL541" i="28"/>
  <c r="B541" i="28" s="1"/>
  <c r="V541" i="28" s="1"/>
  <c r="AL538" i="28"/>
  <c r="B538" i="28" s="1"/>
  <c r="B477" i="28"/>
  <c r="V477" i="28" s="1"/>
  <c r="AL474" i="28"/>
  <c r="B474" i="28" s="1"/>
  <c r="AL530" i="28"/>
  <c r="B530" i="28" s="1"/>
  <c r="V530" i="28" s="1"/>
  <c r="B512" i="28"/>
  <c r="V512" i="28" s="1"/>
  <c r="AL509" i="28"/>
  <c r="B509" i="28" s="1"/>
  <c r="AL259" i="28"/>
  <c r="B259" i="28" s="1"/>
  <c r="V259" i="28" s="1"/>
  <c r="B500" i="28"/>
  <c r="V500" i="28" s="1"/>
  <c r="AL497" i="28"/>
  <c r="B497" i="28" s="1"/>
  <c r="AL305" i="28"/>
  <c r="B305" i="28" s="1"/>
  <c r="V305" i="28" s="1"/>
  <c r="AL302" i="28"/>
  <c r="B302" i="28" s="1"/>
  <c r="B264" i="28"/>
  <c r="V264" i="28" s="1"/>
  <c r="AL261" i="28"/>
  <c r="B261" i="28" s="1"/>
  <c r="B241" i="28"/>
  <c r="V241" i="28" s="1"/>
  <c r="AL238" i="28"/>
  <c r="B238" i="28" s="1"/>
  <c r="AL300" i="28"/>
  <c r="B300" i="28" s="1"/>
  <c r="V300" i="28" s="1"/>
  <c r="B523" i="28"/>
  <c r="V523" i="28" s="1"/>
  <c r="AL520" i="28"/>
  <c r="B520" i="28" s="1"/>
  <c r="B276" i="28"/>
  <c r="V276" i="28" s="1"/>
  <c r="AL273" i="28"/>
  <c r="B273" i="28" s="1"/>
  <c r="B293" i="28"/>
  <c r="V293" i="28" s="1"/>
  <c r="AL290" i="28"/>
  <c r="B290" i="28" s="1"/>
  <c r="B535" i="28"/>
  <c r="Z535" i="28" s="1"/>
  <c r="AL532" i="28"/>
  <c r="B532" i="28" s="1"/>
  <c r="AL536" i="28"/>
  <c r="B536" i="28" s="1"/>
  <c r="V536" i="28" s="1"/>
  <c r="AL518" i="28"/>
  <c r="B518" i="28" s="1"/>
  <c r="V518" i="28" s="1"/>
  <c r="B299" i="28"/>
  <c r="Z299" i="28" s="1"/>
  <c r="AL296" i="28"/>
  <c r="B296" i="28" s="1"/>
  <c r="B270" i="28"/>
  <c r="V270" i="28" s="1"/>
  <c r="AL267" i="28"/>
  <c r="B267" i="28" s="1"/>
  <c r="AL247" i="28"/>
  <c r="B247" i="28" s="1"/>
  <c r="V247" i="28" s="1"/>
  <c r="AL244" i="28"/>
  <c r="B244" i="28" s="1"/>
  <c r="B258" i="28"/>
  <c r="V258" i="28" s="1"/>
  <c r="AL255" i="28"/>
  <c r="B255" i="28" s="1"/>
  <c r="B229" i="28"/>
  <c r="Z229" i="28" s="1"/>
  <c r="AL226" i="28"/>
  <c r="B226" i="28" s="1"/>
  <c r="AL164" i="28"/>
  <c r="B164" i="28" s="1"/>
  <c r="V164" i="28" s="1"/>
  <c r="AL161" i="28"/>
  <c r="B161" i="28" s="1"/>
  <c r="AL134" i="28"/>
  <c r="B134" i="28" s="1"/>
  <c r="Z134" i="28" s="1"/>
  <c r="AL131" i="28"/>
  <c r="B131" i="28" s="1"/>
  <c r="AL153" i="28"/>
  <c r="B153" i="28" s="1"/>
  <c r="V153" i="28" s="1"/>
  <c r="AL128" i="28"/>
  <c r="B128" i="28" s="1"/>
  <c r="V128" i="28" s="1"/>
  <c r="AL125" i="28"/>
  <c r="B125" i="28" s="1"/>
  <c r="AL92" i="28"/>
  <c r="B92" i="28" s="1"/>
  <c r="Z92" i="28" s="1"/>
  <c r="AL89" i="28"/>
  <c r="B89" i="28" s="1"/>
  <c r="B158" i="28"/>
  <c r="V158" i="28" s="1"/>
  <c r="AL155" i="28"/>
  <c r="B155" i="28" s="1"/>
  <c r="AL147" i="28"/>
  <c r="B147" i="28" s="1"/>
  <c r="V147" i="28" s="1"/>
  <c r="AL80" i="28"/>
  <c r="B80" i="28" s="1"/>
  <c r="V80" i="28" s="1"/>
  <c r="AL77" i="28"/>
  <c r="B77" i="28" s="1"/>
  <c r="AL74" i="28"/>
  <c r="B74" i="28" s="1"/>
  <c r="Z74" i="28" s="1"/>
  <c r="AL71" i="28"/>
  <c r="B71" i="28" s="1"/>
  <c r="AL62" i="28"/>
  <c r="B62" i="28" s="1"/>
  <c r="V62" i="28" s="1"/>
  <c r="AL59" i="28"/>
  <c r="B59" i="28" s="1"/>
  <c r="AL104" i="28"/>
  <c r="B104" i="28" s="1"/>
  <c r="V104" i="28" s="1"/>
  <c r="AL101" i="28"/>
  <c r="B101" i="28" s="1"/>
  <c r="AL86" i="28"/>
  <c r="B86" i="28" s="1"/>
  <c r="Z86" i="28" s="1"/>
  <c r="AL83" i="28"/>
  <c r="B83" i="28" s="1"/>
  <c r="AL50" i="28"/>
  <c r="B50" i="28" s="1"/>
  <c r="Z50" i="28" s="1"/>
  <c r="AL47" i="28"/>
  <c r="B47" i="28" s="1"/>
  <c r="AL98" i="28"/>
  <c r="B98" i="28" s="1"/>
  <c r="V98" i="28" s="1"/>
  <c r="AL95" i="28"/>
  <c r="B95" i="28" s="1"/>
  <c r="B152" i="28"/>
  <c r="Z152" i="28" s="1"/>
  <c r="AL149" i="28"/>
  <c r="B149" i="28" s="1"/>
  <c r="B68" i="28"/>
  <c r="V68" i="28" s="1"/>
  <c r="AL65" i="28"/>
  <c r="B65" i="28" s="1"/>
  <c r="AL141" i="28"/>
  <c r="B141" i="28" s="1"/>
  <c r="V141" i="28" s="1"/>
  <c r="AL111" i="28"/>
  <c r="B111" i="28" s="1"/>
  <c r="V111" i="28" s="1"/>
  <c r="AL56" i="28"/>
  <c r="B56" i="28" s="1"/>
  <c r="Z56" i="28" s="1"/>
  <c r="AL53" i="28"/>
  <c r="B53" i="28" s="1"/>
  <c r="B146" i="28"/>
  <c r="V146" i="28" s="1"/>
  <c r="AL143" i="28"/>
  <c r="B143" i="28" s="1"/>
  <c r="AL159" i="28"/>
  <c r="B159" i="28" s="1"/>
  <c r="V159" i="28" s="1"/>
  <c r="B110" i="28"/>
  <c r="Z110" i="28" s="1"/>
  <c r="AL107" i="28"/>
  <c r="B107" i="28" s="1"/>
  <c r="AL44" i="28"/>
  <c r="B44" i="28" s="1"/>
  <c r="Z44" i="28" s="1"/>
  <c r="AL41" i="28"/>
  <c r="B41" i="28" s="1"/>
  <c r="AL122" i="28"/>
  <c r="B122" i="28" s="1"/>
  <c r="Z122" i="28" s="1"/>
  <c r="AL119" i="28"/>
  <c r="B119" i="28" s="1"/>
  <c r="AL116" i="28"/>
  <c r="B116" i="28" s="1"/>
  <c r="Z116" i="28" s="1"/>
  <c r="AL113" i="28"/>
  <c r="B113" i="28" s="1"/>
  <c r="B140" i="28"/>
  <c r="V140" i="28" s="1"/>
  <c r="AL137" i="28"/>
  <c r="B137" i="28" s="1"/>
  <c r="AL38" i="28"/>
  <c r="B38" i="28" s="1"/>
  <c r="V38" i="28" s="1"/>
  <c r="AL35" i="28"/>
  <c r="B35" i="28" s="1"/>
  <c r="AL32" i="28"/>
  <c r="B32" i="28" s="1"/>
  <c r="Z32" i="28" s="1"/>
  <c r="AL29" i="28"/>
  <c r="B29" i="28" s="1"/>
  <c r="AL26" i="28"/>
  <c r="B26" i="28" s="1"/>
  <c r="Z26" i="28" s="1"/>
  <c r="AL23" i="28"/>
  <c r="B23" i="28" s="1"/>
  <c r="AI179" i="28"/>
  <c r="AN179" i="28" s="1"/>
  <c r="C179" i="28" s="1"/>
  <c r="D179" i="28" s="1"/>
  <c r="V179" i="28" s="1"/>
  <c r="AH503" i="28"/>
  <c r="Z173" i="17"/>
  <c r="AI189" i="28"/>
  <c r="AN189" i="28" s="1"/>
  <c r="C189" i="28" s="1"/>
  <c r="D189" i="28" s="1"/>
  <c r="V189" i="28" s="1"/>
  <c r="Z321" i="28"/>
  <c r="V321" i="28"/>
  <c r="V55" i="17"/>
  <c r="AH175" i="28"/>
  <c r="AL175" i="28" s="1"/>
  <c r="B175" i="28" s="1"/>
  <c r="V175" i="28" s="1"/>
  <c r="AH174" i="28"/>
  <c r="AL174" i="28" s="1"/>
  <c r="B174" i="28" s="1"/>
  <c r="V174" i="28" s="1"/>
  <c r="V54" i="17"/>
  <c r="AL307" i="28"/>
  <c r="B307" i="28" s="1"/>
  <c r="V307" i="28" s="1"/>
  <c r="D222" i="28"/>
  <c r="V222" i="28"/>
  <c r="V93" i="17"/>
  <c r="AH331" i="28"/>
  <c r="AL331" i="28" s="1"/>
  <c r="B331" i="28" s="1"/>
  <c r="V331" i="28" s="1"/>
  <c r="AL49" i="17"/>
  <c r="B49" i="17" s="1"/>
  <c r="AL65" i="17"/>
  <c r="AL50" i="17"/>
  <c r="B50" i="17" s="1"/>
  <c r="AL51" i="17"/>
  <c r="B51" i="17" s="1"/>
  <c r="AL63" i="17"/>
  <c r="AL64" i="17"/>
  <c r="AH350" i="28"/>
  <c r="AL350" i="28" s="1"/>
  <c r="B350" i="28" s="1"/>
  <c r="V350" i="28" s="1"/>
  <c r="V104" i="17"/>
  <c r="AL60" i="17"/>
  <c r="B60" i="17" s="1"/>
  <c r="AL61" i="17"/>
  <c r="B61" i="17" s="1"/>
  <c r="V52" i="17"/>
  <c r="AH172" i="28"/>
  <c r="AL172" i="28" s="1"/>
  <c r="B172" i="28" s="1"/>
  <c r="V172" i="28" s="1"/>
  <c r="AL343" i="28"/>
  <c r="B343" i="28" s="1"/>
  <c r="V343" i="28" s="1"/>
  <c r="AL543" i="28"/>
  <c r="B543" i="28" s="1"/>
  <c r="V543" i="28" s="1"/>
  <c r="B95" i="17"/>
  <c r="C95" i="17"/>
  <c r="V98" i="17"/>
  <c r="AH340" i="28"/>
  <c r="AL340" i="28" s="1"/>
  <c r="B340" i="28" s="1"/>
  <c r="V340" i="28" s="1"/>
  <c r="AL352" i="28"/>
  <c r="B352" i="28" s="1"/>
  <c r="V352" i="28" s="1"/>
  <c r="C33" i="78" l="1"/>
  <c r="P29" i="78"/>
  <c r="C34" i="78"/>
  <c r="V95" i="17"/>
  <c r="D33" i="80"/>
  <c r="D34" i="78"/>
  <c r="D35" i="79"/>
  <c r="P31" i="79"/>
  <c r="D68" i="79"/>
  <c r="D68" i="80"/>
  <c r="C68" i="78"/>
  <c r="D39" i="85"/>
  <c r="D44" i="85" s="1"/>
  <c r="D45" i="85" s="1"/>
  <c r="D50" i="85" s="1"/>
  <c r="D33" i="78"/>
  <c r="C48" i="84"/>
  <c r="D36" i="80"/>
  <c r="C33" i="79"/>
  <c r="P31" i="78"/>
  <c r="C35" i="78"/>
  <c r="C33" i="80"/>
  <c r="C60" i="78"/>
  <c r="C34" i="80"/>
  <c r="C36" i="79"/>
  <c r="C36" i="78"/>
  <c r="D27" i="85"/>
  <c r="D54" i="85" s="1"/>
  <c r="D52" i="81" s="1"/>
  <c r="D54" i="81" s="1"/>
  <c r="D55" i="81" s="1"/>
  <c r="Z28" i="19"/>
  <c r="Z44" i="19" s="1"/>
  <c r="S38" i="19"/>
  <c r="C60" i="80"/>
  <c r="C48" i="82"/>
  <c r="P29" i="80"/>
  <c r="D34" i="79"/>
  <c r="C48" i="81"/>
  <c r="J55" i="86" s="1"/>
  <c r="X30" i="16" s="1"/>
  <c r="P31" i="80"/>
  <c r="D198" i="28"/>
  <c r="V198" i="28" s="1"/>
  <c r="G198" i="28"/>
  <c r="C60" i="79"/>
  <c r="C35" i="80"/>
  <c r="D36" i="79"/>
  <c r="D33" i="79"/>
  <c r="C68" i="80"/>
  <c r="C34" i="79"/>
  <c r="D68" i="78"/>
  <c r="D35" i="78"/>
  <c r="D34" i="80"/>
  <c r="C35" i="79"/>
  <c r="D35" i="80"/>
  <c r="D36" i="78"/>
  <c r="C68" i="79"/>
  <c r="C36" i="80"/>
  <c r="D188" i="28"/>
  <c r="V188" i="28" s="1"/>
  <c r="D208" i="28"/>
  <c r="V208" i="28" s="1"/>
  <c r="AK334" i="28"/>
  <c r="C334" i="28" s="1"/>
  <c r="G95" i="17"/>
  <c r="G179" i="28"/>
  <c r="G199" i="28"/>
  <c r="G209" i="28"/>
  <c r="G189" i="28"/>
  <c r="G178" i="28"/>
  <c r="AL316" i="28"/>
  <c r="B316" i="28" s="1"/>
  <c r="Z523" i="28"/>
  <c r="Z529" i="28"/>
  <c r="Z500" i="28"/>
  <c r="Z471" i="28"/>
  <c r="Z80" i="28"/>
  <c r="Z241" i="28"/>
  <c r="V535" i="28"/>
  <c r="Z270" i="28"/>
  <c r="C45" i="85"/>
  <c r="C50" i="85" s="1"/>
  <c r="C46" i="85"/>
  <c r="C51" i="85" s="1"/>
  <c r="Z199" i="28"/>
  <c r="C56" i="85"/>
  <c r="C61" i="85" s="1"/>
  <c r="C55" i="85"/>
  <c r="C60" i="85" s="1"/>
  <c r="Z98" i="28"/>
  <c r="V110" i="28"/>
  <c r="Z158" i="28"/>
  <c r="Z128" i="28"/>
  <c r="V299" i="28"/>
  <c r="Z494" i="28"/>
  <c r="Z59" i="17"/>
  <c r="D51" i="17"/>
  <c r="V51" i="17" s="1"/>
  <c r="AH171" i="28"/>
  <c r="Z477" i="28"/>
  <c r="Z465" i="28"/>
  <c r="V50" i="28"/>
  <c r="Z512" i="28"/>
  <c r="Z541" i="28"/>
  <c r="Z264" i="28"/>
  <c r="Z68" i="28"/>
  <c r="Z140" i="28"/>
  <c r="V74" i="28"/>
  <c r="Z287" i="28"/>
  <c r="V229" i="28"/>
  <c r="V122" i="28"/>
  <c r="Z276" i="28"/>
  <c r="Z483" i="28"/>
  <c r="Z38" i="28"/>
  <c r="Z293" i="28"/>
  <c r="Z164" i="28"/>
  <c r="V56" i="28"/>
  <c r="Z62" i="28"/>
  <c r="V44" i="28"/>
  <c r="V92" i="28"/>
  <c r="Z104" i="28"/>
  <c r="Z146" i="28"/>
  <c r="Z305" i="28"/>
  <c r="Z235" i="28"/>
  <c r="V86" i="28"/>
  <c r="V134" i="28"/>
  <c r="V116" i="28"/>
  <c r="V152" i="28"/>
  <c r="V32" i="28"/>
  <c r="Z247" i="28"/>
  <c r="Z258" i="28"/>
  <c r="Z468" i="28"/>
  <c r="V468" i="28"/>
  <c r="Z296" i="28"/>
  <c r="V296" i="28"/>
  <c r="Z232" i="28"/>
  <c r="V232" i="28"/>
  <c r="B506" i="28"/>
  <c r="V506" i="28" s="1"/>
  <c r="AL503" i="28"/>
  <c r="B503" i="28" s="1"/>
  <c r="Z474" i="28"/>
  <c r="V474" i="28"/>
  <c r="Z538" i="28"/>
  <c r="V538" i="28"/>
  <c r="Z491" i="28"/>
  <c r="V491" i="28"/>
  <c r="Z526" i="28"/>
  <c r="V526" i="28"/>
  <c r="Z480" i="28"/>
  <c r="V480" i="28"/>
  <c r="Z261" i="28"/>
  <c r="V261" i="28"/>
  <c r="Z290" i="28"/>
  <c r="V290" i="28"/>
  <c r="Z238" i="28"/>
  <c r="V238" i="28"/>
  <c r="Z497" i="28"/>
  <c r="V497" i="28"/>
  <c r="Z244" i="28"/>
  <c r="V244" i="28"/>
  <c r="Z273" i="28"/>
  <c r="V273" i="28"/>
  <c r="Z509" i="28"/>
  <c r="V509" i="28"/>
  <c r="Z284" i="28"/>
  <c r="V284" i="28"/>
  <c r="Z226" i="28"/>
  <c r="V226" i="28"/>
  <c r="Z532" i="28"/>
  <c r="V532" i="28"/>
  <c r="Z267" i="28"/>
  <c r="V267" i="28"/>
  <c r="Z520" i="28"/>
  <c r="V520" i="28"/>
  <c r="Z462" i="28"/>
  <c r="V462" i="28"/>
  <c r="Z302" i="28"/>
  <c r="V302" i="28"/>
  <c r="Z255" i="28"/>
  <c r="V255" i="28"/>
  <c r="Z65" i="28"/>
  <c r="V65" i="28"/>
  <c r="Z149" i="28"/>
  <c r="V149" i="28"/>
  <c r="Z125" i="28"/>
  <c r="V125" i="28"/>
  <c r="Z119" i="28"/>
  <c r="V119" i="28"/>
  <c r="Z101" i="28"/>
  <c r="V101" i="28"/>
  <c r="Z107" i="28"/>
  <c r="V107" i="28"/>
  <c r="Z89" i="28"/>
  <c r="V89" i="28"/>
  <c r="Z143" i="28"/>
  <c r="V143" i="28"/>
  <c r="Z137" i="28"/>
  <c r="V137" i="28"/>
  <c r="Z59" i="28"/>
  <c r="V59" i="28"/>
  <c r="Z131" i="28"/>
  <c r="V131" i="28"/>
  <c r="Z155" i="28"/>
  <c r="V155" i="28"/>
  <c r="Z47" i="28"/>
  <c r="V47" i="28"/>
  <c r="Z83" i="28"/>
  <c r="V83" i="28"/>
  <c r="Z77" i="28"/>
  <c r="V77" i="28"/>
  <c r="Z95" i="28"/>
  <c r="V95" i="28"/>
  <c r="Z53" i="28"/>
  <c r="V53" i="28"/>
  <c r="Z113" i="28"/>
  <c r="V113" i="28"/>
  <c r="Z71" i="28"/>
  <c r="V71" i="28"/>
  <c r="Z161" i="28"/>
  <c r="V161" i="28"/>
  <c r="Z41" i="28"/>
  <c r="V41" i="28"/>
  <c r="Z35" i="28"/>
  <c r="V35" i="28"/>
  <c r="V29" i="28"/>
  <c r="Z29" i="28"/>
  <c r="V26" i="28"/>
  <c r="Z23" i="28"/>
  <c r="V23" i="28"/>
  <c r="Z179" i="28"/>
  <c r="Z56" i="17"/>
  <c r="AH216" i="28"/>
  <c r="D60" i="17"/>
  <c r="V60" i="17" s="1"/>
  <c r="Z57" i="17"/>
  <c r="AH169" i="28"/>
  <c r="D49" i="17"/>
  <c r="V49" i="17" s="1"/>
  <c r="AH217" i="28"/>
  <c r="D61" i="17"/>
  <c r="V61" i="17" s="1"/>
  <c r="D50" i="17"/>
  <c r="V50" i="17" s="1"/>
  <c r="AH170" i="28"/>
  <c r="AL334" i="28"/>
  <c r="B334" i="28" s="1"/>
  <c r="V334" i="28" s="1"/>
  <c r="C46" i="78" l="1"/>
  <c r="C52" i="84"/>
  <c r="C54" i="84" s="1"/>
  <c r="C55" i="84" s="1"/>
  <c r="C70" i="79"/>
  <c r="C52" i="83"/>
  <c r="C54" i="83" s="1"/>
  <c r="C55" i="83" s="1"/>
  <c r="C52" i="81"/>
  <c r="C54" i="81" s="1"/>
  <c r="C55" i="81" s="1"/>
  <c r="C57" i="81" s="1"/>
  <c r="C41" i="80"/>
  <c r="C46" i="80"/>
  <c r="C41" i="78"/>
  <c r="C47" i="78" s="1"/>
  <c r="C49" i="78" s="1"/>
  <c r="C42" i="79"/>
  <c r="C46" i="79"/>
  <c r="C70" i="80"/>
  <c r="D46" i="85"/>
  <c r="D51" i="85" s="1"/>
  <c r="C52" i="82"/>
  <c r="C54" i="82" s="1"/>
  <c r="C55" i="82" s="1"/>
  <c r="C70" i="78"/>
  <c r="J60" i="86" s="1"/>
  <c r="X35" i="16" s="1"/>
  <c r="C42" i="78"/>
  <c r="D52" i="83"/>
  <c r="D54" i="83" s="1"/>
  <c r="D55" i="83" s="1"/>
  <c r="C57" i="83" s="1"/>
  <c r="D52" i="82"/>
  <c r="D54" i="82" s="1"/>
  <c r="D55" i="82" s="1"/>
  <c r="D55" i="85"/>
  <c r="D60" i="85" s="1"/>
  <c r="D56" i="85"/>
  <c r="D61" i="85" s="1"/>
  <c r="D52" i="84"/>
  <c r="D54" i="84" s="1"/>
  <c r="D55" i="84" s="1"/>
  <c r="C41" i="79"/>
  <c r="C42" i="80"/>
  <c r="Z209" i="28"/>
  <c r="Z189" i="28"/>
  <c r="Z316" i="28"/>
  <c r="V316" i="28"/>
  <c r="C28" i="81"/>
  <c r="C28" i="83"/>
  <c r="C28" i="84"/>
  <c r="C28" i="82"/>
  <c r="C27" i="81"/>
  <c r="C27" i="83"/>
  <c r="C27" i="84"/>
  <c r="C27" i="82"/>
  <c r="Z506" i="28"/>
  <c r="Z503" i="28"/>
  <c r="V503" i="28"/>
  <c r="AB18" i="17"/>
  <c r="AB19" i="17"/>
  <c r="V181" i="17" s="1"/>
  <c r="C47" i="80" l="1"/>
  <c r="C49" i="80" s="1"/>
  <c r="C51" i="80" s="1"/>
  <c r="C57" i="84"/>
  <c r="I56" i="86" s="1"/>
  <c r="W31" i="16" s="1"/>
  <c r="C57" i="82"/>
  <c r="C47" i="79"/>
  <c r="C49" i="79" s="1"/>
  <c r="C51" i="79" s="1"/>
  <c r="C50" i="80"/>
  <c r="C37" i="82"/>
  <c r="C33" i="82"/>
  <c r="C38" i="82" s="1"/>
  <c r="C40" i="82" s="1"/>
  <c r="C41" i="82" s="1"/>
  <c r="C51" i="78"/>
  <c r="C50" i="78"/>
  <c r="C37" i="84"/>
  <c r="C33" i="84"/>
  <c r="C38" i="84" s="1"/>
  <c r="C40" i="84" s="1"/>
  <c r="C41" i="84" s="1"/>
  <c r="C37" i="81"/>
  <c r="C33" i="81"/>
  <c r="C33" i="83"/>
  <c r="C37" i="83"/>
  <c r="U181" i="17"/>
  <c r="U182" i="17" s="1"/>
  <c r="V182" i="17" s="1"/>
  <c r="C50" i="79" l="1"/>
  <c r="I61" i="86" s="1"/>
  <c r="W36" i="16" s="1"/>
  <c r="I59" i="86"/>
  <c r="W34" i="16" s="1"/>
  <c r="C38" i="81"/>
  <c r="C40" i="81" s="1"/>
  <c r="C41" i="81" s="1"/>
  <c r="C38" i="83"/>
  <c r="C40" i="83" s="1"/>
  <c r="C41" i="83" s="1"/>
  <c r="U183" i="17"/>
  <c r="U184" i="17" s="1"/>
  <c r="V183" i="17" l="1"/>
  <c r="V184" i="17" s="1"/>
  <c r="Z34" i="16"/>
  <c r="I54" i="86"/>
  <c r="W29" i="16" s="1"/>
  <c r="Z28" i="16" l="1"/>
  <c r="Z44" i="16" s="1"/>
  <c r="S38" i="16"/>
  <c r="U185" i="17"/>
  <c r="V185" i="17" s="1"/>
  <c r="U186" i="17" l="1"/>
  <c r="V186" i="17" s="1"/>
  <c r="U187" i="17" l="1"/>
  <c r="V187" i="17" s="1"/>
  <c r="AG315" i="28"/>
  <c r="AL315" i="28" s="1"/>
  <c r="B315" i="28" s="1"/>
  <c r="B64" i="6"/>
  <c r="AG220" i="28" s="1"/>
  <c r="AL220" i="28" s="1"/>
  <c r="B220" i="28" s="1"/>
  <c r="D220" i="28" s="1"/>
  <c r="V220" i="28" s="1"/>
  <c r="B63" i="6"/>
  <c r="AG219" i="28" s="1"/>
  <c r="AL219" i="28" s="1"/>
  <c r="B219" i="28" s="1"/>
  <c r="D219" i="28" s="1"/>
  <c r="V219" i="28" s="1"/>
  <c r="B65" i="6"/>
  <c r="D65" i="6" s="1"/>
  <c r="V65" i="6" s="1"/>
  <c r="AH37" i="5"/>
  <c r="AH38" i="5" s="1"/>
  <c r="AH42" i="5" l="1"/>
  <c r="AH43" i="5" s="1"/>
  <c r="AG221" i="28"/>
  <c r="AL221" i="28" s="1"/>
  <c r="B221" i="28" s="1"/>
  <c r="D221" i="28" s="1"/>
  <c r="V221" i="28" s="1"/>
  <c r="Z315" i="28"/>
  <c r="AB18" i="28" s="1"/>
  <c r="V315" i="28"/>
  <c r="D64" i="6"/>
  <c r="V64" i="6" s="1"/>
  <c r="D63" i="6"/>
  <c r="V63" i="6" s="1"/>
  <c r="BL34" i="8"/>
  <c r="BL37" i="8" s="1"/>
  <c r="R34" i="8"/>
  <c r="R37" i="8" s="1"/>
  <c r="AO34" i="8"/>
  <c r="AO37" i="8" s="1"/>
  <c r="AT59" i="6"/>
  <c r="C59" i="6" s="1"/>
  <c r="D59" i="6" s="1"/>
  <c r="V59" i="6" s="1"/>
  <c r="AT56" i="6"/>
  <c r="C56" i="6" s="1"/>
  <c r="D56" i="6" s="1"/>
  <c r="V56" i="6" s="1"/>
  <c r="H39" i="5"/>
  <c r="H41" i="5" s="1"/>
  <c r="AT57" i="6"/>
  <c r="C57" i="6" s="1"/>
  <c r="D57" i="6" s="1"/>
  <c r="V57" i="6" s="1"/>
  <c r="AL86" i="6"/>
  <c r="B86" i="6" s="1"/>
  <c r="V86" i="6" s="1"/>
  <c r="AH44" i="5"/>
  <c r="AH45" i="5" s="1"/>
  <c r="AT58" i="6"/>
  <c r="C58" i="6" s="1"/>
  <c r="D58" i="6" s="1"/>
  <c r="V58" i="6" s="1"/>
  <c r="C19" i="67"/>
  <c r="AG314" i="28" l="1"/>
  <c r="AL314" i="28" s="1"/>
  <c r="B314" i="28" s="1"/>
  <c r="V314" i="28" s="1"/>
  <c r="G57" i="6"/>
  <c r="AH186" i="28"/>
  <c r="AN186" i="28" s="1"/>
  <c r="C186" i="28" s="1"/>
  <c r="G59" i="6"/>
  <c r="AH206" i="28"/>
  <c r="AN206" i="28" s="1"/>
  <c r="C206" i="28" s="1"/>
  <c r="AH176" i="28"/>
  <c r="AN176" i="28" s="1"/>
  <c r="C176" i="28" s="1"/>
  <c r="G56" i="6"/>
  <c r="D29" i="68"/>
  <c r="D30" i="68"/>
  <c r="D28" i="68"/>
  <c r="D27" i="68"/>
  <c r="AL50" i="6"/>
  <c r="B50" i="6" s="1"/>
  <c r="AL64" i="6"/>
  <c r="AL63" i="6"/>
  <c r="AL49" i="6"/>
  <c r="B49" i="6" s="1"/>
  <c r="AL51" i="6"/>
  <c r="B51" i="6" s="1"/>
  <c r="AL65" i="6"/>
  <c r="C51" i="72"/>
  <c r="C69" i="74"/>
  <c r="P28" i="68"/>
  <c r="D57" i="69"/>
  <c r="D58" i="69" s="1"/>
  <c r="D30" i="70"/>
  <c r="D69" i="74"/>
  <c r="C51" i="76"/>
  <c r="C47" i="71"/>
  <c r="C55" i="69"/>
  <c r="C56" i="69" s="1"/>
  <c r="C35" i="67"/>
  <c r="C39" i="67" s="1"/>
  <c r="D49" i="74"/>
  <c r="C53" i="72"/>
  <c r="D53" i="72" s="1"/>
  <c r="C56" i="76"/>
  <c r="D56" i="76" s="1"/>
  <c r="D64" i="69"/>
  <c r="D65" i="69" s="1"/>
  <c r="P30" i="69"/>
  <c r="C62" i="69"/>
  <c r="C63" i="69" s="1"/>
  <c r="C27" i="70"/>
  <c r="C53" i="71"/>
  <c r="D53" i="71" s="1"/>
  <c r="C29" i="70"/>
  <c r="D48" i="74"/>
  <c r="C27" i="68"/>
  <c r="D51" i="72"/>
  <c r="D55" i="68"/>
  <c r="D56" i="68" s="1"/>
  <c r="F47" i="76"/>
  <c r="C64" i="69"/>
  <c r="C65" i="69" s="1"/>
  <c r="C30" i="68"/>
  <c r="D70" i="74"/>
  <c r="C55" i="68"/>
  <c r="C56" i="68" s="1"/>
  <c r="P30" i="70"/>
  <c r="D28" i="70"/>
  <c r="C44" i="67"/>
  <c r="C46" i="67" s="1"/>
  <c r="C48" i="74"/>
  <c r="D55" i="69"/>
  <c r="D56" i="69" s="1"/>
  <c r="C57" i="68"/>
  <c r="C58" i="68" s="1"/>
  <c r="C53" i="73"/>
  <c r="D53" i="73" s="1"/>
  <c r="C47" i="73"/>
  <c r="C29" i="68"/>
  <c r="D28" i="69"/>
  <c r="P30" i="68"/>
  <c r="D62" i="68"/>
  <c r="D63" i="68" s="1"/>
  <c r="C30" i="70"/>
  <c r="C49" i="74"/>
  <c r="C64" i="70"/>
  <c r="C65" i="70" s="1"/>
  <c r="C46" i="71"/>
  <c r="C58" i="74"/>
  <c r="C70" i="74"/>
  <c r="D57" i="68"/>
  <c r="D58" i="68" s="1"/>
  <c r="C59" i="74"/>
  <c r="D62" i="70"/>
  <c r="D63" i="70" s="1"/>
  <c r="C46" i="72"/>
  <c r="C28" i="70"/>
  <c r="C55" i="70"/>
  <c r="C56" i="70" s="1"/>
  <c r="C47" i="76"/>
  <c r="D65" i="74"/>
  <c r="D59" i="74"/>
  <c r="D66" i="74"/>
  <c r="C51" i="71"/>
  <c r="P28" i="70"/>
  <c r="D62" i="69"/>
  <c r="D63" i="69" s="1"/>
  <c r="D58" i="74"/>
  <c r="C65" i="74"/>
  <c r="D51" i="73"/>
  <c r="D55" i="70"/>
  <c r="D56" i="70" s="1"/>
  <c r="D57" i="70"/>
  <c r="D58" i="70" s="1"/>
  <c r="C57" i="70"/>
  <c r="C58" i="70" s="1"/>
  <c r="C56" i="72"/>
  <c r="D56" i="72" s="1"/>
  <c r="D64" i="70"/>
  <c r="D65" i="70" s="1"/>
  <c r="C62" i="68"/>
  <c r="C63" i="68" s="1"/>
  <c r="D51" i="71"/>
  <c r="D30" i="69"/>
  <c r="D64" i="68"/>
  <c r="D65" i="68" s="1"/>
  <c r="D51" i="76"/>
  <c r="C28" i="69"/>
  <c r="C66" i="74"/>
  <c r="C51" i="73"/>
  <c r="C29" i="69"/>
  <c r="C53" i="76"/>
  <c r="D53" i="76" s="1"/>
  <c r="C46" i="73"/>
  <c r="C62" i="70"/>
  <c r="C63" i="70" s="1"/>
  <c r="D27" i="69"/>
  <c r="C28" i="68"/>
  <c r="D29" i="69"/>
  <c r="C56" i="71"/>
  <c r="D56" i="71" s="1"/>
  <c r="C47" i="72"/>
  <c r="C30" i="69"/>
  <c r="D29" i="70"/>
  <c r="C46" i="76"/>
  <c r="C57" i="69"/>
  <c r="C58" i="69" s="1"/>
  <c r="C64" i="68"/>
  <c r="C65" i="68" s="1"/>
  <c r="C56" i="73"/>
  <c r="D56" i="73" s="1"/>
  <c r="P28" i="69"/>
  <c r="D27" i="70"/>
  <c r="C27" i="69"/>
  <c r="AH196" i="28"/>
  <c r="AN196" i="28" s="1"/>
  <c r="C196" i="28" s="1"/>
  <c r="G196" i="28" s="1"/>
  <c r="G58" i="6"/>
  <c r="AL61" i="6"/>
  <c r="B61" i="6" s="1"/>
  <c r="AL60" i="6"/>
  <c r="B60" i="6" s="1"/>
  <c r="D186" i="28" l="1"/>
  <c r="V186" i="28" s="1"/>
  <c r="G186" i="28"/>
  <c r="D51" i="6"/>
  <c r="V51" i="6" s="1"/>
  <c r="AG171" i="28"/>
  <c r="AL171" i="28" s="1"/>
  <c r="B171" i="28" s="1"/>
  <c r="D171" i="28" s="1"/>
  <c r="V171" i="28" s="1"/>
  <c r="D206" i="28"/>
  <c r="V206" i="28" s="1"/>
  <c r="G206" i="28"/>
  <c r="D60" i="6"/>
  <c r="V60" i="6" s="1"/>
  <c r="AG216" i="28"/>
  <c r="AL216" i="28" s="1"/>
  <c r="B216" i="28" s="1"/>
  <c r="D216" i="28" s="1"/>
  <c r="V216" i="28" s="1"/>
  <c r="D49" i="6"/>
  <c r="V49" i="6" s="1"/>
  <c r="AG169" i="28"/>
  <c r="AL169" i="28" s="1"/>
  <c r="B169" i="28" s="1"/>
  <c r="D169" i="28" s="1"/>
  <c r="V169" i="28" s="1"/>
  <c r="D176" i="28"/>
  <c r="V176" i="28" s="1"/>
  <c r="G176" i="28"/>
  <c r="D35" i="68"/>
  <c r="D33" i="68"/>
  <c r="D36" i="68"/>
  <c r="D34" i="68"/>
  <c r="D68" i="69"/>
  <c r="C68" i="70"/>
  <c r="C68" i="68"/>
  <c r="D68" i="68"/>
  <c r="C60" i="69"/>
  <c r="P31" i="68"/>
  <c r="C60" i="70"/>
  <c r="D61" i="6"/>
  <c r="V61" i="6" s="1"/>
  <c r="AG217" i="28"/>
  <c r="AL217" i="28" s="1"/>
  <c r="B217" i="28" s="1"/>
  <c r="D217" i="28" s="1"/>
  <c r="V217" i="28" s="1"/>
  <c r="P29" i="68"/>
  <c r="C48" i="72"/>
  <c r="D35" i="69"/>
  <c r="D33" i="69"/>
  <c r="C35" i="70"/>
  <c r="C33" i="70"/>
  <c r="C35" i="68"/>
  <c r="C33" i="68"/>
  <c r="D68" i="70"/>
  <c r="C36" i="68"/>
  <c r="C34" i="68"/>
  <c r="P31" i="69"/>
  <c r="D36" i="70"/>
  <c r="D34" i="70"/>
  <c r="D196" i="28"/>
  <c r="V196" i="28" s="1"/>
  <c r="P29" i="70"/>
  <c r="P31" i="70"/>
  <c r="C33" i="69"/>
  <c r="C35" i="69"/>
  <c r="D35" i="70"/>
  <c r="D33" i="70"/>
  <c r="P29" i="69"/>
  <c r="C36" i="69"/>
  <c r="C34" i="69"/>
  <c r="C48" i="71"/>
  <c r="C60" i="68"/>
  <c r="D36" i="69"/>
  <c r="D34" i="69"/>
  <c r="C68" i="69"/>
  <c r="C36" i="70"/>
  <c r="C34" i="70"/>
  <c r="C48" i="73"/>
  <c r="D27" i="74"/>
  <c r="D54" i="74" s="1"/>
  <c r="C27" i="74"/>
  <c r="C54" i="74" s="1"/>
  <c r="C48" i="76"/>
  <c r="C39" i="74"/>
  <c r="C44" i="74" s="1"/>
  <c r="D39" i="74"/>
  <c r="D44" i="74" s="1"/>
  <c r="AG170" i="28"/>
  <c r="AL170" i="28" s="1"/>
  <c r="B170" i="28" s="1"/>
  <c r="D170" i="28" s="1"/>
  <c r="V170" i="28" s="1"/>
  <c r="D50" i="6"/>
  <c r="V50" i="6" s="1"/>
  <c r="J55" i="67" l="1"/>
  <c r="X30" i="5" s="1"/>
  <c r="C70" i="69"/>
  <c r="C70" i="70"/>
  <c r="C70" i="68"/>
  <c r="AB19" i="28"/>
  <c r="V547" i="28" s="1"/>
  <c r="C42" i="68"/>
  <c r="AB19" i="6"/>
  <c r="V181" i="6" s="1"/>
  <c r="C42" i="69"/>
  <c r="C55" i="74"/>
  <c r="C60" i="74" s="1"/>
  <c r="C56" i="74"/>
  <c r="C61" i="74" s="1"/>
  <c r="D52" i="71"/>
  <c r="D54" i="71" s="1"/>
  <c r="D55" i="71" s="1"/>
  <c r="D52" i="76"/>
  <c r="D54" i="76" s="1"/>
  <c r="D55" i="76" s="1"/>
  <c r="D56" i="74"/>
  <c r="D61" i="74" s="1"/>
  <c r="D52" i="73"/>
  <c r="D54" i="73" s="1"/>
  <c r="D55" i="73" s="1"/>
  <c r="D55" i="74"/>
  <c r="D60" i="74" s="1"/>
  <c r="D52" i="72"/>
  <c r="D54" i="72" s="1"/>
  <c r="D55" i="72" s="1"/>
  <c r="C46" i="69"/>
  <c r="C41" i="69"/>
  <c r="C42" i="70"/>
  <c r="D46" i="74"/>
  <c r="D51" i="74" s="1"/>
  <c r="D45" i="74"/>
  <c r="D50" i="74" s="1"/>
  <c r="C52" i="76"/>
  <c r="C54" i="76" s="1"/>
  <c r="C55" i="76" s="1"/>
  <c r="C52" i="72"/>
  <c r="C54" i="72" s="1"/>
  <c r="C55" i="72" s="1"/>
  <c r="C52" i="71"/>
  <c r="C54" i="71" s="1"/>
  <c r="C55" i="71" s="1"/>
  <c r="C52" i="73"/>
  <c r="C54" i="73" s="1"/>
  <c r="C55" i="73" s="1"/>
  <c r="C46" i="68"/>
  <c r="C41" i="68"/>
  <c r="C46" i="74"/>
  <c r="C51" i="74" s="1"/>
  <c r="C45" i="74"/>
  <c r="C50" i="74" s="1"/>
  <c r="C41" i="70"/>
  <c r="C46" i="70"/>
  <c r="J60" i="67" l="1"/>
  <c r="X35" i="5" s="1"/>
  <c r="C47" i="70"/>
  <c r="C49" i="70" s="1"/>
  <c r="C50" i="70" s="1"/>
  <c r="U181" i="6"/>
  <c r="U182" i="6" s="1"/>
  <c r="V182" i="6" s="1"/>
  <c r="C47" i="69"/>
  <c r="C49" i="69" s="1"/>
  <c r="C50" i="69" s="1"/>
  <c r="C57" i="71"/>
  <c r="U547" i="28"/>
  <c r="U548" i="28" s="1"/>
  <c r="C57" i="73"/>
  <c r="C57" i="76"/>
  <c r="C47" i="68"/>
  <c r="C49" i="68" s="1"/>
  <c r="C50" i="68" s="1"/>
  <c r="C28" i="71"/>
  <c r="C28" i="76"/>
  <c r="C28" i="72"/>
  <c r="C28" i="73"/>
  <c r="C57" i="72"/>
  <c r="I56" i="67" s="1"/>
  <c r="W31" i="5" s="1"/>
  <c r="C27" i="71"/>
  <c r="C27" i="72"/>
  <c r="C27" i="76"/>
  <c r="C27" i="73"/>
  <c r="U549" i="28" l="1"/>
  <c r="V548" i="28"/>
  <c r="C51" i="70"/>
  <c r="U183" i="6"/>
  <c r="C51" i="69"/>
  <c r="C37" i="72"/>
  <c r="C33" i="72"/>
  <c r="C51" i="68"/>
  <c r="I59" i="67" s="1"/>
  <c r="W34" i="5" s="1"/>
  <c r="I61" i="67"/>
  <c r="W36" i="5" s="1"/>
  <c r="C37" i="73"/>
  <c r="C33" i="73"/>
  <c r="C38" i="73" s="1"/>
  <c r="C40" i="73" s="1"/>
  <c r="C41" i="73" s="1"/>
  <c r="C37" i="76"/>
  <c r="C33" i="76"/>
  <c r="C33" i="71"/>
  <c r="C38" i="71" s="1"/>
  <c r="C40" i="71" s="1"/>
  <c r="C41" i="71" s="1"/>
  <c r="C37" i="71"/>
  <c r="V549" i="28" l="1"/>
  <c r="U184" i="6"/>
  <c r="V183" i="6"/>
  <c r="U550" i="28"/>
  <c r="V550" i="28" s="1"/>
  <c r="C38" i="76"/>
  <c r="C40" i="76" s="1"/>
  <c r="C41" i="76" s="1"/>
  <c r="Z34" i="5"/>
  <c r="C38" i="72"/>
  <c r="C40" i="72" s="1"/>
  <c r="C41" i="72" s="1"/>
  <c r="I54" i="67" s="1"/>
  <c r="W29" i="5" s="1"/>
  <c r="S38" i="5" s="1"/>
  <c r="V184" i="6" l="1"/>
  <c r="U185" i="6"/>
  <c r="V185" i="6" s="1"/>
  <c r="U551" i="28"/>
  <c r="V551" i="28" s="1"/>
  <c r="Z28" i="5"/>
  <c r="Z44" i="5" s="1"/>
  <c r="U186" i="6" l="1"/>
  <c r="V186" i="6" s="1"/>
  <c r="U552" i="28"/>
  <c r="V552" i="28" s="1"/>
  <c r="U187" i="6" l="1"/>
  <c r="V187" i="6" s="1"/>
  <c r="U553" i="28"/>
  <c r="V553" i="2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1095" authorId="0" shapeId="0" xr:uid="{4F992704-7324-4B16-B65C-8D0276DBCB3B}">
      <text>
        <r>
          <rPr>
            <b/>
            <sz val="9"/>
            <color indexed="81"/>
            <rFont val="Segoe UI"/>
            <family val="2"/>
          </rPr>
          <t>020203_AT_Details_Dach Dachplatte_PREFA_2021-Q1|#00010595|Text</t>
        </r>
      </text>
    </comment>
    <comment ref="P1095" authorId="0" shapeId="0" xr:uid="{8C2512A7-BC85-4AE5-9FCE-F352ECDA0D69}">
      <text>
        <r>
          <rPr>
            <b/>
            <sz val="9"/>
            <color indexed="81"/>
            <rFont val="Segoe UI"/>
            <family val="2"/>
          </rPr>
          <t>020203_AT_Details_Dach Dachplatte_PREFA_2021-Q1|#00010595|Text</t>
        </r>
      </text>
    </comment>
    <comment ref="B1096" authorId="0" shapeId="0" xr:uid="{8D760698-9892-4A63-A87F-7C4347F544F4}">
      <text>
        <r>
          <rPr>
            <b/>
            <sz val="9"/>
            <color indexed="81"/>
            <rFont val="Segoe UI"/>
            <family val="2"/>
          </rPr>
          <t>020203_AT_Details_Dach Dachplatte_PREFA_2021-Q1|#000105AF|Text</t>
        </r>
      </text>
    </comment>
    <comment ref="P1096" authorId="0" shapeId="0" xr:uid="{26F124F3-E5AE-4E59-9497-86F2D50209B8}">
      <text>
        <r>
          <rPr>
            <b/>
            <sz val="9"/>
            <color indexed="81"/>
            <rFont val="Segoe UI"/>
            <family val="2"/>
          </rPr>
          <t>020203_AT_Details_Dach Dachplatte_PREFA_2021-Q1|#000105AF|Text</t>
        </r>
      </text>
    </comment>
    <comment ref="B1097" authorId="0" shapeId="0" xr:uid="{878A555F-4455-4AAC-B71D-9DDE93303637}">
      <text>
        <r>
          <rPr>
            <b/>
            <sz val="9"/>
            <color indexed="81"/>
            <rFont val="Segoe UI"/>
            <family val="2"/>
          </rPr>
          <t>020203_AT_Details_Dach Dachplatte_PREFA_2021-Q1|#0001059D|Text</t>
        </r>
      </text>
    </comment>
    <comment ref="P1097" authorId="0" shapeId="0" xr:uid="{096AD224-2E59-4A42-8A5B-F6C1E71E87C0}">
      <text>
        <r>
          <rPr>
            <b/>
            <sz val="9"/>
            <color indexed="81"/>
            <rFont val="Segoe UI"/>
            <family val="2"/>
          </rPr>
          <t>020203_AT_Details_Dach Dachplatte_PREFA_2021-Q1|#0001059D|Text</t>
        </r>
      </text>
    </comment>
    <comment ref="B1098" authorId="0" shapeId="0" xr:uid="{85F92F39-592C-4261-8ACC-061049E91BCA}">
      <text>
        <r>
          <rPr>
            <b/>
            <sz val="9"/>
            <color indexed="81"/>
            <rFont val="Segoe UI"/>
            <family val="2"/>
          </rPr>
          <t>020203_AT_Details_Dach Dachplatte_PREFA_2021-Q1|#0001059F|Text</t>
        </r>
      </text>
    </comment>
    <comment ref="P1098" authorId="0" shapeId="0" xr:uid="{2724978F-0B9C-405D-8404-52D1952B2798}">
      <text>
        <r>
          <rPr>
            <b/>
            <sz val="9"/>
            <color indexed="81"/>
            <rFont val="Segoe UI"/>
            <family val="2"/>
          </rPr>
          <t>020203_AT_Details_Dach Dachplatte_PREFA_2021-Q1|#0001059F|Text</t>
        </r>
      </text>
    </comment>
    <comment ref="B1099" authorId="0" shapeId="0" xr:uid="{98473D23-48B3-48AB-8DAE-E9B7170D7B93}">
      <text>
        <r>
          <rPr>
            <b/>
            <sz val="9"/>
            <color indexed="81"/>
            <rFont val="Segoe UI"/>
            <family val="2"/>
          </rPr>
          <t>020203_AT_Details_Dach Dachplatte_PREFA_2021-Q1|#000103E4|Text</t>
        </r>
      </text>
    </comment>
    <comment ref="P1099" authorId="0" shapeId="0" xr:uid="{07B8DDB3-4137-42E1-B9B3-7CC746128827}">
      <text>
        <r>
          <rPr>
            <b/>
            <sz val="9"/>
            <color indexed="81"/>
            <rFont val="Segoe UI"/>
            <family val="2"/>
          </rPr>
          <t>020203_AT_Details_Dach Dachplatte_PREFA_2021-Q1|#000103E4|Text</t>
        </r>
      </text>
    </comment>
    <comment ref="B1100" authorId="0" shapeId="0" xr:uid="{F9C555DC-8FC4-44A0-B2ED-C8661771EA60}">
      <text>
        <r>
          <rPr>
            <b/>
            <sz val="9"/>
            <color indexed="81"/>
            <rFont val="Segoe UI"/>
            <family val="2"/>
          </rPr>
          <t>020203_AT_Details_Dach Dachplatte_PREFA_2021-Q1|#000105A1|Text</t>
        </r>
      </text>
    </comment>
    <comment ref="P1100" authorId="0" shapeId="0" xr:uid="{5A1F088B-B0A9-40F1-93FB-CDBB9923ACAD}">
      <text>
        <r>
          <rPr>
            <b/>
            <sz val="9"/>
            <color indexed="81"/>
            <rFont val="Segoe UI"/>
            <family val="2"/>
          </rPr>
          <t>020203_AT_Details_Dach Dachplatte_PREFA_2021-Q1|#000105A1|Text</t>
        </r>
      </text>
    </comment>
    <comment ref="B1101" authorId="0" shapeId="0" xr:uid="{724BD06F-AAF4-4BAA-898B-19EF120F631F}">
      <text>
        <r>
          <rPr>
            <b/>
            <sz val="9"/>
            <color indexed="81"/>
            <rFont val="Segoe UI"/>
            <family val="2"/>
          </rPr>
          <t>020203_AT_Details_Dach Dachplatte_PREFA_2021-Q1|#000103EA|Text</t>
        </r>
      </text>
    </comment>
    <comment ref="P1101" authorId="0" shapeId="0" xr:uid="{AC580022-1637-477D-A8F5-1D07F35E56DE}">
      <text>
        <r>
          <rPr>
            <b/>
            <sz val="9"/>
            <color indexed="81"/>
            <rFont val="Segoe UI"/>
            <family val="2"/>
          </rPr>
          <t>020203_AT_Details_Dach Dachplatte_PREFA_2021-Q1|#000103EA|Text</t>
        </r>
      </text>
    </comment>
    <comment ref="B1102" authorId="0" shapeId="0" xr:uid="{0A8B3F09-0DCE-4BD9-8D79-3EEF230DC171}">
      <text>
        <r>
          <rPr>
            <b/>
            <sz val="9"/>
            <color indexed="81"/>
            <rFont val="Segoe UI"/>
            <family val="2"/>
          </rPr>
          <t>020203_AT_Details_Dach Dachplatte_PREFA_2021-Q1|#00010396|Text</t>
        </r>
      </text>
    </comment>
    <comment ref="P1102" authorId="0" shapeId="0" xr:uid="{22F00EF4-B2DB-449A-84B0-057F4F924685}">
      <text>
        <r>
          <rPr>
            <b/>
            <sz val="9"/>
            <color indexed="81"/>
            <rFont val="Segoe UI"/>
            <family val="2"/>
          </rPr>
          <t>020203_AT_Details_Dach Dachplatte_PREFA_2021-Q1|#00010396|Text</t>
        </r>
      </text>
    </comment>
    <comment ref="B1103" authorId="0" shapeId="0" xr:uid="{7F865F1C-DD96-4876-95D2-790F424E4440}">
      <text>
        <r>
          <rPr>
            <b/>
            <sz val="9"/>
            <color indexed="81"/>
            <rFont val="Segoe UI"/>
            <family val="2"/>
          </rPr>
          <t>020203_AT_Details_Dach Dachplatte_PREFA_2021-Q1|#00010129|Text</t>
        </r>
      </text>
    </comment>
    <comment ref="P1103" authorId="0" shapeId="0" xr:uid="{6E23C340-8980-4440-AFFD-B4FF556FC2F4}">
      <text>
        <r>
          <rPr>
            <b/>
            <sz val="9"/>
            <color indexed="81"/>
            <rFont val="Segoe UI"/>
            <family val="2"/>
          </rPr>
          <t>020203_AT_Details_Dach Dachplatte_PREFA_2021-Q1|#00010129|Text</t>
        </r>
      </text>
    </comment>
    <comment ref="B1104" authorId="0" shapeId="0" xr:uid="{0E41C864-ACBE-47DA-8A9E-7BC6AFCCE8F8}">
      <text>
        <r>
          <rPr>
            <b/>
            <sz val="9"/>
            <color indexed="81"/>
            <rFont val="Segoe UI"/>
            <family val="2"/>
          </rPr>
          <t>020203_AT_Details_Dach Dachplatte_PREFA_2021-Q1|#0001039A|Text</t>
        </r>
      </text>
    </comment>
    <comment ref="P1104" authorId="0" shapeId="0" xr:uid="{0CB3D4CA-AD13-428A-8C25-33DBB1D90544}">
      <text>
        <r>
          <rPr>
            <b/>
            <sz val="9"/>
            <color indexed="81"/>
            <rFont val="Segoe UI"/>
            <family val="2"/>
          </rPr>
          <t>020203_AT_Details_Dach Dachplatte_PREFA_2021-Q1|#0001039A|Text</t>
        </r>
      </text>
    </comment>
    <comment ref="B1105" authorId="0" shapeId="0" xr:uid="{B20AD655-9C57-4DAB-80AE-5A2275E5D831}">
      <text>
        <r>
          <rPr>
            <b/>
            <sz val="9"/>
            <color indexed="81"/>
            <rFont val="Segoe UI"/>
            <family val="2"/>
          </rPr>
          <t>020203_AT_Details_Dach Dachplatte_PREFA_2021-Q1|#0000F34D|Text</t>
        </r>
      </text>
    </comment>
    <comment ref="P1105" authorId="0" shapeId="0" xr:uid="{3E0CD093-2EDF-48D4-970E-7759B477C070}">
      <text>
        <r>
          <rPr>
            <b/>
            <sz val="9"/>
            <color indexed="81"/>
            <rFont val="Segoe UI"/>
            <family val="2"/>
          </rPr>
          <t>020203_AT_Details_Dach Dachplatte_PREFA_2021-Q1|#0000F34D|Text</t>
        </r>
      </text>
    </comment>
    <comment ref="B1106" authorId="0" shapeId="0" xr:uid="{D9D1FD23-572A-42FB-B41F-8C34AC7FACB5}">
      <text>
        <r>
          <rPr>
            <b/>
            <sz val="9"/>
            <color indexed="81"/>
            <rFont val="Segoe UI"/>
            <family val="2"/>
          </rPr>
          <t>020203_AT_Details_Dach Dachplatte_PREFA_2021-Q1|#00009DC0|Text</t>
        </r>
      </text>
    </comment>
    <comment ref="P1106" authorId="0" shapeId="0" xr:uid="{580B49DC-AEB2-4ECF-9DB1-7032A54E39D2}">
      <text>
        <r>
          <rPr>
            <b/>
            <sz val="9"/>
            <color indexed="81"/>
            <rFont val="Segoe UI"/>
            <family val="2"/>
          </rPr>
          <t>020203_AT_Details_Dach Dachplatte_PREFA_2021-Q1|#00009DC0|Text</t>
        </r>
      </text>
    </comment>
    <comment ref="B1107" authorId="0" shapeId="0" xr:uid="{DF62835B-8DB7-4471-87CC-0A1071A3E784}">
      <text>
        <r>
          <rPr>
            <b/>
            <sz val="9"/>
            <color indexed="81"/>
            <rFont val="Segoe UI"/>
            <family val="2"/>
          </rPr>
          <t>020203_AT_Details_Dach Dachplatte_PREFA_2021-Q1|#000102C8|Text</t>
        </r>
      </text>
    </comment>
    <comment ref="P1107" authorId="0" shapeId="0" xr:uid="{40F46013-8206-4FC7-95A4-82F73E43F2C2}">
      <text>
        <r>
          <rPr>
            <b/>
            <sz val="9"/>
            <color indexed="81"/>
            <rFont val="Segoe UI"/>
            <family val="2"/>
          </rPr>
          <t>020203_AT_Details_Dach Dachplatte_PREFA_2021-Q1|#000102C8|Text</t>
        </r>
      </text>
    </comment>
    <comment ref="B1108" authorId="0" shapeId="0" xr:uid="{C6B3C1B1-7A63-4142-85D7-6DC214533721}">
      <text>
        <r>
          <rPr>
            <b/>
            <sz val="9"/>
            <color indexed="81"/>
            <rFont val="Segoe UI"/>
            <family val="2"/>
          </rPr>
          <t>020203_AT_Details_Dach Dachplatte_PREFA_2021-Q1|#00010354|Text</t>
        </r>
      </text>
    </comment>
    <comment ref="P1108" authorId="0" shapeId="0" xr:uid="{7AD908F9-49C6-4DBD-BB9C-B2CCAA5B3C74}">
      <text>
        <r>
          <rPr>
            <b/>
            <sz val="9"/>
            <color indexed="81"/>
            <rFont val="Segoe UI"/>
            <family val="2"/>
          </rPr>
          <t>020203_AT_Details_Dach Dachplatte_PREFA_2021-Q1|#00010354|Text</t>
        </r>
      </text>
    </comment>
    <comment ref="B1109" authorId="0" shapeId="0" xr:uid="{583A775D-87D4-4DB0-8F9F-A1D2E367A90F}">
      <text>
        <r>
          <rPr>
            <b/>
            <sz val="9"/>
            <color indexed="81"/>
            <rFont val="Segoe UI"/>
            <family val="2"/>
          </rPr>
          <t>020203_AT_Details_Dach Dachplatte_PREFA_2021-Q1|#000103FA|Text</t>
        </r>
      </text>
    </comment>
    <comment ref="P1109" authorId="0" shapeId="0" xr:uid="{5292B754-0B7D-4D71-B677-50930BCE5D2C}">
      <text>
        <r>
          <rPr>
            <b/>
            <sz val="9"/>
            <color indexed="81"/>
            <rFont val="Segoe UI"/>
            <family val="2"/>
          </rPr>
          <t>020203_AT_Details_Dach Dachplatte_PREFA_2021-Q1|#000103FA|Text</t>
        </r>
      </text>
    </comment>
    <comment ref="B1110" authorId="0" shapeId="0" xr:uid="{051FE95D-BB83-4C99-AFB3-94E51B3755DC}">
      <text>
        <r>
          <rPr>
            <b/>
            <sz val="9"/>
            <color indexed="81"/>
            <rFont val="Segoe UI"/>
            <family val="2"/>
          </rPr>
          <t>020203_AT_Details_Dach Dachplatte_PREFA_2021-Q1|#00009C93|Text</t>
        </r>
      </text>
    </comment>
    <comment ref="P1110" authorId="0" shapeId="0" xr:uid="{216FBD44-F05A-45F6-AE92-43A00CDFE210}">
      <text>
        <r>
          <rPr>
            <b/>
            <sz val="9"/>
            <color indexed="81"/>
            <rFont val="Segoe UI"/>
            <family val="2"/>
          </rPr>
          <t>020203_AT_Details_Dach Dachplatte_PREFA_2021-Q1|#00009C93|Text</t>
        </r>
      </text>
    </comment>
    <comment ref="B1111" authorId="0" shapeId="0" xr:uid="{ECE1A393-A377-4248-B27B-8A39A10A946B}">
      <text>
        <r>
          <rPr>
            <b/>
            <sz val="9"/>
            <color indexed="81"/>
            <rFont val="Segoe UI"/>
            <family val="2"/>
          </rPr>
          <t>020203_AT_Details_Dach Dachplatte_PREFA_2021-Q1|#00010400|Text</t>
        </r>
      </text>
    </comment>
    <comment ref="P1111" authorId="0" shapeId="0" xr:uid="{A793082F-468C-4E92-A849-B33F65D99C48}">
      <text>
        <r>
          <rPr>
            <b/>
            <sz val="9"/>
            <color indexed="81"/>
            <rFont val="Segoe UI"/>
            <family val="2"/>
          </rPr>
          <t>020203_AT_Details_Dach Dachplatte_PREFA_2021-Q1|#00010400|Text</t>
        </r>
      </text>
    </comment>
    <comment ref="B1112" authorId="0" shapeId="0" xr:uid="{915266C1-A037-492A-9412-ABD68EEFBDDB}">
      <text>
        <r>
          <rPr>
            <b/>
            <sz val="9"/>
            <color indexed="81"/>
            <rFont val="Segoe UI"/>
            <family val="2"/>
          </rPr>
          <t>020203_AT_Details_Dach Dachplatte_PREFA_2021-Q1|#00010401|Text</t>
        </r>
      </text>
    </comment>
    <comment ref="P1112" authorId="0" shapeId="0" xr:uid="{5808BE96-BC10-4530-8BBC-7FF8A6566592}">
      <text>
        <r>
          <rPr>
            <b/>
            <sz val="9"/>
            <color indexed="81"/>
            <rFont val="Segoe UI"/>
            <family val="2"/>
          </rPr>
          <t>020203_AT_Details_Dach Dachplatte_PREFA_2021-Q1|#00010401|Text</t>
        </r>
      </text>
    </comment>
    <comment ref="B1113" authorId="0" shapeId="0" xr:uid="{F737B3EA-5E9C-469F-9740-7542CB67D44F}">
      <text>
        <r>
          <rPr>
            <b/>
            <sz val="9"/>
            <color indexed="81"/>
            <rFont val="Segoe UI"/>
            <family val="2"/>
          </rPr>
          <t>020203_AT_Details_Dach Dachplatte_PREFA_2021-Q1|#00010402|Text</t>
        </r>
      </text>
    </comment>
    <comment ref="P1113" authorId="0" shapeId="0" xr:uid="{9D4E0574-1154-40AF-931E-4ADB334E2FB3}">
      <text>
        <r>
          <rPr>
            <b/>
            <sz val="9"/>
            <color indexed="81"/>
            <rFont val="Segoe UI"/>
            <family val="2"/>
          </rPr>
          <t>020203_AT_Details_Dach Dachplatte_PREFA_2021-Q1|#00010402|Text</t>
        </r>
      </text>
    </comment>
    <comment ref="B1114" authorId="0" shapeId="0" xr:uid="{D2987B00-3FF4-480E-BD2C-D5D4059EEA2C}">
      <text>
        <r>
          <rPr>
            <b/>
            <sz val="9"/>
            <color indexed="81"/>
            <rFont val="Segoe UI"/>
            <family val="2"/>
          </rPr>
          <t>020203_AT_Details_Dach Dachplatte_PREFA_2021-Q1|#00010403|Text</t>
        </r>
      </text>
    </comment>
    <comment ref="P1114" authorId="0" shapeId="0" xr:uid="{F5B10D82-7FEF-4CC8-B933-86A98643D804}">
      <text>
        <r>
          <rPr>
            <b/>
            <sz val="9"/>
            <color indexed="81"/>
            <rFont val="Segoe UI"/>
            <family val="2"/>
          </rPr>
          <t>020203_AT_Details_Dach Dachplatte_PREFA_2021-Q1|#00010403|Text</t>
        </r>
      </text>
    </comment>
    <comment ref="B1115" authorId="0" shapeId="0" xr:uid="{28DB186C-5AED-4A20-9758-38373E9D1E56}">
      <text>
        <r>
          <rPr>
            <b/>
            <sz val="9"/>
            <color indexed="81"/>
            <rFont val="Segoe UI"/>
            <family val="2"/>
          </rPr>
          <t>020203_AT_Details_Dach Dachplatte_PREFA_2021-Q1|#00010404|Text</t>
        </r>
      </text>
    </comment>
    <comment ref="P1115" authorId="0" shapeId="0" xr:uid="{4CB4E2F0-1F78-4486-A796-350CD4B4D047}">
      <text>
        <r>
          <rPr>
            <b/>
            <sz val="9"/>
            <color indexed="81"/>
            <rFont val="Segoe UI"/>
            <family val="2"/>
          </rPr>
          <t>020203_AT_Details_Dach Dachplatte_PREFA_2021-Q1|#00010404|Text</t>
        </r>
      </text>
    </comment>
    <comment ref="B1116" authorId="0" shapeId="0" xr:uid="{6F0C4F38-59AC-4091-83EF-5E1BCC11F31B}">
      <text>
        <r>
          <rPr>
            <b/>
            <sz val="9"/>
            <color indexed="81"/>
            <rFont val="Segoe UI"/>
            <family val="2"/>
          </rPr>
          <t>020203_AT_Details_Dach Dachplatte_PREFA_2021-Q1|#00010405|Text</t>
        </r>
      </text>
    </comment>
    <comment ref="P1116" authorId="0" shapeId="0" xr:uid="{A5C2E3C4-DF77-4412-8012-88742C156A1A}">
      <text>
        <r>
          <rPr>
            <b/>
            <sz val="9"/>
            <color indexed="81"/>
            <rFont val="Segoe UI"/>
            <family val="2"/>
          </rPr>
          <t>020203_AT_Details_Dach Dachplatte_PREFA_2021-Q1|#00010405|Text</t>
        </r>
      </text>
    </comment>
    <comment ref="B1117" authorId="0" shapeId="0" xr:uid="{42C2436A-7112-4101-B06B-370C06A7A8B0}">
      <text>
        <r>
          <rPr>
            <b/>
            <sz val="9"/>
            <color indexed="81"/>
            <rFont val="Segoe UI"/>
            <family val="2"/>
          </rPr>
          <t>020203_AT_Details_Dach Dachplatte_PREFA_2021-Q1|#00010406|Text</t>
        </r>
      </text>
    </comment>
    <comment ref="P1117" authorId="0" shapeId="0" xr:uid="{83C55B7D-4EE7-46BC-BD02-1CEAB55E7B32}">
      <text>
        <r>
          <rPr>
            <b/>
            <sz val="9"/>
            <color indexed="81"/>
            <rFont val="Segoe UI"/>
            <family val="2"/>
          </rPr>
          <t>020203_AT_Details_Dach Dachplatte_PREFA_2021-Q1|#00010406|Text</t>
        </r>
      </text>
    </comment>
    <comment ref="B1118" authorId="0" shapeId="0" xr:uid="{0CCB7D0C-49DB-4EA7-BC7E-D6051F444586}">
      <text>
        <r>
          <rPr>
            <b/>
            <sz val="9"/>
            <color indexed="81"/>
            <rFont val="Segoe UI"/>
            <family val="2"/>
          </rPr>
          <t>020203_AT_Details_Dach Dachplatte_PREFA_2021-Q1|#00010407|Text</t>
        </r>
      </text>
    </comment>
    <comment ref="P1118" authorId="0" shapeId="0" xr:uid="{19CFF4FD-794D-42A7-9707-A6ADAA4BAE4D}">
      <text>
        <r>
          <rPr>
            <b/>
            <sz val="9"/>
            <color indexed="81"/>
            <rFont val="Segoe UI"/>
            <family val="2"/>
          </rPr>
          <t>020203_AT_Details_Dach Dachplatte_PREFA_2021-Q1|#00010407|Text</t>
        </r>
      </text>
    </comment>
    <comment ref="B1119" authorId="0" shapeId="0" xr:uid="{DD5E744A-2A54-4144-8C9C-EAE0B580AF2B}">
      <text>
        <r>
          <rPr>
            <b/>
            <sz val="9"/>
            <color indexed="81"/>
            <rFont val="Segoe UI"/>
            <family val="2"/>
          </rPr>
          <t>020203_AT_Details_Dach Dachplatte_PREFA_2021-Q1|#0000F367|Text</t>
        </r>
      </text>
    </comment>
    <comment ref="P1119" authorId="0" shapeId="0" xr:uid="{B1D7CF2F-6530-45C1-B6FC-DC3933AB21A7}">
      <text>
        <r>
          <rPr>
            <b/>
            <sz val="9"/>
            <color indexed="81"/>
            <rFont val="Segoe UI"/>
            <family val="2"/>
          </rPr>
          <t>020203_AT_Details_Dach Dachplatte_PREFA_2021-Q1|#0000F367|Text</t>
        </r>
      </text>
    </comment>
    <comment ref="B1120" authorId="0" shapeId="0" xr:uid="{B88C08B4-7B00-4EBC-8AC6-B37067D943B2}">
      <text>
        <r>
          <rPr>
            <b/>
            <sz val="9"/>
            <color indexed="81"/>
            <rFont val="Segoe UI"/>
            <family val="2"/>
          </rPr>
          <t>020203_AT_Details_Dach Dachplatte_PREFA_2021-Q1|#0001040B|Text</t>
        </r>
      </text>
    </comment>
    <comment ref="P1120" authorId="0" shapeId="0" xr:uid="{B4CD210F-ACB5-4C76-A929-85A83AF01AA9}">
      <text>
        <r>
          <rPr>
            <b/>
            <sz val="9"/>
            <color indexed="81"/>
            <rFont val="Segoe UI"/>
            <family val="2"/>
          </rPr>
          <t>020203_AT_Details_Dach Dachplatte_PREFA_2021-Q1|#0001040B|Text</t>
        </r>
      </text>
    </comment>
    <comment ref="B1121" authorId="0" shapeId="0" xr:uid="{3F9485EB-C44C-4C8B-9BD9-8B9CCF98FFBE}">
      <text>
        <r>
          <rPr>
            <b/>
            <sz val="9"/>
            <color indexed="81"/>
            <rFont val="Segoe UI"/>
            <family val="2"/>
          </rPr>
          <t>020203_AT_Details_Dach Dachplatte_PREFA_2021-Q1|#0001040D|Text</t>
        </r>
      </text>
    </comment>
    <comment ref="P1121" authorId="0" shapeId="0" xr:uid="{2F429134-4575-4D4D-8A94-ABC83AFF7CD6}">
      <text>
        <r>
          <rPr>
            <b/>
            <sz val="9"/>
            <color indexed="81"/>
            <rFont val="Segoe UI"/>
            <family val="2"/>
          </rPr>
          <t>020203_AT_Details_Dach Dachplatte_PREFA_2021-Q1|#0001040D|Text</t>
        </r>
      </text>
    </comment>
    <comment ref="B1122" authorId="0" shapeId="0" xr:uid="{EC3877A7-EE02-419F-8E03-26005D9D298F}">
      <text>
        <r>
          <rPr>
            <b/>
            <sz val="9"/>
            <color indexed="81"/>
            <rFont val="Segoe UI"/>
            <family val="2"/>
          </rPr>
          <t>020203_AT_Details_Dach Dachplatte_PREFA_2021-Q1|#0001040E|Text</t>
        </r>
      </text>
    </comment>
    <comment ref="P1122" authorId="0" shapeId="0" xr:uid="{872C225A-970B-413C-9F7A-5DA02FC42D33}">
      <text>
        <r>
          <rPr>
            <b/>
            <sz val="9"/>
            <color indexed="81"/>
            <rFont val="Segoe UI"/>
            <family val="2"/>
          </rPr>
          <t>020203_AT_Details_Dach Dachplatte_PREFA_2021-Q1|#0001040E|Text</t>
        </r>
      </text>
    </comment>
    <comment ref="B1123" authorId="0" shapeId="0" xr:uid="{C9B3976A-8AEE-407D-B947-60C3660C6714}">
      <text>
        <r>
          <rPr>
            <b/>
            <sz val="9"/>
            <color indexed="81"/>
            <rFont val="Segoe UI"/>
            <family val="2"/>
          </rPr>
          <t>020203_AT_Details_Dach Dachplatte_PREFA_2021-Q1|#0001040F|Text</t>
        </r>
      </text>
    </comment>
    <comment ref="P1123" authorId="0" shapeId="0" xr:uid="{6809AEBF-D626-45E4-8583-38A270369702}">
      <text>
        <r>
          <rPr>
            <b/>
            <sz val="9"/>
            <color indexed="81"/>
            <rFont val="Segoe UI"/>
            <family val="2"/>
          </rPr>
          <t>020203_AT_Details_Dach Dachplatte_PREFA_2021-Q1|#0001040F|Text</t>
        </r>
      </text>
    </comment>
    <comment ref="B1124" authorId="0" shapeId="0" xr:uid="{F4F30886-27CC-4249-A0C3-0754C68E6AD2}">
      <text>
        <r>
          <rPr>
            <b/>
            <sz val="9"/>
            <color indexed="81"/>
            <rFont val="Segoe UI"/>
            <family val="2"/>
          </rPr>
          <t>020203_AT_Details_Dach Dachplatte_PREFA_2021-Q1|#00010411|Text</t>
        </r>
      </text>
    </comment>
    <comment ref="P1124" authorId="0" shapeId="0" xr:uid="{826F670D-F34B-4718-9A35-10945AAA36B6}">
      <text>
        <r>
          <rPr>
            <b/>
            <sz val="9"/>
            <color indexed="81"/>
            <rFont val="Segoe UI"/>
            <family val="2"/>
          </rPr>
          <t>020203_AT_Details_Dach Dachplatte_PREFA_2021-Q1|#00010411|Text</t>
        </r>
      </text>
    </comment>
    <comment ref="B1125" authorId="0" shapeId="0" xr:uid="{89BD1649-2762-4D30-8C7D-9480931061BA}">
      <text>
        <r>
          <rPr>
            <b/>
            <sz val="9"/>
            <color indexed="81"/>
            <rFont val="Segoe UI"/>
            <family val="2"/>
          </rPr>
          <t>020203_AT_Details_Dach Dachplatte_PREFA_2021-Q1|#00010413|Text</t>
        </r>
      </text>
    </comment>
    <comment ref="P1125" authorId="0" shapeId="0" xr:uid="{3E747372-42BC-4DD7-89EF-69A418C3671A}">
      <text>
        <r>
          <rPr>
            <b/>
            <sz val="9"/>
            <color indexed="81"/>
            <rFont val="Segoe UI"/>
            <family val="2"/>
          </rPr>
          <t>020203_AT_Details_Dach Dachplatte_PREFA_2021-Q1|#00010413|Text</t>
        </r>
      </text>
    </comment>
    <comment ref="B1126" authorId="0" shapeId="0" xr:uid="{28E3C346-898A-4879-A540-06EA1B0F12AB}">
      <text>
        <r>
          <rPr>
            <b/>
            <sz val="9"/>
            <color indexed="81"/>
            <rFont val="Segoe UI"/>
            <family val="2"/>
          </rPr>
          <t>020203_AT_Details_Dach Dachplatte_PREFA_2021-Q1|#00010417|Text</t>
        </r>
      </text>
    </comment>
    <comment ref="P1126" authorId="0" shapeId="0" xr:uid="{AF295D50-7DBF-4857-9825-F3DE3FF7AC91}">
      <text>
        <r>
          <rPr>
            <b/>
            <sz val="9"/>
            <color indexed="81"/>
            <rFont val="Segoe UI"/>
            <family val="2"/>
          </rPr>
          <t>020203_AT_Details_Dach Dachplatte_PREFA_2021-Q1|#00010417|Text</t>
        </r>
      </text>
    </comment>
    <comment ref="B1127" authorId="0" shapeId="0" xr:uid="{0EA7860E-30A4-45D4-86F6-B840156D79CA}">
      <text>
        <r>
          <rPr>
            <b/>
            <sz val="9"/>
            <color indexed="81"/>
            <rFont val="Segoe UI"/>
            <family val="2"/>
          </rPr>
          <t>020203_AT_Details_Dach Dachplatte_PREFA_2021-Q1|#00010419|Text</t>
        </r>
      </text>
    </comment>
    <comment ref="P1127" authorId="0" shapeId="0" xr:uid="{2B94AA0F-52B0-4BFE-B350-3761A9A2AB2F}">
      <text>
        <r>
          <rPr>
            <b/>
            <sz val="9"/>
            <color indexed="81"/>
            <rFont val="Segoe UI"/>
            <family val="2"/>
          </rPr>
          <t>020203_AT_Details_Dach Dachplatte_PREFA_2021-Q1|#00010419|Text</t>
        </r>
      </text>
    </comment>
    <comment ref="B1128" authorId="0" shapeId="0" xr:uid="{D95F1727-E2B6-421D-B83B-705F68BB9202}">
      <text>
        <r>
          <rPr>
            <b/>
            <sz val="9"/>
            <color indexed="81"/>
            <rFont val="Segoe UI"/>
            <family val="2"/>
          </rPr>
          <t>020203_AT_Details_Dach Dachplatte_PREFA_2021-Q1|#0001041B|Text</t>
        </r>
      </text>
    </comment>
    <comment ref="P1128" authorId="0" shapeId="0" xr:uid="{F04B4F06-7066-46C1-88B6-9A34F5E7C63D}">
      <text>
        <r>
          <rPr>
            <b/>
            <sz val="9"/>
            <color indexed="81"/>
            <rFont val="Segoe UI"/>
            <family val="2"/>
          </rPr>
          <t>020203_AT_Details_Dach Dachplatte_PREFA_2021-Q1|#0001041B|Text</t>
        </r>
      </text>
    </comment>
    <comment ref="B1129" authorId="0" shapeId="0" xr:uid="{D1A3C200-9F79-4478-A18A-9F857C8F5A36}">
      <text>
        <r>
          <rPr>
            <b/>
            <sz val="9"/>
            <color indexed="81"/>
            <rFont val="Segoe UI"/>
            <family val="2"/>
          </rPr>
          <t>020203_AT_Details_Dach Dachplatte_PREFA_2021-Q1|#0001041D|Text</t>
        </r>
      </text>
    </comment>
    <comment ref="P1129" authorId="0" shapeId="0" xr:uid="{ECC165BA-FFB1-4D44-9F00-EA369499F2C6}">
      <text>
        <r>
          <rPr>
            <b/>
            <sz val="9"/>
            <color indexed="81"/>
            <rFont val="Segoe UI"/>
            <family val="2"/>
          </rPr>
          <t>020203_AT_Details_Dach Dachplatte_PREFA_2021-Q1|#0001041D|Text</t>
        </r>
      </text>
    </comment>
    <comment ref="B1130" authorId="0" shapeId="0" xr:uid="{262CF1E2-3084-4478-B83D-192101EB241F}">
      <text>
        <r>
          <rPr>
            <b/>
            <sz val="9"/>
            <color indexed="81"/>
            <rFont val="Segoe UI"/>
            <family val="2"/>
          </rPr>
          <t>020203_AT_Details_Dach Dachplatte_PREFA_2021-Q1|#0001041F|Text</t>
        </r>
      </text>
    </comment>
    <comment ref="P1130" authorId="0" shapeId="0" xr:uid="{E18A5BB8-E6CA-4EA5-ACEB-10EF25DCBACE}">
      <text>
        <r>
          <rPr>
            <b/>
            <sz val="9"/>
            <color indexed="81"/>
            <rFont val="Segoe UI"/>
            <family val="2"/>
          </rPr>
          <t>020203_AT_Details_Dach Dachplatte_PREFA_2021-Q1|#0001041F|Text</t>
        </r>
      </text>
    </comment>
    <comment ref="B1131" authorId="0" shapeId="0" xr:uid="{E5FB983B-14CB-4E8D-BDC0-9480D457B11F}">
      <text>
        <r>
          <rPr>
            <b/>
            <sz val="9"/>
            <color indexed="81"/>
            <rFont val="Segoe UI"/>
            <family val="2"/>
          </rPr>
          <t>020203_AT_Details_Dach Dachplatte_PREFA_2021-Q1|#00010421|Text</t>
        </r>
      </text>
    </comment>
    <comment ref="P1131" authorId="0" shapeId="0" xr:uid="{9E4A2124-B916-4B01-B5A0-CE312BD5C143}">
      <text>
        <r>
          <rPr>
            <b/>
            <sz val="9"/>
            <color indexed="81"/>
            <rFont val="Segoe UI"/>
            <family val="2"/>
          </rPr>
          <t>020203_AT_Details_Dach Dachplatte_PREFA_2021-Q1|#00010421|Text</t>
        </r>
      </text>
    </comment>
    <comment ref="B1132" authorId="0" shapeId="0" xr:uid="{B577A9C7-5E8B-45E7-9013-30177D1B1FDB}">
      <text>
        <r>
          <rPr>
            <b/>
            <sz val="9"/>
            <color indexed="81"/>
            <rFont val="Segoe UI"/>
            <family val="2"/>
          </rPr>
          <t>020203_AT_Details_Dach Dachplatte_PREFA_2021-Q1|#00010423|Text</t>
        </r>
      </text>
    </comment>
    <comment ref="P1132" authorId="0" shapeId="0" xr:uid="{458953FD-8AF4-4534-A8FF-C62DF1809877}">
      <text>
        <r>
          <rPr>
            <b/>
            <sz val="9"/>
            <color indexed="81"/>
            <rFont val="Segoe UI"/>
            <family val="2"/>
          </rPr>
          <t>020203_AT_Details_Dach Dachplatte_PREFA_2021-Q1|#00010423|Text</t>
        </r>
      </text>
    </comment>
    <comment ref="B1133" authorId="0" shapeId="0" xr:uid="{8545C683-230B-4F37-8AE5-7B6229898FEE}">
      <text>
        <r>
          <rPr>
            <b/>
            <sz val="9"/>
            <color indexed="81"/>
            <rFont val="Segoe UI"/>
            <family val="2"/>
          </rPr>
          <t>020203_AT_Details_Dach Dachplatte_PREFA_2021-Q1|#00010425|Text</t>
        </r>
      </text>
    </comment>
    <comment ref="P1133" authorId="0" shapeId="0" xr:uid="{06B79EF6-FF8E-455B-8FA0-4897E45EE6D7}">
      <text>
        <r>
          <rPr>
            <b/>
            <sz val="9"/>
            <color indexed="81"/>
            <rFont val="Segoe UI"/>
            <family val="2"/>
          </rPr>
          <t>020203_AT_Details_Dach Dachplatte_PREFA_2021-Q1|#00010425|Text</t>
        </r>
      </text>
    </comment>
    <comment ref="B1134" authorId="0" shapeId="0" xr:uid="{A689895D-BE60-4BFB-A341-9ECFA8F57878}">
      <text>
        <r>
          <rPr>
            <b/>
            <sz val="9"/>
            <color indexed="81"/>
            <rFont val="Segoe UI"/>
            <family val="2"/>
          </rPr>
          <t>020203_AT_Details_Dach Dachplatte_PREFA_2021-Q1|#00010427|Text</t>
        </r>
      </text>
    </comment>
    <comment ref="P1134" authorId="0" shapeId="0" xr:uid="{C183139E-C513-4A9A-9C56-B3207DC10D48}">
      <text>
        <r>
          <rPr>
            <b/>
            <sz val="9"/>
            <color indexed="81"/>
            <rFont val="Segoe UI"/>
            <family val="2"/>
          </rPr>
          <t>020203_AT_Details_Dach Dachplatte_PREFA_2021-Q1|#00010427|Text</t>
        </r>
      </text>
    </comment>
    <comment ref="B1193" authorId="0" shapeId="0" xr:uid="{AD43AAB4-09F9-498B-924E-7AA27F17F02C}">
      <text>
        <r>
          <rPr>
            <b/>
            <sz val="9"/>
            <color indexed="81"/>
            <rFont val="Segoe UI"/>
            <family val="2"/>
          </rPr>
          <t>020203_AT_Details_Dach Dachplatte_PREFA_2021-Q1|#00010429|Text</t>
        </r>
      </text>
    </comment>
    <comment ref="P1193" authorId="0" shapeId="0" xr:uid="{B7CE265F-3D6B-437D-8DBB-2D96CFC07A47}">
      <text>
        <r>
          <rPr>
            <b/>
            <sz val="9"/>
            <color indexed="81"/>
            <rFont val="Segoe UI"/>
            <family val="2"/>
          </rPr>
          <t>020203_AT_Details_Dach Dachplatte_PREFA_2021-Q1|#00010429|Text</t>
        </r>
      </text>
    </comment>
    <comment ref="B1194" authorId="0" shapeId="0" xr:uid="{F7C42D0F-E0EE-43C8-98CF-241918D0897D}">
      <text>
        <r>
          <rPr>
            <b/>
            <sz val="9"/>
            <color indexed="81"/>
            <rFont val="Segoe UI"/>
            <family val="2"/>
          </rPr>
          <t>020203_AT_Details_Dach Dachplatte_PREFA_2021-Q1|#0000900F|Text</t>
        </r>
      </text>
    </comment>
    <comment ref="P1194" authorId="0" shapeId="0" xr:uid="{E35C7074-3090-4058-91BE-9316507DEDF0}">
      <text>
        <r>
          <rPr>
            <b/>
            <sz val="9"/>
            <color indexed="81"/>
            <rFont val="Segoe UI"/>
            <family val="2"/>
          </rPr>
          <t>020203_AT_Details_Dach Dachplatte_PREFA_2021-Q1|#0000900F|Text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<sst xmlns="http://schemas.openxmlformats.org/spreadsheetml/2006/main" count="44672" uniqueCount="26449">
  <si>
    <t>_INDEX</t>
  </si>
  <si>
    <t>_DEUTSCH (DE)</t>
  </si>
  <si>
    <t>_ENGLISCH</t>
  </si>
  <si>
    <t>_FRANZÖSISCH</t>
  </si>
  <si>
    <t>_ITALIENISCH</t>
  </si>
  <si>
    <t>_Tschechisch</t>
  </si>
  <si>
    <t>_Polnisch</t>
  </si>
  <si>
    <t>_Ungarisch</t>
  </si>
  <si>
    <t>_Slowakisch</t>
  </si>
  <si>
    <t>_Niederländisch</t>
  </si>
  <si>
    <t>_Slovenisch</t>
  </si>
  <si>
    <t>_Schwedisch</t>
  </si>
  <si>
    <t>_Dänisch</t>
  </si>
  <si>
    <t>_Norwegisch</t>
  </si>
  <si>
    <t>_Kroatisch</t>
  </si>
  <si>
    <t>_DEUTSCH (AT)</t>
  </si>
  <si>
    <t>250</t>
  </si>
  <si>
    <t>280</t>
  </si>
  <si>
    <t>333</t>
  </si>
  <si>
    <t>400</t>
  </si>
  <si>
    <t>500</t>
  </si>
  <si>
    <t>(4,5 × 45 mm; 250 Stk./Pkt)</t>
  </si>
  <si>
    <t>(4.5 × 45 mm, 250 pc./package)</t>
  </si>
  <si>
    <t>(4,5 × 45 mm ; 250 par paquet)</t>
  </si>
  <si>
    <t>(4,5 x 45 mm, 250 Pz/CF)</t>
  </si>
  <si>
    <t>(4,5 x 45 mm, 250 ks/balení)</t>
  </si>
  <si>
    <t>(4.5 × 45 mm, 250 szt./opak.)</t>
  </si>
  <si>
    <t>(4,5 x 45 mm, 250 db/dob)</t>
  </si>
  <si>
    <t>(4,5 x 45 mm, 250 ks/balenie)</t>
  </si>
  <si>
    <t>(4,5 x 45 mm, 250 stks./pkt)</t>
  </si>
  <si>
    <t>(4,5 x 45 mm, 250 kos/pakiranje)</t>
  </si>
  <si>
    <t>(4,5 x 45 mm, 250 st./paket)</t>
  </si>
  <si>
    <t>(4,5 x 45 mm, 250 stk./pakke)</t>
  </si>
  <si>
    <t>(4,5 × 45 mm; 250 kom./pt)</t>
  </si>
  <si>
    <t>(4,5 × 45 mm; 250 Stk./Pkt; blank)</t>
  </si>
  <si>
    <t>(4.5 × 45 mm, 250 pc./package, uncoated)</t>
  </si>
  <si>
    <t>(4,5 × 45 mm ; 250 par paquet ; aluminium naturel)</t>
  </si>
  <si>
    <t>(4,5 x 45 mm, 250 Pz/CF, naturale)</t>
  </si>
  <si>
    <t>(4,5 x 45 mm, 250 ks/balení, přírodní)</t>
  </si>
  <si>
    <t>(4.5 × 45 mm, 250 szt./opak., kol. naturalny)</t>
  </si>
  <si>
    <t>(4,5 x 45 mm, 250 db/dob, natúr)</t>
  </si>
  <si>
    <t>(4,5 x 45 mm, 250 ks/balenie, prírodný hliník</t>
  </si>
  <si>
    <t>(4,5 x 45 mm, 250 stks./pkt, blank)</t>
  </si>
  <si>
    <t>(4,5 x 45 mm, 250 kos/pakiranje, natur)</t>
  </si>
  <si>
    <t>(4,5 x 45 mm, 250 st./paket, blank)</t>
  </si>
  <si>
    <t>(4,5 x 45 mm, 250 stk./pakke, blank)</t>
  </si>
  <si>
    <t>(4,5 × 45 mm; 250 kom./pt; bez premaza)</t>
  </si>
  <si>
    <t>(4,5 × 60 mm; 100 Stk./Pkt)</t>
  </si>
  <si>
    <t>(4.5 × 60 mm, 100 pc./package)</t>
  </si>
  <si>
    <t>(4,5 × 60 mm ; 100 par paquet)</t>
  </si>
  <si>
    <t>(4,5 x 60 mm, 100 Pz/CF)</t>
  </si>
  <si>
    <t>(4,5 x 60 mm, 100 ks/balení)</t>
  </si>
  <si>
    <t>(4.5 × 60 mm, 100 szt./opak.)</t>
  </si>
  <si>
    <t>(4,5 x 60 mm, 100 db/dob)</t>
  </si>
  <si>
    <t>(4,5 x 60 mm, 100 ks/balenie)</t>
  </si>
  <si>
    <t>(4,5 x 60 mm, 100 stks./pkt)</t>
  </si>
  <si>
    <t>(4,5 x 60 mm, 100 kos/pakiranje)</t>
  </si>
  <si>
    <t>(4,5 x 60 mm, 100 st./paket)</t>
  </si>
  <si>
    <t>(4,5 x 60 mm, 100 stk./pakke)</t>
  </si>
  <si>
    <t>(4,5 × 60 mm; 100 kom./pt)</t>
  </si>
  <si>
    <t>(4,5 × 60 mm; 100 Stk./Pkt; blank)</t>
  </si>
  <si>
    <t>(4.5 × 60 mm, 100 pc./package, uncoated)</t>
  </si>
  <si>
    <t>(4,5 × 60 mm ; 100 par paquet ; aluminium naturel)</t>
  </si>
  <si>
    <t>(4,5 x 60 mm, 100 Pz/CF, naturale)</t>
  </si>
  <si>
    <t>(4,5 x 60 mm, 100 ks/balení, přírodní)</t>
  </si>
  <si>
    <t>(4.5 × 60 mm, 100 szt./opak., kol. naturalny)</t>
  </si>
  <si>
    <t>(4,5 x 60 mm, 100 db/dob, natúr)</t>
  </si>
  <si>
    <t>(4,5 x 60 mm, 100 ks/balenie, prírodný hliník)</t>
  </si>
  <si>
    <t>(4,5 x 60 mm, 100 stks./pkt, blank)</t>
  </si>
  <si>
    <t>(4,5 x 60 mm, 100 kos/Pakiranje, natur)</t>
  </si>
  <si>
    <t>(4,5 x 60 mm, 100 st./paket, blank)</t>
  </si>
  <si>
    <t>(4,5 x 60 mm, 100 stk./pakke, blank)</t>
  </si>
  <si>
    <t>(4,5 × 60 mm; 100 kom./pt; bez premaza)</t>
  </si>
  <si>
    <t>(mind. 80 mm bei Ausführung mit Stiefelfalz [Bündnerfalz])</t>
  </si>
  <si>
    <t>(min. 80 mm on structures with specialised folded workmanship [Swiss seam])</t>
  </si>
  <si>
    <t>(au moins 80 mm pour une mise en œuvre utilisant l’agrafe grisonne)</t>
  </si>
  <si>
    <t>(min. 80 mm při použití vmáčknuté drážky/kapsy</t>
  </si>
  <si>
    <t>(min. 80 mm a csizmakorccal ellátott változatnál [Bündnerfalz])</t>
  </si>
  <si>
    <t>(min. 80 mm pri vyhotovení so stlačenou drážkou [kapsou])</t>
  </si>
  <si>
    <t>(min. 80 mm voor uitvoering met felsnaad [Bündner-vouw])</t>
  </si>
  <si>
    <t>(najm. 80 mm pri izvedbi s spojnim zgibom [povezovalni zgib])</t>
  </si>
  <si>
    <t>(min. 80 mm för versioner med stövelvik [Bündner-vik])</t>
  </si>
  <si>
    <t>(mind. 80 mm ved konstruktion med Stiefel-fals [Bündner-fals])</t>
  </si>
  <si>
    <t>(min. 80 mm ved utførelse med stående vinkelfals</t>
  </si>
  <si>
    <t>(min. 80 mm u verziji s falcom [Bündner falc])</t>
  </si>
  <si>
    <t>* Abstand beim Quadratrohr beträgt 40 mm.</t>
  </si>
  <si>
    <t>* With a square downpipe, the distance is 40 mm</t>
  </si>
  <si>
    <t>* Dans le cas du tuyau de descente carré, l’espacement est de 40 mm.</t>
  </si>
  <si>
    <t>*La distanza per il pluviale quadro è di 40 mm.</t>
  </si>
  <si>
    <t>* u hranatého svodu je odstup 40 mm</t>
  </si>
  <si>
    <t>* Występ dla rury kwadratowej wynosi 40 mm.</t>
  </si>
  <si>
    <t>* A szögletes lefolyócsőnél a távolság 40 mm.</t>
  </si>
  <si>
    <t>* Vzdialenosť pri štvorcovom zvode je 40 mm.</t>
  </si>
  <si>
    <t>* De afstand voor de vierkante buis is 40 mm.</t>
  </si>
  <si>
    <t>* Razmak pri kvadratni cevi je 40 mm.</t>
  </si>
  <si>
    <t>* Avståndet för fyrkantsröret är 40 mm.</t>
  </si>
  <si>
    <t>* Afstand ved kvadratrør er 40 mm.</t>
  </si>
  <si>
    <t>*Avstand med firkantrør utgjør 40 mm.</t>
  </si>
  <si>
    <t>* Razmak kod kvadratne cijevi iznosi 40 mm.</t>
  </si>
  <si>
    <t>* Der Traufenvorsprung darf 80 mm nicht überschreiten!</t>
  </si>
  <si>
    <t>* The eaves projection must not exceed 80 mm.</t>
  </si>
  <si>
    <t>* Le débord à l’égout ne doit pas excéder 80 mm !</t>
  </si>
  <si>
    <t>*La sporgenza della gronda non deve superare gli 80 mm!</t>
  </si>
  <si>
    <t>* vysunutí podkladního pásu nesmí překročit 80 mm!</t>
  </si>
  <si>
    <t>* Występ okapu nie może przekraczać 80 mm!</t>
  </si>
  <si>
    <t>* Az eresztúlnyúlás nem haladhatja meg a 80 mm-t!</t>
  </si>
  <si>
    <t>* Presah cez odkvapovú hranu nesmie prekročiť 80 mm!</t>
  </si>
  <si>
    <t>* De dakrand mag niet meer dan 80 mm uitsteken!</t>
  </si>
  <si>
    <t>* Napušč v kapu ne sme presegati 80 mm!</t>
  </si>
  <si>
    <t>* Takfotens utsprång får inte överstiga 80 mm!</t>
  </si>
  <si>
    <t>* Tagudhængets fremspring må ikke overskride 80 mm!</t>
  </si>
  <si>
    <t>*Takskjeggets utstikk skal ikke overskride 80 mm!</t>
  </si>
  <si>
    <t>* Izbočenost strehe ne smije biti veća od 80 mm!</t>
  </si>
  <si>
    <t>* Der Traufenvorsprung darf 80 mm nicht überschreiten! Bei einem kleineren Maß (mind. 30 mm) muss die Summe von 470 mm (80 mm + 390 mm) erhalten bleiben.</t>
  </si>
  <si>
    <t>* The eaves projection must not exceed 80 mm. For smaller dimensions (min. 30 mm), the total of 470 mm (80 mm + 390 mm) must remain unchanged.</t>
  </si>
  <si>
    <t>* Le débord à l’égout ne doit pas excéder 80 mm ! Si le débord est inférieur à 80 mm (nota : il doit cependant être d’au moins 30 mm), veiller néanmoins à conserver une longueur identique de 470 mm — longueur correspondant à la somme suivante : 80 mm + 390 mm.</t>
  </si>
  <si>
    <t>*La sporgenza della gronda non deve superare gli 80 mm! Se la misura è più piccola (almeno 30 mm) è necessario mantenere la somma di 470 mm (80 mm + 390 mm).</t>
  </si>
  <si>
    <t>* vysunutí podkladního pásu nesmí překročit 80 mm! U menšího vysunutí (min. 30 mm) musí být dodržen součet 470 mm (80 mm + 390 mm).</t>
  </si>
  <si>
    <t>* Występ okapu nie może przekraczać 80 mm! W przypadku mniejszych wartości wymiarów (min. 30 mm) suma wymiarów nie może przekraczać 470 mm (80 mm + 390 mm).</t>
  </si>
  <si>
    <t>* Az eresztúlnyúlás nem haladhatja meg a 80 mm-t! Kisebb méret esetén (min. 30 mm), a 470 mm-es (80 mm + 390 mm) összméretet kell betartani.</t>
  </si>
  <si>
    <t>* Presah cez odkvapovú hranu nesmie prekročiť 80 mm! Pri menšom rozmere (min. 30 mm) musí zostať zachovaný súčet 470 mm (80 mm + 390 mm).</t>
  </si>
  <si>
    <t>* De dakrand mag niet meer dan 80 mm uitsteken! Bij een kleinere afmeting (min. 30 mm) moet de som van 470 mm (80 mm + 390 mm) worden aangehouden.</t>
  </si>
  <si>
    <t>* Napušč v kapu ne sme presegati 80 mm! Pri manjši meri (najm. 30 mm) je treba ohraniti vsoto 470 mm (80 mm + 390 mm).</t>
  </si>
  <si>
    <t>* Takfotens utsprång får inte överstiga 80 mm! Vid mindre storlek (min. 30 mm) måste summan av 470 mm (80 mm + 390 mm) kvarstå.</t>
  </si>
  <si>
    <t>* Tagudhængets fremspring må ikke overskride 80 mm! Ved et mindre mål (mind. 30 mm) skal målet på 470 mm (80 mm + 390 mm) overholdes.</t>
  </si>
  <si>
    <t>*Takskjeggets utstikk skal ikke overskride 80 mm! Ved mindre mål (min. 30 mm) må summen på 470 mm (80 mm + 390 mm) opprettholdes.</t>
  </si>
  <si>
    <t>* Izbočenost strehe ne smije biti veća od 80 mm! Kod manjih dimenzija (min. 30 mm) mora se zadržati zbroj od 470 mm (80 mm + 390 mm).</t>
  </si>
  <si>
    <t>Ab einer Schneeregellast von 3,25 kN/m² oder in den Geländekategorien 0, I oder II ist eine Verlegung auf Vollschalung mit Bitumentrennlage erforderlich.</t>
  </si>
  <si>
    <t>In the case of snow loads greater than 3.25 kN/m² or in terrain categories 0, I or II, installation on fully boarded substrate with a separation layer is required.</t>
  </si>
  <si>
    <t>À partir d’une charge de neige normale de 3,25 kN/m² ou pour les catégories d’exposition 0, I et II, l’utilisation d’un voligeage jointif avec couche de séparation bitumineuse est obligatoire.</t>
  </si>
  <si>
    <t>A partire da un carico di neve di 3,25 kN/m² o nelle categorie di terreno 0, I o II, è necessaria la posa su tavolato con strato di separazione in bitume.</t>
  </si>
  <si>
    <t>Od zatížení sněhem 3,25 kN/m² nebo při umístění na území 0, I nebo II je nutná pokládka na plné bednění s bitumenovou separační vrstvou.</t>
  </si>
  <si>
    <t>Od wartości obciążenia śniegiem 3,25 kN/m² lub dla kategorii terenu 0, I lub II wymagane jest ułożenie na pełnym deskowaniu z bitumiczną warstwą rozdzielającą.</t>
  </si>
  <si>
    <t>3,25 kN/m²-es mértékadó hóteher fölött vagy 0-ás, I-es vagy II-es területi kategória esetén bitumenes elválasztóréteggel szerelt teljes deszkázatra fektethető.</t>
  </si>
  <si>
    <t>Od zaťaženia strechy snehom 3,25 kN/m² alebo pri stavbe na území kategórie 0, I alebo II je potrebná montáž na celoplošné debnenia s bitúmenovou separačnou vrstvou.</t>
  </si>
  <si>
    <t>Vanaf een sneeuwbelasting van 3,25 kN/m² of in de terreincategorieën 0, I of II is het aanleggen van een volledige bekisting met bitumen scheidingslaag vereist.</t>
  </si>
  <si>
    <t>Od standardne snežne obremenitve 3,25 kN/m² ali pri terenskih kategorijah 0, I ali II je potrebno polaganje na polni opaž z bitumensko ločilno plastjo.</t>
  </si>
  <si>
    <t>För snölast från 3,25 kN/m² eller i terrängkategorierna 0, I eller II krävs läggning på helform med bitumenseparationsskikt.</t>
  </si>
  <si>
    <t>Fra en standard snebelastning på 3,25 kN/m² eller i terrænkategori 0, I eller II kræves installation på helforskalling med et bitumenskillelag.</t>
  </si>
  <si>
    <t>Fra en beregnet snølast på 3,25 kN/m² eller i terrengkategori 0, I eller II kreves installasjon på full forskaling med skillelag i bitumen.</t>
  </si>
  <si>
    <t>Od standardnog opterećenja snijegom od 3,25 kN/m² ili u kategoriji terena 0, I ili II, potrebno je postavljanje na punu oplatu s bitumenskim razdjelnim slojem.</t>
  </si>
  <si>
    <t>Der fachgerechte Einbau sowie die Notwendigkeit des Aufkeilrahmens der Dachflächenfenster erfolgt gemäß den Herstellerrichtlinien des Dachflächenfensters.</t>
  </si>
  <si>
    <t>Professional installation should be carried out, and the need for the roof window flashing wedge frame assessed, according to the manufacturer’s guidelines for the roof window.</t>
  </si>
  <si>
    <t>On veillera à ce que la pose soit effectuée par un professionnel et conformément aux instructions fournies par le fabricant de la fenêtre de toit. C’est également sur la base de ces instructions que l’on décidera de la nécessité ou non d’utiliser une sous-costière.</t>
  </si>
  <si>
    <t>L'installazione professionale così come la necessità del telaio a cunei delle finestre per tetto viene effettuata secondo le linee guida del produttore delle finestre.</t>
  </si>
  <si>
    <t>Odborná montáž a případná nutnost použití zvedacího rámu dle technologického návodu výrobce střešních oken.</t>
  </si>
  <si>
    <t>Konieczne jest przeprowadzenie fachowego montażu zgodnie z wytycznymi producenta okna dachowego oraz zastosowanie ościeżnicy klinowej.</t>
  </si>
  <si>
    <t>A szakszerű beépítést, valamint a tetőablakok ékelt keretének kialakítását a tetőablak gyártójának útmutatója szerint kell elvégezni.</t>
  </si>
  <si>
    <t>Pri odbornej montáži, ako aj pri posudzovaní potreby zabudovania klinového rámu strešných okien sa musí postupovať podľa smerníc výrobcu strešného okna.</t>
  </si>
  <si>
    <t>Zowel de professionele montage als de noodzaak van het spieframe van het dakraam vindt plaats volgens de fabrikantrichtlijnen van het dakraam.</t>
  </si>
  <si>
    <t>Profesionalna montaža, kot tudi potreba po klinastem okvirju strešnega okna, poteka po navodilih proizvajalca strešnega okna.</t>
  </si>
  <si>
    <t>Professionell installation samt krav på takfönstrets kilram sker enligt tillverkarens riktlinjer för takfönstret.</t>
  </si>
  <si>
    <t>Professionel montering samt nødvendig kileramme på til​tagvinduet sker efter tagvinduets producentvejledning.</t>
  </si>
  <si>
    <t>Den profesjonelle monteringen samt behovet for takvinduets kileramme skjer i henhold til produsentens retningslinjer for takvinduet.</t>
  </si>
  <si>
    <t>Profesionalna montaža kao i potreba klinastog opšava ležećeg krovnog prozora odvija se prema uputama proizvođača ležećeg krovnog prozora.</t>
  </si>
  <si>
    <t>[in mm]</t>
  </si>
  <si>
    <t>[in mm]</t>
  </si>
  <si>
    <t>[en mm]</t>
  </si>
  <si>
    <t>(v mm)</t>
  </si>
  <si>
    <t>[w mm]</t>
  </si>
  <si>
    <t>(mm-ben)</t>
  </si>
  <si>
    <t>[v mm]</t>
  </si>
  <si>
    <t>[i mm]</t>
  </si>
  <si>
    <t>[u mm]</t>
  </si>
  <si>
    <t>Sparrenlänge: &lt; 7 m</t>
  </si>
  <si>
    <t>rafter length: up to 7 m</t>
  </si>
  <si>
    <t>longueur des chevrons &lt; 7 m</t>
  </si>
  <si>
    <t>Lunghezza della trave: &lt; 7 m</t>
  </si>
  <si>
    <t>délka krokve &lt; 7 m</t>
  </si>
  <si>
    <t>Długość krokwi: &lt; 7 m</t>
  </si>
  <si>
    <t>Szarufahosszúság: &lt; 7 m</t>
  </si>
  <si>
    <t>Spantlengte: &lt; 7 m</t>
  </si>
  <si>
    <t>Dolžina špirovca: &lt; 7 m</t>
  </si>
  <si>
    <t>Längd på sparre: &lt; 7 m</t>
  </si>
  <si>
    <t>Spærlængde: &lt; 7 m</t>
  </si>
  <si>
    <t>Sperrelengde: &lt;7 m</t>
  </si>
  <si>
    <t>Duljina roženica: &lt; 7 m</t>
  </si>
  <si>
    <t>⌀ 100 mm; passend für HT/KG (NW 110 mm)</t>
  </si>
  <si>
    <t>⌀ 100 mm suitable for high-temperature and foul drainage pipe (nominal size 110 mm)</t>
  </si>
  <si>
    <t>⌀ 100 mm ; compatible tuyaux HT et canalisations souterraines (DN 110 mm)</t>
  </si>
  <si>
    <t>Ø100 mm adatto a tubo HT/KG NW 110 mm</t>
  </si>
  <si>
    <t>Ø100 mm vhodné pro napojení do HT/KG DN 110 mm</t>
  </si>
  <si>
    <t>⌀ 100 mm do rury wywiewnej kanalizacji  (średnica nominalna  110 mm)</t>
  </si>
  <si>
    <t>Ø100 mm, mely 110 mm PVC csőbe köthető be</t>
  </si>
  <si>
    <t>Ø100 mm sedí pre PVC rúru DN 110 mm</t>
  </si>
  <si>
    <t>⌀ 100 mm geschikt voor HT/KG (NW 110 mm)</t>
  </si>
  <si>
    <t>Ø100 mm za cev HT/KG NW 110 mm</t>
  </si>
  <si>
    <t>⌀ 100 mm lämplig för HT/KG (NV 110 mm)</t>
  </si>
  <si>
    <t>⌀ 100 mm passer til HT/KG (NW 110 mm)</t>
  </si>
  <si>
    <t>ø 100 mm passer til HT/KG (NW 110 mm)</t>
  </si>
  <si>
    <t>⌀ 100 mm; prikladno za HT/KG (NW 110 mm)</t>
  </si>
  <si>
    <t>⌀ 115 mm; passend für HT/KG (NW 125 mm)</t>
  </si>
  <si>
    <t>⌀ 115 mm suitable for high-temperature and foul drainage pipe (nominal size 125 mm)</t>
  </si>
  <si>
    <t>⌀ 115 mm ; compatible tuyaux HT et canalisations souterraines (DN 125 mm)</t>
  </si>
  <si>
    <t>Ø115 mm adatto a tubo HT/KG NW 125 mm</t>
  </si>
  <si>
    <t>Ø115 mm vhodné pro napojení do HT/KG DN 125 mm</t>
  </si>
  <si>
    <t>⌀ 115 mm do rury wywiewnej kanalizacji  (średnica nominalna  125 mm)</t>
  </si>
  <si>
    <t>Ø115 mm, mely 125 mm PVC csőbe köthető be</t>
  </si>
  <si>
    <t>Ø115 mm sedí pre PVC rúru DN 125 mm</t>
  </si>
  <si>
    <t>⌀ 115 mm geschikt voor HT/KG (NW 125 mm)</t>
  </si>
  <si>
    <t>Ø115 mm za cev HT/KG NW 125 mm</t>
  </si>
  <si>
    <t>⌀ 115 mm lämplig för HT/KG (NV 125 mm)</t>
  </si>
  <si>
    <t>⌀ 115 mm passer til HT/KG (NW 125 mm)</t>
  </si>
  <si>
    <t>ø 115 mm passer til HT/KG (NW 125 mm)</t>
  </si>
  <si>
    <t>⌀ 115 mm; prikladno za HT/KG (NW 125 mm)</t>
  </si>
  <si>
    <t>0,7 × 1.000 mm</t>
  </si>
  <si>
    <t>0.7 × 1,000 mm</t>
  </si>
  <si>
    <t>0,7 × 1 000 mm</t>
  </si>
  <si>
    <t>0,7 x 1.000 mm</t>
  </si>
  <si>
    <t>0,7 x 1000 mm</t>
  </si>
  <si>
    <t>0,7 x 1000 mm</t>
  </si>
  <si>
    <t>0,7 × 500 mm</t>
  </si>
  <si>
    <t>0,7 × 650 mm</t>
  </si>
  <si>
    <t>0.7 × 650 mm</t>
  </si>
  <si>
    <t>0,7 x 650 mm</t>
  </si>
  <si>
    <t>0,7 x 650 mm</t>
  </si>
  <si>
    <t>0,75 l Dose</t>
  </si>
  <si>
    <t>0,75 l can</t>
  </si>
  <si>
    <t>pot de 0,75 l</t>
  </si>
  <si>
    <t>Lattina 0,75l</t>
  </si>
  <si>
    <t>0,75 l plechovka</t>
  </si>
  <si>
    <t>Puszka 0,75 l</t>
  </si>
  <si>
    <t>0,75 l doboz</t>
  </si>
  <si>
    <t>0,75 l dóza</t>
  </si>
  <si>
    <t>0,75 l pot</t>
  </si>
  <si>
    <t>0,75 pločevinka</t>
  </si>
  <si>
    <t>0,75 l-burk</t>
  </si>
  <si>
    <t>0,75 l dåse</t>
  </si>
  <si>
    <t>0,75 l boks</t>
  </si>
  <si>
    <t>0,75 l limenka</t>
  </si>
  <si>
    <t>01 Braun</t>
  </si>
  <si>
    <t>01 brown</t>
  </si>
  <si>
    <t>01 brun</t>
  </si>
  <si>
    <t>01 marrone</t>
  </si>
  <si>
    <t>01 Tmavě hnědá</t>
  </si>
  <si>
    <t>01 brązowy</t>
  </si>
  <si>
    <t>01 barna/antracit</t>
  </si>
  <si>
    <t>01 hnedá</t>
  </si>
  <si>
    <t>01 bruin</t>
  </si>
  <si>
    <t>01 anodik rjava</t>
  </si>
  <si>
    <t>01 smeđa</t>
  </si>
  <si>
    <t>01 P.10 Braun</t>
  </si>
  <si>
    <t>01 P.10 brown</t>
  </si>
  <si>
    <t>01 P.10 brun</t>
  </si>
  <si>
    <t>01 P.10 Marrone</t>
  </si>
  <si>
    <t>01 P.10 tmavě hnědá</t>
  </si>
  <si>
    <t>01 P.10 brązowy</t>
  </si>
  <si>
    <t>01 P.10 barna</t>
  </si>
  <si>
    <t>01 P.10 hnedá</t>
  </si>
  <si>
    <t>01 P.10 bruin</t>
  </si>
  <si>
    <t>01 P.10 anodik rjava</t>
  </si>
  <si>
    <t>01 P.10 brun</t>
  </si>
  <si>
    <t>01 P.10 smeđa</t>
  </si>
  <si>
    <t>02 Anthrazit</t>
  </si>
  <si>
    <t>02 anthracite</t>
  </si>
  <si>
    <t>02 antracite</t>
  </si>
  <si>
    <t>02 anthracit</t>
  </si>
  <si>
    <t>02 antracyt</t>
  </si>
  <si>
    <t xml:space="preserve">02 antracit </t>
  </si>
  <si>
    <t>02 antracitová</t>
  </si>
  <si>
    <t>02 antraciet</t>
  </si>
  <si>
    <t>02 antracitna</t>
  </si>
  <si>
    <t>02 antracit</t>
  </si>
  <si>
    <t>02 antrasitt</t>
  </si>
  <si>
    <t>02 P.10 Anthrazit</t>
  </si>
  <si>
    <t>02 P.10 anthracite</t>
  </si>
  <si>
    <t>02 P.10 anthracite</t>
  </si>
  <si>
    <t>02 P.10 Antracite</t>
  </si>
  <si>
    <t>02 P.10 antracit</t>
  </si>
  <si>
    <t>02 P.10 antracytowy</t>
  </si>
  <si>
    <t>02 P.10 antracitová</t>
  </si>
  <si>
    <t>02 P.10 antraciet</t>
  </si>
  <si>
    <t>02 P.10 antracitna</t>
  </si>
  <si>
    <t>02 P.10 antrazit</t>
  </si>
  <si>
    <t>02 P.10 antrasitt</t>
  </si>
  <si>
    <t>03 P.10 Schwarz</t>
  </si>
  <si>
    <t>03 P.10 black</t>
  </si>
  <si>
    <t>03 P.10 noir</t>
  </si>
  <si>
    <t>03 P.10 Nero</t>
  </si>
  <si>
    <t>03 P.10 černá</t>
  </si>
  <si>
    <t>03 P.10 czarny</t>
  </si>
  <si>
    <t>03 P.10 fekete</t>
  </si>
  <si>
    <t>03 P.10 čierna</t>
  </si>
  <si>
    <t>03 P.10 zwart</t>
  </si>
  <si>
    <t>03 P.10 črna</t>
  </si>
  <si>
    <t>03 P.10 svart</t>
  </si>
  <si>
    <t>03 P.10 sort</t>
  </si>
  <si>
    <t>03 P.10 crna</t>
  </si>
  <si>
    <t>03 Schwarz</t>
  </si>
  <si>
    <t>03 black</t>
  </si>
  <si>
    <t>03 noir</t>
  </si>
  <si>
    <t>03 nero</t>
  </si>
  <si>
    <t>03 černá</t>
  </si>
  <si>
    <t>03 czarny</t>
  </si>
  <si>
    <t>03 fekete</t>
  </si>
  <si>
    <t>03 čierna</t>
  </si>
  <si>
    <t>03 zwart</t>
  </si>
  <si>
    <t>03 črna</t>
  </si>
  <si>
    <t>03 svart</t>
  </si>
  <si>
    <t>03 sort</t>
  </si>
  <si>
    <t>03 crna</t>
  </si>
  <si>
    <t>04 P.10 Ziegelrot</t>
  </si>
  <si>
    <t>04 P.10 brick red</t>
  </si>
  <si>
    <t>04 P.10 rouge tuile</t>
  </si>
  <si>
    <t>04 P.10 Rosso cotto</t>
  </si>
  <si>
    <t>04 P.10 cihlově červená</t>
  </si>
  <si>
    <t>04 P.10 ceglasty</t>
  </si>
  <si>
    <t>04 P.10 téglavörös</t>
  </si>
  <si>
    <t>04 P.10 tehlovočervená</t>
  </si>
  <si>
    <t>04 P.10 dakpannenrood</t>
  </si>
  <si>
    <t>04 P.10 bakreno rjava</t>
  </si>
  <si>
    <t>04 P.10 tegelröd</t>
  </si>
  <si>
    <t>04 P.10 teglrød</t>
  </si>
  <si>
    <t>04 P.10 teglsteinsrød</t>
  </si>
  <si>
    <t>04 P.10 ciglasto crvena</t>
  </si>
  <si>
    <t>04 Ziegelrot</t>
  </si>
  <si>
    <t>04 brick red</t>
  </si>
  <si>
    <t>04 rouge tuile</t>
  </si>
  <si>
    <t>04 rosso cotto</t>
  </si>
  <si>
    <t>04 cihlově červená</t>
  </si>
  <si>
    <t>04 ceglasty</t>
  </si>
  <si>
    <t>04 téglavörös</t>
  </si>
  <si>
    <t>04 tehlovočervená</t>
  </si>
  <si>
    <t>04 dakpannenrood</t>
  </si>
  <si>
    <t>04 bakreno rjava</t>
  </si>
  <si>
    <t>04 tegelröd</t>
  </si>
  <si>
    <t>04 teglrød</t>
  </si>
  <si>
    <t>04 teglsteinsrød</t>
  </si>
  <si>
    <t>04 ciglasto crvena</t>
  </si>
  <si>
    <t>05 Oxydrot</t>
  </si>
  <si>
    <t>05 oxide red</t>
  </si>
  <si>
    <t>05 rouge oxyde</t>
  </si>
  <si>
    <t>05 rosso ossido</t>
  </si>
  <si>
    <t>05 tmavě červená_CZ</t>
  </si>
  <si>
    <t>05 czerwony</t>
  </si>
  <si>
    <t xml:space="preserve">05 rozsdavörös   </t>
  </si>
  <si>
    <t>05 tmavočervená</t>
  </si>
  <si>
    <t>05 oxiderood</t>
  </si>
  <si>
    <t>05 oksidno rdeča</t>
  </si>
  <si>
    <t>05 oxidröd</t>
  </si>
  <si>
    <t>05 oxidrød</t>
  </si>
  <si>
    <t>05 oksidrød</t>
  </si>
  <si>
    <t>05 oksid crvena</t>
  </si>
  <si>
    <t>05 P.10 Oxydrot</t>
  </si>
  <si>
    <t>05 P.10 oxide red</t>
  </si>
  <si>
    <t>05 P.10 rouge oxyde</t>
  </si>
  <si>
    <t>05 P.10 Rosso ossido</t>
  </si>
  <si>
    <t>05 P.10 tmavě červená</t>
  </si>
  <si>
    <t>05 P.10 czerwony</t>
  </si>
  <si>
    <t>05 P.10 rozsdavörös</t>
  </si>
  <si>
    <t>05 P.10 tmavočervená</t>
  </si>
  <si>
    <t>05 P.10 oxiderood</t>
  </si>
  <si>
    <t>05 P.10 oksidno rdeča</t>
  </si>
  <si>
    <t>05 P.10 oxidröd</t>
  </si>
  <si>
    <t>05 P.10 oxidrød</t>
  </si>
  <si>
    <t>05 P.10 oksidrød</t>
  </si>
  <si>
    <t>05 P.10 oksidno crvena</t>
  </si>
  <si>
    <t>06 Moosgrün</t>
  </si>
  <si>
    <t>06 moss green</t>
  </si>
  <si>
    <t>06 vert mousse</t>
  </si>
  <si>
    <t>06 verde muschio</t>
  </si>
  <si>
    <t>06 mechově zelená</t>
  </si>
  <si>
    <t>06 zieleń mchu</t>
  </si>
  <si>
    <t>06 mohazöld</t>
  </si>
  <si>
    <t>06 machovozelená</t>
  </si>
  <si>
    <t>06 mosgroen</t>
  </si>
  <si>
    <t>06 mahovo zelena</t>
  </si>
  <si>
    <t>06 mossgrön</t>
  </si>
  <si>
    <t>06 mosgrøn</t>
  </si>
  <si>
    <t>06 mosegrønn</t>
  </si>
  <si>
    <t>06 zelena mahovina</t>
  </si>
  <si>
    <t>06 P.10 Moosgrün</t>
  </si>
  <si>
    <t>06 P.10 moss green</t>
  </si>
  <si>
    <t>06 P.10 vert mousse</t>
  </si>
  <si>
    <t>06 P.10 Verde muschio</t>
  </si>
  <si>
    <t>06 P.10 mechově zelená</t>
  </si>
  <si>
    <t>06 P.10 zieleń mchu</t>
  </si>
  <si>
    <t>06 P.10 mohazöld</t>
  </si>
  <si>
    <t>06 P.10 machovozelená</t>
  </si>
  <si>
    <t>06 P.10 mosgroen</t>
  </si>
  <si>
    <t>06 P.10 mahovo zelena</t>
  </si>
  <si>
    <t>06 P.10 mossgrön</t>
  </si>
  <si>
    <t>06 P.10 mosgrøn</t>
  </si>
  <si>
    <t>06 P.10 mosegrønn</t>
  </si>
  <si>
    <t>06 P.10 mahovinasto zelena</t>
  </si>
  <si>
    <t>07 Hellgrau</t>
  </si>
  <si>
    <t>07 light grey</t>
  </si>
  <si>
    <t>07 gris souris</t>
  </si>
  <si>
    <t>07 grigio chiaro</t>
  </si>
  <si>
    <t>07 světle šedá</t>
  </si>
  <si>
    <t>07 jasnoszary</t>
  </si>
  <si>
    <t>07 világosszürke</t>
  </si>
  <si>
    <t>07 svetlošedá</t>
  </si>
  <si>
    <t>07 lichtgrijs</t>
  </si>
  <si>
    <t>07 svetlo siva</t>
  </si>
  <si>
    <t>07 ljusgrå</t>
  </si>
  <si>
    <t>07 lys grå</t>
  </si>
  <si>
    <t>07 svijetlo siva</t>
  </si>
  <si>
    <t>07 P.10 Hellgrau</t>
  </si>
  <si>
    <t>07 P.10 light grey</t>
  </si>
  <si>
    <t>07 P.10 gris souris</t>
  </si>
  <si>
    <t>07 P.10 Grigio chiaro</t>
  </si>
  <si>
    <t>07 P.10 světle šedá</t>
  </si>
  <si>
    <t>07 P.10 jasnoszary</t>
  </si>
  <si>
    <t>07 P.10 világosszürke</t>
  </si>
  <si>
    <t>07 P.10 svetlošedá</t>
  </si>
  <si>
    <t xml:space="preserve">07 P.10 lichtgrijs </t>
  </si>
  <si>
    <t>07 P.10 svetlo siva</t>
  </si>
  <si>
    <t xml:space="preserve">07 P.10 ljusgrå </t>
  </si>
  <si>
    <t xml:space="preserve">07 P.10 lys grå </t>
  </si>
  <si>
    <t>07 P.10 svijetlo siva</t>
  </si>
  <si>
    <t>08 P.10 Zinkgrau</t>
  </si>
  <si>
    <t>08 P.10 zinc grey</t>
  </si>
  <si>
    <t>08 P.10 gris de zinc</t>
  </si>
  <si>
    <t>08 P.10 grigio zinco</t>
  </si>
  <si>
    <t>08 P.10 zinkově šedá</t>
  </si>
  <si>
    <t>08 P.10 szarocynkowy</t>
  </si>
  <si>
    <t>08 P.10 cinkszürke</t>
  </si>
  <si>
    <t>08 P.10 zinkovošedá</t>
  </si>
  <si>
    <t>08 P.10 loodgrijs</t>
  </si>
  <si>
    <t>08 P.10 cinkovo siva</t>
  </si>
  <si>
    <t>08 P.10 zinkgrå</t>
  </si>
  <si>
    <t>08 P.10 sinkgrå</t>
  </si>
  <si>
    <t>08 P.10 cink siva</t>
  </si>
  <si>
    <t>08 Zinkgrau</t>
  </si>
  <si>
    <t>08 zinc grey</t>
  </si>
  <si>
    <t>08 gris de zinc</t>
  </si>
  <si>
    <t>08 grigio zinco</t>
  </si>
  <si>
    <t>08 zinkově šedá</t>
  </si>
  <si>
    <t>08 szarocynkowy</t>
  </si>
  <si>
    <t>08 cinkszürke</t>
  </si>
  <si>
    <t>08 zinkovošedá</t>
  </si>
  <si>
    <t>08 loodgrijs</t>
  </si>
  <si>
    <t>08 cinkovo siva</t>
  </si>
  <si>
    <t>08 zinkgrå</t>
  </si>
  <si>
    <t>08 sinkgrå</t>
  </si>
  <si>
    <t>08 cink siva</t>
  </si>
  <si>
    <t>1 500 mm</t>
  </si>
  <si>
    <t>1: Das gewünschte Produkt durch Anklicken des Reiters auswählen.</t>
  </si>
  <si>
    <t>1: Select the required product by clicking on the tab.</t>
  </si>
  <si>
    <t>1 : Sélectionnez le produit en cliquant sur l’onglet correspondant.</t>
  </si>
  <si>
    <t>1: Selezionare il prodotto desiderato facendo clic sulla scheda</t>
  </si>
  <si>
    <t xml:space="preserve">1: zakliknutím vybrat ožadovaný produkt </t>
  </si>
  <si>
    <t xml:space="preserve">1: Wybierz produkt klikając na zakładkę </t>
  </si>
  <si>
    <t>1: válassza ki a kívánt terméket</t>
  </si>
  <si>
    <t>1: Kliknutím vyberte požadovaný produkt</t>
  </si>
  <si>
    <t>1: Selecteer het gewenste product door te klikken op het tabblad.</t>
  </si>
  <si>
    <t>1: Izberite željeni proizvod s klikom</t>
  </si>
  <si>
    <t>1: Välj önskad produkt genom att klicka på fliken.</t>
  </si>
  <si>
    <t>1: Vælg det ønskede produkt ved at klikke på fanen.</t>
  </si>
  <si>
    <t>1: Velg ønsket produkt ved å klikke på fanen.</t>
  </si>
  <si>
    <t>1: Odaberite željeni proizvod klikom na karticu.</t>
  </si>
  <si>
    <t>10 P.10 Prefaweiß</t>
  </si>
  <si>
    <t>10 P.10 prefa white</t>
  </si>
  <si>
    <t>10 P.10 blanc PREFA</t>
  </si>
  <si>
    <t>10 P.10 bianco PREFA</t>
  </si>
  <si>
    <t>10 P.10 Prefa bílá</t>
  </si>
  <si>
    <t>10 P.10 biały prefa</t>
  </si>
  <si>
    <t>10 P.10 pferafehér</t>
  </si>
  <si>
    <t>10 P.10 prefa biela</t>
  </si>
  <si>
    <t>10 P.10 prefawit</t>
  </si>
  <si>
    <t>10 P.10 Prefa bela</t>
  </si>
  <si>
    <t>10 P.10 prefavit</t>
  </si>
  <si>
    <t>10 P.10 prefahvid</t>
  </si>
  <si>
    <t>10 P.10 prefahvit</t>
  </si>
  <si>
    <t>10 P.10 prefa bijela</t>
  </si>
  <si>
    <t>10 Prefaweiß</t>
  </si>
  <si>
    <t>10 prefa white</t>
  </si>
  <si>
    <t>10 blanc PREFA</t>
  </si>
  <si>
    <t>10 bianco Prefa</t>
  </si>
  <si>
    <t>10 prefa bílá</t>
  </si>
  <si>
    <t>10 Biały</t>
  </si>
  <si>
    <t>10 prefafehér</t>
  </si>
  <si>
    <t>10 prefa biela</t>
  </si>
  <si>
    <t>10 prefawit</t>
  </si>
  <si>
    <t>10 prefa bela</t>
  </si>
  <si>
    <t>10 prefavit</t>
  </si>
  <si>
    <t>10 prefahvid</t>
  </si>
  <si>
    <t>10 prefahvit</t>
  </si>
  <si>
    <t>10 Prefa bijela</t>
  </si>
  <si>
    <t>100 × ⌀ 50–75 mm</t>
  </si>
  <si>
    <t>100 × ⌀ 50–75 mm</t>
  </si>
  <si>
    <t>100 × ⌀ 50-75 mm</t>
  </si>
  <si>
    <t>ø 100 x 50-75 mm</t>
  </si>
  <si>
    <t>100 x ø 50-75 mm</t>
  </si>
  <si>
    <t>100 × ⌀ 50 – 75 mm</t>
  </si>
  <si>
    <t>100 × ⌀ 50-75 mm</t>
  </si>
  <si>
    <t>100 ⌀ 50-75 mm</t>
  </si>
  <si>
    <t>Ø 100</t>
  </si>
  <si>
    <t>Ø 100</t>
  </si>
  <si>
    <t>ø100</t>
  </si>
  <si>
    <t>100 ø_</t>
  </si>
  <si>
    <t>⌀ 100</t>
  </si>
  <si>
    <t>100 ⌀</t>
  </si>
  <si>
    <t>100 ø</t>
  </si>
  <si>
    <t>Ø 100 × 1.450 mm</t>
  </si>
  <si>
    <t>Ø 100 × 1,450 mm</t>
  </si>
  <si>
    <t>Ø 100 × 1 450 mm</t>
  </si>
  <si>
    <t>ø100 x 1.450 mm</t>
  </si>
  <si>
    <t>100 ø x 1.450 mm</t>
  </si>
  <si>
    <t>⌀ 100 × 1,450 mm</t>
  </si>
  <si>
    <t>100 ⌀ × 1.450 mm</t>
  </si>
  <si>
    <t>100 ⌀ × 1450 mm</t>
  </si>
  <si>
    <t>100 ⌀ × 1450 mm</t>
  </si>
  <si>
    <t>Ø 100; 700–1.100 mm</t>
  </si>
  <si>
    <t>Ø 100; 700–1,100 mm</t>
  </si>
  <si>
    <t>Ø 100; 700-1 100 mm</t>
  </si>
  <si>
    <t>ø100 x 700-1.100 mm</t>
  </si>
  <si>
    <t>100 ø 700-1.100 mm</t>
  </si>
  <si>
    <t>⌀ 100; 700–1,100 mm</t>
  </si>
  <si>
    <t>100 ⌀ 700–1.100 mm</t>
  </si>
  <si>
    <t>100 ⌀ 700 – 1100 mm</t>
  </si>
  <si>
    <t>100 ⌀ 700-1.100 mm</t>
  </si>
  <si>
    <t>100 ⌀ 700–1100 mm</t>
  </si>
  <si>
    <t>100–160 mm</t>
  </si>
  <si>
    <t>100–160 mm</t>
  </si>
  <si>
    <t>100 à 160 mm</t>
  </si>
  <si>
    <t>100 - 160 mm</t>
  </si>
  <si>
    <t>100 – 160 mm</t>
  </si>
  <si>
    <t>100-160 mm</t>
  </si>
  <si>
    <t>100-160 mm</t>
  </si>
  <si>
    <t>100–180 mm</t>
  </si>
  <si>
    <t>100–180 mm</t>
  </si>
  <si>
    <t>100 à 180 mm</t>
  </si>
  <si>
    <t>100 - 180 mm</t>
  </si>
  <si>
    <t>100 – 180 mm</t>
  </si>
  <si>
    <t>100-180 mm</t>
  </si>
  <si>
    <t>11 Nussbraun</t>
  </si>
  <si>
    <t>11 nut brown</t>
  </si>
  <si>
    <t>11 brun noisette</t>
  </si>
  <si>
    <t>11 testa di moro</t>
  </si>
  <si>
    <t>11 oříšková</t>
  </si>
  <si>
    <t>11 orzechowy brąz</t>
  </si>
  <si>
    <t>11 mogyoróbarna</t>
  </si>
  <si>
    <t>11 orieškovohnedá</t>
  </si>
  <si>
    <t>11 notenkleurig</t>
  </si>
  <si>
    <t>11 nötbrun</t>
  </si>
  <si>
    <t>11 nøddebrun</t>
  </si>
  <si>
    <t>11 nøttebrun</t>
  </si>
  <si>
    <t>11 lješnjak</t>
  </si>
  <si>
    <t>11 P.10 Nussbraun</t>
  </si>
  <si>
    <t>11 P.10 nut brown</t>
  </si>
  <si>
    <t>11 P.10 brun noisette</t>
  </si>
  <si>
    <t>11 P.10 Testa di moro</t>
  </si>
  <si>
    <t>11 P.10 oříšková</t>
  </si>
  <si>
    <t>11 P.10 szarocynkowy</t>
  </si>
  <si>
    <t>11 P.10 mogyoróbarna</t>
  </si>
  <si>
    <t>11 P.10 orieškovohnedá</t>
  </si>
  <si>
    <t>11 P.10 notenkleurig</t>
  </si>
  <si>
    <t>11 P.10 testa di moro</t>
  </si>
  <si>
    <t>11 P.10 nötbrun</t>
  </si>
  <si>
    <t>11 P.10 nøddebrun</t>
  </si>
  <si>
    <t>11 P.10 nøttebrun</t>
  </si>
  <si>
    <t>11 P.10 lješnjak smeđa</t>
  </si>
  <si>
    <t>12 Silbermetallic</t>
  </si>
  <si>
    <t>12 metallic silver</t>
  </si>
  <si>
    <t>12 argent métallisé</t>
  </si>
  <si>
    <t>12 silver metallizzato</t>
  </si>
  <si>
    <t>12 stříbrná metalíza</t>
  </si>
  <si>
    <t>12 srebrny metalik</t>
  </si>
  <si>
    <t>12 ezüstmetál</t>
  </si>
  <si>
    <t>12 strieborná metalíza</t>
  </si>
  <si>
    <t>12 zilvermetallic</t>
  </si>
  <si>
    <t>12 kovinsko srebrna</t>
  </si>
  <si>
    <t>12 silvermetallic</t>
  </si>
  <si>
    <t>12 sølvmetallic</t>
  </si>
  <si>
    <t>12 sølv metallic</t>
  </si>
  <si>
    <t>12 srebrno metalik</t>
  </si>
  <si>
    <t>Ø 120</t>
  </si>
  <si>
    <t>Ø 120</t>
  </si>
  <si>
    <t>⌀ 120</t>
  </si>
  <si>
    <t>ø120</t>
  </si>
  <si>
    <t>120 ø</t>
  </si>
  <si>
    <t>⌀ 120</t>
  </si>
  <si>
    <t>120 ⌀</t>
  </si>
  <si>
    <t>13 Naturblank</t>
  </si>
  <si>
    <t>13 plain aluminium</t>
  </si>
  <si>
    <t>13 aluminium naturel</t>
  </si>
  <si>
    <t>13 Alluminio naturale</t>
  </si>
  <si>
    <t>13 přírodní hliník</t>
  </si>
  <si>
    <t>13 naturalny</t>
  </si>
  <si>
    <t>13 natúr alumínium</t>
  </si>
  <si>
    <t>13 prírodný hliník</t>
  </si>
  <si>
    <t>13 natuurlijk blank</t>
  </si>
  <si>
    <t>13 natur</t>
  </si>
  <si>
    <t>13 naturligt blank</t>
  </si>
  <si>
    <t>13 naturblank</t>
  </si>
  <si>
    <t>13 prirodna</t>
  </si>
  <si>
    <t>138 × 0,7 mm</t>
  </si>
  <si>
    <t>138 × 0.7 mm</t>
  </si>
  <si>
    <t>138 × 0,7 mm</t>
  </si>
  <si>
    <t>138 x 0,7 mm</t>
  </si>
  <si>
    <t>138 mm</t>
  </si>
  <si>
    <t>138 mm</t>
  </si>
  <si>
    <t>138mm</t>
  </si>
  <si>
    <t>140 mm</t>
  </si>
  <si>
    <t>140 mm</t>
  </si>
  <si>
    <t>⌀ 150</t>
  </si>
  <si>
    <t>⌀ 150</t>
  </si>
  <si>
    <t>ø150</t>
  </si>
  <si>
    <t>150 ø</t>
  </si>
  <si>
    <t>150 ⌀</t>
  </si>
  <si>
    <t>17 P.10 Reinweiß</t>
  </si>
  <si>
    <t>17 P.10 pure white</t>
  </si>
  <si>
    <t>17 P.10 blanc pur</t>
  </si>
  <si>
    <t>17 P.10 bianco puro</t>
  </si>
  <si>
    <t>17 P.10 čistě bílá</t>
  </si>
  <si>
    <t>17 P.10 czysta biel</t>
  </si>
  <si>
    <t>17 P.10 tisztafehér</t>
  </si>
  <si>
    <t>17 P.10 zuiver wit</t>
  </si>
  <si>
    <t>17 P.10 Bele</t>
  </si>
  <si>
    <t>17 P.10 renvit</t>
  </si>
  <si>
    <t>17 P.10 Renhvid Ral 9010</t>
  </si>
  <si>
    <t>17 P.10 Renhvit</t>
  </si>
  <si>
    <t>17 P.10 Bijela</t>
  </si>
  <si>
    <t>17 Reinweiß</t>
  </si>
  <si>
    <t>17 pure white</t>
  </si>
  <si>
    <t>17 blanc pur</t>
  </si>
  <si>
    <t>17 bianco puro</t>
  </si>
  <si>
    <t>17 čistě bílá</t>
  </si>
  <si>
    <t>17 czysta biel</t>
  </si>
  <si>
    <t>17 tisztafehér</t>
  </si>
  <si>
    <t>17 zuiverwit</t>
  </si>
  <si>
    <t>17 čista bela</t>
  </si>
  <si>
    <t>17 renvit</t>
  </si>
  <si>
    <t>17 ren hvid</t>
  </si>
  <si>
    <t>17 ren hvit</t>
  </si>
  <si>
    <t>17 čisto bijela</t>
  </si>
  <si>
    <t>180–220 mm</t>
  </si>
  <si>
    <t>180–220 mm</t>
  </si>
  <si>
    <t>180 à 220 mm</t>
  </si>
  <si>
    <t>180 - 220 mm</t>
  </si>
  <si>
    <t>180 – 220 mm</t>
  </si>
  <si>
    <t>180-220 mm</t>
  </si>
  <si>
    <t>180–260 mm</t>
  </si>
  <si>
    <t>180–260 mm</t>
  </si>
  <si>
    <t>180 à 260 mm</t>
  </si>
  <si>
    <t>180 - 260 mm</t>
  </si>
  <si>
    <t>180 – 260 mm</t>
  </si>
  <si>
    <t>180-260 mm</t>
  </si>
  <si>
    <t>19 P.10 Dunkelgrau</t>
  </si>
  <si>
    <t>19 P.10 dark grey</t>
  </si>
  <si>
    <t>19 P.10 gris sombre</t>
  </si>
  <si>
    <t>19 P.10 grigio scuro</t>
  </si>
  <si>
    <t>19 P.10 tmavě šedá</t>
  </si>
  <si>
    <t>19 P.10 ciemnoszary</t>
  </si>
  <si>
    <t>19 P.10 grafitszürke</t>
  </si>
  <si>
    <t>19 P.10 donkergrijs</t>
  </si>
  <si>
    <t>19 P.10 Tamno siva</t>
  </si>
  <si>
    <t>19 P.10 mörkgrå</t>
  </si>
  <si>
    <t>19 P.10 Mørk grå ral 7043</t>
  </si>
  <si>
    <t>19 P.10 Mørk grå</t>
  </si>
  <si>
    <t>195 mm lang</t>
  </si>
  <si>
    <t>195 mm long</t>
  </si>
  <si>
    <t>longueur : 195 mm</t>
  </si>
  <si>
    <t>lunghezza 195 mm</t>
  </si>
  <si>
    <t>195 mm délka</t>
  </si>
  <si>
    <t>195 mm długi</t>
  </si>
  <si>
    <t>195 mm hosszú</t>
  </si>
  <si>
    <t>195 mm dlhé</t>
  </si>
  <si>
    <t>lengte 195 mm</t>
  </si>
  <si>
    <t>195 mm dolžine</t>
  </si>
  <si>
    <t>195 mm lång</t>
  </si>
  <si>
    <t>195 mm lang</t>
  </si>
  <si>
    <t>195 mm dugo</t>
  </si>
  <si>
    <t>1 × 250 (A = 140; B = 85; C = 25 mm)</t>
  </si>
  <si>
    <t>1 × 250 (A = 140; B = 85; C = 25 mm)</t>
  </si>
  <si>
    <t>1x250 (A=140 B=85 C=25 mm)</t>
  </si>
  <si>
    <t>1 x 250 (A=140 B=85 C=25 mm)</t>
  </si>
  <si>
    <t>1x250 (A = 140 B = 85 C = 25 mm)</t>
  </si>
  <si>
    <t>1x250 (A=140 B=85 C=25 mm)</t>
  </si>
  <si>
    <t>1 × 333 (A = 223; B = 85; C = 25 mm)</t>
  </si>
  <si>
    <t>1 × 333 (A = 223; B = 85; C = 25 mm)</t>
  </si>
  <si>
    <t>1x333 (A=223 B=85 C=25 mm)</t>
  </si>
  <si>
    <t>1 x 333 (A=223 B=85 C=25 mm)</t>
  </si>
  <si>
    <t>1x333 (A = 223 B = 85 C = 25 mm)</t>
  </si>
  <si>
    <t>1x333 (A=223 B=85 C=25 mm)</t>
  </si>
  <si>
    <t>2: Sämtliche Felder, die grau hinterlegt sind, können befüllt werden oder sind mit einer vordefinierten Auswahlliste hinterlegt.</t>
  </si>
  <si>
    <t>2: Fields with a grey background are input fields or contain a drop-down list.</t>
  </si>
  <si>
    <t>2 : Les champs en grisé sont soit des champs de saisie, soit des listes déroulantes.</t>
  </si>
  <si>
    <t>2: Tutti i campi evidenziati in grigio possono essere riempiti oppure è possibile selezionare una voce da un elenco predefinito</t>
  </si>
  <si>
    <t>2: Všechny šedě podložená pole jsou opatřeny před definovaným výběrem nebo je možné je doplnit je možné doplnit</t>
  </si>
  <si>
    <t>2: Na polach z szarym tłem należy wpisać wartość lub wybrać z rozwijanej listy.</t>
  </si>
  <si>
    <t xml:space="preserve">2: A szürke mezőkbe írhat, vagy a legördülő listából választhat </t>
  </si>
  <si>
    <t>2: Všetky polia označené sivou farbou môžu byť vyplnené, alebo uložené do preddefinovaného výberu</t>
  </si>
  <si>
    <t>2: Alle grijze velden kunnen worden ingevuld of zijn van een voorgedefinieerde selectielijst voorzien.</t>
  </si>
  <si>
    <t>2: Vsa polja, ki so označena s sivo, so lahko izbrana s predhodno izbranim seznamom izbire</t>
  </si>
  <si>
    <t>2: Samtliga fält som är gråmarkerade kan fyllas i eller är markerade med en fördefinierad urvalslista.</t>
  </si>
  <si>
    <t>2: Alle felter med grå baggrund kan udfyldes, eller har en prædefineret valgliste.</t>
  </si>
  <si>
    <t>2: Samtlige felt som er markert med grått, kan fylles ut eller er markert med en forhåndsdefinert utvalgsliste.</t>
  </si>
  <si>
    <t>2: Polja sa sivom pozadinom su polja za unos ili sadrže padajući popis.</t>
  </si>
  <si>
    <t>20 Rauchsilber</t>
  </si>
  <si>
    <t>20 smoke silver</t>
  </si>
  <si>
    <t>20 argent fumé</t>
  </si>
  <si>
    <t>20 grigio fumo</t>
  </si>
  <si>
    <t>20 kouřově stříbrná</t>
  </si>
  <si>
    <t>20 szarydymiony</t>
  </si>
  <si>
    <t>20 füstezüst</t>
  </si>
  <si>
    <t>20 dymová strieborná</t>
  </si>
  <si>
    <t>20 rookzilver</t>
  </si>
  <si>
    <t>20 dimljeno srebro</t>
  </si>
  <si>
    <t>20 röksilver</t>
  </si>
  <si>
    <t>20 grå aluminium</t>
  </si>
  <si>
    <t>20 røyk sølv</t>
  </si>
  <si>
    <t>20 dim srebrna</t>
  </si>
  <si>
    <t>200 mm</t>
  </si>
  <si>
    <t>200 mm</t>
  </si>
  <si>
    <t>200 × 1,0 mm</t>
  </si>
  <si>
    <t>200 × 1,0 mm</t>
  </si>
  <si>
    <t>200 x 1,0 mm</t>
  </si>
  <si>
    <t>21 Rubinrot</t>
  </si>
  <si>
    <t>21 ruby red</t>
  </si>
  <si>
    <t>21 rouge rubis</t>
  </si>
  <si>
    <t>21 rosso rubino</t>
  </si>
  <si>
    <t>21 rubínová</t>
  </si>
  <si>
    <t>21 rubinowy</t>
  </si>
  <si>
    <t>21 rubinvörös</t>
  </si>
  <si>
    <t>21 rubínová červená</t>
  </si>
  <si>
    <t>21 robijnrood</t>
  </si>
  <si>
    <t>21 rubinasto rdeča</t>
  </si>
  <si>
    <t>21 rubinröd</t>
  </si>
  <si>
    <t>21 rubinrød</t>
  </si>
  <si>
    <t>21 rubin crvena</t>
  </si>
  <si>
    <t>23 Schwarzgrau</t>
  </si>
  <si>
    <t>23 black gray</t>
  </si>
  <si>
    <t>23 gris noir</t>
  </si>
  <si>
    <t>23 nero grigio</t>
  </si>
  <si>
    <t>23 černě šedá</t>
  </si>
  <si>
    <t>ciemnoszary</t>
  </si>
  <si>
    <t>23 fekete szürke</t>
  </si>
  <si>
    <t>23 zwartgrijs</t>
  </si>
  <si>
    <t>23 črna siva</t>
  </si>
  <si>
    <t>23 svartgrå</t>
  </si>
  <si>
    <t>23 sortgrå</t>
  </si>
  <si>
    <t>23 crno siva</t>
  </si>
  <si>
    <t>230 × 2.000 × 0,7 mm</t>
  </si>
  <si>
    <t>230 × 2,000 × 0.7 mm</t>
  </si>
  <si>
    <t>230 × 2 000 × 0,7 mm</t>
  </si>
  <si>
    <t>230 x 2.000 x 0,7 mm</t>
  </si>
  <si>
    <t>230 × 2.000 × 0,7 mm</t>
  </si>
  <si>
    <t>230 × 2000 × 0,7 mm</t>
  </si>
  <si>
    <t>230 × 2000 × 0,7 mm</t>
  </si>
  <si>
    <t>25 Elfenbein</t>
  </si>
  <si>
    <t>25 ivory</t>
  </si>
  <si>
    <t>25 ivoire clair</t>
  </si>
  <si>
    <t>25 avorio</t>
  </si>
  <si>
    <t>25 slonová kost</t>
  </si>
  <si>
    <t>25 kość słoniowa</t>
  </si>
  <si>
    <t>25 elefántcsont</t>
  </si>
  <si>
    <t>25 slonová kosť</t>
  </si>
  <si>
    <t>25 ivoor</t>
  </si>
  <si>
    <t>25 slonovina</t>
  </si>
  <si>
    <t>25 elfenben</t>
  </si>
  <si>
    <t>25 elfenbein</t>
  </si>
  <si>
    <t>250 g</t>
  </si>
  <si>
    <t>250 g</t>
  </si>
  <si>
    <t>250/23 × 7</t>
  </si>
  <si>
    <t>250/23 × 7</t>
  </si>
  <si>
    <t>250/23 x 7</t>
  </si>
  <si>
    <t>26 Holz dunkel</t>
  </si>
  <si>
    <t>26 dark wood</t>
  </si>
  <si>
    <t>26 bois foncé</t>
  </si>
  <si>
    <t>26 legno scuro</t>
  </si>
  <si>
    <t>26 tmavé dřevo</t>
  </si>
  <si>
    <t>26 kolonialna czerwień</t>
  </si>
  <si>
    <t>26 sötét famintázat</t>
  </si>
  <si>
    <t>26 drevo tmavé</t>
  </si>
  <si>
    <t>26 hout donker</t>
  </si>
  <si>
    <t>26 les temen</t>
  </si>
  <si>
    <t>26 mörkt trä</t>
  </si>
  <si>
    <t>26 træ mørk</t>
  </si>
  <si>
    <t>26 mørkt tre</t>
  </si>
  <si>
    <t>26 tamno drvo</t>
  </si>
  <si>
    <t>28 × 7 mm</t>
  </si>
  <si>
    <t>28 × 7 mm</t>
  </si>
  <si>
    <t>28 x 7 mm</t>
  </si>
  <si>
    <t>28/25 (1 kg = ca. 570 Stk.)</t>
  </si>
  <si>
    <t>28/25 (1 kg = approx. 570 pc.)</t>
  </si>
  <si>
    <t>28/25 (1 kg = env. 570)</t>
  </si>
  <si>
    <t>28/25 (1 Kg = ca. 570 Pz.)</t>
  </si>
  <si>
    <t>28/25 (1 kg = ca. 570 ks.)</t>
  </si>
  <si>
    <t>28/25 (1 kg = około 570 szt.)</t>
  </si>
  <si>
    <t>28/25 (1 kg = kb. 570 db.)</t>
  </si>
  <si>
    <t>28/25 (1 kg = cca 570 ks)</t>
  </si>
  <si>
    <t>28/25 (1 kg = ca. 570 stks.)</t>
  </si>
  <si>
    <t>28/25 (1 kg = ca. 570 kos)</t>
  </si>
  <si>
    <t>28/25 (1 kg = cirka 570 st.)</t>
  </si>
  <si>
    <t>28/25 (1 kg = ca. 570 stk.)</t>
  </si>
  <si>
    <t>28/25 (1 kg = ca. 570 stk.)</t>
  </si>
  <si>
    <t>28/25 (1 kg = cca. 570 kom.)</t>
  </si>
  <si>
    <t>28/30 (1 kg = ca. 480 Stk.)</t>
  </si>
  <si>
    <t>28/30 (1 kg = approx. 480 pc.)</t>
  </si>
  <si>
    <t>28/30 (1 kg = env. 480)</t>
  </si>
  <si>
    <t>28/30 (1 Kg = ca. 480 Pz.)</t>
  </si>
  <si>
    <t>28/30 (1 kg = ca. 480 ks.)</t>
  </si>
  <si>
    <t>28/30 (1 kg = około 480 szt.)</t>
  </si>
  <si>
    <t>28/30 (1 kg = kb. 480 db.)</t>
  </si>
  <si>
    <t>28/30 (1 kg = cca 480 ks)</t>
  </si>
  <si>
    <t>28/30 (1 kg = ca. 480 stks.)</t>
  </si>
  <si>
    <t>28/30 (1 kg = ca. 480 kos)</t>
  </si>
  <si>
    <t>28/30 (1 kg = cirka 480 st.)</t>
  </si>
  <si>
    <t>28/30 (1 kg = ca. 480 stk.)</t>
  </si>
  <si>
    <t>28/30 (1 kg = ca. 480 stk.)</t>
  </si>
  <si>
    <t>28/30 (1 kg = cca. 480 kom.)</t>
  </si>
  <si>
    <t>28/40 (1 kg = ca. 380 Stk.)</t>
  </si>
  <si>
    <t>28/40 (1 kg = approx. 380 pc.)</t>
  </si>
  <si>
    <t>28/40 (1 kg = env. 380)</t>
  </si>
  <si>
    <t>28/40 (1 Kg = ca. 380 Pz.)</t>
  </si>
  <si>
    <t>28/40 (1 kg = ca. 380 ks.)</t>
  </si>
  <si>
    <t>28/40 (1 kg = około 380 szt.)</t>
  </si>
  <si>
    <t>28/40 (1 kg = kb. 380 db.)</t>
  </si>
  <si>
    <t>28/40 (1 kg = cca 380 ks)</t>
  </si>
  <si>
    <t>28/40 (1 kg = ca. 380 stks.)</t>
  </si>
  <si>
    <t>28/40 (1 kg = ca. 380 kos)</t>
  </si>
  <si>
    <t>28/40 (1 kg = cirka 380 st.)</t>
  </si>
  <si>
    <t>28/40 (1 kg = ca. 380 stk.)</t>
  </si>
  <si>
    <t>28/40 (1 kg = ca. 380 stk.)</t>
  </si>
  <si>
    <t>28/40 (1 kg = cca. 380 kom.)</t>
  </si>
  <si>
    <t>290 ml reichen für ca. 4 m.</t>
  </si>
  <si>
    <t>290 ml is sufficient for approx. 4 m.</t>
  </si>
  <si>
    <t>290 ml pour 4 m environ.</t>
  </si>
  <si>
    <t>290 ml sono sufficienti per ca. 4 m lineari</t>
  </si>
  <si>
    <t>290 ml postačí na cca. 4 bm</t>
  </si>
  <si>
    <t>290 ml wystarcza na około 4 m</t>
  </si>
  <si>
    <t>296 ml, kb. 4fm-re elég</t>
  </si>
  <si>
    <t>290 ml postačuje na cca 4 bm</t>
  </si>
  <si>
    <r>
      <t>290 ml is voldoende voor ca. 4 m</t>
    </r>
    <r>
      <rPr>
        <vertAlign val="superscript"/>
        <sz val="11"/>
        <color indexed="8"/>
        <rFont val="Arial"/>
        <family val="2"/>
      </rPr>
      <t>1</t>
    </r>
  </si>
  <si>
    <t>290 ml za približno 4 tekoče metre</t>
  </si>
  <si>
    <t>290 ml räcker till cirka 4 lpm.</t>
  </si>
  <si>
    <t>290 ml rækker til ca. 4 lbm.</t>
  </si>
  <si>
    <t>290 ml rekker til ca. 4 lm.</t>
  </si>
  <si>
    <t>290 ml je dovoljno za cca. 4 m.</t>
  </si>
  <si>
    <t>3 m</t>
  </si>
  <si>
    <t>3 m</t>
  </si>
  <si>
    <t>3.000 mm</t>
  </si>
  <si>
    <t>3,000 mm</t>
  </si>
  <si>
    <t>3 000 mm</t>
  </si>
  <si>
    <t>3.000 mm</t>
  </si>
  <si>
    <t>3000 mm</t>
  </si>
  <si>
    <t>3000 mm</t>
  </si>
  <si>
    <t>3: Sämtliche Optionsfelder können angewählt werden.</t>
  </si>
  <si>
    <t>3: All options can be selected.</t>
  </si>
  <si>
    <t>3 : Il est possible de cliquer la totalité des boutons radio (options).</t>
  </si>
  <si>
    <t>3: Ogni pulsante delle opzioni può essere selezionato</t>
  </si>
  <si>
    <t>3: Vybrána mohou být všechna nabídková pole</t>
  </si>
  <si>
    <t>3: Można wybrać wszystkie opcje.</t>
  </si>
  <si>
    <t>3: Az opciókat tartalmazó mezőket kitöltheti</t>
  </si>
  <si>
    <t>3: Je možné vybrať si aj všetky doplnkové polia</t>
  </si>
  <si>
    <t>3: Alle optievelden kunnen worden afgevinkt.</t>
  </si>
  <si>
    <t>3: izbrana so lahko vsa poljubna polja</t>
  </si>
  <si>
    <t>3: Samtliga alternativfält kan väljas.</t>
  </si>
  <si>
    <t>3: Alle valgfelter kan vælges.</t>
  </si>
  <si>
    <t>3: Samtlige valgfelt kan velges.</t>
  </si>
  <si>
    <t>3: Mogu se odabrati sva polja s opcijama.</t>
  </si>
  <si>
    <t>300 ml</t>
  </si>
  <si>
    <t>300 ml</t>
  </si>
  <si>
    <t>300 × 1,0 mm</t>
  </si>
  <si>
    <t>300 × 1,0 mm</t>
  </si>
  <si>
    <t>300 x 1,0 mm</t>
  </si>
  <si>
    <t>300 × 1,2 mm</t>
  </si>
  <si>
    <t>300 × 1,2 mm</t>
  </si>
  <si>
    <t>300 x 1,2 mm</t>
  </si>
  <si>
    <t>300 mm</t>
  </si>
  <si>
    <t>300 mm</t>
  </si>
  <si>
    <t>300mm</t>
  </si>
  <si>
    <t>330 mm</t>
  </si>
  <si>
    <t>330 mm</t>
  </si>
  <si>
    <t>333 mm / 100 × 100 mm</t>
  </si>
  <si>
    <t>333 mm / 100 × 100 mm</t>
  </si>
  <si>
    <t>333 mm / 100 x 100 mm</t>
  </si>
  <si>
    <t>333 mm/100 × 100 mm</t>
  </si>
  <si>
    <t>333 mm / 100 × 100 mm</t>
  </si>
  <si>
    <t>333/28 × 7</t>
  </si>
  <si>
    <t>333/28 × 7</t>
  </si>
  <si>
    <t>333/28 x 7</t>
  </si>
  <si>
    <t>38 Walnuss braun</t>
  </si>
  <si>
    <t>38 walnut</t>
  </si>
  <si>
    <t>38 noyer foncé</t>
  </si>
  <si>
    <t>38 noce scuro</t>
  </si>
  <si>
    <t>38 ořech tmavý</t>
  </si>
  <si>
    <t>38 orzech brązowy</t>
  </si>
  <si>
    <t>38 dió</t>
  </si>
  <si>
    <t>38 vlašský orech hnedý</t>
  </si>
  <si>
    <t>38 Walnootbruin</t>
  </si>
  <si>
    <t>38 orehovo rjava</t>
  </si>
  <si>
    <t>38 valnötsbrun</t>
  </si>
  <si>
    <t>38 valnøddebrun</t>
  </si>
  <si>
    <t>38 valnøttbrun</t>
  </si>
  <si>
    <t>38 orah</t>
  </si>
  <si>
    <t>40 Eiche natur</t>
  </si>
  <si>
    <t>40 natural oak</t>
  </si>
  <si>
    <t>40 chêne naturel</t>
  </si>
  <si>
    <t>40 rovere naturale</t>
  </si>
  <si>
    <t>40 dub přírodní</t>
  </si>
  <si>
    <t>40 dąb naturalny</t>
  </si>
  <si>
    <t>40 világos tölgy</t>
  </si>
  <si>
    <t>40 dub prírodný</t>
  </si>
  <si>
    <t>40 Eiken natuur</t>
  </si>
  <si>
    <t>40 hrast naravni</t>
  </si>
  <si>
    <t>40 naturek</t>
  </si>
  <si>
    <t>40 eg natur</t>
  </si>
  <si>
    <t>40 naturfarget eik</t>
  </si>
  <si>
    <t>40 prirodni hrast</t>
  </si>
  <si>
    <t>4 × 25 × 427 mm</t>
  </si>
  <si>
    <t>4 × 25 × 427 mm</t>
  </si>
  <si>
    <t>4 x 25 x 427 mm</t>
  </si>
  <si>
    <t>4 × 9,5 mm</t>
  </si>
  <si>
    <t>4 × 9.5 mm</t>
  </si>
  <si>
    <t>4 x 9,5 mm</t>
  </si>
  <si>
    <t>4 x 10 mm</t>
  </si>
  <si>
    <t>4 × 9,5 mm</t>
  </si>
  <si>
    <t>4 × 9,5 mm</t>
  </si>
  <si>
    <t>4,8 × 17 mm</t>
  </si>
  <si>
    <t>4.8 × 17 mm</t>
  </si>
  <si>
    <t>4,8 x 17 mm</t>
  </si>
  <si>
    <t>4,8 × 17 mm</t>
  </si>
  <si>
    <t>4: Die Mengen können je nach Wunsch in Stück (Stk.) oder aufgerundet auf die nächste Verpackungseinheit (VPE) berechnet werden.</t>
  </si>
  <si>
    <t>4: Quantities can be calculated per piece (pc.) or rounded up to the next packaging unit (PU).</t>
  </si>
  <si>
    <t>4 : Les quantités peuvent être calculées à la pièce (pc.) ou bien arrondies à l’unité d’emballage (UE) supérieure.</t>
  </si>
  <si>
    <t>4: Le quantità possono essere calcolate in pezzi (PZ) oppure arrotondati all'intera unità di confezionamento (CF)</t>
  </si>
  <si>
    <t xml:space="preserve">4: Množství může být počítáno dle přání na jednotlivé kusy (ks) nebo zaokrouhleno na celá balení </t>
  </si>
  <si>
    <t>4: Ilość można skalkulować na sztuki (szt.) lub zaokrąglić do pełnych opakowań ( opakowanie ).</t>
  </si>
  <si>
    <t>4: A mennyiségeket igény szerint darabszámmal, vagy csomagolási egységre kerekítve is megadhatja</t>
  </si>
  <si>
    <t>4: De aantallen kunnen naar wens in stuks (stks.) of afgerond op de volgende verpakkingseenheid (VPE) worden berekend.</t>
  </si>
  <si>
    <t>4: Količine lahko izračunate po kosih (kos), ali jih zaokrožite na enoto pakiranje (PAK)</t>
  </si>
  <si>
    <t>4: Mängderna kan efter önskemål beräknas styckevis (st.) eller rundas av till nästa förpackningsenhet (FPE).</t>
  </si>
  <si>
    <t>4: Mængderne kan om ønsket beregnet i styk (stk.) eller afrundes til næste pakkeenhed.</t>
  </si>
  <si>
    <t>4: Mengdene kan etter ønske beregnes i stykker (stk.) eller rundes opp til neste forpakningsenhet (FPE).</t>
  </si>
  <si>
    <t>4: Količine se mogu prema potrebi izračunati u komadima (kom.) ili zaokružiti na sljedeću jedinicu pakiranja (VPE).</t>
  </si>
  <si>
    <t>4: Eventualpositionen können hier gekennzeichnet werden.</t>
  </si>
  <si>
    <t>4: Any additional options can be indicated in this field.</t>
  </si>
  <si>
    <t>4 : Ce champ permet d’indiquer les éventuelles options supplémentaires.</t>
  </si>
  <si>
    <t>4: Eventuali note possono essere segnate in questo spazio</t>
  </si>
  <si>
    <t>4: Zde mohu být označeny alternativní položky</t>
  </si>
  <si>
    <t>4: W tym polu można zaznaczyć dodatkowe opcje.</t>
  </si>
  <si>
    <t>4: Itt adhat meg kiegészítő adatokat</t>
  </si>
  <si>
    <t>4: Sem možete zapísať ďalšie položky</t>
  </si>
  <si>
    <t>4: Eventuele posities kunnen hier worden gemarkeerd.</t>
  </si>
  <si>
    <t>4: tukaj lahko označite morebitne pozicije</t>
  </si>
  <si>
    <t>4: Eventuella positioner kan noteras här.</t>
  </si>
  <si>
    <t>4: Eventualpositioner kan markeres her.</t>
  </si>
  <si>
    <t>4: Andelsposisjoner kan merkes her.</t>
  </si>
  <si>
    <t>4: Ovdje se mogu označiti nepredviđene stavke.</t>
  </si>
  <si>
    <t>4: Wurde als Farbe pulverbeschichtet gewählt, erscheint ein zusätzliches Eingabefeld für die Beschichtungsfarbe.</t>
  </si>
  <si>
    <t>4: If you selected powder coating as the colour, an additional input field will be displayed for you to select the coating colour.</t>
  </si>
  <si>
    <t>4 : Si, pour la couleur, vous sélectionnez l’option « revêtement thermolaqué », un champ supplémentaire s’affiche qui vous permet de sélectionner la couleur du revêtement.</t>
  </si>
  <si>
    <t>4: Se viene selezionata la verniciatura a polvere, viene visualizzato un ulteriore campo nel quale inserire il colore richiesto</t>
  </si>
  <si>
    <t xml:space="preserve">4: Bylo-li vybráno práškové lakování, zobrazí se dodatečně políčko pro výběr požadované barvy </t>
  </si>
  <si>
    <t>4: Jeśli jako kolor wybrano powłokę proszkową, zostanie wyświetlone dodatkowe pole wprowadzania, aby wybrać kolor powłoki.</t>
  </si>
  <si>
    <t>4: Ha színnek a porszórt színt adta meg, külön mezőben adhatja meg a választott színt</t>
  </si>
  <si>
    <t>4: Ak bola zvolená prášková farba, zobrazí sa ďalšie pole pre voľbu farby</t>
  </si>
  <si>
    <t>4: Indien als kleur geëpoxeerd werd gekozen, verschijnt een extra invoerveld voor de coatingkleur.</t>
  </si>
  <si>
    <t>4: Če ste izbrali prašno barvanje, se prikaže dodatno polje za vnos barve</t>
  </si>
  <si>
    <t>4: Om pulverlackerat har valts som färg visas ytterligare ett inmatningsfält för lackeringsfärgen.</t>
  </si>
  <si>
    <t>4: Hvis pulverbelagt er valgt som farve, vises et ekstra indtastningsfelt for belægningsfarven.</t>
  </si>
  <si>
    <t>4: Hvis fargen ble valgt som pulverlakkert, vises et ekstra felt for sjiktfargen.</t>
  </si>
  <si>
    <t>4: Ako je kao boja odabrana praškasta presvlaka, pojavljuje se dodatno polje za unos boje presvlake.</t>
  </si>
  <si>
    <t>40 Holz hell</t>
  </si>
  <si>
    <t>40 light wood</t>
  </si>
  <si>
    <t>40 bois clair</t>
  </si>
  <si>
    <t>40 legno chiaro</t>
  </si>
  <si>
    <t>40 světlé dřevo</t>
  </si>
  <si>
    <t>40 miodowoperłowy</t>
  </si>
  <si>
    <t>40 világos famintázat</t>
  </si>
  <si>
    <t>40 hout licht</t>
  </si>
  <si>
    <t>40 les svetel</t>
  </si>
  <si>
    <t>40 ljust trä</t>
  </si>
  <si>
    <t>40 træ lys</t>
  </si>
  <si>
    <t>40 lyst tre</t>
  </si>
  <si>
    <t>40 svijetlo drvo</t>
  </si>
  <si>
    <t>400 mm / 100 × 100 mm</t>
  </si>
  <si>
    <t>400 mm / 100 × 100 mm</t>
  </si>
  <si>
    <t>400 mm / 100 x 100 mm</t>
  </si>
  <si>
    <t>400 mm/100 × 100 mm</t>
  </si>
  <si>
    <t>400 mm / 100 × 100 mm</t>
  </si>
  <si>
    <t>400 × 1,0 mm</t>
  </si>
  <si>
    <t>400 × 1,0 mm</t>
  </si>
  <si>
    <t>400 x 1,0 mm</t>
  </si>
  <si>
    <t>400 × 1,2 mm</t>
  </si>
  <si>
    <t>400 × 1,2 mm</t>
  </si>
  <si>
    <t>400 x 1,2 mm</t>
  </si>
  <si>
    <t>400/30 × 7</t>
  </si>
  <si>
    <t>400/30 × 7</t>
  </si>
  <si>
    <t>400/30 x 7</t>
  </si>
  <si>
    <t>400 mm</t>
  </si>
  <si>
    <t>400 mm</t>
  </si>
  <si>
    <t>400mm</t>
  </si>
  <si>
    <t>41 P.10 Rostbraun</t>
  </si>
  <si>
    <t>41 P.10 rust brown</t>
  </si>
  <si>
    <t>41 P.10 brun rouille</t>
  </si>
  <si>
    <t>41 P.10 marrone ruggine</t>
  </si>
  <si>
    <t>41 P.10 žíhaná hnědá</t>
  </si>
  <si>
    <t>41 P.10 rdzawy brąz</t>
  </si>
  <si>
    <t>41 P.10 rozsdabarna</t>
  </si>
  <si>
    <t>41 P.10 hrdzavohnedá</t>
  </si>
  <si>
    <t>41 P.10 roestbruin</t>
  </si>
  <si>
    <t>41 P.10 rjasto rjava</t>
  </si>
  <si>
    <t>41 P.10 rostbrun</t>
  </si>
  <si>
    <t>41 P.10 rustbrun</t>
  </si>
  <si>
    <t>41 P.10 riđavo crvena</t>
  </si>
  <si>
    <t>42 P.10 Sandbraun</t>
  </si>
  <si>
    <t>42 P.10 sand brown</t>
  </si>
  <si>
    <t>42 P.10 brun sable</t>
  </si>
  <si>
    <t>42 P.10 marrone sahara</t>
  </si>
  <si>
    <t>42 P.10 písková</t>
  </si>
  <si>
    <t>42 P.10 piaskowy</t>
  </si>
  <si>
    <t>42 P.10 homokszín</t>
  </si>
  <si>
    <t>42 P.10 pieskovohnedá</t>
  </si>
  <si>
    <t>42 P.10 zandbruin</t>
  </si>
  <si>
    <t>42 P.10 peščeno rjava</t>
  </si>
  <si>
    <t>42 P.10 sandbrun</t>
  </si>
  <si>
    <t>42 P.10 pješčano smeđa</t>
  </si>
  <si>
    <t>43 P.10 Steingrau</t>
  </si>
  <si>
    <t>43 P.10 stone grey</t>
  </si>
  <si>
    <t>43 P.10 gris pierre</t>
  </si>
  <si>
    <t>43 P.10 Grigio pietra</t>
  </si>
  <si>
    <t>43 P.10 břidlicová</t>
  </si>
  <si>
    <t>43 P.10 szary kamienny</t>
  </si>
  <si>
    <t>43 P.10 márványszürke</t>
  </si>
  <si>
    <t>43 P.10 kamenná šedá</t>
  </si>
  <si>
    <t>43 P.10 steengrijs</t>
  </si>
  <si>
    <t>43 P.10 kamnito siva</t>
  </si>
  <si>
    <t>43 P.10 stengrå</t>
  </si>
  <si>
    <t>43 P.10 steingrå</t>
  </si>
  <si>
    <t>43 P.10 kameno siva</t>
  </si>
  <si>
    <t>45 Bronze</t>
  </si>
  <si>
    <t>45 bronze</t>
  </si>
  <si>
    <t>45 bronzo</t>
  </si>
  <si>
    <t>45 bronz</t>
  </si>
  <si>
    <t>brązowy</t>
  </si>
  <si>
    <t>45 brons</t>
  </si>
  <si>
    <t>45 bronasta</t>
  </si>
  <si>
    <t>45 bronse</t>
  </si>
  <si>
    <t>45 bronca</t>
  </si>
  <si>
    <t>46 Patinagrün</t>
  </si>
  <si>
    <t>46 patina green</t>
  </si>
  <si>
    <t>46 vert-de-gris</t>
  </si>
  <si>
    <t>46 patina verde</t>
  </si>
  <si>
    <t>46 patina zelená</t>
  </si>
  <si>
    <t xml:space="preserve">szara patyna </t>
  </si>
  <si>
    <t>46 patina zöld</t>
  </si>
  <si>
    <t>46 patinagroen</t>
  </si>
  <si>
    <t>46 patinirano zelena</t>
  </si>
  <si>
    <t>46 patina grön</t>
  </si>
  <si>
    <t>46 patinagrøn</t>
  </si>
  <si>
    <t>46 patina grønn</t>
  </si>
  <si>
    <t>46 patina zelena</t>
  </si>
  <si>
    <t>47 Patinagrau</t>
  </si>
  <si>
    <t>47 patina grey</t>
  </si>
  <si>
    <t>47 gris quartz</t>
  </si>
  <si>
    <t>47 patina grigio</t>
  </si>
  <si>
    <t>47 patina šedá</t>
  </si>
  <si>
    <t>47 szara patyna</t>
  </si>
  <si>
    <t>47 patinaszürke</t>
  </si>
  <si>
    <t>47 patinagrijs</t>
  </si>
  <si>
    <t>47 siva patina</t>
  </si>
  <si>
    <t>47 patina grå</t>
  </si>
  <si>
    <t>47 patinagrå</t>
  </si>
  <si>
    <t>47 patina siva</t>
  </si>
  <si>
    <t>5,0 × 80 mm</t>
  </si>
  <si>
    <t>5.0 × 80 mm</t>
  </si>
  <si>
    <t>5,0 x 80 mm</t>
  </si>
  <si>
    <t>5,0 × 80 mm</t>
  </si>
  <si>
    <t>5: Am Tabellenende können Artikel, die nicht in der Liste aufgelistet sind, eingetragen werden.</t>
  </si>
  <si>
    <t>5: Any items which do not appear in the list can be entered at the end of the table.</t>
  </si>
  <si>
    <t>5 : Vous pouvez intégrer en bas de tableau des articles qui ne sont pas mentionnés dans la liste.</t>
  </si>
  <si>
    <t>5: In fondo alla tabella, possono essere inseriti ulteriori articoli non presenti nella lista</t>
  </si>
  <si>
    <t xml:space="preserve">5: Na konci tabulky mohou být uvedeny položky, které nejsou v seznamu </t>
  </si>
  <si>
    <t>5: Na końcu tabeli można wpisać dowolne pozycje, które nie znajdują się na liście.</t>
  </si>
  <si>
    <t>5: A táblázat végén adhat meg a táblázatban nem szereplő tételeket</t>
  </si>
  <si>
    <t>5: Položky, ktoré nie sú uvedené v zozname, je možné uviesť na konci tabuľky</t>
  </si>
  <si>
    <t>5: Aan het einde van de tabel kunnen artikelen worden ingevoerd die niet in de lijst zijn vermeld.</t>
  </si>
  <si>
    <t>5: na koncu tabele lahko vnesete elemente, ki niso navedeni na seznamu</t>
  </si>
  <si>
    <t>5: I slutet av tabellen kan artiklar som inte finns i listan noteras.</t>
  </si>
  <si>
    <t>5: Artikler, der ikke er anført i listen, kan indsættes i slutningen af tabellen.</t>
  </si>
  <si>
    <t>5: På slutten av tabellen kan du føre inn artikler som ikke står i listen.</t>
  </si>
  <si>
    <t>5: Sve stavke koje se ne pojavljuju na popisu mogu se unijeti na kraj tablice.</t>
  </si>
  <si>
    <t>5: Die Mengen können je nach Wunsch in Stück (Stk.) oder aufgerundet auf die nächste Verpackungseinheit (VPE) berechnet werden.</t>
  </si>
  <si>
    <t>5: Quantities can be calculated per piece (pc.) or rounded up to the next packaging unit (PU).</t>
  </si>
  <si>
    <t>5 : Les quantités peuvent être calculées à la pièce (pc.) ou bien arrondies à l’unité d’emballage (UE) supérieure.</t>
  </si>
  <si>
    <t>5: Le quantità possono essere calcolate in pezzi (PZ) oppure arrotondati all'intera unità di confezionamento (CF)</t>
  </si>
  <si>
    <t xml:space="preserve">5: Množství může být počítáno dle přání na jednotlivé kusy (ks) nebo zaokrouhleno na celá balení </t>
  </si>
  <si>
    <t>5: Ilość można skalkulować na sztuki (szt.) lub zaokrąglić do pełnych opakowań ( opakowanie ).</t>
  </si>
  <si>
    <t>5: A mennyiségeket igény szerint darabszámmal, vagy csomagolási egységre kerekítve is megadhatjaDie Mengen können je nach Wunsch in Stück (Stk) oder aufgerundet auf die nächste Verpackungseinheit (VPE) berechnet werden.</t>
  </si>
  <si>
    <t>5: De hoeveelheden kunnen naar wens in stuks worden berekend of afgerond naar de volgende verpakkingseenheid</t>
  </si>
  <si>
    <t>5: Količine se lahko izračunajo v kosih (kos.) ali po potrebi zaokrožijo na naslednjo embalažno enoto (EE).</t>
  </si>
  <si>
    <t>Količine lahko izračunate po kosih (kos), ali jih zaokrožite na enoto pakiranje (PAK)</t>
  </si>
  <si>
    <t>5: Mængderne kan beregnes i styk (stykker) eller rundes op til næste emballageenhed (VPE) efter behov.</t>
  </si>
  <si>
    <t>5: Mengdene kan beregnes i stykker (stk.) eller rundes opp til neste emballasjeenhet (VPE) etter behov.</t>
  </si>
  <si>
    <t>5: Količine se mogu prema potrebi izračunati u komadima (kom.) ili zaokružiti na sljedeću jedinicu pakiranja (VPE).</t>
  </si>
  <si>
    <t>Ausbesserungslack; Dose (0,75 l)</t>
  </si>
  <si>
    <t>touch-up paint; can (0.75 l)</t>
  </si>
  <si>
    <t>peinture de retouche ; pot (0,75 l)</t>
  </si>
  <si>
    <t>Vernice di ritocco; barattolo (0,75 l)</t>
  </si>
  <si>
    <t>Opravný lak; plechovka (0,75 l)</t>
  </si>
  <si>
    <t>Lakier do poprawek malarskich; puszka (0,75 l)</t>
  </si>
  <si>
    <t>Javítófesték; doboz (0,75 l)</t>
  </si>
  <si>
    <t>Korekčný lak; nádobka (0,75 l)</t>
  </si>
  <si>
    <t>Retoucheerverf; blik (0,75 l)</t>
  </si>
  <si>
    <t>Popravilna barva; pločevinka (0,75 l)</t>
  </si>
  <si>
    <t>bättringsfärg; burk (0,75 l)</t>
  </si>
  <si>
    <t>Reparationsmaling; dåse (0,75 l)</t>
  </si>
  <si>
    <t>Utbedringslakk; boks (0,75 l)</t>
  </si>
  <si>
    <t>Boja za popravak; limenka (0,75 l)</t>
  </si>
  <si>
    <t>Ausbesserungslack; Dose (12 ml; mit Pinsel)</t>
  </si>
  <si>
    <t>touch-up paint; can (12 ml; with brush)</t>
  </si>
  <si>
    <t>peinture de retouche ; pot (12 ml ; avec pinceau)</t>
  </si>
  <si>
    <t>Vernice di ritocco; barattolo (12 ml; con pennello)</t>
  </si>
  <si>
    <t>Opravný lak; lahvička (12 ml; se štětečkem)</t>
  </si>
  <si>
    <t>Lakier do poprawek malarskich; puszka (12 l; pędzel w zestawie)</t>
  </si>
  <si>
    <t>Javítófesték; doboz (12 ml; ecsettel)</t>
  </si>
  <si>
    <t>Korekčný lak; nádobka (12 ml; so štetcom)</t>
  </si>
  <si>
    <t>Retoucheerverf; blik (12 l; met kwast)</t>
  </si>
  <si>
    <t>Popravilna barva; pločevinka (12 l, s čopičem)</t>
  </si>
  <si>
    <t>bättringsfärg; burk (12 ml; med borste)</t>
  </si>
  <si>
    <t>Reparationsmaling; dåse (12 ml, med pensel)</t>
  </si>
  <si>
    <t>Utbedringslakk; spann (12 l, med pensel)</t>
  </si>
  <si>
    <t>Boja za popravak; limenka (12 l, s kistom)</t>
  </si>
  <si>
    <t>Dose mit Pinsel (50 ml)</t>
  </si>
  <si>
    <t>50 ml can with brush</t>
  </si>
  <si>
    <t>pot avec pinceau (50 ml)</t>
  </si>
  <si>
    <t>50 ml Lattina con pennello</t>
  </si>
  <si>
    <t>50 ml lahvička se štětečkem</t>
  </si>
  <si>
    <t>50 ml puszka z pędzlem.</t>
  </si>
  <si>
    <t>50 ml tubus ecsettel</t>
  </si>
  <si>
    <t>50 ml nádoba so štetcom</t>
  </si>
  <si>
    <t>50 ml pot met kwast</t>
  </si>
  <si>
    <t>50 ml  doza s čopičem</t>
  </si>
  <si>
    <t>50 ml-burk med pensel</t>
  </si>
  <si>
    <t>50 ml dåse med pensel</t>
  </si>
  <si>
    <t>50 ml boks med pensel</t>
  </si>
  <si>
    <t>Limenka s kistom (50 ml)</t>
  </si>
  <si>
    <t>500/35 × 7</t>
  </si>
  <si>
    <t>500/35 × 7</t>
  </si>
  <si>
    <t>6 m</t>
  </si>
  <si>
    <t>6 m</t>
  </si>
  <si>
    <t>6.000 × 375 mm</t>
  </si>
  <si>
    <t>6,000 × 375 mm</t>
  </si>
  <si>
    <t>6 000 × 375 mm</t>
  </si>
  <si>
    <t>6.000 x 375 mm</t>
  </si>
  <si>
    <t>6.000 × 375 mm</t>
  </si>
  <si>
    <t>6000 × 375 mm</t>
  </si>
  <si>
    <t>6000 × 375 mm</t>
  </si>
  <si>
    <t>6: Eventualpositionen können hier gekennzeichnet werden.</t>
  </si>
  <si>
    <t>6: Any additional options can be indicated in this field.</t>
  </si>
  <si>
    <t>6 : Ce champ permet d’indiquer les éventuelles options supplémentaires.</t>
  </si>
  <si>
    <t>6: Eventuali note possono essere segnate in questo spazio</t>
  </si>
  <si>
    <t>6: Zde mohu být označeny alternativní položky</t>
  </si>
  <si>
    <t>6: W tym polu można zaznaczyć dodatkowe opcje.</t>
  </si>
  <si>
    <t>6: Itt adhat meg kiegészítő adatokat</t>
  </si>
  <si>
    <t>6: Sem možete zapísať ďalšie položky</t>
  </si>
  <si>
    <t>6: Voorwaardelijke posities kunnen hier worden gemarkeerd.</t>
  </si>
  <si>
    <t>6: alternatiefposities kunnen hier gekentekend worden</t>
  </si>
  <si>
    <t>6: tukaj lahko označite morebitne pozicije</t>
  </si>
  <si>
    <t>6: Indstillinger kan markeres her.</t>
  </si>
  <si>
    <t>6: Her kan betingede plasser merkes.</t>
  </si>
  <si>
    <t>6: Ovdje se mogu označiti nepredviđene stavke.</t>
  </si>
  <si>
    <t>6: Zusatzvermerke können hier eingefügt werden.</t>
  </si>
  <si>
    <t>6: Add any additional comments here.</t>
  </si>
  <si>
    <t>6 : Ce champ vous permet de fournir des indications supplémentaires.</t>
  </si>
  <si>
    <t>6: Ulteriori annotazioni possono essere inserite qui</t>
  </si>
  <si>
    <t>6:Zde je možné vložit další poznámky</t>
  </si>
  <si>
    <t>6: Dodaj dodatkowe komentarze tutaj.</t>
  </si>
  <si>
    <t>6: megjegyzések</t>
  </si>
  <si>
    <t>6: Sem môžete zapísať ďalšie poznámky</t>
  </si>
  <si>
    <t>6: Hier kunnen aanvullende noties worden ingevoegd.</t>
  </si>
  <si>
    <t>6: tu lahko dodate dodatne opombe</t>
  </si>
  <si>
    <t>6: Kompletterande noteringar kan bifogas här.</t>
  </si>
  <si>
    <t>6: Ekstra anmærkninger kan indsættes her.</t>
  </si>
  <si>
    <t>6: Tilleggsnotater kan føyes til her.</t>
  </si>
  <si>
    <t>6: Ovdje se mogu upisati dodatne napomene.</t>
  </si>
  <si>
    <t>⌀ 60</t>
  </si>
  <si>
    <t>⌀ 60</t>
  </si>
  <si>
    <t>ø60</t>
  </si>
  <si>
    <t>60 ø</t>
  </si>
  <si>
    <t>60 ⌀</t>
  </si>
  <si>
    <t>⌀ 60 × 3.000 mm</t>
  </si>
  <si>
    <t>⌀ 60 × 3,000 mm</t>
  </si>
  <si>
    <t>⌀ 60 × 3 000 mm</t>
  </si>
  <si>
    <t>ø60 x 3.000 mm</t>
  </si>
  <si>
    <t>60 ø x 3.000 mm</t>
  </si>
  <si>
    <t>60 ⌀ × 3.000 mm</t>
  </si>
  <si>
    <t>60 ⌀ × 3000 mm</t>
  </si>
  <si>
    <t>60 ⌀ × 3000 mm</t>
  </si>
  <si>
    <t>60 mm Ausladung</t>
  </si>
  <si>
    <t>60 mm projection</t>
  </si>
  <si>
    <t>projection de 60 mm</t>
  </si>
  <si>
    <t>60 mm disassamento</t>
  </si>
  <si>
    <t>60 mm přesah</t>
  </si>
  <si>
    <t>60 mm ochrony</t>
  </si>
  <si>
    <t>60 mm elhúzás</t>
  </si>
  <si>
    <t>vybočenie 60 mm</t>
  </si>
  <si>
    <t>Reikwijdte 60 mm</t>
  </si>
  <si>
    <t>60 mm grlo</t>
  </si>
  <si>
    <t>60 mm utladdning</t>
  </si>
  <si>
    <t>60 mm udhæng</t>
  </si>
  <si>
    <t>60 mm radius</t>
  </si>
  <si>
    <t>60 mm projekcija</t>
  </si>
  <si>
    <t>600 mm</t>
  </si>
  <si>
    <t>600 mm</t>
  </si>
  <si>
    <t>7: Am Tabellenende können Artikel, die nicht in der Liste aufgelistet sind, eingetragen werden.</t>
  </si>
  <si>
    <t>7: Any items which do not appear in the list can be entered at the end of the table.</t>
  </si>
  <si>
    <t>7 : Vous pouvez intégrer en bas de tableau des articles qui ne sont pas mentionnés dans la liste.</t>
  </si>
  <si>
    <t>7: In fondo alla tabella, possono essere inseriti ulteriori articoli non presenti nella lista</t>
  </si>
  <si>
    <t xml:space="preserve">7: Na konci tabulky mohou být uvedeny položky, které nejsou v seznamu </t>
  </si>
  <si>
    <t>7: Na końcu tabeli można wpisać dowolne pozycje, które nie znajdują się na liście.</t>
  </si>
  <si>
    <t>7: A táblázat végén adhat meg a táblázatban nem szereplő tételeket</t>
  </si>
  <si>
    <t>7: Položky, ktoré nie sú uvedené v zozname, je možné uviesť na konci tabuľky</t>
  </si>
  <si>
    <t>7: Aan het eind van de tabel kunnen producten worden ingezet die niet in de lijst voorkomen</t>
  </si>
  <si>
    <t>7: Izdelke, ki niso navedeni na seznamu, lahko vnesete na koncu tabele.</t>
  </si>
  <si>
    <t>7: na koncu tabele lahko vnesete elemente, ki niso navedeni na seznamu</t>
  </si>
  <si>
    <t>7: Artikler, der ikke står på listen, kan indtastes i slutningen af ​​tabellen.</t>
  </si>
  <si>
    <t>7: Elementer som ikke står på listen kan legges inn på slutten av tabellen.</t>
  </si>
  <si>
    <t>7: Sve stavke koje se ne pojavljuju na popisu mogu se unijeti na kraj tablice.</t>
  </si>
  <si>
    <t>7: Nicht benötigte Positionen können durch den Filter ausgeblendet werden.</t>
  </si>
  <si>
    <t>7: Use this filter to mask any entries that you do not require.</t>
  </si>
  <si>
    <t>7 : Le filtre permet de masquer les entrées dont vous n’avez pas besoin.</t>
  </si>
  <si>
    <t>7: Posizioni non necessarie possono essere nascoste con l'utilizzo dei filtri</t>
  </si>
  <si>
    <t xml:space="preserve">7: Nepoužívané položky mohou být pomocí filtru odstraněny </t>
  </si>
  <si>
    <t>7: Użyj tego filtru do ukrycia wpisów, których nie potrzebujesz.</t>
  </si>
  <si>
    <t>7: A nem szükséges pozíciók kiszűrhetők</t>
  </si>
  <si>
    <t>7: Posten die niet nodig zijn, kunnen door de filter worden verborgen.</t>
  </si>
  <si>
    <t>7: pazite na neoznačene pozicije pri filtriranju</t>
  </si>
  <si>
    <t>7: Ej nödvändiga positioner kan döljas genom filtret.</t>
  </si>
  <si>
    <t>7: Unødvendige positioner kan skjules vha. filteret.</t>
  </si>
  <si>
    <t>7: Posisjoner som ikke er nødvendige, kan fjernes med filteret.</t>
  </si>
  <si>
    <t>7: Koristite filtar za maskiranje svih unosa koji vam nisu potrebni.</t>
  </si>
  <si>
    <t>700 × 1,0 mm</t>
  </si>
  <si>
    <t>700 × 1.0 mm</t>
  </si>
  <si>
    <t>700 x 1,0 mm</t>
  </si>
  <si>
    <t>700 × 1,0 mm</t>
  </si>
  <si>
    <t>8: Zusatzvermerke können hier eingefügt werden.</t>
  </si>
  <si>
    <t>8: Add any additional comments here.</t>
  </si>
  <si>
    <t>8 : Ce champ vous permet de fournir des indications supplémentaires.</t>
  </si>
  <si>
    <t>8: Ulteriori annotazioni possono essere inserite qui</t>
  </si>
  <si>
    <t>8:Zde je možné vložit další poznámky</t>
  </si>
  <si>
    <t>8: Dodaj dodatkowe komentarze tutaj.</t>
  </si>
  <si>
    <t>8: megjegyzések</t>
  </si>
  <si>
    <t>8: Sem môžete zapísať ďalšie poznámky</t>
  </si>
  <si>
    <t>8: Opmerkingen kunnen hier ingevoegd worden</t>
  </si>
  <si>
    <t>8: Tukaj lahko vstavite dodatne opombe.</t>
  </si>
  <si>
    <t>8: tu lahko dodate dodatne opombe</t>
  </si>
  <si>
    <t>8: Yderligere bemærkninger kan indsættes her.</t>
  </si>
  <si>
    <t>8: Tilleggsmerknader kan legges til her.</t>
  </si>
  <si>
    <t>8: Ovdje se mogu upisati dodatne napomene.</t>
  </si>
  <si>
    <t>⌀ 80</t>
  </si>
  <si>
    <t>⌀ 80</t>
  </si>
  <si>
    <t>ø80</t>
  </si>
  <si>
    <t>80 ø</t>
  </si>
  <si>
    <t>80 ⌀</t>
  </si>
  <si>
    <t>9: Nicht benötigte Positionen können durch den Filter ausgeblendet werden.</t>
  </si>
  <si>
    <t>9: Use this filter to mask any entries that you do not require.</t>
  </si>
  <si>
    <t>9 : Le filtre permet de masquer les entrées dont vous n’avez pas besoin.</t>
  </si>
  <si>
    <t>9: Posizioni non necessarie possono essere nascoste con l'utilizzo dei filtri</t>
  </si>
  <si>
    <t xml:space="preserve">9: Nepoužívané položky mohou být pomocí filtru odstraněny </t>
  </si>
  <si>
    <t>9: Użyj tego filtru do ukrycia wpisów, których nie potrzebujesz.</t>
  </si>
  <si>
    <t>9: A nem szükséges pozíciók kiszűrhetők</t>
  </si>
  <si>
    <t>9: Niet benodigde positities kunnen door de filter verdwijnen</t>
  </si>
  <si>
    <t>9: Postavke, ki jih ne potrebujete, lahko skrijete s filtrom.</t>
  </si>
  <si>
    <t>9: pazite na neoznačene pozicije pri filtriranju</t>
  </si>
  <si>
    <t>9: Positioner, der ikke bruges, kan skjules vha. filteret.</t>
  </si>
  <si>
    <t>9: Plasser som ikke er nødvendige kan skjules av filteret.</t>
  </si>
  <si>
    <t>9: Koristite filtar za maskiranje svih unosa koji vam nisu potrebni.</t>
  </si>
  <si>
    <t>A</t>
  </si>
  <si>
    <t>Abbildung</t>
  </si>
  <si>
    <t>Picture</t>
  </si>
  <si>
    <t>Illustration</t>
  </si>
  <si>
    <t>Figura</t>
  </si>
  <si>
    <t>Produkt</t>
  </si>
  <si>
    <t xml:space="preserve">Zdjęcie </t>
  </si>
  <si>
    <t>ábra</t>
  </si>
  <si>
    <t>Afbeelding</t>
  </si>
  <si>
    <t>fotografija</t>
  </si>
  <si>
    <t>Bild</t>
  </si>
  <si>
    <t>Illustrasjon</t>
  </si>
  <si>
    <t>Slika</t>
  </si>
  <si>
    <t>Abdeckkappe</t>
  </si>
  <si>
    <t>protective cap</t>
  </si>
  <si>
    <t>cache</t>
  </si>
  <si>
    <t>Tappo di copertura</t>
  </si>
  <si>
    <t>krytka</t>
  </si>
  <si>
    <t>Pokrywa</t>
  </si>
  <si>
    <t>takaróelem</t>
  </si>
  <si>
    <t>Afdekkap</t>
  </si>
  <si>
    <t>Pokrovček</t>
  </si>
  <si>
    <t>täcklock</t>
  </si>
  <si>
    <t>Dæksel</t>
  </si>
  <si>
    <t>Deksel</t>
  </si>
  <si>
    <t>Pokrovna kapa</t>
  </si>
  <si>
    <t>Abdeckkappe für Rohrschellendorn</t>
  </si>
  <si>
    <t>protective cap for pipe bracket pin</t>
  </si>
  <si>
    <t>cache pour goujon de collier</t>
  </si>
  <si>
    <t>Calotta per chiodo collare</t>
  </si>
  <si>
    <t>Plastová krytka trnu k objímce</t>
  </si>
  <si>
    <t>nasadka ochronna na bolce wspornika</t>
  </si>
  <si>
    <t>takaróelem lefolyócsőbilincs-szárhoz</t>
  </si>
  <si>
    <t>kryt tŕňa objímky zvodu</t>
  </si>
  <si>
    <t>afdekkap voor klembeugeldoorn</t>
  </si>
  <si>
    <t>pokrivna kapa za objemko</t>
  </si>
  <si>
    <t>täckkåpa för rörsvepsdorn</t>
  </si>
  <si>
    <t>dækkappe til rørbøjledorn</t>
  </si>
  <si>
    <t>deksel for rørklemmestift</t>
  </si>
  <si>
    <t>Pokrovna kapa za trn cijevne obujmice</t>
  </si>
  <si>
    <t>Abdeckkappe für Sunny Solarhalter</t>
  </si>
  <si>
    <t>protective cap for Sunny solar bracket</t>
  </si>
  <si>
    <t>cache pour support solaire Sunny</t>
  </si>
  <si>
    <t>Tappo di copertura per staffa pannelli solari Sunny</t>
  </si>
  <si>
    <t xml:space="preserve">krytka držáku Sunny </t>
  </si>
  <si>
    <t>Osłona uchwytu paneli fotowoltaicznych Sunny</t>
  </si>
  <si>
    <t>takaróelem Sunny napelemtartóhoz</t>
  </si>
  <si>
    <t>krytka pre solárny držiak Sunny</t>
  </si>
  <si>
    <t>Afdekkap voor Sunny solarhouder</t>
  </si>
  <si>
    <t>Pokrovček za nosilec solarnega panela Sunny</t>
  </si>
  <si>
    <t>täcklock till Sunny Solar-hållare</t>
  </si>
  <si>
    <t>Dæksel til Sunny solcelleholder</t>
  </si>
  <si>
    <t>Deksel til holder for solcellepanel Sunny</t>
  </si>
  <si>
    <t>Pokrovna kapa za Sunny solar držač</t>
  </si>
  <si>
    <t>Abdeckleiste</t>
  </si>
  <si>
    <t>cover strip</t>
  </si>
  <si>
    <t>couvre-joint</t>
  </si>
  <si>
    <t>Striscia di copertura</t>
  </si>
  <si>
    <t>krycí lišta</t>
  </si>
  <si>
    <t>Listwa maskująca</t>
  </si>
  <si>
    <t>takarósín</t>
  </si>
  <si>
    <t>krycia lišta</t>
  </si>
  <si>
    <t>Afdekstrip</t>
  </si>
  <si>
    <t>Prekrivna letev</t>
  </si>
  <si>
    <t>täcklist</t>
  </si>
  <si>
    <t>Dækliste</t>
  </si>
  <si>
    <t>Dekklist</t>
  </si>
  <si>
    <t>Pokrovna lajsna</t>
  </si>
  <si>
    <t>Abdeckstreifen</t>
  </si>
  <si>
    <t>cover flashing</t>
  </si>
  <si>
    <t>bande de recouvrement</t>
  </si>
  <si>
    <t>Bandella di copertura</t>
  </si>
  <si>
    <t>Krycí pás</t>
  </si>
  <si>
    <t>Maskownica</t>
  </si>
  <si>
    <t>takarócsík</t>
  </si>
  <si>
    <t>krycí pásik</t>
  </si>
  <si>
    <t>Afdekstroken</t>
  </si>
  <si>
    <t>Prekrivni trak</t>
  </si>
  <si>
    <t>maskeringsremsor</t>
  </si>
  <si>
    <t>Afdækningsstrimler</t>
  </si>
  <si>
    <t>Dekklister</t>
  </si>
  <si>
    <t>Pokrovna traka</t>
  </si>
  <si>
    <t>Abdeckung aus PREFALZ</t>
  </si>
  <si>
    <t>flashing with Prefalz</t>
  </si>
  <si>
    <t>couvertures PREFALZ</t>
  </si>
  <si>
    <t>Copertura in PREFALZ</t>
  </si>
  <si>
    <t>krytí PREFALZ</t>
  </si>
  <si>
    <t>Pokrywa PREFALZ</t>
  </si>
  <si>
    <t>PREFALZ takaróelem</t>
  </si>
  <si>
    <t>krycí profil z PREFALZ-u</t>
  </si>
  <si>
    <t>Afdekking van PREFALZ</t>
  </si>
  <si>
    <t>Kritina iz PREFALZ</t>
  </si>
  <si>
    <t>PREFALZ-beklädnad</t>
  </si>
  <si>
    <t>Afdækning fra PREFALZ</t>
  </si>
  <si>
    <t>Tildekking av PREFALZ</t>
  </si>
  <si>
    <t>Pokrov od PREFALZ-a</t>
  </si>
  <si>
    <t>abgehängte Dachgeschossbekleidung (z. B.: System Knauf)</t>
  </si>
  <si>
    <t>suspended attic cladding (e.g. Knauf system)</t>
  </si>
  <si>
    <t>revêtement de plafond suspendu (p. ex. système Knauf)</t>
  </si>
  <si>
    <t>Rivestimento sottotetto a sospensione (ad esempio: sistema Knauf)</t>
  </si>
  <si>
    <t>zavěšený podhled (např. systém Knauf)</t>
  </si>
  <si>
    <t>podwieszane okładziny dla attyk (np.: system Knauf)</t>
  </si>
  <si>
    <t>felfüggesztett tetőburkolat (pl.: System Knauf)</t>
  </si>
  <si>
    <t>zavesené obloženie povalového priestoru (napr.: systém Knauf)</t>
  </si>
  <si>
    <t>zwevende zolderbekleding (bijv. Systeem Knauf)</t>
  </si>
  <si>
    <t>viseča podstrešna obloga (na primer: Knauf sistem)</t>
  </si>
  <si>
    <t>upphängd vindsbeklädnad (t. ex.: System Knauf)</t>
  </si>
  <si>
    <t>ophængt loftbeklædning (f. eks.: System Knauf)</t>
  </si>
  <si>
    <t>hengende himlingsbekledning (f. eks.: Knauf-systemet)</t>
  </si>
  <si>
    <t>obloga potkrovlja (n pr.: Knauf sustav)</t>
  </si>
  <si>
    <t>Abgewickelte Außenecke</t>
  </si>
  <si>
    <t>uncoiled external corner</t>
  </si>
  <si>
    <t>angle sortant (déroulé)</t>
  </si>
  <si>
    <t>Angolo esterno non rivestito</t>
  </si>
  <si>
    <t>Rozvinutý vnější roh</t>
  </si>
  <si>
    <t>Narożnik rozkładany</t>
  </si>
  <si>
    <t>kibontott külső sarok</t>
  </si>
  <si>
    <t>rozvinutý vonkajší rohový profil</t>
  </si>
  <si>
    <t>Afgewikkelde buitenhoek</t>
  </si>
  <si>
    <t>Razvit zunanji vogal</t>
  </si>
  <si>
    <t>Utvecklat ytterhörn</t>
  </si>
  <si>
    <t>Udviklet yderhjørne</t>
  </si>
  <si>
    <t>Vinklet ytterhjørne</t>
  </si>
  <si>
    <t>Vanjski kut</t>
  </si>
  <si>
    <t>Ablauf</t>
  </si>
  <si>
    <t>downpipes</t>
  </si>
  <si>
    <t>tuyau de descente</t>
  </si>
  <si>
    <t>Scarico</t>
  </si>
  <si>
    <t>Odtok</t>
  </si>
  <si>
    <t>Odpływ</t>
  </si>
  <si>
    <t>lefolyó</t>
  </si>
  <si>
    <t>odtok</t>
  </si>
  <si>
    <t>Afvoer</t>
  </si>
  <si>
    <t>Izpust</t>
  </si>
  <si>
    <t>procedur</t>
  </si>
  <si>
    <t>Afløb</t>
  </si>
  <si>
    <t>Avløp</t>
  </si>
  <si>
    <t>Odvod</t>
  </si>
  <si>
    <t>Ablaufdimension:</t>
  </si>
  <si>
    <t>Downpipe dimension:</t>
  </si>
  <si>
    <t>Dimension du tuyau de descente :</t>
  </si>
  <si>
    <t>Diametro pluviale</t>
  </si>
  <si>
    <t>Rozměry</t>
  </si>
  <si>
    <t>Średnica rury spustowej:</t>
  </si>
  <si>
    <t>Lefolyási keresztmetszet:</t>
  </si>
  <si>
    <t>Dimenzia zvodu:</t>
  </si>
  <si>
    <t>Afloopdimensie:</t>
  </si>
  <si>
    <t>Dimenzije</t>
  </si>
  <si>
    <t>Avrinningsdimension:</t>
  </si>
  <si>
    <t>Forløbsmål:</t>
  </si>
  <si>
    <t>Nedløpsdimensjon:</t>
  </si>
  <si>
    <t>Dimenzije odvoda:</t>
  </si>
  <si>
    <t>Ablaufkette (5 mm)</t>
  </si>
  <si>
    <t>rain chain (5 mm)</t>
  </si>
  <si>
    <t>chaîne (5 mm)</t>
  </si>
  <si>
    <t>Catena 5 mm</t>
  </si>
  <si>
    <t>Svodový řetěz 5 mm</t>
  </si>
  <si>
    <t>Łańcuch spustowy 5 mm</t>
  </si>
  <si>
    <t>lefolyólánc 5 mm</t>
  </si>
  <si>
    <t>reťaz daždového zvodu 5 mm</t>
  </si>
  <si>
    <t>afloopketting 5 mm</t>
  </si>
  <si>
    <t>veriga za odtok</t>
  </si>
  <si>
    <t>avrinningskedja 5 mm</t>
  </si>
  <si>
    <t>nedløbskæde 5 mm</t>
  </si>
  <si>
    <t>nedløpskjetting 5 mm</t>
  </si>
  <si>
    <t>Odvodni lanac (5 mm)</t>
  </si>
  <si>
    <t>Ablaufrohr (1,6 mm; DN 100)</t>
  </si>
  <si>
    <t>downpipe (1.6 mm; DN 100)</t>
  </si>
  <si>
    <t>tuyau de descente (1,6 mm ; DN 100)</t>
  </si>
  <si>
    <t>Pluviale 1,6 mm DN 100</t>
  </si>
  <si>
    <t>Kruhový svod robustní 1,6 mm DN 100</t>
  </si>
  <si>
    <t>rura spustowa 1,6 mm DN 100</t>
  </si>
  <si>
    <t>lefolyócső 1,6 mm DN 100</t>
  </si>
  <si>
    <t>afloopbuis 1,6 mm DN 100</t>
  </si>
  <si>
    <t>iztočna cev debeline 1,6 mm DN 100</t>
  </si>
  <si>
    <t>stuprör, 1,6 mm DN 100</t>
  </si>
  <si>
    <t>nedløbsrør 1,6 mm DN 100</t>
  </si>
  <si>
    <t>nedløpsrør 1,6 mm DN 100</t>
  </si>
  <si>
    <t>Odvodna cijev (1,6 mm; DN 100)</t>
  </si>
  <si>
    <t>Ablaufrohr (DN 60; geschweißt)</t>
  </si>
  <si>
    <t>downpipe (DN 60, welded)</t>
  </si>
  <si>
    <t>tuyau de descente (DN 60 ; soudé)</t>
  </si>
  <si>
    <t>Pluviale DN 60 saldato</t>
  </si>
  <si>
    <t>Kruhový svod DN 60 svařovaný</t>
  </si>
  <si>
    <t>rura spustowa DN 60 spawana</t>
  </si>
  <si>
    <t>lefolyócső DN 60 hegesztett</t>
  </si>
  <si>
    <t>afloopbuis DN 60 gelast</t>
  </si>
  <si>
    <t>Prefa iztočna cev DN 60 varjena</t>
  </si>
  <si>
    <t>stuprör DN 60 svetsat</t>
  </si>
  <si>
    <t>nedløbsrør DN 60 svejset</t>
  </si>
  <si>
    <t>nedløpsrør DN 60 sveiset</t>
  </si>
  <si>
    <t>Odvodna cijev (DN 60; zavarena)</t>
  </si>
  <si>
    <t>Ablaufrohre</t>
  </si>
  <si>
    <t>tuyaux de descente</t>
  </si>
  <si>
    <t>Tubi pluviali</t>
  </si>
  <si>
    <t>střešní svod</t>
  </si>
  <si>
    <t>Rury spustowe</t>
  </si>
  <si>
    <t>lefolyócsövek</t>
  </si>
  <si>
    <t>dažďové zvody</t>
  </si>
  <si>
    <t>Afvoerbuizen</t>
  </si>
  <si>
    <t>Iztočne cevi</t>
  </si>
  <si>
    <t>avloppsrör</t>
  </si>
  <si>
    <t>Afløbsrør</t>
  </si>
  <si>
    <t>Dreneringsrør</t>
  </si>
  <si>
    <t>Odvodne cijevi</t>
  </si>
  <si>
    <t>Abluft</t>
  </si>
  <si>
    <t>outgoing air</t>
  </si>
  <si>
    <t>sortie d’air</t>
  </si>
  <si>
    <t>Uscita ventilazione</t>
  </si>
  <si>
    <t>odvětrání</t>
  </si>
  <si>
    <t>Wylot powietrza</t>
  </si>
  <si>
    <t>kiszellőzés</t>
  </si>
  <si>
    <t>odvod vzduchu</t>
  </si>
  <si>
    <t>Luchtafvoer</t>
  </si>
  <si>
    <t>Izpuh</t>
  </si>
  <si>
    <t>frånluft</t>
  </si>
  <si>
    <t>Udsugningsluft</t>
  </si>
  <si>
    <t>Lufting</t>
  </si>
  <si>
    <t>Izlazni zrak</t>
  </si>
  <si>
    <t>Abmessungen</t>
  </si>
  <si>
    <t>dimensions</t>
  </si>
  <si>
    <t>Dimensioni</t>
  </si>
  <si>
    <t>Wymiary</t>
  </si>
  <si>
    <t>méretek</t>
  </si>
  <si>
    <t>rozmery</t>
  </si>
  <si>
    <t>Afmetingen</t>
  </si>
  <si>
    <t>mått</t>
  </si>
  <si>
    <t>Mål</t>
  </si>
  <si>
    <t>Dimensjoner</t>
  </si>
  <si>
    <t>Abschluss für Schneerechen</t>
  </si>
  <si>
    <t>end piece for pipe-style snow guard</t>
  </si>
  <si>
    <t>embout pour tubes pare-neige</t>
  </si>
  <si>
    <t>Testata per tubi fermaneve</t>
  </si>
  <si>
    <t>Ukončení tyčové sněhové zábrany</t>
  </si>
  <si>
    <t>zakończenie bariery śniegowej prętowej</t>
  </si>
  <si>
    <t>záróelem hófogóhoz</t>
  </si>
  <si>
    <t>ukončovací prvok rúrkového zachytávača snehu</t>
  </si>
  <si>
    <t>afsluiting voor sneeuwhark</t>
  </si>
  <si>
    <t>zaključek za linijski snegolov</t>
  </si>
  <si>
    <t>Slutstycke för snöräcke</t>
  </si>
  <si>
    <t>afslutning til snegitter</t>
  </si>
  <si>
    <t>endestykke for snøfanger</t>
  </si>
  <si>
    <t>Završni dio za rešetkasti snjegobran</t>
  </si>
  <si>
    <t>Abschlussprofil für Profilwelle</t>
  </si>
  <si>
    <t>profil de fin pour profil sinus</t>
  </si>
  <si>
    <t>Profilo di chiusura per profilo ondulato</t>
  </si>
  <si>
    <t>Ukončovací profil pro profil s vlnou</t>
  </si>
  <si>
    <t>Profil końcowy do profilu falistego</t>
  </si>
  <si>
    <t>záróprofil profilhullámhoz</t>
  </si>
  <si>
    <t>ukončovací profil vlnitého profilu</t>
  </si>
  <si>
    <t>Eindprofiel voor golfplaat</t>
  </si>
  <si>
    <t>Zaključni profil za valoviti profil</t>
  </si>
  <si>
    <t>ändprofil för vågprofil</t>
  </si>
  <si>
    <t>Endeprofil til profilbølge</t>
  </si>
  <si>
    <t>Endeprofil for bølgeprofil</t>
  </si>
  <si>
    <t>Završni profil za valoviti profil</t>
  </si>
  <si>
    <t>profil de fin (longueur : 2 500 mm)</t>
  </si>
  <si>
    <t>Abspanneisen</t>
  </si>
  <si>
    <t>bending tool</t>
  </si>
  <si>
    <t>outil de serrage des sillons</t>
  </si>
  <si>
    <t>Ferro di spianatura</t>
  </si>
  <si>
    <t>narzędzie kantujące</t>
  </si>
  <si>
    <t>fesztővas</t>
  </si>
  <si>
    <t>napínací nástroj</t>
  </si>
  <si>
    <t>spanijzer</t>
  </si>
  <si>
    <t>orodje za prilagoditev vala</t>
  </si>
  <si>
    <t>spännjärn</t>
  </si>
  <si>
    <t>afspændingsjern</t>
  </si>
  <si>
    <t>avspenningsjern</t>
  </si>
  <si>
    <t>Željezo za ravnanje</t>
  </si>
  <si>
    <t>Achsmaß</t>
  </si>
  <si>
    <t>centre-to-centre distance</t>
  </si>
  <si>
    <t>entraxe</t>
  </si>
  <si>
    <t>Dimensione interasse</t>
  </si>
  <si>
    <t>Vzdálenost os</t>
  </si>
  <si>
    <t>Wymiar osi</t>
  </si>
  <si>
    <t>tengelyméret</t>
  </si>
  <si>
    <t>osová vzdialenosť</t>
  </si>
  <si>
    <t>Asafmeting</t>
  </si>
  <si>
    <t>Osna dimenzija</t>
  </si>
  <si>
    <t>axelmått</t>
  </si>
  <si>
    <t>Aksemål</t>
  </si>
  <si>
    <t>Aksedimensjon</t>
  </si>
  <si>
    <t>Dimenzija osi</t>
  </si>
  <si>
    <t>Siding</t>
  </si>
  <si>
    <t>siding (PREFA)</t>
  </si>
  <si>
    <t>Doga</t>
  </si>
  <si>
    <t>siding</t>
  </si>
  <si>
    <t>Fasadna kazeta</t>
  </si>
  <si>
    <t>Siding mit Schattenfuge</t>
  </si>
  <si>
    <t>siding with shadow gap (PREFA)</t>
  </si>
  <si>
    <t>Siding avec joint creux</t>
  </si>
  <si>
    <t>Doga con fuga</t>
  </si>
  <si>
    <t>Siding se spárou</t>
  </si>
  <si>
    <t>Siding z fugami cieniowymi</t>
  </si>
  <si>
    <t>Siding árnyékfugával</t>
  </si>
  <si>
    <t>Siding s tieňovou špárou</t>
  </si>
  <si>
    <t>Siding met schaduwvoeg</t>
  </si>
  <si>
    <t>Siding s senčno fugo</t>
  </si>
  <si>
    <t>siding med skuggfog</t>
  </si>
  <si>
    <t>Siding med skyggefuge</t>
  </si>
  <si>
    <t>Fasadna kazeta s naglašenim spojem</t>
  </si>
  <si>
    <t>Siding ohne Schattenfuge</t>
  </si>
  <si>
    <t>siding without shadow gap (PREFA)</t>
  </si>
  <si>
    <t>Siding sans joint creux</t>
  </si>
  <si>
    <t>Doga senza fuga</t>
  </si>
  <si>
    <t>Siding bez spáry</t>
  </si>
  <si>
    <t>Siding bez fug cieniowych</t>
  </si>
  <si>
    <t>Siding árnyékfuga nélkül</t>
  </si>
  <si>
    <t>Siding bez tieňovej špáry</t>
  </si>
  <si>
    <t>Siding zonder schaduwvoeg</t>
  </si>
  <si>
    <t>Siding brez senčne fuge</t>
  </si>
  <si>
    <t>siding utan skuggfog</t>
  </si>
  <si>
    <t>Siding uden skyggefuge</t>
  </si>
  <si>
    <t>Siding uten skyggefuge</t>
  </si>
  <si>
    <t>Fasadna kazeta bez naglašenog spoja</t>
  </si>
  <si>
    <t>Aluminium Verbundplatte (mechanisch befestigt)</t>
  </si>
  <si>
    <t>PREFABOND aluminium composite panel (fastened mechanically)</t>
  </si>
  <si>
    <t>panneau composite (fixation mécanique)</t>
  </si>
  <si>
    <t>Pannello composito in alluminio (fissato meccanicamente)</t>
  </si>
  <si>
    <t>Hliníková kompozitní deska (připevněná mechanicky)</t>
  </si>
  <si>
    <t>Płyta kompozytowa z aluminium (mocowana mechanicznie)</t>
  </si>
  <si>
    <t>alumínium kompozit lemez (mechanikusan rögzített)</t>
  </si>
  <si>
    <t>hliníkový kompozitný panel (mechanicky kotvený)</t>
  </si>
  <si>
    <t>Aluminium composietplaat (mechanisch bevestigd)</t>
  </si>
  <si>
    <t>Aluminijasta kompozitna plošča (mehanska pritrditev)</t>
  </si>
  <si>
    <t>aluminiumkompositpanel (mekaniskt fäst)</t>
  </si>
  <si>
    <t>Aluminiumkompositplade (mekanisk fastgjort)</t>
  </si>
  <si>
    <t>Aluminiumkomposittplate (mekanisk festet)</t>
  </si>
  <si>
    <t>Aluminijska kompozitna ploča (mehanički pričvršćena)</t>
  </si>
  <si>
    <t>Dachrinne (mit Schutzfolie außen)</t>
  </si>
  <si>
    <t>aluminium gutter with protective film on the outside</t>
  </si>
  <si>
    <t>gouttière (avec film de protection sur face extérieure)</t>
  </si>
  <si>
    <t>Canali di gronda in alluminio con pellicola protettiva lato esterno</t>
  </si>
  <si>
    <t>Hliníkový žlab s ochranou folií na vnější straně</t>
  </si>
  <si>
    <t>rynna z folią ochronną na zewnątrz</t>
  </si>
  <si>
    <t>alumínium függő ereszcsatorna külső védőfóliával</t>
  </si>
  <si>
    <t>aluminium dakgoot met beschermfolie buiten</t>
  </si>
  <si>
    <t>aluminajsti strešni žleb z zaščitno folino na zun. Strani</t>
  </si>
  <si>
    <t>takränna av aluminium med utvändig skyddsfolie</t>
  </si>
  <si>
    <t>aluminium tagrende med udvendig beskyttelsesfolie</t>
  </si>
  <si>
    <t>takrenne i aluminium med utvendig beskyttelsesfolie</t>
  </si>
  <si>
    <t>Krovni žlijeb (s vanjskom zaštitnom folijom)</t>
  </si>
  <si>
    <t>Kastenrinne</t>
  </si>
  <si>
    <t>aluminium box gutter</t>
  </si>
  <si>
    <t>gouttière carrée</t>
  </si>
  <si>
    <t>Canale quadro di gronda in alluminio</t>
  </si>
  <si>
    <t>Hliníkový žlab hranatý</t>
  </si>
  <si>
    <t>Rynna kwadratowa ?</t>
  </si>
  <si>
    <t>alumínium négyszögszelvényű ereszcsatorna</t>
  </si>
  <si>
    <t>aluminium bakgoot</t>
  </si>
  <si>
    <t>pravokotni žleb</t>
  </si>
  <si>
    <t>lådränna av aluminium</t>
  </si>
  <si>
    <t>aluminiumskasserende</t>
  </si>
  <si>
    <t>firkantrenne i aluminium</t>
  </si>
  <si>
    <t>Sandučasti žlijeb</t>
  </si>
  <si>
    <t>Aluminium Verbundplatte</t>
  </si>
  <si>
    <t>PREFABOND aluminium composite panel</t>
  </si>
  <si>
    <t>panneau composite en aluminium</t>
  </si>
  <si>
    <t>Pannello composito in alluminio</t>
  </si>
  <si>
    <t>Hliníková kompozitní deska</t>
  </si>
  <si>
    <t>Płyta kompozytowa z aluminium</t>
  </si>
  <si>
    <t>alumínium kompozit lemez</t>
  </si>
  <si>
    <t>hliníkový kompozitný panel</t>
  </si>
  <si>
    <t>Aluminium composietplaat</t>
  </si>
  <si>
    <t>Aluminijasta kompozitna plošča</t>
  </si>
  <si>
    <t>aluminiumkompositpanel</t>
  </si>
  <si>
    <t>Aluminiumskompositplade</t>
  </si>
  <si>
    <t>Aluminiumkomposittplate</t>
  </si>
  <si>
    <t>Aluminijska kompozitna ploča</t>
  </si>
  <si>
    <t>Aluminium Verbundplatte (geklebt)</t>
  </si>
  <si>
    <t>PREFABOND aluminium composite panel (glued)</t>
  </si>
  <si>
    <t>panneau composite (collé)</t>
  </si>
  <si>
    <t>Pannello composito in alluminio (incollato)</t>
  </si>
  <si>
    <t>Hliníková kompozitní deska (přilepená)</t>
  </si>
  <si>
    <t>Płyta kompozytowa z aluminium (klejona)</t>
  </si>
  <si>
    <t>alumínium kompozit lemez (ragasztott)</t>
  </si>
  <si>
    <t>hliníkový kompozitný panel (lepený)</t>
  </si>
  <si>
    <t>Aluminium composietplaat (gelijmd)</t>
  </si>
  <si>
    <t>Aluminijasta kompozitna plošča (lepljena)</t>
  </si>
  <si>
    <t>aluminiumkompositpanel (limmad)</t>
  </si>
  <si>
    <t>Aluminiumskompositplade (limet)</t>
  </si>
  <si>
    <t>Aluminiumkomposittplate (limt)</t>
  </si>
  <si>
    <t>Aluminijska kompozitna ploča (zalijepljena)</t>
  </si>
  <si>
    <t>Kantteil</t>
  </si>
  <si>
    <t>aluminium edge part</t>
  </si>
  <si>
    <t>profilé</t>
  </si>
  <si>
    <t>Scossalina gocciolatoio</t>
  </si>
  <si>
    <t>hliníkový ohýbaný díl</t>
  </si>
  <si>
    <t>Kątownik</t>
  </si>
  <si>
    <t>élrész</t>
  </si>
  <si>
    <t>Voegwerk</t>
  </si>
  <si>
    <t>Robni del</t>
  </si>
  <si>
    <t>kantdel</t>
  </si>
  <si>
    <t>Kantdel</t>
  </si>
  <si>
    <t>Rubni dio</t>
  </si>
  <si>
    <t>Aluminiumlötstäbe</t>
  </si>
  <si>
    <t>aluminium welding rods</t>
  </si>
  <si>
    <t>baguettes de soudure en aluminium</t>
  </si>
  <si>
    <t>Bacchette per la brasatura dell'alluminio</t>
  </si>
  <si>
    <t>Alu letovací tyčinky</t>
  </si>
  <si>
    <t>druty do spawania</t>
  </si>
  <si>
    <t>alumínium forrasztópáka</t>
  </si>
  <si>
    <t>tyče na spájkovanie hliníka</t>
  </si>
  <si>
    <t>aluminium-soldeerstaven</t>
  </si>
  <si>
    <t>aluminijaste palice za lotanje</t>
  </si>
  <si>
    <t>lödstavar av aluminium</t>
  </si>
  <si>
    <t>aluminiumsloddestænger</t>
  </si>
  <si>
    <t>aluminiumsloddebolter</t>
  </si>
  <si>
    <t>Aluminijski štapići za lemljenje</t>
  </si>
  <si>
    <t>Anschlussblech</t>
  </si>
  <si>
    <t>connection plate</t>
  </si>
  <si>
    <t>feuille de raccordement</t>
  </si>
  <si>
    <t>Conversa</t>
  </si>
  <si>
    <t>napojovací plech</t>
  </si>
  <si>
    <t>Blacha łącząca</t>
  </si>
  <si>
    <t>csatlakozólemez</t>
  </si>
  <si>
    <t>pripojovací plech</t>
  </si>
  <si>
    <t>Verbindingsplaat</t>
  </si>
  <si>
    <t>Priključna pločevina</t>
  </si>
  <si>
    <t>anslutningsplåt</t>
  </si>
  <si>
    <t>Forbindelsesplade</t>
  </si>
  <si>
    <t>Koblingsplate</t>
  </si>
  <si>
    <t>Spojna ploča</t>
  </si>
  <si>
    <t>Anschlussvariante</t>
  </si>
  <si>
    <t>connection variant</t>
  </si>
  <si>
    <t>variante de raccordement</t>
  </si>
  <si>
    <t>Variante di raccordo</t>
  </si>
  <si>
    <t>varianta napojení</t>
  </si>
  <si>
    <t>Wariant połączenia</t>
  </si>
  <si>
    <t>csatlakozóváltozat</t>
  </si>
  <si>
    <t>variant pripojenia</t>
  </si>
  <si>
    <t>Verbindingsvariant</t>
  </si>
  <si>
    <t>Priključna različica</t>
  </si>
  <si>
    <t>anslutningsvariant</t>
  </si>
  <si>
    <t>Tilslutningstyper</t>
  </si>
  <si>
    <t>Koblingsvarianter</t>
  </si>
  <si>
    <t>Spojna varijanta</t>
  </si>
  <si>
    <t>Ansicht</t>
  </si>
  <si>
    <t>detailed view</t>
  </si>
  <si>
    <t>détail</t>
  </si>
  <si>
    <t>Vista</t>
  </si>
  <si>
    <t>Náhled</t>
  </si>
  <si>
    <t>Widok</t>
  </si>
  <si>
    <t>nézet</t>
  </si>
  <si>
    <t>Weergave</t>
  </si>
  <si>
    <t>Pogled</t>
  </si>
  <si>
    <t>Framsida</t>
  </si>
  <si>
    <t>Forside</t>
  </si>
  <si>
    <t>Visning</t>
  </si>
  <si>
    <t>Prikaz</t>
  </si>
  <si>
    <t>Ansicht – Produktübersicht</t>
  </si>
  <si>
    <t>product overview</t>
  </si>
  <si>
    <t>aperçu des produits</t>
  </si>
  <si>
    <t>Vista - Panoramica dei prodotti</t>
  </si>
  <si>
    <t>Náhled – Přehled produktů</t>
  </si>
  <si>
    <t>Widok – przegląd produktów</t>
  </si>
  <si>
    <t>nézet – termékek áttekintés</t>
  </si>
  <si>
    <t>Weergave - Productoverzicht</t>
  </si>
  <si>
    <t>Pogled – pregled izdelkov</t>
  </si>
  <si>
    <t>Framsida – produktöversikt</t>
  </si>
  <si>
    <t>Forside - Produktoversigt</t>
  </si>
  <si>
    <t>Visning – produktoversikt</t>
  </si>
  <si>
    <t>Prikaz – Pregled proizvoda</t>
  </si>
  <si>
    <t>Ansicht – Schnürmaß</t>
  </si>
  <si>
    <t>chalk-line spacing</t>
  </si>
  <si>
    <t>aperçu du traçage</t>
  </si>
  <si>
    <t>Vista - Misura del cavo</t>
  </si>
  <si>
    <t>Náhled – Míra (provázek)</t>
  </si>
  <si>
    <t>Widok – obmiar sznurowania</t>
  </si>
  <si>
    <t>nézet – zsinórméret</t>
  </si>
  <si>
    <t>Weergave - Vetersluiting</t>
  </si>
  <si>
    <t>Pogled – vrvična mera</t>
  </si>
  <si>
    <t>Framsida – snörning</t>
  </si>
  <si>
    <t>Forside – mål</t>
  </si>
  <si>
    <t>Visning – innsnevring</t>
  </si>
  <si>
    <t>Prikaz – Veličina veze</t>
  </si>
  <si>
    <t>Ansprechpartner:</t>
  </si>
  <si>
    <t>Contact:</t>
  </si>
  <si>
    <t>Interlocuteur :</t>
  </si>
  <si>
    <t>Referente:</t>
  </si>
  <si>
    <t>Kontakt:</t>
  </si>
  <si>
    <t>Kapcsolattartó:</t>
  </si>
  <si>
    <t>Contactpersoon:</t>
  </si>
  <si>
    <t>Kontaktna oseba</t>
  </si>
  <si>
    <t>Kontaktperson:</t>
  </si>
  <si>
    <t>Osoba za kontakt:</t>
  </si>
  <si>
    <t>Anwendungstechnik</t>
  </si>
  <si>
    <t>Application technology</t>
  </si>
  <si>
    <t>Service technique</t>
  </si>
  <si>
    <t>Technologia aplikacji</t>
  </si>
  <si>
    <t>Alkalmazástechnika</t>
  </si>
  <si>
    <t>Technické oddelenie</t>
  </si>
  <si>
    <t>Toepassingstechniek</t>
  </si>
  <si>
    <t>Tehnika</t>
  </si>
  <si>
    <t>Användningsteknik</t>
  </si>
  <si>
    <t>Anvendelsesteknik</t>
  </si>
  <si>
    <t>Monteringsteknikk</t>
  </si>
  <si>
    <t>Primjena</t>
  </si>
  <si>
    <t>ANWENDUNGSTECHNIK</t>
  </si>
  <si>
    <t>APPLICATION TECHNOLOGY</t>
  </si>
  <si>
    <t>SERVICE TECHNIQUE</t>
  </si>
  <si>
    <t>TECHNIKA ZASTOSOWANIA</t>
  </si>
  <si>
    <t>ALKALMAZÁSTECHNIKA</t>
  </si>
  <si>
    <t>TECHNICKÉ ODDELENIE</t>
  </si>
  <si>
    <t>TOEPASSINGSTECHNOLOGIE</t>
  </si>
  <si>
    <t>TEHNIKA UPORABE</t>
  </si>
  <si>
    <t>ANVÄNDNINGSTEKNIK</t>
  </si>
  <si>
    <t>ANVENDELSESTEKNOLOGI</t>
  </si>
  <si>
    <t>BRUKSTEKNIKK</t>
  </si>
  <si>
    <t>TEHNOLOGIJA PRIMJENE</t>
  </si>
  <si>
    <t>Toepassingstechnologie</t>
  </si>
  <si>
    <t>techniek</t>
  </si>
  <si>
    <t>Anvendelsesteknologi</t>
  </si>
  <si>
    <t>Bruksteknikk</t>
  </si>
  <si>
    <t>Tehnologija primjene</t>
  </si>
  <si>
    <t>Artikel-Nr.</t>
  </si>
  <si>
    <t>Article no.</t>
  </si>
  <si>
    <t>Référence</t>
  </si>
  <si>
    <t>Articolo no.</t>
  </si>
  <si>
    <t>Článek č.</t>
  </si>
  <si>
    <t>Artykuł nr</t>
  </si>
  <si>
    <t>Cikkszám</t>
  </si>
  <si>
    <t>Artikelnr.</t>
  </si>
  <si>
    <t>Člen št.</t>
  </si>
  <si>
    <t>Artikelnummer</t>
  </si>
  <si>
    <t>Artikkelnr.</t>
  </si>
  <si>
    <t>Br. artikla</t>
  </si>
  <si>
    <t>Attika</t>
  </si>
  <si>
    <t>roof parapet</t>
  </si>
  <si>
    <t>acrotère (couronnement, coiffe)</t>
  </si>
  <si>
    <t>Muretto</t>
  </si>
  <si>
    <t>Atika</t>
  </si>
  <si>
    <t>Attyka</t>
  </si>
  <si>
    <t>attika</t>
  </si>
  <si>
    <t>atika</t>
  </si>
  <si>
    <t>parapet</t>
  </si>
  <si>
    <t>Loft</t>
  </si>
  <si>
    <t>Krovni parapet</t>
  </si>
  <si>
    <t>Attika- und Mauerabdeckung</t>
  </si>
  <si>
    <t>wall flashing and roof parapet</t>
  </si>
  <si>
    <t>couvertine d’acrotère</t>
  </si>
  <si>
    <t>Copertina muretto e muro</t>
  </si>
  <si>
    <t>Oplechování atiky a zdi</t>
  </si>
  <si>
    <t>Obróbka attyki i murów</t>
  </si>
  <si>
    <t>attika- és falburkolat</t>
  </si>
  <si>
    <t>oplechovanie atiky a muriva</t>
  </si>
  <si>
    <t>Attika- en wandbekleding</t>
  </si>
  <si>
    <t>Pokrov za atiko in zid</t>
  </si>
  <si>
    <t>parapet och murbeklädnad</t>
  </si>
  <si>
    <t>Attika- og murafdækning</t>
  </si>
  <si>
    <t>Lofts- og veggbekledning</t>
  </si>
  <si>
    <t>Obloga parapeta i zidova</t>
  </si>
  <si>
    <t>Attikaabdeckung</t>
  </si>
  <si>
    <t>roof parapet flashing</t>
  </si>
  <si>
    <t>couvertine d’acrotère (couronnement, coiffe)</t>
  </si>
  <si>
    <t>Copertina muretto</t>
  </si>
  <si>
    <t>krytí atiky</t>
  </si>
  <si>
    <t>Pokrycie attyki</t>
  </si>
  <si>
    <t>attikaburkolat</t>
  </si>
  <si>
    <t>oplechovanie atiky</t>
  </si>
  <si>
    <t>Attikabekleding</t>
  </si>
  <si>
    <t>Pokrov za atiko</t>
  </si>
  <si>
    <t>parapetbeklädnad</t>
  </si>
  <si>
    <t>Attikaafdækning</t>
  </si>
  <si>
    <t>Loftsbekledning</t>
  </si>
  <si>
    <t>Obloga parapeta</t>
  </si>
  <si>
    <t>Aufschiebling</t>
  </si>
  <si>
    <t>sprocket</t>
  </si>
  <si>
    <t>Coyau</t>
  </si>
  <si>
    <t>Correntino</t>
  </si>
  <si>
    <t>náběhový klín</t>
  </si>
  <si>
    <t>Obróbki nasuwane</t>
  </si>
  <si>
    <t>toldat</t>
  </si>
  <si>
    <t>Verlenging</t>
  </si>
  <si>
    <t>Podaljšek špirovcev pod naklonom</t>
  </si>
  <si>
    <t>uppskjutande</t>
  </si>
  <si>
    <t>Dobling</t>
  </si>
  <si>
    <t>Møneplank</t>
  </si>
  <si>
    <t>Nastavak</t>
  </si>
  <si>
    <t>Aufsparrendämmung – Dachgeschoß ausgebaut (belüftet)</t>
  </si>
  <si>
    <t>above-rafter insulation — converted attic — ventilated</t>
  </si>
  <si>
    <t>isolation sur chevrons — combles aménagés (avec lame d’air ventilée)</t>
  </si>
  <si>
    <t>Isolamento estradosso - Sottotetto reso abitabile (ventilato)</t>
  </si>
  <si>
    <t>Nadkrokevní izolace s odvětráním - obytné podkroví</t>
  </si>
  <si>
    <t>Izolacja nakrokwiowa – poddasze użytkowe (wentylowane)</t>
  </si>
  <si>
    <t>szarufa feletti szigetelés – beépített tetőtér (szellőztetett)</t>
  </si>
  <si>
    <t>nadkrokvová izolácia – povalový priestor s vykurovaním (vetraný)</t>
  </si>
  <si>
    <t>Isolatie boven de dakspanten - zolder verbouwd (geventileerd)</t>
  </si>
  <si>
    <t>Izolacija nad špirovci – razširjeno podstrešje (prezračeno)</t>
  </si>
  <si>
    <t>Isolering över takbjälkar – vind utbyggd (ventilerad)</t>
  </si>
  <si>
    <t>Isolering over spær - loft udvidet (ventileret)</t>
  </si>
  <si>
    <t>Isolasjon over sperrebjelker – ombygd loft (ventilert)</t>
  </si>
  <si>
    <t>Izolacija iznad roženica – potkrovlje preuređeno (ventilirano)</t>
  </si>
  <si>
    <t>Aufsparrenmontagepaket</t>
  </si>
  <si>
    <t>screw pack for above rafter insulation</t>
  </si>
  <si>
    <t>matériel de montage pour isolation sur chevrons</t>
  </si>
  <si>
    <t>Kit di montaggio per fissaggio su trave</t>
  </si>
  <si>
    <t>Nadkrokevní montážní balíček</t>
  </si>
  <si>
    <t>Pakiet do montażu nakrokwiowego</t>
  </si>
  <si>
    <t>összeszerelő csomag szarufa feletti hőszigeteléshez</t>
  </si>
  <si>
    <t>montážny balík pre nadkrokvovú izoláciu</t>
  </si>
  <si>
    <t>Pakket voor installatie boven de dakspanten</t>
  </si>
  <si>
    <t>Paket za montažo špirovcev</t>
  </si>
  <si>
    <t>monteringspaket för takbjälkar</t>
  </si>
  <si>
    <t>Spær monteringspakke</t>
  </si>
  <si>
    <t>Monteringspakke til over sperrebjelker</t>
  </si>
  <si>
    <t>Paket za montažu roženica</t>
  </si>
  <si>
    <t>Aufsparrenschraubenpaket</t>
  </si>
  <si>
    <t>paquet de vis pour isolation sur chevrons</t>
  </si>
  <si>
    <t>Kit viteria per fissaggi su trave</t>
  </si>
  <si>
    <t>Nadkrokevní balíček spojovacího materiálu</t>
  </si>
  <si>
    <t>Pakiet wkrętów do krokwi</t>
  </si>
  <si>
    <t>csavarcsomag szarufa feletti hőszigeteléshez</t>
  </si>
  <si>
    <t>balík kotevných skrutiek pre nadkrokvovú izoláciu</t>
  </si>
  <si>
    <t>Pakket dakspantschroeven</t>
  </si>
  <si>
    <t>Paket vijakov za špirovce</t>
  </si>
  <si>
    <t>skruvpaket för takbjälkar</t>
  </si>
  <si>
    <t>Spær skruepakke</t>
  </si>
  <si>
    <t>Skruepakke til over sperrebjelker</t>
  </si>
  <si>
    <t>Paket vijaka za roženice</t>
  </si>
  <si>
    <t>aus Oberfläche und</t>
  </si>
  <si>
    <t>surface and</t>
  </si>
  <si>
    <t>dalla superficie e</t>
  </si>
  <si>
    <t>s povrchem a</t>
  </si>
  <si>
    <t>z powierzchnią i</t>
  </si>
  <si>
    <t>felület és</t>
  </si>
  <si>
    <t xml:space="preserve">s povrchom a </t>
  </si>
  <si>
    <t>uit oppervlakte en</t>
  </si>
  <si>
    <t>iz površine in</t>
  </si>
  <si>
    <t>från ytan och</t>
  </si>
  <si>
    <t>af overflade og</t>
  </si>
  <si>
    <t>som overflate og</t>
  </si>
  <si>
    <t xml:space="preserve">iz površine i </t>
  </si>
  <si>
    <t>Ausbildung eines Winkelsaums</t>
  </si>
  <si>
    <t>construction of an angled edge</t>
  </si>
  <si>
    <t>Réalisation d’une bordure de toit pliée (bordure de toit angulaire)</t>
  </si>
  <si>
    <t>Raccordo di un bordo angolare</t>
  </si>
  <si>
    <t>Nadřímsový žlab s oplechováním římsy - PREFALZ</t>
  </si>
  <si>
    <t>Tworzenie szwu kątowego</t>
  </si>
  <si>
    <t>falszegélyelemez kialakítása</t>
  </si>
  <si>
    <t>vytvorenie uhlového spoja</t>
  </si>
  <si>
    <t>Vorming van een hoeknaad</t>
  </si>
  <si>
    <t>Izdelava kotnega roba</t>
  </si>
  <si>
    <t>utveckling av en vinkelkant</t>
  </si>
  <si>
    <t>Dannelse af en vinkelkant</t>
  </si>
  <si>
    <t>Oppbygging av en vinkelkant</t>
  </si>
  <si>
    <t>Konstrukcija kutnog obruba</t>
  </si>
  <si>
    <t>Ausführung ab 3° Dachneigung</t>
  </si>
  <si>
    <t>design from a roof pitch of 3°</t>
  </si>
  <si>
    <t>mise en œuvre à partir d’une pente de toit de 3°</t>
  </si>
  <si>
    <t>Realizzazione a partire da una pendenza del tetto di 3°</t>
  </si>
  <si>
    <t>provedení při sklonu od 3°</t>
  </si>
  <si>
    <t>Wersja od nachylenia dachu 3°</t>
  </si>
  <si>
    <t>kivitelezés 3°-os tetőhajlásszögtől</t>
  </si>
  <si>
    <t>vyhotovenie od sklonu strechy 3°</t>
  </si>
  <si>
    <t>Uitvoering vanaf 3° dakhelling</t>
  </si>
  <si>
    <t>Izvedba od strešnega naklona 3°</t>
  </si>
  <si>
    <t>utförande från taklutning på 3°</t>
  </si>
  <si>
    <t>Udførelse fra 3° taghældning</t>
  </si>
  <si>
    <t>Utførelse fra 3° takvinkel</t>
  </si>
  <si>
    <t>Izvedba kod nagiba krova od 3°</t>
  </si>
  <si>
    <t>Ausführungsvariante 2</t>
  </si>
  <si>
    <t>design variant 2</t>
  </si>
  <si>
    <t>variante de mise en œuvre nº 2</t>
  </si>
  <si>
    <t>Variante di realizzazione 2</t>
  </si>
  <si>
    <t>varianta 2</t>
  </si>
  <si>
    <t>Wariant projektowy 2</t>
  </si>
  <si>
    <t>2. kivitelezési változat</t>
  </si>
  <si>
    <t>variant vyhotovenia 2</t>
  </si>
  <si>
    <t>Uitvoeringsvariant 2</t>
  </si>
  <si>
    <t>Različica izvedbe 2</t>
  </si>
  <si>
    <t>utförandevariant 2</t>
  </si>
  <si>
    <t>Udførselsvariant 2</t>
  </si>
  <si>
    <t>Utførelsesvariant 2</t>
  </si>
  <si>
    <t>Varijanta izvedbe 2</t>
  </si>
  <si>
    <t>Außenecke (2-teilig)</t>
  </si>
  <si>
    <t>external corner flashing (two parts) – PREFA</t>
  </si>
  <si>
    <t>profil d’angle sortant en croix</t>
  </si>
  <si>
    <t>Angolo esterno (in 2 parti)</t>
  </si>
  <si>
    <t>Roh vnější (dvoudílný)</t>
  </si>
  <si>
    <t>Narożnik zewnętrzny (dwuczęściowy)</t>
  </si>
  <si>
    <t>külső sarok (2 részes)</t>
  </si>
  <si>
    <t>vonkajší rohový profil (2-dielny)</t>
  </si>
  <si>
    <t>Buitenhoek (2-delig)</t>
  </si>
  <si>
    <t>Zunanji vogal (2-delni)</t>
  </si>
  <si>
    <t>ytterhörn (2 delar)</t>
  </si>
  <si>
    <t>Yderhjørne (2-delt)</t>
  </si>
  <si>
    <t>Ytterhjørne (2-delt)</t>
  </si>
  <si>
    <t>Vanjski kut (2-dijelni)</t>
  </si>
  <si>
    <t>Außenecke (2-teilig; L = 2.000 mm)</t>
  </si>
  <si>
    <t>profil d’angle sortant en croix (longueur : 2 000 mm)</t>
  </si>
  <si>
    <t>angolo esterno (2 parti); L = 2000 mm</t>
  </si>
  <si>
    <t>roh vnější 2 - dílný</t>
  </si>
  <si>
    <t>Narożnik zewnętrzny 2-częściowy L=2000 mm</t>
  </si>
  <si>
    <t>külső sarok profil 2-részes H = 2.000 mm</t>
  </si>
  <si>
    <t>buitenhoek 2-delig L = 2000 mm</t>
  </si>
  <si>
    <t>Zunanji vogal (2-delni; D = 2.000 mm)</t>
  </si>
  <si>
    <t>utvändigt hörn 2-delad L = 2.000 mm</t>
  </si>
  <si>
    <t>udvendigt hjørne 2-delt L = 2.000 mm</t>
  </si>
  <si>
    <t>yttervinkel 2-delt L = 2000 mm</t>
  </si>
  <si>
    <t>Vanjski kut 2-dijelni L = 2.000 mm</t>
  </si>
  <si>
    <t>Außenecke für Profilwelle</t>
  </si>
  <si>
    <t>external corner for ripple profile (PREFA)</t>
  </si>
  <si>
    <t>angle sortant pour profil sinus</t>
  </si>
  <si>
    <t>Angolare esterno per profilo ondulato</t>
  </si>
  <si>
    <t>Vnější roh pro profil s vlnou</t>
  </si>
  <si>
    <t>Narożnik zewnętrzny do profilu falistego</t>
  </si>
  <si>
    <t>külső sarok profilhullámhoz</t>
  </si>
  <si>
    <t>vonkajší rohový prvok vlnitého profilu</t>
  </si>
  <si>
    <t>Buitenhoek voor golfplaat</t>
  </si>
  <si>
    <t>Zunanji vogal za valoviti profil</t>
  </si>
  <si>
    <t>ytterhörn för vågprofil</t>
  </si>
  <si>
    <t>Yderhjørne for profilbølge</t>
  </si>
  <si>
    <t>Ytterhjørne for bølgeprofil</t>
  </si>
  <si>
    <t>Vanjski kut za valoviti profil</t>
  </si>
  <si>
    <t>Außenecke gekantet</t>
  </si>
  <si>
    <t>external corner (canted)</t>
  </si>
  <si>
    <t>angle extérieur replié</t>
  </si>
  <si>
    <t>Angolo esterno squadrato</t>
  </si>
  <si>
    <t>Roh vnější, hraněný</t>
  </si>
  <si>
    <t>Narożnik zewnętrzny obrobiony</t>
  </si>
  <si>
    <t>külső sarok, hajtott</t>
  </si>
  <si>
    <t>vonkajší rohový profil ohýbaný</t>
  </si>
  <si>
    <t>Buitenhoek gevoegd</t>
  </si>
  <si>
    <t>Zunanji vogal obrobljen</t>
  </si>
  <si>
    <t>kantat ytterhörn</t>
  </si>
  <si>
    <t>Yderhjørne kantet</t>
  </si>
  <si>
    <t>Kantet ytterhjørne</t>
  </si>
  <si>
    <t>Vanjski kut, kantiran</t>
  </si>
  <si>
    <t>Außenecke gekantet (mehrteilig)</t>
  </si>
  <si>
    <t>external corner (canted; several elements)</t>
  </si>
  <si>
    <t>angle sortant replié (en trois parties)</t>
  </si>
  <si>
    <t>Angolo esterno squadrato (in più parti)</t>
  </si>
  <si>
    <t>Roh vnější, hraněný (více dílný)</t>
  </si>
  <si>
    <t>Narożnik zewnętrzny obrobiony (wieloczęściowy)</t>
  </si>
  <si>
    <t>külső sarok, hajtott (több darabból álló)</t>
  </si>
  <si>
    <t>vonkajší rohový profil ohýbaný (viacdielny)</t>
  </si>
  <si>
    <t>Buitenhoek gevoegd (meerdelig)</t>
  </si>
  <si>
    <t>Zunanji vogal obrobljen (večdelni)</t>
  </si>
  <si>
    <t>kantat ytterhörn (flerdelat)</t>
  </si>
  <si>
    <t>Yderhjørne kantet (flerdelt)</t>
  </si>
  <si>
    <t>Kantet ytterhjørne (flerdelt)</t>
  </si>
  <si>
    <t>Vanjski kut, kantiran (višedijelni)</t>
  </si>
  <si>
    <t>Außenjalousie</t>
  </si>
  <si>
    <t>external blinds</t>
  </si>
  <si>
    <t>store extérieur</t>
  </si>
  <si>
    <t>Veneziana esterna</t>
  </si>
  <si>
    <t>Venkovní žaluzie</t>
  </si>
  <si>
    <t>Żaluzja zewnętrzna</t>
  </si>
  <si>
    <t>külső redőny</t>
  </si>
  <si>
    <t>vonkajšia žalúzia</t>
  </si>
  <si>
    <t>Buitenjaloezie</t>
  </si>
  <si>
    <t>Zunanja žaluzija</t>
  </si>
  <si>
    <t>utvändig persienn</t>
  </si>
  <si>
    <t>Udvendig persienne</t>
  </si>
  <si>
    <t>Utvendig persienne</t>
  </si>
  <si>
    <t>Vanjske žaluzine</t>
  </si>
  <si>
    <t>Außenrinnenwinkel (W3 über 90°)</t>
  </si>
  <si>
    <t>external gutter corner (W3 over 90°)</t>
  </si>
  <si>
    <t>équerre pour angle sortant de gouttière (W3 supérieur à 90°)</t>
  </si>
  <si>
    <t>Angolo esterno della grondaia (A3 superiore a 90°)</t>
  </si>
  <si>
    <t>Roh žlabu vnější (W3 více než 90°)</t>
  </si>
  <si>
    <t>Zewnętrzny narożnik rynny (W3 powyżej 90°)</t>
  </si>
  <si>
    <t>külső ereszcsatorna sarokelem (W3 90° felett)</t>
  </si>
  <si>
    <t>Uitwendige goothoek (W3 boven 90°)</t>
  </si>
  <si>
    <t>Zunanji vogalnik žleba (W3 nad 90°)</t>
  </si>
  <si>
    <t>vinkel ytterränna (W3 över 90°)</t>
  </si>
  <si>
    <t>Yderrendevinkel (W3 over 90°)</t>
  </si>
  <si>
    <t>Utvendig rennevinkel (W3 over 90°)</t>
  </si>
  <si>
    <t>Kutni element vanjskog žlijeba (W3 preko 90°)</t>
  </si>
  <si>
    <t>Außenrinnenwinkel (W3 unter 90°)</t>
  </si>
  <si>
    <t>external gutter corner (W3 below 90°)</t>
  </si>
  <si>
    <t>équerre pour angle sortant de gouttière (W3 inférieur à 90°)</t>
  </si>
  <si>
    <t>Angolo esterno della grondaia (A3 inferiore a 90°)</t>
  </si>
  <si>
    <t>Roh žlabu vnější (W3 méně než 90°)</t>
  </si>
  <si>
    <t>Zewnętrzny narożnik rynny (W3 poniżej 90°)</t>
  </si>
  <si>
    <t>külső ereszcsatorna sarokelem (W3 90° alatt)</t>
  </si>
  <si>
    <t>Uitwendige goothoek (W3 onder 90°)</t>
  </si>
  <si>
    <t>Zunanji vogalnik žleba (W3 pod 90°)</t>
  </si>
  <si>
    <t>vinkel ytterränna (W3 under 90°)</t>
  </si>
  <si>
    <t>Yderrendevinkel (W3 under 90°)</t>
  </si>
  <si>
    <t>Utvendig rennevinkel (W3 under 90°)</t>
  </si>
  <si>
    <t>Kutni element vanjskog žlijeba (W3 ispod 90°)</t>
  </si>
  <si>
    <t>auswählen</t>
  </si>
  <si>
    <t>select</t>
  </si>
  <si>
    <t>sélectionner</t>
  </si>
  <si>
    <t>selezionare</t>
  </si>
  <si>
    <t>Vybrat</t>
  </si>
  <si>
    <t>wybierz</t>
  </si>
  <si>
    <t>kiválasztás</t>
  </si>
  <si>
    <t>Vybrať</t>
  </si>
  <si>
    <t>selecteren</t>
  </si>
  <si>
    <t>izberi</t>
  </si>
  <si>
    <t>välj</t>
  </si>
  <si>
    <t>vælge</t>
  </si>
  <si>
    <t>velg</t>
  </si>
  <si>
    <t>izabrati</t>
  </si>
  <si>
    <t>B</t>
  </si>
  <si>
    <t>Baubreite</t>
  </si>
  <si>
    <t>visible width</t>
  </si>
  <si>
    <t>largeur utile</t>
  </si>
  <si>
    <t>Larghezza d'ingombro</t>
  </si>
  <si>
    <t>Stavební šířka</t>
  </si>
  <si>
    <t>Szerokość konstrukcji</t>
  </si>
  <si>
    <t>fektetési szélesség</t>
  </si>
  <si>
    <t>konštrukčná šírka</t>
  </si>
  <si>
    <t>Bouwbreedte</t>
  </si>
  <si>
    <t>Gradbena širina</t>
  </si>
  <si>
    <t>Total bredd</t>
  </si>
  <si>
    <t>Samlet bredde</t>
  </si>
  <si>
    <t>Byggebredde</t>
  </si>
  <si>
    <t>Širina</t>
  </si>
  <si>
    <t>Baubreite (948 mm)</t>
  </si>
  <si>
    <t>visible width (948 mm)</t>
  </si>
  <si>
    <t>largeur utile (948 mm)</t>
  </si>
  <si>
    <t>Larghezza d'ingombro (948 mm)</t>
  </si>
  <si>
    <t>Stavební šířka (948 mm)</t>
  </si>
  <si>
    <t>Szerokość konstrukcji (948 mm)</t>
  </si>
  <si>
    <t>fektetési szélesség (948 mm)</t>
  </si>
  <si>
    <t>konštrukčná šírka (948 mm)</t>
  </si>
  <si>
    <t>Bouwbreedte (948 mm)</t>
  </si>
  <si>
    <t>Gradbena širina (948 mm)</t>
  </si>
  <si>
    <t>Total bredd (948 mm)</t>
  </si>
  <si>
    <t>Samlet bredde (948 mm)</t>
  </si>
  <si>
    <t>Byggebredde (948 mm)</t>
  </si>
  <si>
    <t>Širina (948 mm)</t>
  </si>
  <si>
    <t>Baubreite mit Schattenfuge</t>
  </si>
  <si>
    <t>visible width with shadow gap</t>
  </si>
  <si>
    <t>largeur utile avec joint creux</t>
  </si>
  <si>
    <t>Larghezza d'ingombro con fuga</t>
  </si>
  <si>
    <t>Stavební šířka se spárou</t>
  </si>
  <si>
    <t>Szerokość konstrukcji z fugami cieniowymi</t>
  </si>
  <si>
    <t>fektetési szélesség árnyékfugával</t>
  </si>
  <si>
    <t>konštrukčná šírka s tieňovou špárou</t>
  </si>
  <si>
    <t>Bouwbreedte met schaduwvoeg</t>
  </si>
  <si>
    <t>Gradbena širina s senčno fugo</t>
  </si>
  <si>
    <t>Total bredd med skuggfog</t>
  </si>
  <si>
    <t>Samlet bredde med skyggefuge</t>
  </si>
  <si>
    <t>Byggebredde med skyggespalte</t>
  </si>
  <si>
    <t>Širina s naglašenim spojem</t>
  </si>
  <si>
    <t>Baubreite ohne Schattenfuge</t>
  </si>
  <si>
    <t>visible width without shadow gap</t>
  </si>
  <si>
    <t>largeur utile sans joint creux</t>
  </si>
  <si>
    <t>Larghezza d'ingombro senza fuga</t>
  </si>
  <si>
    <t>Stavební šířka bez spáry</t>
  </si>
  <si>
    <t>Szerokość konstrukcji bez fug cieniowych</t>
  </si>
  <si>
    <t>fektetési szélesség árnyékfuga nélkül</t>
  </si>
  <si>
    <t>konštrukčná šírka bez tieňovej špáry</t>
  </si>
  <si>
    <t>Bouwbreedte zonder schaduwvoeg</t>
  </si>
  <si>
    <t>Gradbena širina brez senčne fuge</t>
  </si>
  <si>
    <t>Total bredd utan skuggfog</t>
  </si>
  <si>
    <t>Samlet bredde uden skyggefuge</t>
  </si>
  <si>
    <t>Byggebredde uten skyggespalte</t>
  </si>
  <si>
    <t>Širina bez naglašenog spoja</t>
  </si>
  <si>
    <t>Bauvorhaben:</t>
  </si>
  <si>
    <t>Building project:</t>
  </si>
  <si>
    <t>Projet:</t>
  </si>
  <si>
    <t>Progetto:</t>
  </si>
  <si>
    <t>Objekt</t>
  </si>
  <si>
    <t>Nazwa projektu</t>
  </si>
  <si>
    <t>projekt:</t>
  </si>
  <si>
    <t>bouwplan:</t>
  </si>
  <si>
    <t>Gradbeni projekt:</t>
  </si>
  <si>
    <t>Byggprojekt:</t>
  </si>
  <si>
    <t>Byggeri:</t>
  </si>
  <si>
    <t>Byggeprosjekt:</t>
  </si>
  <si>
    <t>Objekt:</t>
  </si>
  <si>
    <t>Bedienungsanleitung</t>
  </si>
  <si>
    <t>operating instructions</t>
  </si>
  <si>
    <t>mode d’emploi</t>
  </si>
  <si>
    <t>Istruzioni per l'uso</t>
  </si>
  <si>
    <t>Návod k použití</t>
  </si>
  <si>
    <t>Instrukcja obsługi</t>
  </si>
  <si>
    <t>Használati útmutató</t>
  </si>
  <si>
    <t>Návod na použitie</t>
  </si>
  <si>
    <t>Gebruikershandleiding</t>
  </si>
  <si>
    <t>navodila za uporabo</t>
  </si>
  <si>
    <t>Bruksanvisning</t>
  </si>
  <si>
    <t>Betjeningsvejledning</t>
  </si>
  <si>
    <t>Upute za uporabu</t>
  </si>
  <si>
    <t>Befestigungsmaterial</t>
  </si>
  <si>
    <t>fixing material</t>
  </si>
  <si>
    <t>éléments de fixation</t>
  </si>
  <si>
    <t>Materiale di fissaggio</t>
  </si>
  <si>
    <t>upevňovací materiál</t>
  </si>
  <si>
    <t>Elementy złączne</t>
  </si>
  <si>
    <t>rögzítőelem</t>
  </si>
  <si>
    <t>Bevestigingsmateriaal</t>
  </si>
  <si>
    <t>Material za pritrditev</t>
  </si>
  <si>
    <t>fästmaterial</t>
  </si>
  <si>
    <t>Fastgørelsesmateriale</t>
  </si>
  <si>
    <t>Festemateriale</t>
  </si>
  <si>
    <t>Pričvrsni materijal</t>
  </si>
  <si>
    <t>Befestigungsmittel – Holzschrauben</t>
  </si>
  <si>
    <t>fasteners (timber construction screws)</t>
  </si>
  <si>
    <t>matériel de fixation — vis à bois</t>
  </si>
  <si>
    <t>Materiale di fissaggio - Viti per legno</t>
  </si>
  <si>
    <t>upevňovací vruty do dřeva</t>
  </si>
  <si>
    <t>Elementy złączne – wkręty do drewna</t>
  </si>
  <si>
    <t>rögzítőelem – facsavar</t>
  </si>
  <si>
    <t>upevňovací materiál – skrutky do dreva</t>
  </si>
  <si>
    <t>Bevestigingsmiddelen - houtschroeven</t>
  </si>
  <si>
    <t>Pritrdilni elementi – lesni vijaki</t>
  </si>
  <si>
    <t>fästelement – ​​träskruvar</t>
  </si>
  <si>
    <t>Fastgørelseselementer – træskruer</t>
  </si>
  <si>
    <t>Festemiddel – treskruer</t>
  </si>
  <si>
    <t>Pričvršćivač – vijci za drvo</t>
  </si>
  <si>
    <t>Befestigungsmittel ins Tragwerk</t>
  </si>
  <si>
    <t>fastener driven into the supporting structure</t>
  </si>
  <si>
    <t>vis de fixation à la structure porteuse</t>
  </si>
  <si>
    <t>Materiale di fissaggio nella struttura portante</t>
  </si>
  <si>
    <t>Kotvicí prvky do nosné konstrukce</t>
  </si>
  <si>
    <t>Elementy złączne do konstrukcji nośnej</t>
  </si>
  <si>
    <t>rögzítőelemek a tartószerkezetbe</t>
  </si>
  <si>
    <t>upevňovací materiál do nosnej konštrukcie</t>
  </si>
  <si>
    <t>Bevestigingsmiddelen in de draagstructuur</t>
  </si>
  <si>
    <t>Pritrdilni elementi v nosilni strukturi</t>
  </si>
  <si>
    <t>fästelement i bärverk</t>
  </si>
  <si>
    <t>Fastgørelseselementer i struktur</t>
  </si>
  <si>
    <t>Festemiddel i bærekonstruksjon</t>
  </si>
  <si>
    <t>Pričvršćivači u strukturi</t>
  </si>
  <si>
    <t>Befestigungsmittel (Metallschraube); 4,8 × 19 mm</t>
  </si>
  <si>
    <t>Fastener for sidings – aluminium substructure 4,8 × 19 mm</t>
  </si>
  <si>
    <t>matériel de fixation (vis à métaux) ; 4,8 × 19 mm</t>
  </si>
  <si>
    <t>Kotvící prvky Siding- hliníková spodní konstrukce 4,8 x 19 mm</t>
  </si>
  <si>
    <t>Wkręt Siding-podkonstrukcja aluminiowa 4,8 x 19 mm</t>
  </si>
  <si>
    <t>Kötőanyag Siding - alumínium alátétszerkezet 4,8 x 19 mm</t>
  </si>
  <si>
    <t xml:space="preserve">Upevňovacia skrutka pre Siding do hliníkového nosného roštu 4,8 x 19 mm </t>
  </si>
  <si>
    <t>Bevestigingsmiddel Siding - aluminium UK 4,8 x 19 mm</t>
  </si>
  <si>
    <t>Pritrdilni elementi (kovinski vijak); 4,8 × 19 mm</t>
  </si>
  <si>
    <t>Fästmedel fasadpanel - aluminium UK 4,8 x 19 mm</t>
  </si>
  <si>
    <t>Fastgørelsesmidler siding - aluminiumsunderkonstruktion 4,8 x 19 mm</t>
  </si>
  <si>
    <t>Festemiddel kledning - aluminium UK 4,8 x 19 mm</t>
  </si>
  <si>
    <t>Pričvrsni materijal Siding - aluminij UK 4,8 x 19 mm</t>
  </si>
  <si>
    <t>Befestigungsmittel (Holzschraube); 4,9 × 35 mm</t>
  </si>
  <si>
    <t>Fastener for sidings – wood substructure 4,9 × 38 mm</t>
  </si>
  <si>
    <t>matériel de fixation (vis à bois) ; 4,9 × 35 mm</t>
  </si>
  <si>
    <t>Kotvící prvky Siding- dřevěná spodní konstrukce 4,9 x 35 mm</t>
  </si>
  <si>
    <t>Wkręt Siding-podkonstrukcja drewniana 4,9 x 35 mm</t>
  </si>
  <si>
    <t>Kötőanyag Siding - fa alátétszerkezet 4,9 x 35 mm</t>
  </si>
  <si>
    <t xml:space="preserve">Upevňovacia skrutka pre Siding do dreveného nosného roštu 4,9 x 35 mm </t>
  </si>
  <si>
    <t>Bevestigingsmiddel Siding - hout UK 4,9 x 35 mm</t>
  </si>
  <si>
    <t>Pritrdilni elementi (lesni vijak); 4,9 × 35 mm</t>
  </si>
  <si>
    <t>Fästmedel fasadpanel - trä UK 4,9 x 35 mm</t>
  </si>
  <si>
    <t>Fastgørelsesmidler siding - træunderkonstruktion 4,9 x 35 mm</t>
  </si>
  <si>
    <t>Festemiddel kledning - tre UK 4,9 x 38 mm</t>
  </si>
  <si>
    <t>Pričvrsni materijal Siding - drvo UK 4,9 x 35 mm</t>
  </si>
  <si>
    <t>Bei ausgebautem Dachgeschoß, soweit es sich nicht um unbelüftete Konstruktionen handelt.</t>
  </si>
  <si>
    <t>on a converted attic as long as it is not a non-ventilated construction</t>
  </si>
  <si>
    <t>Dans le cas de combles aménagés (lorsqu’il ne s’agit pas de constructions non ventilées).</t>
  </si>
  <si>
    <t>Nel caso di un sottotetto reso abitabile, a meno che non si tratti di una costruzione non ventilata.</t>
  </si>
  <si>
    <t>u obytného podstřešního prostoru, pokud se nejedná o neodvětranou střešní konstrukci</t>
  </si>
  <si>
    <t>W przypadku poddasza użytkowego, o ile nie jest to konstrukcja niewentylowana.</t>
  </si>
  <si>
    <t>Beépített tetőtér esetén, kivéve, ha az nem egy szellőztetés nélküli szerkezet.</t>
  </si>
  <si>
    <t>Pri povalovom priestore s vykurovaním, pokiaľ nejde o nevetrané konštrukcie.</t>
  </si>
  <si>
    <t>In het geval van een uitgebouwde zolder, tenzij het een ongeventileerde constructie is.</t>
  </si>
  <si>
    <t>V primeru razširjenega podstrešja, razen če je konstrukcija neprezračena.</t>
  </si>
  <si>
    <t>Vid ombyggd vind såvida inte konstruktionen är oventilerad.</t>
  </si>
  <si>
    <t>Ved udvidet loftrum, medmindre konstruktionen er uventileret.</t>
  </si>
  <si>
    <t>Ved ombygd loft, med mindre konstruksjonen er uventilert.</t>
  </si>
  <si>
    <t>Kod preuređenog potkrovlja, osim ako konstrukcija nije ventilirana.</t>
  </si>
  <si>
    <t>Bei Dachrauten 44 × 44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</si>
  <si>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rhomboid roof tile 44 × 44, it is necessary to install a base plate in order to mount the roof anchor hook (e.g. if a seam is lying above a rafter in the installation area).
double-skin roof structure: fixing screws (2 screws 8 × 220 mm)
single-skin roof structure: fixing screws (2 screws 8 × 120 mm)</t>
  </si>
  <si>
    <t>Pour les losanges de toiture 44 × 44,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</si>
  <si>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scaglie da copertura 44 × 44,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</si>
  <si>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Střešní šablony 44x44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</si>
  <si>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romb 44 × 44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</si>
  <si>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44 × 44-es tetőfedő rombuszok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</si>
  <si>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šablónach 44 × 44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</si>
  <si>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daklosanges van 44 × 44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</si>
  <si>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rombih 44 × 44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</si>
  <si>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För takpannor 44 × 44 är det nödvändigt att installera ett mellanlägg för montering av säkerhetstakkrokar (t.ex. om det finns en fals i monteringsområdet ovanför takbjälken). Takkonstruktion med dubbla skal: 2 monteringsskruvar 8 × 220 mm. Takkonstruktion med enkelskal: 2 monteringsskruvar 8 × 120 mm.</t>
  </si>
  <si>
    <t>Med tagromber 44 × 44 er det nødvendigt at montere en underlagsplade for at montere sikkerhedstagkrogen (f.eks. hvis en fals i monteringsområdet er over spær). To-skals tagkonstruktion: 2 fastgørelsesskruer 8 × 220 mm. En-skals tagkonstruktion: 2 fastgørelsesskruer 8 × 120 mm.</t>
  </si>
  <si>
    <t>Med takrombe 44 × 44 er det nødvendig å installere en underlagsplate for å kunne montere sikkerhetstakkrokene (f.eks. hvis en fals i monteringsområdet ligger over sperrebjelkene). Tolags takoppbygging: 2 festeskruer 8 × 220 mm. Ettlags takoppbygging: 2 festeskruer 8 × 120 mm.</t>
  </si>
  <si>
    <t>Kod krovnog romba 44 × 44 potrebno je ugraditi podlošku za montažu sigurnosne krovne kuke (npr. ako je falc u području montaže iznad roženica). Dvoslojna krovna konstrukcija: 2 pričvrsna vijka 8 × 220 mm. Jednoslojna krovna konstrukcija: 2 pričvrsna vijka 8 × 120 mm.</t>
  </si>
  <si>
    <t>Bei Dachrauten 44 × 44 ist es erforderlich, eine Unterlagsplatte einzubauen, um den Schneerechenhaken montieren (z. B. wenn ein Falz im Montagebereich über dem Sparren liegt). Zweischaliger Dachaufbau: 2 Befestigungsschrauben 8 × 220 mm. Einschaliger Dachaufbau: 2 Befestigungsschrauben 8 × 120 mm.</t>
  </si>
  <si>
    <t>With rhomboid roof tiles 44 × 44, it is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</si>
  <si>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losanges de toiture 44 × 44, une plaque de support doit être posée avant la mise en place du crochet pour tubes pare-neige. C’est le cas par exemple lorsqu’un joint se trouve directement au-dessus d’un chevron, à l’endroit où l’élément doit être monté. toit double peau : 2 vis de fixation 8 × 220 mm. toiture non ventilée : 2 vis de fixation 8 × 120 mm.</t>
  </si>
  <si>
    <t>Per le scaglie da copertura 44 × 44, è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</si>
  <si>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Střešní šablony 44x44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</si>
  <si>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romb 44 × 44 konieczne jest zamontowanie płyty podkładowej w celu zamocowania elementów montażowych zabezpieczeń przeciwśniegowych (np. jeśli w obszarze mocowania nad krokwią znajduje się złożenie). Dwuwarstwowa konstrukcja dachu: 2 śruby mocujące 8 × 220 mm. Jednowarstwowa konstrukcja dachu: 2 śruby mocujące 8 × 120 mm.</t>
  </si>
  <si>
    <t>A 44 × 44-es tetőfedő rombuszok esetében a hófogórúd-tartó elem felszereléséhez egy alátétlemezt kell beszerelni (pl. ha a szarufa feletti szerelési területen korc van). Kéthéjú tető rétegrend: 2 db 8 × 220 mm-es rögzítőcsavar. Egyhéjú tető rétegrend: 2 db 8 × 120 mm-es rögzítőcsavar.</t>
  </si>
  <si>
    <t>Pri strešných šablónach 44 × 44 je potrebné zabudovať spevňovaciu podložku, aby bolo možné namontovať držiak rúrkového zachytávača snehu (napr. keď drážka v montážnej oblasti leží nad krokvami). Dvojplášťová skladba strechy: 2 upevňovacie skrutky 8 × 220 mm. Jednoplášťová skladba strechy: 2 upevňovacie skrutky 8 × 120 mm.</t>
  </si>
  <si>
    <t>Bij daklosanges van 44 × 44 moet een steunplaat worden aangebracht om de sneeuwharkhaak te monteren (bijv. als er een sponning in het montagegebied boven de dakspant zit). Tweewandige dakmontage: 2 bevestigingsschroeven 8 × 220 mm. Enkelwandige dakmontage: 2 bevestigingsschroeven 8 × 120 mm.</t>
  </si>
  <si>
    <t>Pri strešnih rombih 44 × 44 je potrebno namestiti podložko za montažo snegolova (npr. če je zgib v območju montaže nad špirovci). Strešna konstrukcija z dvojnim opažem: 2 pritrdilna vijaka 8 × 220 mm. Strešna konstrukcija z enojnim opažem: 2 pritrdilna vijaka 8 × 120 mm.</t>
  </si>
  <si>
    <t>För takpannor 44 × 44 är det nödvändigt att installera ett mellanlägg för att montera snökratskrokar (t.ex. om det finns en fals i monteringsområdet ovanför takbjälken). Takkonstruktion med dubbla skal: 2 monteringsskruvar 8 × 220 mm. Takkonstruktion med enkelskal: 2 monteringsskruvar 8 × 120 mm.</t>
  </si>
  <si>
    <t>Med tagromber 44 × 44 er det nødvendigt at montere en underlagsplade for at montere snefanget (f.eks. hvis en fals i monteringsområdet er over spær). To-skals tagkonstruktion: 2 fastgørelsesskruer 8 × 220 mm. En-skals tagkonstruktion: 2 fastgørelsesskruer 8 × 120 mm.</t>
  </si>
  <si>
    <t>Med takrombe 44 × 44 er det nødvendig å installere en underlagsplate for å kunne montere krokene for snøfanger f.eks. når en fals i monteringsområdet ligger over sperrebjelkene). Tolags takoppbygging: 2 festeskruer 8 × 220 mm. Ettlags takoppbygging: 2 festeskruer 8 × 120 mm.</t>
  </si>
  <si>
    <t>Kod krovnog romba 44 × 44 potrebno je ugraditi podlošku za montažu kuke za rešetkasti snjegobran (npr. ako je falc u području montaže iznad roženica). Dvoslojna krovna konstrukcija: 2 pričvrsna vijka 8 × 220 mm. Jednoslojna krovna konstrukcija: 2 pričvrsna vijka 8 × 120 mm.</t>
  </si>
  <si>
    <t>Bei Dachrauten 29 × 29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</si>
  <si>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rhomboid roof tiles 29 × 29, it is necessary to install a base plate in order to mount the roof anchor hook (e.g. if a seam is lying above a rafter in the installation area).
double-skin roof structure: fixing screws (2 screws 8 × 220 mm)
single-skin roof structure: fixing screws (2 screws 8 × 120 mm)</t>
  </si>
  <si>
    <t>Pour les losanges de toiture 29 × 29,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</si>
  <si>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scaglie da copertura 29 × 29,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</si>
  <si>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Falcované šablony 29x29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</si>
  <si>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romb 29 × 29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</si>
  <si>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29 × 29-es tetőfedő rombuszok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</si>
  <si>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šablónach 29 × 29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</si>
  <si>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daklosanges van 29 × 29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</si>
  <si>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rombih 29 × 29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</si>
  <si>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För takpannor 29 × 29 är det nödvändigt att installera ett mellanlägg för montering av säkerhetstakkrokar (t.ex. om det finns en fals i monteringsområdet ovanför takbjälken). Takkonstruktion med dubbla skal: 2 monteringsskruvar 8 × 220 mm. Takkonstruktion med enkelskal: 2 monteringsskruvar 8 × 120 mm.</t>
  </si>
  <si>
    <t>Med tagromber 29 × 29 er det nødvendigt at montere en underlagsplade for at montere sikkerhedstagkrogen (f.eks. hvis en fals i monteringsområdet er over spær). To-skals tagkonstruktion: 2 fastgørelsesskruer 8 × 220 mm. En-skals tagkonstruktion: 2 fastgørelsesskruer 8 × 120 mm.</t>
  </si>
  <si>
    <t>Med takrombe 29 × 29 er det nødvendig å installere en underlagsplate for å kunne montere sikkerhetstakkrokene (f.eks. hvis en fals i monteringsområdet ligger over sperrebjelkene). Tolags takoppbygging: 2 festeskruer 8 × 220 mm. Ettlags takoppbygging: 2 festeskruer 8 × 120 mm.</t>
  </si>
  <si>
    <t>Kod krovnog romba 29 × 29 potrebno je ugraditi podlošku za montažu sigurnosne krovne kuke (npr. ako je falc u području montaže iznad roženica). Dvoslojna krovna konstrukcija: 2 pričvrsna vijka 8 × 220 mm. Jednoslojna krovna konstrukcija: 2 pričvrsna vijka 8 × 120 mm.</t>
  </si>
  <si>
    <t>Bei Dachrauten 29 × 29 ist es erforderlich, eine Unterlagsplatte einzubauen, um den Schneerechenhaken zu montieren. Zweischaliger Dachaufbau: 2 Befestigungsschrauben 8 × 220 mm. Einschaliger Dachaufbau: 2 Befestigungsschrauben 8 × 120 mm.</t>
  </si>
  <si>
    <t>With rhomboid roof tiles 29 × 29, it is necessary to install a base plate in order to mount the pipe-style snow guard bracket.
double-skin roof structure: fixing screws (2 screws 8 × 220 mm)
single-skin roof structure: fixing screws (2 screws 8 × 120 mm)</t>
  </si>
  <si>
    <t>Pour les losanges de toiture 29 × 29, une plaque de support doit être posée avant la mise en place du crochet pour tubes pare-neige. toit double peau : 2 vis de fixation 8 × 220 mm. toiture non ventilée : 2 vis de fixation 8 × 120 mm.</t>
  </si>
  <si>
    <t>Per le scaglie da copertura 29 × 29, è necessario installare una sottopiastra per montare la staffa per tubi fermaneve. Struttura del tetto a due strati: 2 viti di fissaggio 8 × 220 mm. Struttura del tetto monostrato: 2 viti di fissaggio 8 × 120 mm.</t>
  </si>
  <si>
    <t>U Falcované šablony 29x29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</si>
  <si>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romb 29 × 29 konieczne jest zamontowanie płyty podkładowej w celu zamocowania elementów montażowych zabezpieczeń przeciwśniegowych. Dwuwarstwowa konstrukcja dachu: 2 śruby mocujące 8 × 220 mm. Jednowarstwowa konstrukcja dachu: 2 śruby mocujące 8 × 120 mm.</t>
  </si>
  <si>
    <t>A 29 × 29-es tetőfedő rombuszok esetében a hófogórúd-tartó elem felszereléséhez egy alátétlemezt kell beszerelni. Kéthéjú tető rétegrend: 2 db 8 × 220 mm-es rögzítőcsavar. Egyhéjú tető rétegrend: 2 db 8 × 120 mm-es rögzítőcsavar.</t>
  </si>
  <si>
    <t>Pri strešných šablónach 29 × 29 je potrebné zabudovať spevňovaciu podložku, aby bolo možné namontovať držiak rúrkového zachytávača snehu. Dvojplášťová skladba strechy: 2 upevňovacie skrutky 8 × 220 mm. Jednoplášťová skladba strechy: 2 upevňovacie skrutky 8 × 120 mm.</t>
  </si>
  <si>
    <t>Bij daklosanges van 29 × 29 moet een steunplaat worden aangebracht om de sneeuwharkhaak te monteren. Tweewandige dakmontage: 2 bevestigingsschroeven 8 × 220 mm. Enkelwandige dakmontage: 2 bevestigingsschroeven 8 × 120 mm.</t>
  </si>
  <si>
    <t>Pri strešnih rombih 29 × 29 je potrebno namestiti podložno ploščo za montažo snegolovnega nosilca. Strešna konstrukcija z dvojnim opažem: 2 pritrdilna vijaka 8 × 220 mm. Strešna konstrukcija z enojnim opažem: 2 pritrdilna vijaka 8 × 120 mm.</t>
  </si>
  <si>
    <t>Med takdiamanter 29 × 29 är det nödvändigt att installera ett mellanlägg för att montera snörakkroken. Takkonstruktion med dubbla skal: 2 monteringsskruvar 8 × 220 mm. Takkonstruktion med enkelskal: 2 monteringsskruvar 8 × 120 mm.</t>
  </si>
  <si>
    <t>Med tagromber 29 × 29 er det nødvendigt at montere en underlagsplade for at montere snekrogen. To-skals tagkonstruktion: 2 fastgørelsesskruer 8 × 220 mm. En-skals tagkonstruktion: 2 fastgørelsesskruer 8 × 120 mm.</t>
  </si>
  <si>
    <t>Med takrombe 29 × 29 er det nødvendig å installere en underlagsplate for å kunne montere krok for snøfanger. Tolags takoppbygging: 2 festeskruer 8 × 220 mm. Ettlags takoppbygging: 2 festeskruer 8 × 120 mm.</t>
  </si>
  <si>
    <t>Kod krovnog romba 29 × 29 potrebno je ugraditi podlošku za montažu kuke za rešetkasti snjegobran. Dvoslojna krovna konstrukcija: 2 pričvrsna vijka 8 × 220 mm. Jednoslojna krovna konstrukcija: 2 pričvrsna vijka 8 × 120 mm.</t>
  </si>
  <si>
    <t>Bei Dachrauten 29 × 29 ist es erforderlich, eine Unterlagsplatte einzubauen, um den Sicherheitsdachhaken zu montieren (z. B. wenn ein Falz im Montagebereich über dem Sparren liegt).</t>
  </si>
  <si>
    <t>With rhomboid roof tiles 29 × 29, it is necessary to install a base plate in order to mount the roof anchor hook (e.g. if a seam is lying above a rafter in the installation area).</t>
  </si>
  <si>
    <t>Pour les losanges de toiture 29 × 29, une plaque de support doit être posée avant la mise en place du crochet de sécurité. C’est le cas par exemple lorsqu’un joint se trouve directement au-dessus d’un chevron, à l’endroit où l’élément doit être monté.</t>
  </si>
  <si>
    <t>Per le scaglie da copertura 29 × 29, è necessario installare una sottopiastra per montare la staffa di sicurezza anticaduta (ad es. se c'è un'aggraffatura nella zona di montaggio sopra il travetto).</t>
  </si>
  <si>
    <t>U Falcované šablony 29x29 může být v některých případech nutné provádět montáž bezpečnostního háku na montážní podložku (např. drážka v místě krokve).</t>
  </si>
  <si>
    <t>W przypadku dachówki romb 29 × 29 konieczne jest zamontowanie płyty podkładowej w celu zamocowania dachowych haków zabezpieczających (np. jeśli w obszarze mocowania nad krokwią znajduje się złożenie).</t>
  </si>
  <si>
    <t>A 29 × 29-es tetőfedő rombuszok esetében a biztonsági tetőhorog felszereléséhez egy alátétlemezt kell beszerelni (pl. ha a szarufa feletti szerelési területen korc van).</t>
  </si>
  <si>
    <t>Pri strešných šablónach 29 × 29 je potrebné zabudovať spevňovaciu podložku, aby bolo možné namontovať bezpečnostný strešný hák (napr. keď drážka v montážnej oblasti leží nad krokvami).</t>
  </si>
  <si>
    <t>Bij daklosanges van 29 × 29 moet een steunplaat worden aangebracht om de veiligheidsdakhaak te monteren (bijv. als er een sponning in het montagegebied boven de dakspant zit).</t>
  </si>
  <si>
    <t>Pri strešnih rombih 29 × 29 je potrebno namestiti podložno ploščo za montažo varnostnega strešnega kavlja (npr. če je zgib v območju montaže nad špirovci).</t>
  </si>
  <si>
    <t>För takpannor 29 × 29 är det nödvändigt att installera ett mellanlägg för montering av säkerhetstakkrokar (t.ex. om det finns en fals i monteringsområdet ovanför takbjälken).</t>
  </si>
  <si>
    <t>Med tagromber 29 × 29 er det nødvendigt at montere en underlagsplade for at montere sikkerhedstagkrogen (f.eks. hvis en fals i monteringsområdet er over spær).</t>
  </si>
  <si>
    <t>Med takrombe 29 × 29 er det nødvendig å installere en underlagsplate for å kunne montere sikkerhetstakkrokene (f.eks. hvis en fals i monteringsområdet ligger over sperrebjelkene).</t>
  </si>
  <si>
    <t>Kod krovnog romba 29 × 29 potrebno je ugraditi podlošku za montažu sigurnosne krovne kuke (npr. ako je falc u području montaže iznad roženica).</t>
  </si>
  <si>
    <t>Bei Dachschindeln ist es erforderlich, eine Unterlagsplatte einzubauen, um den Sicherheitsdachhaken zu montieren (z. B. wenn ein Falz im Montagebereich über dem Sparren liegt). Zweischaliger Dachaufbau: 2 Befestigungsschrauben 8 × 220 mm. Einschaliger Dachaufbau: 2 Befestigungsschrauben 8 × 120 mm.</t>
  </si>
  <si>
    <t>With shingles, it is necessary to install a base plate in order to mount the roof anchor hook (e.g. if a seam is lying above a rafter in the installation area).
double-skin roof structure: fixing screws (2 screws 8 × 220 mm)
single-skin roof structure: fixing screws (2 screws 8 × 120 mm)</t>
  </si>
  <si>
    <t>Pour les bardeaux, une plaque de support doit être posée avant la mise en place du crochet de sécurité. C’est le cas par exemple lorsqu’un joint se trouve directement au-dessus d’un chevron, à l’endroit où l’élément doit être monté. toit double peau : 2 vis de fixation 8 × 220 mm. toiture non ventilée : 2 vis de fixation 8 × 120 mm.</t>
  </si>
  <si>
    <t>Per le scandole, è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</si>
  <si>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Falcovaného šindele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</si>
  <si>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dachówki łupkowej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</si>
  <si>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A tetőfedő zsindelyek esetében a biztonsági tetőhorog felszereléséhez egy alátétlemezt kell beszerelni (pl. ha a szarufa feletti szerelési területen korc van). Kéthéjú tető rétegrend: 2 db 8 × 220 mm-es rögzítőcsavar. Egyhéjú tető rétegrend: 2 db 8 × 120 mm-es rögzítőcsavar.</t>
  </si>
  <si>
    <t>Pri strešných šindľoch je potrebné zabudovať spevňovaciu podložku, aby bolo možné namontovať bezpečnostný strešný hák (napr. keď drážka v montážnej oblasti leží nad krokvami). Dvojplášťová skladba strechy: 2 upevňovacie skrutky 8 × 220 mm. Jednoplášťová skladba strechy: 2 upevňovacie skrutky 8 × 120 mm.</t>
  </si>
  <si>
    <t>Bij dakleien moet een steunplaat worden aangebracht om de veiligheidsdakhaak te monteren (bijv. als er een sponning in het montagegebied boven de dakspant zit). Tweewandige dakmontage: 2 bevestigingsschroeven 8 × 220 mm. Enkelwandige dakmontage: 2 bevestigingsschroeven 8 × 120 mm.</t>
  </si>
  <si>
    <t>Pri strešnih skodlah je potrebno namestiti podložno ploščo za montažo varnostnega strešnega kavlja (npr. če je zgib v območju montaže nad špirovci). Strešna konstrukcija z dvojnim opažem: 2 pritrdilna vijaka 8 × 220 mm. Strešna konstrukcija z enojnim opažem: 2 pritrdilna vijaka 8 × 120 mm.</t>
  </si>
  <si>
    <t>Vid takshingel är det nödvändigt att installera ett mellanlägg för att montera taksäkerhetskroken (t.ex. om det finns en fals i monteringsytan ovanför takbjälken). Takkonstruktion med dubbla skal: 2 monteringsskruvar 8 × 220 mm. Takkonstruktion med enkelskal: 2 monteringsskruvar 8 × 120 mm.</t>
  </si>
  <si>
    <t>Med tagspån er det nødvendigt at montere en underlagsplade for at montere sikkerhedstagkrogen (f.eks. hvis en fals i monteringsområdet er over spær). To-skals tagkonstruktion: 2 fastgørelsesskruer 8 × 220 mm. En-skals tagkonstruktion: 2 fastgørelsesskruer 8 × 120 mm.</t>
  </si>
  <si>
    <t>Med takshingel er det nødvendig å installere en underlagsplate for å kunne montere sikkerhetstakkrokene (f.eks. hvis en fals i monteringsområdet ligger over sperrebjelkene). Tolags takoppbygging: 2 festeskruer 8 × 220 mm. Ettlags takoppbygging: 2 festeskruer 8 × 120 mm.</t>
  </si>
  <si>
    <t>Kod krovne šindre potrebno je ugraditi podlošku za montažu sigurnosne krovne kuke (npr. ako je falc u području montaže iznad roženica). Dvoslojna krovna konstrukcija: 2 pričvrsna vijka 8 × 220 mm. Jednoslojna krovna konstrukcija: 2 pričvrsna vijka 8 × 120 mm.</t>
  </si>
  <si>
    <t>Bei Dachschindeln ist es erforderlich, eine Unterlagsplatte einzubauen, um die Laufstegstütze zu montieren (z. B. wenn ein Falz im Montagebereich über dem Sparren liegt).</t>
  </si>
  <si>
    <t>With shingles, it is necessary to install a base plate in order to mount the walkway support (e.g. if a seam is lying above a rafter in the installation area).</t>
  </si>
  <si>
    <t>Pour les bardeaux, une plaque de support doit être posée avant la mise en place du support de chemin de circulation. C’est le cas par exemple lorsqu’un joint se trouve directement au-dessus d’un chevron, à l’endroit où l’élément doit être monté.</t>
  </si>
  <si>
    <t>Per le scandole, è necessario installare una sottopiastra per montare la staffa per griglia pedonabile (ad es. se c'è un'aggraffatura nella zona di montaggio sopra il travetto).</t>
  </si>
  <si>
    <t xml:space="preserve">U Falcovaného šindele může být v některých případech nutné provádět montáž držáku stoupací plošiny na montážní podložku (např. drážka v místě krokve). </t>
  </si>
  <si>
    <t>W przypadku dachówki łupkowej konieczne jest zamontowanie płyty podkładowej w celu zamocowania wsporników ławy kominiarskiej (np. jeśli w obszarze mocowania nad krokwią znajduje się złożenie).</t>
  </si>
  <si>
    <t>A tetőfedő zsindelyek esetében a járórácstartó elem felszereléséhez egy alátétlemezt kell beszerelni (pl. ha a szarufa feletti szerelési területen korc van).</t>
  </si>
  <si>
    <t>Pri strešných šindľoch je potrebné zabudovať spevňovaciu podložku, aby bolo možné namontovať držiak strešnej lávky (napr. keď drážka v montážnej oblasti leží nad krokvami).</t>
  </si>
  <si>
    <t>Bij dakleien moet een steunplaat worden aangebracht om de loopplanksteun te monteren (bijv. als er een sponning in het montagegebied boven de dakspant zit).</t>
  </si>
  <si>
    <t>Pri strešnih skodlah je potrebno namestiti podložno ploščo za montažo opornika za oder (npr. če je zgib v območju montaže nad špirovci).</t>
  </si>
  <si>
    <t>För takshingel är det nödvändigt med ett mellanlägg för att montera gångbrostödet (t.ex. om det finns en fals i monteringsområdet ovanför takbjälken).</t>
  </si>
  <si>
    <t>Med tagspån er det nødvendigt at montere en underlagsplade for at montere løbegangsstøtten (f.eks. hvis en fals i monteringsområdet er over spær).</t>
  </si>
  <si>
    <t>Med takshingel er det nødvendig å installere en underlagsplate for å kunne montere plattformstøttene (f.eks. hvis en fals i monteringsområdet ligger over sperrebjelkene).</t>
  </si>
  <si>
    <t>Kod krovne šindre potrebno je ugraditi podlošku za montažu nosača stepenice (npr. ako je falc u području montaže iznad roženica).</t>
  </si>
  <si>
    <t>Bei Dachschindeln ist es erforderlich, eine Unterlagsplatte einzubauen, um den Schneerechenhaken montieren (z. B. wenn ein Falz im Montagebereich über dem Sparren liegt). Zweischaliger Dachaufbau: 2 Befestigungsschrauben 8 × 220 mm. Einschaliger Dachaufbau: 2 Befestigungsschrauben 8 × 120 mm.</t>
  </si>
  <si>
    <t>With shingles, it is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</si>
  <si>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bardeaux, une plaque de support doit être posée avant la mise en place du crochet pour tubes pare-neige. C’est le cas par exemple lorsqu’un joint se trouve directement au-dessus d’un chevron, à l’endroit où l’élément doit être monté. toit double peau : 2 vis de fixation 8 × 220 mm. toiture non ventilée : 2 vis de fixation 8 × 120 mm.</t>
  </si>
  <si>
    <t>Per le scandole, è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</si>
  <si>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Falcovaného šindele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</si>
  <si>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dachówki łupkowej konieczne jest zamontowanie płyty podkładowej w celu zamocowania elementów montażowych zabezpieczeń przeciwśniegowych (np. jeśli w obszarze mocowania nad krokwią znajduje się złożenie). Dwuwarstwowa konstrukcja dachu: 2 śruby mocujące 8 × 220 mm. Jednowarstwowa konstrukcja dachu: 2 śruby mocujące 8 × 120 mm.</t>
  </si>
  <si>
    <t>A tetőfedő zsindelyek esetében a hófogórúd felszereléséhez egy alátétlemezt kell beszerelni (pl. ha a szarufa feletti szerelési területen korc van). Kéthéjú tető rétegrend: 2 db 8 × 220 mm-es rögzítőcsavar. Egyhéjú tető rétegrend: 2 db 8 × 120 mm-es rögzítőcsavar.</t>
  </si>
  <si>
    <t>Pri strešných šindľoch je potrebné zabudovať spevňovaciu podložku, aby bolo možné namontovať držiak rúrkového zachytávača snehu (napr. keď drážka v montážnej oblasti leží nad krokvami). Dvojplášťová skladba strechy: 2 upevňovacie skrutky 8 × 220 mm. Jednoplášťová skladba strechy: 2 upevňovacie skrutky 8 × 120 mm.</t>
  </si>
  <si>
    <t>Bij dakleien moet een steunplaat worden aangebracht om de sneeuwharkhaak te monteren (bijv. als er een sponning in het montagegebied boven de dakspant zit). Tweewandige dakmontage: 2 bevestigingsschroeven 8 × 220 mm. Enkelwandige dakmontage: 2 bevestigingsschroeven 8 × 120 mm.</t>
  </si>
  <si>
    <t>Pri strešnih skodlah je potrebno namestiti podložno ploščo za montažo snegolova (npr. če je zgib v območju montaže nad špirovci). Strešna konstrukcija z dvojnim opažem: 2 pritrdilna vijaka 8 × 220 mm. Strešna konstrukcija z enojnim opažem: 2 pritrdilna vijaka 8 × 120 mm.</t>
  </si>
  <si>
    <t>För takshingel är det nödvändigt att installera ett mellanlägg för att montera snökratskroken (t.ex. om det finns en fals i monteringsområdet ovanför takbjälken). Takkonstruktion med dubbla skal: 2 monteringsskruvar 8 × 220 mm. Takkonstruktion med enkelskal: 2 monteringsskruvar 8 × 120 mm.</t>
  </si>
  <si>
    <t>Med tagspån er det nødvendigt at montere en underlagsplade for at montere snekrogen (f.eks. hvis en fals i monteringsområdet er over spær). To-skals tagkonstruktion: 2 fastgørelsesskruer 8 × 220 mm. En-skals tagkonstruktion: 2 fastgørelsesskruer 8 × 120 mm.</t>
  </si>
  <si>
    <t>Med takshingel er det nødvendig å installere en underlagsplate for å kunne montere krokene til snøfanger f.eks. når en fals i monteringsområdet ligger over sperrebjelkene). Tolags takoppbygging: 2 festeskruer 8 × 220 mm. Ettlags takoppbygging: 2 festeskruer 8 × 120 mm.</t>
  </si>
  <si>
    <t>Kod krovne šindre potrebno je ugraditi podlošku za montažu kuke za rešetkasti snjegobran (npr. ako je falc u području montaže iznad roženica). Dvoslojna krovna konstrukcija: 2 pričvrsna vijka 8 × 220 mm. Jednoslojna krovna konstrukcija: 2 pričvrsna vijka 8 × 120 mm.</t>
  </si>
  <si>
    <t>Bei der Planung von Unterdächern sind insbesondere die Beanspruchungen bei Wassereintritt durch die Dacheindeckung bei folgenden Randbedingungen zu berücksichtigen:</t>
  </si>
  <si>
    <t>When planning the substructure, strain or stress caused by water penetrating through the roof covering should particularly be taken into account in the following conditions.</t>
  </si>
  <si>
    <t>Au moment de la conception de la sous-couverture, tenez compte en particulier des contraintes qui interviennent lors d’infiltrations d’eau dans la couverture, dans les conditions et contextes spécifiquement décrits ci-dessous :</t>
  </si>
  <si>
    <t>Quando si progettano i sottotetti, si deve prestare particolare attenzione alle sollecitazioni causate dalla penetrazione dell'acqua attraverso la copertura del tetto nelle seguenti condizioni limite:</t>
  </si>
  <si>
    <t>Při navrhování pojistných hydroizolací je zvlášť nutno zohlednit namáhání při průniku vody střešní krytinou při náslledujících okrajových podmínkách</t>
  </si>
  <si>
    <t>Przy projektowaniu pokryć wstępnych należy zwrócić szczególną uwagę na obciążenia spowodowane przenikaniem wody przez pokrycie dachowe w następujących warunkach brzegowych:</t>
  </si>
  <si>
    <t>Alsó tetősíkok tervezésekor különös figyelmet kell fordítani a tetőfedésen keresztül történő vízbehatolás okozta igénybevételekre, amelyek az alábbi körülmények fennállása esetén jelentkezhetnek:</t>
  </si>
  <si>
    <t>Pri plánovaní skladby podstrešia treba zvlášť zohľadniť namáhanie pri zatekaní cez strešnú krytinu pri nasledujúcich okrajových podmienkach.</t>
  </si>
  <si>
    <t>Bij de planning van onderdaken moet in het bijzonder rekening worden gehouden met de spanningen veroorzaakt door het binnendringen van water door de dakbedekking onder de volgende randvoorwaarden:</t>
  </si>
  <si>
    <t>Pri načrtovanju podstreh je treba posebno pozornost nameniti obremenitvi zaradi vdora vode skozi strešno kritino z naslednjimi robnimi pogoji:</t>
  </si>
  <si>
    <t>Vid planering av undertak måste särskild uppmärksamhet ägnas åt de påfrestningar som orsakas av vatteninträngning genom takbeläggningen med följande kantförutsättningar:</t>
  </si>
  <si>
    <t>Ved planlægning af undertage skal der lægges særlig vægt på spændinger forårsaget af vandindtrængning gennem tagdækningen med følgende randbetingelser:</t>
  </si>
  <si>
    <t>Ved planlegging av undertak må man være spesielt oppmerksom på de påkjenninger som forårsakes av vanninntrengning gjennom takbelegget med følgende grenseforhold:</t>
  </si>
  <si>
    <t>Prilikom planiranja sekundarnog krova posebnu pozornost treba obratiti na opterećenja uzrokovana prodiranjem vode kroz krovni pokrov uz sljedeće uvjete:</t>
  </si>
  <si>
    <t>Bei einem kleineren Maß (mind. 30 mm) muss die Summe von 470 mm (80 mm + 390 mm) erhalten bleiben.</t>
  </si>
  <si>
    <t>For smaller dimensions (min. 30 mm), the total of 470 mm (80 mm + 390 mm) must remain unchanged.</t>
  </si>
  <si>
    <t>Si le débord est inférieur à 80 mm (nota : celui-ci doit cependant être d’au moins 30 mm), veillez à conserver une longueur de 470 mm (longueur correspondant à 80 mm + 390 mm).</t>
  </si>
  <si>
    <t>Se la misura è più piccola (almeno 30 mm) è necessario mantenere la somma di 470 mm (80 mm + 390 mm).</t>
  </si>
  <si>
    <t>U menších presahu se musí dodržet soucet 470 mm (např. 80 mm + 390 mm).</t>
  </si>
  <si>
    <t>W przypadku małoformatowych elementów dachowych (min. 30 mm) suma wymiarów nie może przekraczać 470 mm (80 mm + 390 mm).</t>
  </si>
  <si>
    <t>Kisebb méret esetén (min. 30 mm), a 470 mm-es (80 mm + 390 mm) összméretet kell betartani.</t>
  </si>
  <si>
    <t>Pri menšom rozmere (min. 30 mm) musí zostať zachovaný súčet 470 mm (80 mm + 390 mm).</t>
  </si>
  <si>
    <t>Bij een kleinere afmeting (min. 30 mm) moet de som van 470 mm (80 mm + 390 mm) worden aangehouden.</t>
  </si>
  <si>
    <t>Pri manjši meri (najm. 30 mm) je treba ohraniti vsoto 470 mm (80 mm + 390 mm).</t>
  </si>
  <si>
    <t>Vid mindre storlek (min. 30 mm) måste summan av 470 mm (80 mm + 390 mm) kvarstå.</t>
  </si>
  <si>
    <t>Ved et mindre mål (mind. 30 mm) skal målet på 470 mm (80 mm + 390 mm) overholdes.</t>
  </si>
  <si>
    <t>Ved mindre mål (min. 30 mm) må summen på 470 mm (80 mm + 390 mm) opprettholdes.</t>
  </si>
  <si>
    <t>Kod manjih dimenzija (min. 30 mm) mora se zadržati zbroj od 470 mm (80 mm + 390 mm).</t>
  </si>
  <si>
    <t>Bei kleinformatigen Dachelementen kann es erforderlich sein, eine Unterlagsplatte einzubauen, um das Schneerechensystem zu montieren (z. B. wenn ein Falz im Montagebereich über dem Sparren liegt). Zweischaliger Dachaufbau: 4 Befestigungsschrauben 8 × 220 mm. Einschaliger Dachaufbau: 4 Befestigungsschrauben 8 × 120 mm.</t>
  </si>
  <si>
    <t>With small-format shingles, it may be necessary to install a base plate in order to mount the pipe-style snow guard system (e.g. if a seam is lying above a rafter in the installation area).
double-skin roof structure: fixing screws (4 screws 8 × 220 mm)
single-skin roof structure: fixing screws (4 screws 8 × 120 mm)</t>
  </si>
  <si>
    <t>Pour les éléments de toiture de petit format, la pose d’une plaque de support peut être requise avant l’installation du système pare-neige. C’est le cas par exemple lorsqu’un joint se trouve directement au-dessus d’un chevron, à l’endroit où l’élément doit être monté. toit double peau : 4 vis de fixation 8 × 220 mm. toiture non ventilée : 4 vis de fixation 8 × 120 mm.</t>
  </si>
  <si>
    <t>Per gli elementi di copertura del tetto di piccolo formato, può essere necessario installare una sottopiastra per montare il sistema a tubi fermaneve (ad es. se c'è un'aggraffatura nella zona di montaggio sopra il travetto). Struttura del tetto a due strati: 4 viti di fissaggio 8 × 220 mm. Struttura del tetto monostrato: 4 viti di fissaggio 8 × 120 mm.</t>
  </si>
  <si>
    <t>U maloformátových krytin může být v některých případech nutné provádět montáž držáku trubkové profilované sněhové zábrany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</si>
  <si>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systemu zabezpieczeń przeciwśniegowych (np. jeśli w obszarze mocowania nad krokwią znajduje się złożenie). Dwuwarstwowa konstrukcja dachu: 4 śruby mocujące 8 × 220 mm. Jednowarstwowa konstrukcja dachu: 4 śruby mocujące 8 × 120 mm.</t>
  </si>
  <si>
    <t>Kis méretű tetőfedő elemek esetében a hófogó rendszer felszereléséhez szükséges lehet egy alátétlemez beszerelése (pl. ha a szarufa feletti szerelési területen korc van). Kéthéjú tető rétegrend: 4 db 8 × 220 mm-es rögzítőcsavar. Egyhéjú tető rétegrend: 4 db 8 × 120 mm-es rögzítőcsavar.</t>
  </si>
  <si>
    <t>Pri maloformátových strešných prvkoch môže byť potrebné zabudovanie spevňovacej podložky, aby bolo možné namontovať systémový rúrkový zachytávač snehu (napr. keď drážka v montážnej oblasti leží nad krokvami). Dvojplášťová skladba strechy: 4 upevňovacie skrutky 8 × 220 mm. Jednoplášťová skladba strechy: 4 upevňovacie skrutky 8 × 120 mm.</t>
  </si>
  <si>
    <t>Bij dakelementen van klein formaat moet wellicht een steunplaat worden aangebracht om het sneeuwharksysteem te monteren (bijv. als er een sponning in het montagegebied boven de dakspant zit). Tweewandige dakmontage: 4 bevestigingsschroeven 8 × 220 mm. Enkelwandige dakmontage: 4 bevestigingsschroeven 8 × 120 mm.</t>
  </si>
  <si>
    <t>Pri strešnih elementih majhnega formata je morda potrebno namestiti podložno ploščo za montažo snegolovnega sistema (npr. če je zgib v območju montaže nad špirovci). Strešna konstrukcija z dvojnim opažem: 4 pritrdilni vijaki 8 × 220 mm. Strešna konstrukcija z enojnim opažem: 4 pritrdilni vijaki 8 × 120 mm.</t>
  </si>
  <si>
    <t>Vid takelement i småformat kan det vara nödvändigt att installera ett mellanlägg för att montera snökratssystemet (t.ex. om det finns en fals i monteringsytan ovanför takbjälken). Takkonstruktion med dubbla skal: 4 monteringsskruvar 8 × 220 mm. Takkonstruktion med enkelskal: 4 monteringsskruvar 8 × 120 mm.</t>
  </si>
  <si>
    <t>Ved mindre tagelementer kan det være nødvendigt at montere en underlagsplade for at montere snesystemet (f.eks. hvis en fals i monteringsområdet er over spær). To-skals tagkonstruktion: 4 fastgørelsesskruer 8 × 220 mm. En-skals tagkonstruktion: 4 fastgørelsesskruer 8 × 120 mm.</t>
  </si>
  <si>
    <t>Med takelementer i småformat kan det være nødvendig å installere en underlagsplate for å kunne montere snøholdersystemet (f.eks. når en fals i monteringsområdet ligger over sperrebjelkene). Tolags takoppbygging: 4 festeskruer 8 × 220 mm. Ettlags takoppbygging: 4 festeskruer 8 × 120 mm.</t>
  </si>
  <si>
    <t>Kod krovnih elemenata malog formata može biti potrebno ugraditi podlošku za montažu sustava rešetkastog snjegobrana (npr. ako je falc u području montaže iznad roženica). Dvoslojna krovna konstrukcija: 4 pričvrsna vijka 8 × 220 mm. Jednoslojna krovna konstrukcija: 4 pričvrsna vijka 8 × 120 mm.</t>
  </si>
  <si>
    <t>Bei kleinformatigen Dachelementen kann es erforderlich sein, eine Unterlagsplatte einzubauen, um den Sicherheitsdachhaken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</si>
  <si>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roof anchor hook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</si>
  <si>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crochet de sécurité.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</si>
  <si>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di sicurezza anticaduta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</si>
  <si>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bezpečnostního háku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</si>
  <si>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dachowych haków zabezpieczających (np. jeśli w obszarze mocowania nad krokwią znajduje się złożenie). Dwuwarstwowa konstrukcja dachu: 2 śruby mocujące 8 × 220 mm. Jednowarstwowa konstrukcja dachu: 2 śruby mocujące 8 × 120 mm.</t>
  </si>
  <si>
    <t>Kis méretű tetőfedő elemek esetében a tetőbiztonsági kampó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</si>
  <si>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bezpečnostný strešný hák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</si>
  <si>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veiligheidsdakhaak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</si>
  <si>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podložno ploščo za montažo varnostnega strešnega kavlja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</si>
  <si>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taksäkerhetskroken (t.ex. om det finns en fals i monteringsområdet ovanför takbjälken). Takkonstruktion med dubbla skal: 2 monteringsskruvar 8 × 220 mm. Takkonstruktion med enkelskal: 2 monteringsskruvar 8 × 120 mm.</t>
  </si>
  <si>
    <t>Ved mindre tagelementer kan det være nødvendigt at montere en underlagsplade for at montere sikkerhedstagkrogen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</si>
  <si>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sikkerhetstakkrokene (f.eks. hvis en fals i monteringsområdet ligger over sperrebjelkene). Tolags takoppbygging: 2 festeskruer 8 × 220 mm. Ettlags takoppbygging: 2 festeskruer 8 × 120 mm.</t>
  </si>
  <si>
    <t>Kod krovnih elemenata malog formata može biti potrebno ugraditi podlošku za montažu sigurnosne krovne kuke (npr. ako je falc u području montaže iznad roženica). Dvoslojna krovna konstrukcija: 2 pričvrsna vijka 8 × 220 mm. Jednoslojna krovna konstrukcija: 2 pričvrsna vijka 8 × 120 mm.</t>
  </si>
  <si>
    <t>Bei kleinformatigen Dachelementen kann es erforderlich sein, eine Unterlagsplatte einzubauen, um den Einzeltritt zu montieren (z. B. wenn ein Falz im Montagebereich über dem Sparren liegt).</t>
  </si>
  <si>
    <t>With small-format shingles, it may be necessary to install a base plate in order to mount the safety tread (e.g. if a seam is lying above a rafter in the installation area).</t>
  </si>
  <si>
    <t>Pour les éléments de toiture de petit format, la pose d’une plaque de support peut être requise avant l’installation de la marche de toit. C’est le cas par exemple lorsqu’un joint se trouve directement au-dessus d’un chevron, à l’endroit où l’élément doit être monté.</t>
  </si>
  <si>
    <t>Per gli elementi di copertura di piccolo formato, può essere necessario installare una sottopiastra per montare il gradino singolo (ad es. se c'è un'aggraffatura nella zona di montaggio sopra il travetto).</t>
  </si>
  <si>
    <t>U maloformátových krytin může být v některých případech nutné provést montáž nášlapného stupně na montážní podložku (např. drážka v místě krokve).</t>
  </si>
  <si>
    <t>W przypadku małoformatowych elementów dachowych konieczne jest zamontowanie płyty podkładowej w celu zamocowania stopni kominiarskich (np. jeśli w obszarze mocowania nad krokwią znajduje się złożenie).</t>
  </si>
  <si>
    <t>Kis méretű tetőfedő elemek esetében a tetőlépcső felszereléséhez szükséges lehet egy alátétlemez beszerelése (pl. ha a szarufa feletti szerelési területen korc van).</t>
  </si>
  <si>
    <t>Pri maloformátových strešných prvkoch môže byť potrebné zabudovanie spevňovacej podložky, aby bolo možné namontovať stúpací schodík (napr. keď drážka v montážnej oblasti leží nad krokvami).</t>
  </si>
  <si>
    <t>Bij dakelementen van klein formaat moet wellicht een steunplaat worden aangebracht om de enkele trede te monteren (bijv. als er een sponning in het montagegebied boven de dakspant zit).</t>
  </si>
  <si>
    <t>Pri strešnih elementih majhnega formata je morda potrebno namestiti podložno ploščo za montažo enojnih dimniških stopnic (npr. če je zgib v območju montaže nad špirovci).</t>
  </si>
  <si>
    <t>Vid takelement i småformat kan det vara nödvändigt att installera ett mellanlägg för att montera det enkelsteget (t.ex. om det finns en fals i monteringsytan ovanför takbjälken).</t>
  </si>
  <si>
    <t>Ved mindre tagelementer kan det være nødvendigt at montere en underlagsplade for at montere enkelttrinnet (f.eks. hvis en fals i monteringsområdet er over spær).</t>
  </si>
  <si>
    <t>Med takelementer i småformat kan det være nødvendig å installere en underlagsplate for å kunne montere enkelttrinnene (f.eks. hvis en fals i monteringsområdet ligger over sperrebjelkene).</t>
  </si>
  <si>
    <t>Kod krovnih elemenata malog formata može biti potrebno ugraditi podlošku za montažu pojedinačnih stuba (npr. ako je falc u području montaže iznad roženica).</t>
  </si>
  <si>
    <t>Bei kleinformatigen Dachelementen kann es erforderlich sein, eine Unterlagsplatte einzubauen, um die Gebirgsschneefangstütze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</si>
  <si>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mountain snow-guard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</si>
  <si>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support de pare-neige pour rondins.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</si>
  <si>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fermaneve per legno tondo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</si>
  <si>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držáku kulatiny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</si>
  <si>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elementów montażowych osłon przeciwśniegowych stosowanych na terenach górskich (np. jeśli w obszarze mocowania nad krokwią znajduje się złożenie). Dwuwarstwowa konstrukcja dachu: 2 śruby mocujące 8 × 220 mm. Jednowarstwowa konstrukcja dachu: 2 śruby mocujące 8 × 120 mm.</t>
  </si>
  <si>
    <t>Kis méretű tetőfedő elemek esetében a hófogórönk-tartó elem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</si>
  <si>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držiak horského zachytávača snehu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</si>
  <si>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steensneeuwvanger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</si>
  <si>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podložno ploščo za montažo gorskega snegolovnega opornika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</si>
  <si>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fjällsnöskyddsstödet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</si>
  <si>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bjergsnesystemet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</si>
  <si>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snøstoppere (f.eks. når en fals i monteringsområdet ligger over sperrebjelkene). Tolags takoppbygging: 2 festeskruer 8 × 220 mm. Ettlags takoppbygging: 2 festeskruer 8 × 120 mm.</t>
  </si>
  <si>
    <t>Kod krovnih elemenata malog formata može biti potrebno ugraditi podlošku za montažu nosača planinskog snjegobrana (npr. ako je falc u području montaže iznad roženica). Dvoslojna krovna konstrukcija: 2 pričvrsna vijka 8 × 220 mm. Jednoslojna krovna konstrukcija: 2 pričvrsna vijka 8 × 120 mm.</t>
  </si>
  <si>
    <t>Bei kleinformatigen Dachelementen kann es erforderlich sein, eine Unterlagsplatte einzubauen, um die Laufstegstütze zu montieren (z. B. wenn ein Falz im Montagebereich über dem Sparren liegt).</t>
  </si>
  <si>
    <t>With small-format shingles, it may be necessary to install a base plate in order to mount the walkway support (e.g. if a seam is lying above a rafter in the installation area).</t>
  </si>
  <si>
    <t>Pour les éléments de toiture de petit format, la pose d’une plaque de support peut être requise avant l’installation du support de chemin circulation. C’est le cas par exemple lorsqu’un joint se trouve directement au-dessus d’un chevron, à l’endroit où l’élément doit être monté.</t>
  </si>
  <si>
    <t>Per gli elementi di copertura di piccolo formato, può essere necessario installare una sottopiastra per montare la staffa per griglia pedonabile (ad es. se c'è un'aggraffatura nella zona di montaggio sopra il travetto).</t>
  </si>
  <si>
    <t xml:space="preserve">U maloformátových krytin může být v některých případech nutné provádět montáž držáku stoupací plošiny na montážní podložku (např. drážka v místě krokve). </t>
  </si>
  <si>
    <t>W przypadku małoformatowych elementów dachowych konieczne jest zamontowanie płyty podkładowej w celu zamocowania wsporników ławy kominiarskiej (np. jeśli w obszarze mocowania nad krokwią znajduje się złożenie).</t>
  </si>
  <si>
    <t>Kis méretű tetőfedő elemek esetében a járórácstartó elem felszereléséhez szükséges lehet egy alátétlemez beszerelése (pl. ha a szarufa feletti szerelési területen korc van).</t>
  </si>
  <si>
    <t>Pri maloformátových strešných prvkoch môže byť potrebné zabudovanie spevňovacej podložky, aby bolo možné namontovať držiak strešnej lávky (napr. keď drážka v montážnej oblasti leží nad krokvami).</t>
  </si>
  <si>
    <t>Bij dakelementen van klein formaat moet wellicht een steunplaat worden aangebracht om de loopplanksteun te monteren (bijv. als er een sponning in het montagegebied boven de dakspant zit).</t>
  </si>
  <si>
    <t>Pri strešnih elementih majhnega formata je morda potrebno namestiti podložno ploščo za montažo opornika za oder (npr. če je zgib v območju montaže nad špirovci).</t>
  </si>
  <si>
    <t>På takpaneler i småformat kan det vara nödvändigt att montera ett mellanlägg för att montera gångbrostödet (t.ex. om det finns en fals i monteringsområdet över takbjälken).</t>
  </si>
  <si>
    <t>Ved mindre tagelementer kan det være nødvendigt at montere en underlagsplade for at montere løbegangsstøtten (f.eks. hvis en fals i monteringsområdet er over spær).</t>
  </si>
  <si>
    <t>Med takelementer i småformat kan det være nødvendig å installere en underlagsplate for å kunne montere plattformstøttene (f.eks. når en fals i monteringsområdet ligger over sperrebjelkene).</t>
  </si>
  <si>
    <t>Kod krovnih elemenata malog formata može biti potrebno ugraditi podlošku za montažu nosača stepenice (npr. ako je falc u području montaže iznad roženica).</t>
  </si>
  <si>
    <t>Bei kleinformatigen Dachelementen kann es erforderlich sein, eine Unterlagsplatte einzubauen, um den Schneerechenhaken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</si>
  <si>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pipe-style snow guard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</si>
  <si>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crochet pour tubes pare-neige.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</si>
  <si>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per tubi fermaneve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</si>
  <si>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držáku sněhové zábrany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</si>
  <si>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systemu elementów montażowych zabezpieczeń przeciwśniegowych (np. jeśli w obszarze mocowania nad krokwią znajduje się złożenie). Dwupowłokowa konstrukcja dachu: 2 śruby mocujące 8 × 220 mm. Jednopowłokowa konstrukcja dachu: 2 śruby mocujące 8 × 120 mm.</t>
  </si>
  <si>
    <t>Kis méretű tetőfedő elemek esetében a hófogórúd-tartó elem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</si>
  <si>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držiak rúrkového zachytávača snehu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</si>
  <si>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sneeuwharkhaak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</si>
  <si>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podložko za montažo snegolova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</si>
  <si>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snökratskroken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</si>
  <si>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snekrogen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</si>
  <si>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kroken til snøstopperen (f.eks. når en fals i monteringsområdet ligger over sperrebjelkene). Tolags takoppbygging: 2 festeskruer 8 × 220 mm. Ettlags takoppbygging: 2 festeskruer 8 × 120 mm.</t>
  </si>
  <si>
    <t>Kod krovnih elemenata malog formata može biti potrebno ugraditi podlošku za montažu kuke za rešetkasti snjegobran (npr. ako je falc u području montaže iznad roženica). Dvoslojna krovna konstrukcija: 2 pričvrsna vijka 8 × 220 mm. Jednoslojna krovna konstrukcija: 2 pričvrsna vijka 8 × 120 mm.</t>
  </si>
  <si>
    <t>Bei kleinformatigen Dachelementen kann es erforderlich sein, eine Unterlagsplatte einzubauen, um den Sicherheitsdachhaken zu montieren (z. B. wenn ein Falz im Montagebereich über dem Sparren liegt).</t>
  </si>
  <si>
    <t>With small-format shingles, it may be necessary to install a base plate in order to mount the roof anchor hook (e.g. if a seam is lying above a rafter in the installation area).</t>
  </si>
  <si>
    <t>Pour les éléments de toiture de petit format, la pose d’une plaque de support peut être requise avant l’installation du crochet de sécurité. C’est le cas par exemple lorsqu’un joint se trouve directement au-dessus d’un chevron, à l’endroit où l’élément doit être monté.</t>
  </si>
  <si>
    <t>Per gli elementi di copertura di piccolo formato, può essere necessario installare una sottopiastra per montare la staffa di sicurezza anticaduta (ad es. se c'è un'aggraffatura nella zona di montaggio sopra il travetto).</t>
  </si>
  <si>
    <t xml:space="preserve">U maloformátových krytin může být v některých případech nutné provádět montáž bezpečnostního háku na montážní podložku (např. drážka v místě krokve). </t>
  </si>
  <si>
    <t>W przypadku małoformatowych elementów dachowych konieczne jest zamontowanie płyty podkładowej w celu zamocowania dachowych haków zabezpieczających (np. jeśli w obszarze mocowania nad krokwią znajduje się złożenie).</t>
  </si>
  <si>
    <t>Kis méretű tetőfedő elemek esetében a tetőbiztonsági kampó felszereléséhez szükséges lehet egy alátétlemez beszerelése (pl. ha a szarufa feletti szerelési területen korc van).</t>
  </si>
  <si>
    <t>Pri maloformátových strešných prvkoch môže byť potrebné zabudovanie spevňovacej podložky, aby bolo možné namontovať bezpečnostný strešný hák (napr. keď drážka v montážnej oblasti leží nad krokvami).</t>
  </si>
  <si>
    <t>Bij dakelementen van klein formaat moet wellicht een steunplaat worden aangebracht om de veiligheidsdakhaak te monteren (bijv. als er een sponning in het montagegebied boven de dakspant zit).</t>
  </si>
  <si>
    <t>Pri strešnih elementih majhnega formata je morda potrebno namestiti podložno ploščo za montažo varnostnega strešnega kavlja (npr. če je zgib v območju montaže nad špirovci).</t>
  </si>
  <si>
    <t>Vid takelement i småformat kan det vara nödvändigt att installera ett mellanlägg för att montera taksäkerhetskroken (t.ex. om det finns en fals i monteringsområdet ovanför takbjälken).</t>
  </si>
  <si>
    <t>Ved mindre tagelementer kan det være nødvendigt at montere en underlagsplade for at montere sikkerhedstagkrogen (f.eks. hvis en fals i monteringsområdet er over spær).</t>
  </si>
  <si>
    <t>Med takelementer i småformat kan det være nødvendig å installere en underlagsplate for å kunne montere sikkerhetstakkrokene (f.eks. hvis en fals i monteringsområdet ligger over sperrebjelkene).</t>
  </si>
  <si>
    <t>Kod krovnih elemenata malog formata može biti potrebno ugraditi podlošku za montažu sigurnosne krovne kuke (npr. ako je falc u području montaže iznad roženica).</t>
  </si>
  <si>
    <t>Bei kleinformatigen Dachelementen kann es erforderlich sein, eine Unterlagsplatte einzubauen, um den Solarhalter Vario oder Fix zu montieren (z. B. wenn ein Falz im Montagebereich über dem Sparren liegt).</t>
  </si>
  <si>
    <t>With small-format shingles, it may be necessary to install a base plate in order to mount the Vario or Fix solar bracket (e.g. if a seam is lying above a rafter in the installation area).</t>
  </si>
  <si>
    <t>Pour les éléments de toiture de petit format, la pose d’une plaque de support peut être requise avant l’installation du support solaire Vario ou Fix. C’est le cas par exemple lorsqu’un joint se trouve directement au-dessus d’un chevron, à l’endroit où l’élément doit être monté.</t>
  </si>
  <si>
    <t>Per gli elementi di copertura di piccolo formato, può essere necessario installare una sottopiastra per montare la staffa per pannelli solari Vario o Fix (ad es. se c'è un'aggraffatura nella zona di montaggio sopra il travetto).</t>
  </si>
  <si>
    <t xml:space="preserve">U maloformátových krytin může být v některých případech nutné provádět montáž  solárního držáku Vario nebo Fix na montážní podložku (např. drážka v místě krokve). </t>
  </si>
  <si>
    <t>W przypadku małoformatowych elementów dachowych konieczne jest zamontowanie płyty podkładowej w celu zamocowania uchwytów do montażu paneli fotowoltaicznych Vario lub Fix (np. jeśli w obszarze mocowania nad krokwią znajduje się złożenie).</t>
  </si>
  <si>
    <t>Kis méretű tetőfedő elemek esetében a Vario vagy Fix napelemtartó felszereléséhez szükséges lehet egy alátétlemez beszerelése (pl. ha a szarufa feletti szerelési területen korc van).</t>
  </si>
  <si>
    <t>Pri maloformátových strešných prvkoch môže byť potrebné zabudovanie spevňovacej podložky, aby bolo možné namontovať solárny držiak Vario alebo Fix (napr. keď drážka v montážnej oblasti leží nad krokvami).</t>
  </si>
  <si>
    <t>Bij dakelementen van klein formaat moet wellicht een steunplaat worden aangebracht om de solarhouder Vario of Fix te monteren (bijv. als er een sponning in het montagegebied boven de dakspant zit).</t>
  </si>
  <si>
    <t>Pri strešnih elementih majhnega formata je morda potrebno namestiti podložko za montažo nosilca za solarni panel Vario ali Fix (npr. če je zgib v območju montaže nad špirovci).</t>
  </si>
  <si>
    <t>Vid takelement i småformat kan det vara nödvändigt att installera ett mellanlägg för att montera Vario eller Fix solcellshållare (t.ex. om det finns en fals i monteringsytan ovanför takbjälken).</t>
  </si>
  <si>
    <t>Ved mindre tagelementer kan det være nødvendigt at montere en underlagsplade for at montere solcelleholderen Vario eller Fix (f.eks. hvis en fals i monteringsområdet er over spær).</t>
  </si>
  <si>
    <t>Med takelementer i småformat kan det være nødvendig å installere en underlagsplate for å kunne montere variabel eller fast holder for solcellepanel (f.eks. hvis en fals i monteringsområdet ligger over sperrebjelkene).</t>
  </si>
  <si>
    <t>Kod krovnih elemenata malog formata može biti potrebno ugraditi podlošku za montažu solar držača Vario ili Fix (npr. ako je falc u području montaže iznad roženica).</t>
  </si>
  <si>
    <t>Bei kleinformatigen Dachelementen kann es erforderlich sein, eine Unterlagsplatte einzubauen, um den Solarhalter Vario oder Fix zu montieren (z. B. wenn ein Falz im Montagebereich über dem Sparren liegt). Zweischaliger Dachaufbau: 2 Befestigungsschrauben 8 × 220 mm. Einschaliger Dachaufbau: 2 Befestigungsschrauben 8 × 120 mm.</t>
  </si>
  <si>
    <t>With small-format shingles, it may be necessary to install a base plate in order to mount the Vario or Fix solar bracket (e.g. if a seam is lying above a rafter in the installation area).
double-skin roof structure: fixing screws (2 screws 8 × 220 mm)
single-skin roof structure: fixing screws (2 screws 8 × 120 mm)</t>
  </si>
  <si>
    <t>Pour les éléments de toiture de petit format, la pose d’une plaque de support peut être requise avant l’installation du support solaire Vario ou Fix. C’est le cas par exemple lorsqu’un joint se trouve directement au-dessus d’un chevron, à l’endroit où l’élément doit être monté. toit double peau : 2 vis de fixation 8 × 220 mm. toiture non ventilée : 2 vis de fixation 8 × 120 mm.</t>
  </si>
  <si>
    <t>Per gli elementi di copertura di piccolo formato, può essere necessario installare una sottopiastra per montare la staffa per pannelli solari Vario o Fix (ad es. se c'è un'aggraffatura nella zona di montaggio sopra il travetto). Struttura del tetto a due strati: 2 viti di fissaggio 8 × 220 mm. Struttura del tetto monostrato: 2 viti di fissaggio 8 × 120 mm.</t>
  </si>
  <si>
    <t>U maloformátových krytin může být v některých případech nutné provádět montáž  solárního držáku Vario nebo Fix na montážní podložku (např. drážka v místě krokve). dvouplášťová střešní skladba:  4 ks připevňovací vruty 8x220 mm; jednoplášťová střešní skladba: 4 ks připevňovací vruty 8x120 mm</t>
  </si>
  <si>
    <t>W przypadku małoformatowych elementów dachowych konieczne jest zamontowanie płyty podkładowej w celu zamocowania uchwytów do montażu paneli fotowoltaicznych Vario lub Fix (np. jeśli w obszarze mocowania nad krokwią znajduje się złożenie). Dwupowłokowa konstrukcja dachu: 2 śruby mocujące 8 × 220 mm. Jednopowłokowa konstrukcja dachu: 2 śruby mocujące 8 × 120 mm.</t>
  </si>
  <si>
    <t>Kis méretű tetőfedő elemek esetében a Vario vagy Fix napelemtartó felszereléséhez szükséges lehet egy alátétlemez beszerelése (pl. ha a szarufa feletti szerelési területen korc van). Kéthéjú tető rétegrend: 2 db 8 × 220 mm-es rögzítőcsavar. Egyhéjú tető rétegrend: 2 db 8 × 120 mm-es rögzítőcsavar.</t>
  </si>
  <si>
    <t>Pri maloformátových strešných prvkoch môže byť potrebné zabudovanie spevňovacej podložky, aby bolo možné namontovať solárny držiak Vario alebo Fix (napr. keď drážka v montážnej oblasti leží nad krokvami). Dvojplášťová skladba strechy: 2 upevňovacie skrutky 8 × 220 mm. Jednoplášťová skladba strechy: 2 upevňovacie skrutky 8 × 120 mm.</t>
  </si>
  <si>
    <t>Bij dakelementen van klein formaat moet wellicht een steunplaat worden aangebracht om de solarhouder Vario of Fix te monteren (bijv. als er een sponning in het montagegebied boven de dakspant zit). Tweewandige dakmontage: 2 bevestigingsschroeven 8 × 220 mm. Enkelwandige dakmontage: 2 bevestigingsschroeven 8 × 120 mm.</t>
  </si>
  <si>
    <t>Pri strešnih elementih majhnega formata je morda potrebno namestiti podložko za montažo nosilca za solarni panel Vario ali Fix (npr. če je zgib v območju montaže nad špirovci). Strešna konstrukcija z dvojnim opažem: 2 pritrdilna vijaka 8 × 220 mm. Strešna konstrukcija z enojnim opažem: 2 pritrdilna vijaka 8 × 120 mm.</t>
  </si>
  <si>
    <t>Vid takelement i småformat kan det vara nödvändigt att installera ett mellanlägg för att montera Vario eller Fix solcellshållare (t.ex. om det finns en fals i monteringsytan ovanför takbjälken). Takkonstruktion med dubbla skal: 2 monteringsskruvar 8 × 220 mm. Takkonstruktion med enkelskal: 2 monteringsskruvar 8 × 120 mm.</t>
  </si>
  <si>
    <t>Ved mindre tagelementer kan det være nødvendigt at montere en underlagsplade for at montere solcelleholderen Vario eller Fix (f.eks. hvis en fals i monteringsområdet er over spær). To-skals tagkonstruktion: 2 fastgørelsesskruer 8 × 220 mm. En-skals tagkonstruktion: 2 fastgørelsesskruer 8 × 120 mm.</t>
  </si>
  <si>
    <t>Med takelementer i småformat kan det være nødvendig å installere en underlagsplate for å kunne montere variabel eller fast holder for solcellepanel (f.eks. hvis en fals i monteringsområdet ligger over sperrebjelkene). Tolags takoppbygging: 2 festeskruer 8 × 220 mm. Ettlags takoppbygging: 2 festeskruer 8 × 120 mm.</t>
  </si>
  <si>
    <t>Kod krovnih elemenata malog formata može biti potrebno ugraditi podlošku za montažu solar držača Vario ili Fix (npr. ako je falc u području montaže iznad roženica). Dvoslojna krovna konstrukcija: 2 pričvrsna vijka 8 × 220 mm. Jednoslojna krovna konstrukcija: 2 pričvrsna vijka 8 × 120 mm.</t>
  </si>
  <si>
    <t>Bei nicht ausgebautem Dachgeschoß, bei dem eine regelmäßige Kontrolle oder Wartung des Dachraums nicht möglich ist und die oberste Geschoßdecke bereits bei geringen Wassermengen wasserdurchlässig ist (z. B. Spitzböden über Zangendecke).</t>
  </si>
  <si>
    <t>on a non-converted attic where the roof space cannot be regularly inspected or maintained, and the top storey ceiling leaks water even with low volumes of water (e.g. attics above a tie-beam roof)</t>
  </si>
  <si>
    <t>Dans le cas de combles non aménagés qu’il n’est pas possible de contrôler et d’entretenir de manière régulière, et pour lesquels le plafond de l’étage supérieur — en d’autres termes le plancher des combles — présente des infiltrations d’eau même lors de faibles précipitations (par exemple dans le cas de combles perdus se trouvant au-dessus d’un plancher posé sur entraits).</t>
  </si>
  <si>
    <t>Nel caso di un sottotetto non abitabile, dove non è possibile un'ispezione o una manutenzione regolare dello spazio sotto il tetto e il soffitto del piano superiore è permeabile all'acqua anche in caso di piccole infiltrazioni (ad es. solaio su copertura a forcella).</t>
  </si>
  <si>
    <t>u neobytného podstřešního prostoru, kde není možná pravidelná kontrola a údržba a strop nad posledním obytným patrem může protéct již při malém množství vody (např. prostor nad kleštinami)</t>
  </si>
  <si>
    <t>W przypadku poddaszy nieużytkowych, gdzie nie jest możliwa regularna kontrola lub konserwacja przestrzeni poddasza, a strop najwyższej kondygnacji jest przepuszczalny dla wody nawet w przypadku niewielkich ilości wody (np. dach spadzisty nad stropami belkowymi).</t>
  </si>
  <si>
    <t>Olyan be nem épített tetőtér esetén, ahol a tetőtér rendszeres ellenőrzése vagy karbantartása nem lehetséges, és a legfelső emeleti mennyezet még kis mennyiségű víz esetén is átereszti a vizet (pl. gerendás mennyezet feletti attika).</t>
  </si>
  <si>
    <t>Pri nevyužívanom podkroví na obytné účely, pri ktorom nie je možná pravidelná kontrola alebo údržba podstrešia a najvrchnejší medzipodlažný strop je vodopriepustný už pri malých množstvách vody (napr. povaly nad klieštinovým stropom).</t>
  </si>
  <si>
    <t>Bij niet uitgebouwde zolders waar regelmatige inspectie of onderhoud van de zolderruimte niet mogelijk is en het plafond van de bovenste verdieping waterdoorlatend is, zelfs in geval van kleine hoeveelheden water (bijv. puntvloeren boven knikplafonds).</t>
  </si>
  <si>
    <t>V primeru nerazširjenega podstrešja, kjer redni pregledi ali vzdrževanje podstrešja niso mogoči in je strop zgornjega nadstropja vodoprepusten tudi pri majhnih količinah vode (npr. podstrešja pod slemenom nad stropom s tramovi).</t>
  </si>
  <si>
    <t>Vid ej ombyggd vind där regelbunden inspektion eller underhåll av vinden inte är möjlig och taket på översta våningen är vattengenomsläppligt även för små mängder vatten (t.ex. vindsvåningar ovanför dragbalkstak).</t>
  </si>
  <si>
    <t>I tilfælde af ikke-udvidet loft, hvor regelmæssig inspektion eller vedligeholdelse af loftet ikke er muligt, og loftet øverst er vandgennemtrængeligt selv ved små mængder vand (f.eks. spidslofter).</t>
  </si>
  <si>
    <t>Med et ubebygd loft hvor regelmessig inspeksjon eller vedlikehold av loftet ikke er mulig og taket i toppetasjen er vanngjennomtrengelig selv med små mengder vann (f.eks. loftsgulv over et tangtak).</t>
  </si>
  <si>
    <t>Kod neuređenog potkrovlja gdje nije moguć redoviti pregled ili održavanje potkrovlja, a strop gornje etaže je vodopropusni čak i uz male količine vode (npr. potkrovlja iznad krova s gredama).</t>
  </si>
  <si>
    <t>Belüftungsmöglichkeit</t>
  </si>
  <si>
    <t>possible ventilation</t>
  </si>
  <si>
    <t>possibilité de ventilation</t>
  </si>
  <si>
    <t>Possibilità di ventilazione</t>
  </si>
  <si>
    <t>přívod vzduchu</t>
  </si>
  <si>
    <t>Opcje dotyczące wentylacji</t>
  </si>
  <si>
    <t>Szellőzési lehetőség</t>
  </si>
  <si>
    <t>Možnosť vetrania</t>
  </si>
  <si>
    <t>Ventilatiemogelijkheid</t>
  </si>
  <si>
    <t>Možnost prezračevanja</t>
  </si>
  <si>
    <t>ventilationsalternativ</t>
  </si>
  <si>
    <t>Udluftningsmulighed</t>
  </si>
  <si>
    <t>Ventilasjonsmuligheter</t>
  </si>
  <si>
    <t>Mogućnost ventilacije</t>
  </si>
  <si>
    <t>BESTELLFORMULAR</t>
  </si>
  <si>
    <t>ORDER FORM</t>
  </si>
  <si>
    <t>FORMULAIRE DE COMMANDE</t>
  </si>
  <si>
    <t>OBJEDNÁVKOVÝ FORMULÁŘ</t>
  </si>
  <si>
    <t>FORMULARZ ZAMÓWIENIA</t>
  </si>
  <si>
    <t>MEGRENDELÉSI NYOMTATVÁNY</t>
  </si>
  <si>
    <t>OBJEDNÁVACÍ FORMULÁR</t>
  </si>
  <si>
    <t>BESTELFORMULIER</t>
  </si>
  <si>
    <t>NAROČILNICA</t>
  </si>
  <si>
    <t>BESTÄLLNINGSFORMULÄR</t>
  </si>
  <si>
    <t>BESTILLINGSFORMULAR</t>
  </si>
  <si>
    <t>BESTILLINGSSKJEMA</t>
  </si>
  <si>
    <t>OBRAZAC ZA NARUDŽBU</t>
  </si>
  <si>
    <t>Bestellung</t>
  </si>
  <si>
    <t>Order</t>
  </si>
  <si>
    <t>Commande</t>
  </si>
  <si>
    <t>Ordine</t>
  </si>
  <si>
    <t>Objednávka</t>
  </si>
  <si>
    <t xml:space="preserve">Zamówienie </t>
  </si>
  <si>
    <t>megrendelés</t>
  </si>
  <si>
    <t>Bestelling</t>
  </si>
  <si>
    <t>naročilo</t>
  </si>
  <si>
    <t>Beställning</t>
  </si>
  <si>
    <t>Bestilling</t>
  </si>
  <si>
    <t>Narudžba</t>
  </si>
  <si>
    <t>Bezeichnung</t>
  </si>
  <si>
    <t>Name</t>
  </si>
  <si>
    <t>Désignation</t>
  </si>
  <si>
    <t>Descrizione</t>
  </si>
  <si>
    <t>Označení</t>
  </si>
  <si>
    <t>Nazwa</t>
  </si>
  <si>
    <t>megnevezés</t>
  </si>
  <si>
    <t>Označenie</t>
  </si>
  <si>
    <t>Bezeichnung_SW</t>
  </si>
  <si>
    <t>betekening</t>
  </si>
  <si>
    <t>opis</t>
  </si>
  <si>
    <t>Betegnelse</t>
  </si>
  <si>
    <t>Naziv</t>
  </si>
  <si>
    <t>Bis 25°: Verlegung auf Trennlage.</t>
  </si>
  <si>
    <t>up to 25°: to be installed on a separating layer</t>
  </si>
  <si>
    <t>Pentes de toit ≤ 25° : pose sur couche de séparation.</t>
  </si>
  <si>
    <t>Fino a 25°: posa su strato di separazione.</t>
  </si>
  <si>
    <t>do sklonu 25° pokládka na separační vrstvu</t>
  </si>
  <si>
    <t>Do 25°: Układanie na warstwie rozdzielającej.</t>
  </si>
  <si>
    <t>25°-ig: Elválasztórétegre fektetve.</t>
  </si>
  <si>
    <t>Do 25°: pokládka na separačnej vrstve.</t>
  </si>
  <si>
    <t>Tot 25°: Aanleggen op scheidingslaag.</t>
  </si>
  <si>
    <t>Do 25°: Polaganje na ločilno plast.</t>
  </si>
  <si>
    <t>Upp till 25°: Läggning av separationsskikt.</t>
  </si>
  <si>
    <t>Op til 25°: Udlægning på et skillelag.</t>
  </si>
  <si>
    <t>Opptil 25°: Legging som skillelag.</t>
  </si>
  <si>
    <t>Do 25°: Postavljanje na razdjelni sloj.</t>
  </si>
  <si>
    <t>Bitte zuerst Ausführung der Schattenfuge auswählen.</t>
  </si>
  <si>
    <t>Bitte zuerst Ausführung der Schattenfuge auswählen</t>
  </si>
  <si>
    <t>Sélectionnez d’abord le type de joint creux souhaité.</t>
  </si>
  <si>
    <t>Nejprve zvolte provedení spáry.</t>
  </si>
  <si>
    <t>Należy najpierw wybrać wersję fug cieniowych.</t>
  </si>
  <si>
    <t>Kérjük, először az árnyékfuga kivitelezését válassza ki.</t>
  </si>
  <si>
    <t>Prosím zvoľte si najprv vyhotovenie tieňovej škáry</t>
  </si>
  <si>
    <t>Selecteer eerst de uitvoering van de schaduwvoeg.</t>
  </si>
  <si>
    <t>Najprej izberite izvedbo senčne fuge.</t>
  </si>
  <si>
    <t>Välj först utförandet på skuggfogen.</t>
  </si>
  <si>
    <t>Vælg versionen af ​​skyggefugen først.</t>
  </si>
  <si>
    <t>Velg først utførelsen av skyggespalten.</t>
  </si>
  <si>
    <t xml:space="preserve">Molimo prvo odabrati izvedbu nenaglašene fuge </t>
  </si>
  <si>
    <t>bituminöse Trennlage</t>
  </si>
  <si>
    <t>bitumen separating layer</t>
  </si>
  <si>
    <t>couche de séparation bitumineuse</t>
  </si>
  <si>
    <t>Membrana bituminosa</t>
  </si>
  <si>
    <t>bitumenová separační vrstva</t>
  </si>
  <si>
    <t>membrana bitumiczna jako warstwa rozdzielająca</t>
  </si>
  <si>
    <t>Bitumenes elválasztóréteg</t>
  </si>
  <si>
    <t>bitúmenová separačná vrstva</t>
  </si>
  <si>
    <t>bitumineuze scheidingslaag</t>
  </si>
  <si>
    <t>bitumenska ločilna plast</t>
  </si>
  <si>
    <t>bituminöst separationsskikt</t>
  </si>
  <si>
    <t>bituminøst skillelag</t>
  </si>
  <si>
    <t>Skillelag i bitumen</t>
  </si>
  <si>
    <t>bitumenski razdjelni sloj</t>
  </si>
  <si>
    <t>Blatt</t>
  </si>
  <si>
    <t>page</t>
  </si>
  <si>
    <t>feuille</t>
  </si>
  <si>
    <t>Foglio</t>
  </si>
  <si>
    <t>list</t>
  </si>
  <si>
    <t>Arkusz</t>
  </si>
  <si>
    <t>Lemez</t>
  </si>
  <si>
    <t>Plaat</t>
  </si>
  <si>
    <t>List</t>
  </si>
  <si>
    <t>blad</t>
  </si>
  <si>
    <t>Side</t>
  </si>
  <si>
    <t>Blad</t>
  </si>
  <si>
    <t>Stranica</t>
  </si>
  <si>
    <t>Blechanschlussprofil</t>
  </si>
  <si>
    <t>metal sheet connection profile</t>
  </si>
  <si>
    <t>bande de solin métallique</t>
  </si>
  <si>
    <t>Profilo di raccordo in lamiera</t>
  </si>
  <si>
    <t>napojovací profil</t>
  </si>
  <si>
    <t>Profil łączący z blachy</t>
  </si>
  <si>
    <t>Lemezcsatlakozó profil</t>
  </si>
  <si>
    <t>plechový pripojovací profil</t>
  </si>
  <si>
    <t>Plaataansluitprofiel</t>
  </si>
  <si>
    <t>Pločevinasti priključni profil</t>
  </si>
  <si>
    <t>anslutningsprofil i plåt</t>
  </si>
  <si>
    <t>Tilslutningsprofil for metalplade</t>
  </si>
  <si>
    <t>Koblingsprofil i platemetall</t>
  </si>
  <si>
    <t>Limeni priključni profil</t>
  </si>
  <si>
    <t>Blitzschutzklemme</t>
  </si>
  <si>
    <t>lightning protection clamp</t>
  </si>
  <si>
    <t>agrafe parafoudre</t>
  </si>
  <si>
    <t>Morsetto per il collegamento al parafulmine</t>
  </si>
  <si>
    <t>Svorka bleskosvodu</t>
  </si>
  <si>
    <t>zacisk ochrony odgromowej</t>
  </si>
  <si>
    <t>villámhárító rögzítő csipesz</t>
  </si>
  <si>
    <t>bliksemafleiderklem</t>
  </si>
  <si>
    <t xml:space="preserve">nosilec strelovoda </t>
  </si>
  <si>
    <t>åskledarklämma</t>
  </si>
  <si>
    <t>lynbeskyttelsesklemme</t>
  </si>
  <si>
    <t>lynavlederklemme</t>
  </si>
  <si>
    <t>Gromobranska stezaljka</t>
  </si>
  <si>
    <t>Brandschott</t>
  </si>
  <si>
    <t>firewall</t>
  </si>
  <si>
    <t>cloison coupe-feu</t>
  </si>
  <si>
    <t>Paratia tagliafuoco</t>
  </si>
  <si>
    <t>Požární přepážka</t>
  </si>
  <si>
    <t>Zapora ogniowa</t>
  </si>
  <si>
    <t>Tűzfal</t>
  </si>
  <si>
    <t>protipožiarna stena</t>
  </si>
  <si>
    <t>Brandbeveiliging</t>
  </si>
  <si>
    <t>Požarni zid</t>
  </si>
  <si>
    <t>brandvägg</t>
  </si>
  <si>
    <t>Brandvæg</t>
  </si>
  <si>
    <t>Brannmur</t>
  </si>
  <si>
    <t>Vatrostalna pregrada</t>
  </si>
  <si>
    <t>Braun/Anthrazit</t>
  </si>
  <si>
    <t>brown/anthracite</t>
  </si>
  <si>
    <t>brun/anthracite</t>
  </si>
  <si>
    <t>marrone/antracite</t>
  </si>
  <si>
    <t>tmavě hnědá/antracit</t>
  </si>
  <si>
    <t>brązowy / antracytowy</t>
  </si>
  <si>
    <t>barna/antracit</t>
  </si>
  <si>
    <t>hnedá/antracitová</t>
  </si>
  <si>
    <t>bruin/antraciet</t>
  </si>
  <si>
    <t>anodik rjava/antracitna</t>
  </si>
  <si>
    <t>brun/antracit</t>
  </si>
  <si>
    <t>brun/antrazit</t>
  </si>
  <si>
    <t>brun/antrasitt</t>
  </si>
  <si>
    <t>Smeđa/antracit</t>
  </si>
  <si>
    <t>Brustblech</t>
  </si>
  <si>
    <t>apron</t>
  </si>
  <si>
    <t>abergement bas</t>
  </si>
  <si>
    <t>Lamiera frontale</t>
  </si>
  <si>
    <t>Plech pro napojení na stěnu</t>
  </si>
  <si>
    <t>Dolne oblachowanie</t>
  </si>
  <si>
    <t>Falszegély</t>
  </si>
  <si>
    <t>čelný lemovací plech</t>
  </si>
  <si>
    <t>Borstplaat</t>
  </si>
  <si>
    <t>Sprednja pločevina</t>
  </si>
  <si>
    <t>bröstplåt</t>
  </si>
  <si>
    <t>Brystplade</t>
  </si>
  <si>
    <t>Brystplate</t>
  </si>
  <si>
    <t>Parapetna ploča</t>
  </si>
  <si>
    <t>CAD-DETAILS</t>
  </si>
  <si>
    <t>CAD DETAILS</t>
  </si>
  <si>
    <t>DÉTAILS CAO</t>
  </si>
  <si>
    <t>DETTAGLI CAD</t>
  </si>
  <si>
    <t>CAD detaily</t>
  </si>
  <si>
    <t>DETALE CAD</t>
  </si>
  <si>
    <t>CAD-RÉSZLETEK</t>
  </si>
  <si>
    <t>CAD-DETAILY</t>
  </si>
  <si>
    <t>PODROBNOSTI CAD</t>
  </si>
  <si>
    <t>KONSTRUKTIONSUNDERLAG I CADFORMAT</t>
  </si>
  <si>
    <t>CAD-POJEDINOSTI</t>
  </si>
  <si>
    <t>Sturmsicherungsclip notwendig!</t>
  </si>
  <si>
    <t>Clip required!</t>
  </si>
  <si>
    <t>Clip tempête requis !</t>
  </si>
  <si>
    <t>Nutno použít Clip</t>
  </si>
  <si>
    <t>Klips konieczny!</t>
  </si>
  <si>
    <t>Viharkapocs szükséges!</t>
  </si>
  <si>
    <t>Nutné použiť antivibračnú svorku!</t>
  </si>
  <si>
    <t>Clip noodzakelijk!</t>
  </si>
  <si>
    <t>Potrebna je varnostna sponka za nevihto!</t>
  </si>
  <si>
    <t>Clips nödvändigt!</t>
  </si>
  <si>
    <t>Klips nødvendig!</t>
  </si>
  <si>
    <t>Clip potreban!</t>
  </si>
  <si>
    <t>Dachaufbauten bei kleinformatigen Metalleindeckungen</t>
  </si>
  <si>
    <t>Roof structures with small-format metal roof coverings</t>
  </si>
  <si>
    <t>Constructions hors-combles pour couvertures métalliques de petit format</t>
  </si>
  <si>
    <t>Strutture del tetto per coperture metalliche di piccolo formato</t>
  </si>
  <si>
    <t>Střešní skladby u maloformátových hliníkových krytin</t>
  </si>
  <si>
    <t>Konstrukcje dachowe wykonywane z użyciem małoformatowych pokryć metalowych</t>
  </si>
  <si>
    <t>Tető rétegrend kiselemes fémburkolatok esetén</t>
  </si>
  <si>
    <t>Skladby strechy pri maloformátových kovových krytinách</t>
  </si>
  <si>
    <t>Dakmontages voor metalen gootstukken in klein formaat</t>
  </si>
  <si>
    <t>Strešne konstrukcije s kovinsko kritino majhnega formata</t>
  </si>
  <si>
    <t>Takkonstruktioner med plåttak i småformat</t>
  </si>
  <si>
    <t>Tagkonstruktioner med små metalafdækninger</t>
  </si>
  <si>
    <t>Takpåbygg med metallkledning i småformater</t>
  </si>
  <si>
    <t>Krovne konstrukcije s metalnim pokrovom malog formata</t>
  </si>
  <si>
    <t>Dachaufbauten bei PREFALZ Eindeckungen</t>
  </si>
  <si>
    <t>Roof structures with Prefalz coverings</t>
  </si>
  <si>
    <t>Constructions hors-combles pour couvertures PREFALZ</t>
  </si>
  <si>
    <t>Strutture del tetto per coperture metalliche in PREFALZ</t>
  </si>
  <si>
    <t>Střešní skladby u PREFALZ drážkovaných krytin</t>
  </si>
  <si>
    <t>Konstrukcje dachowe wykonywane z pokryciami PREFALZ</t>
  </si>
  <si>
    <t>Tető rétegrend PREFALZ burkolatok esetén</t>
  </si>
  <si>
    <t>Skladby strechy pri krytinách PREFALZ</t>
  </si>
  <si>
    <t>Dakmontages met PREFALZ-gootstukken</t>
  </si>
  <si>
    <t>Strešne konstrukcije s kritino PREFALZ</t>
  </si>
  <si>
    <t>Takkonstruktioner med PREFALZ-beläggning</t>
  </si>
  <si>
    <t>Tagkonstruktioner med PREFALZ afdækninger</t>
  </si>
  <si>
    <t>Takpåbygg med PREFALZ-bånd</t>
  </si>
  <si>
    <t>Krovne konstrukcije s PREFALZ pokrovima</t>
  </si>
  <si>
    <t>DACHENTWÄSSERUNG</t>
  </si>
  <si>
    <t>ROOF DRAINAGE</t>
  </si>
  <si>
    <t>GOUTTIÈRES</t>
  </si>
  <si>
    <t>SMALTIMENTO ACQUE</t>
  </si>
  <si>
    <t>Odvodňovací systém</t>
  </si>
  <si>
    <t>ODWODNIENIE DAHU</t>
  </si>
  <si>
    <t>TETŐ VÍZELVEZETÉS</t>
  </si>
  <si>
    <t>ODVODNENIE STRECHY</t>
  </si>
  <si>
    <t>DAKAFWATERING</t>
  </si>
  <si>
    <t>sistem za odvodnjavanje</t>
  </si>
  <si>
    <t>TAKDRÄNERING</t>
  </si>
  <si>
    <t>TAGDRÆNING</t>
  </si>
  <si>
    <t>TAKDRENERING</t>
  </si>
  <si>
    <t>DRENAŽA KROVA</t>
  </si>
  <si>
    <t>Dachfenster mit Einschubkeil über 25° Dachneigung.</t>
  </si>
  <si>
    <t>Roof windows with an insert wedge over 25°</t>
  </si>
  <si>
    <t>Lucarne avec coyau pour pentes de toit supérieures à 25°.</t>
  </si>
  <si>
    <t>Finestra per tetto con cuneo di inserimento per tetti con pendenza superiore a 25°.</t>
  </si>
  <si>
    <t>Střešní okno s náběhovým klínem nad 25°</t>
  </si>
  <si>
    <t>Okno dachowe z klinem wsuwanym poniżej 25° nachylenia dachu.</t>
  </si>
  <si>
    <t>Tetőablak betétes ékkel 25°-os tetőhajlásszög felett.</t>
  </si>
  <si>
    <t>Strešné okno s vloženým klinom pri sklone strechy viac ako 25°.</t>
  </si>
  <si>
    <t>Dakraam met insteekspie over 25° dakhelling.</t>
  </si>
  <si>
    <t>Strešno okno z vrivnim klinom nad 25° naklona strehe.</t>
  </si>
  <si>
    <t>Takfönster med inskjutbar kil över 25° taklutning.</t>
  </si>
  <si>
    <t>Tagvindue med skydekile over 25° taghældning.</t>
  </si>
  <si>
    <t>Takvindu med innskyvningskile over 25° takvinkel.</t>
  </si>
  <si>
    <t>Krovni prozor s klinom koji se uvlači preko 25° nagiba krova.</t>
  </si>
  <si>
    <t>Dachflächenfenster mit Einschubkeil über 25° Dachneigung. Anwendung in schneereichen Gebieten. Die Notwendigkeit des Einschubkeils ist abhängig von Objekteigenschaften, Standort, sowie vom Vorhandensein eines Schneeschutzes. Der fachgerechte Einbau der Dachflächenfenster erfolgt gemäß den Herstellerrichtlinien des Dachflächenfensters.</t>
  </si>
  <si>
    <t>Roof window flashing with an insert wedge on a roof pitch over 25°. Installation in snowy areas. The need for the insert wedge depends on the building’s properties, the location and whether or not there is a snow protection system. Professional installation of the roof window flashing should be carried out according to the manufacturer’s guidelines for the roof window flashing.</t>
  </si>
  <si>
    <t>Fenêtre de toit avec coyau pour pentes de toit supérieures à 25° Utilisation dans les régions à fort enneigement. L’utilisation ou non d’un coyau sera fonction des particularités du bâtiment, de sa situation géographique et de la présence ou non d’un système de rétention de neige. Veiller à ce que la pose soit effectuée par un professionnel et conformément aux instructions fournies par le fabricant de la fenêtre de toit.</t>
  </si>
  <si>
    <t>Finestra per tetto con cuneo di inserimento per tetti con pendenza superiore a 25°. Utilizzo in zone nevose. La necessità del cuneo di inserimento dipende dalle caratteristiche dell'immobile, dalla posizione e dalla presenza di un paraneve. L'installazione professionale delle finestre per tetto viene effettuata secondo le linee guida del produttore delle finestre.</t>
  </si>
  <si>
    <t>Střešní okno s náběhovým klínem nad 25° střešního sklonu. Použití v oblastech bohatých na sníh. Nutnost náběhového klínu závisí na vlastnostech objektu, lokalitě, jakož i použití protisněhového opatření. Odborná montáž  střešních oken dle technologického návodu výrobce střešních oken.</t>
  </si>
  <si>
    <t>Okno dachowe z ościeżnicą klinową poniżej 25° nachylenia dachu. Stosowanie na terenach, gdzie występują opady śniegu. Konieczność zastosowania klina wsuwanego zależy od charakterystyki obiektu, lokalizacji, a także obecności zabezpieczeń przeciwśniegowych. Konieczne jest przeprowadzenie fachowego montażu okna dachowego zgodnie z wytycznymi jego producenta.</t>
  </si>
  <si>
    <t>Tetősíkablak betétes ékkel 25°-os tetőhajlásszög felett. Havas területeken való használat. A betétes ék szükségessége az épület jellemzőitől, a helytől, valamint a hóvédelem meglététől függ. A szakszerű beépítést a tetősíkablak gyártójának útmutatója szerint kell elvégezni.</t>
  </si>
  <si>
    <t>Dakraam met insteekspie boven 25° dakhelling. Gebruik in besneeuwde gebieden. De noodzaak van de insteekspie hangt af van de kenmerken van het object, de plaats, alsmede de aanwezigheid van een sneeuwvanger. De professionele montage van het dakraam vindt plaats volgens de fabrikantrichtlijnen van het dakraam.</t>
  </si>
  <si>
    <t>Strešno okno z vrivnim klinom nad 25° naklona strehe. Uporaba na območjih z veliko snega. Potreba po vrivnem klinu je odvisna od lastnosti objekta, lokacije in od tega, ali je prisoten snegolov. Profesionalna montaža strešnega okna poteka po navodilih proizvajalca strešnega okna.</t>
  </si>
  <si>
    <t>Takfönster med inskjutbar kil över 25° taklutning. Applicering i snörika områden. Behovet av inskjutningskilen beror på fastighetens egenskaper, läget och om det finns snöskydd. Professionell montering av takfönstret utförs i enlighet med tillverkarens riktlinjer för takfönstret.</t>
  </si>
  <si>
    <t>Tagvindue med skydekile over 25° taghældning. Anvendelse i snerige områder. Behovet for skydekilen afhænger af ejendommens egenskaber, beliggenheden, og om der er snesikring. Professionel montering af ​tagvinduet sker efter tagvinduets producentvejledning.</t>
  </si>
  <si>
    <t>Takvindu med innskyvningskile over 25° takvinkel. Bruk i snørike områder. Behovet for innskyvningskilen avhenger av eiendommens egenskaper, beliggenhet og om det foreligger snøsikring. Den profesjonelle monteringen skjer i henhold til produsentens retningslinjer for takvinduet.</t>
  </si>
  <si>
    <t>Ležeći krovni prozor s klinom koji se uvlači preko 25° nagiba krova. Primjena u snježnim područjima. Potreba za klinom ovisi o svojstvima objekta, lokaciji i ima li zaštitu od snijega. Profesionalna montaža ležećeg krovnog prozora provodi se prema uputama proizvođača ležećeg krovnog prozora.</t>
  </si>
  <si>
    <t>Dachflächenfenstereinfassung für PREFALZ</t>
  </si>
  <si>
    <t>Roof window flashing for PREFALZ</t>
  </si>
  <si>
    <t>abergement de fenêtre de toit pour PREFALZ</t>
  </si>
  <si>
    <t>Conversa finestra per tetti a bassa pendenza per PREFALZ</t>
  </si>
  <si>
    <t>Lemování střešního okna pro PREFALZ</t>
  </si>
  <si>
    <t>Kołnierz okna dachowego PREFALZ</t>
  </si>
  <si>
    <t>Burkolókeret tetősíkablakhoz PREFALZ esetén</t>
  </si>
  <si>
    <t>lemovanie pre strešné okno pre PREFALZ</t>
  </si>
  <si>
    <t>Dakraamomranding voor PREFALZ</t>
  </si>
  <si>
    <t>Okvir strešnega okna za PREFALZ</t>
  </si>
  <si>
    <t>Skylight surround för PREFALZ</t>
  </si>
  <si>
    <t>Tagvinduesramme til PREFALZ</t>
  </si>
  <si>
    <t>Innfatning til takvindu for PREFALZ</t>
  </si>
  <si>
    <t>Opšav za ležeći krovni prozor za PREFALZ</t>
  </si>
  <si>
    <t>Dachlattung 50/30 mm</t>
  </si>
  <si>
    <t>roof battens 50/30 mm</t>
  </si>
  <si>
    <t>lattage (50/30 mm)</t>
  </si>
  <si>
    <t>Listellatura 50/30 mm</t>
  </si>
  <si>
    <t>laťování 50/30 mm</t>
  </si>
  <si>
    <t>Łaty dachowe 50/30 mm</t>
  </si>
  <si>
    <t>Tetőlécezés 50/30 mm</t>
  </si>
  <si>
    <t>strešné latovanie 50/30 mm</t>
  </si>
  <si>
    <t>Daklatten 50/30 mm</t>
  </si>
  <si>
    <t>Strešne letve 50/30 mm</t>
  </si>
  <si>
    <t>Takläkt 50/30 mm</t>
  </si>
  <si>
    <t>Taglægter 50/30 mm</t>
  </si>
  <si>
    <t>Taklekter 50/30 mm</t>
  </si>
  <si>
    <t>Krovne letve 50/30 mm</t>
  </si>
  <si>
    <t>Dachlukendeckel</t>
  </si>
  <si>
    <t>roof hatch cover</t>
  </si>
  <si>
    <t>ouvrant de tabatière</t>
  </si>
  <si>
    <t>Passo uomo</t>
  </si>
  <si>
    <t>Poklop výlezového okna</t>
  </si>
  <si>
    <t>pokrywa wyłazu dachowego</t>
  </si>
  <si>
    <t>fedél tetőkibúvó ablakhoz</t>
  </si>
  <si>
    <t>kryt na povalové okno</t>
  </si>
  <si>
    <t>dakluikdeksel</t>
  </si>
  <si>
    <t>pokrov za zasilno strešno okno</t>
  </si>
  <si>
    <t>takluckskåpa</t>
  </si>
  <si>
    <t>taglugedæksel</t>
  </si>
  <si>
    <t>deksel for takluke</t>
  </si>
  <si>
    <t>Poklopac izlaznog krovnog prozora</t>
  </si>
  <si>
    <t>Dachlukendeckel ohne Holzrahmen</t>
  </si>
  <si>
    <t>roof hatch cover (without wooden frame)</t>
  </si>
  <si>
    <t>ouvrant de tabatière sans châssis en bois</t>
  </si>
  <si>
    <t>Coperchio per passo uomo (senza telaio in legno)</t>
  </si>
  <si>
    <t>Poklop výlezového okna bez dřevěného rámu</t>
  </si>
  <si>
    <t>Pokrywa wyłazu dachowego bez ramy drewnianej</t>
  </si>
  <si>
    <t>Tetőkibúvó ablak fakeret nélkül</t>
  </si>
  <si>
    <t>kryt na povalové okno bez dreveného rámu</t>
  </si>
  <si>
    <t>Dakluikdeksel zonder houten frame</t>
  </si>
  <si>
    <t>Pokrov strešne line brez lesenega okvirja</t>
  </si>
  <si>
    <t>Taklucka utan träram</t>
  </si>
  <si>
    <t>Taglugeafdækning uden træramme</t>
  </si>
  <si>
    <t>Taklukedeksel uten treramme</t>
  </si>
  <si>
    <t>Poklopac izlaznog krovnog prozora bez drvenog okvira</t>
  </si>
  <si>
    <t>Dachlukendeckel mit Holzrahmen  (Innenmaß: 600 × 600 mm)</t>
  </si>
  <si>
    <t>roof hatch cover with wooden frame (internal dimensions: 600 × 600 mm)</t>
  </si>
  <si>
    <t>ouvrant de tabatière avec châssis en bois  (dimensions intérieures : 600 × 600 mm)</t>
  </si>
  <si>
    <t>Passo uomo con telaio in legno
(misura interna 600 x 600 mm)</t>
  </si>
  <si>
    <t>Výlezové okno včetně dřevěného rámu (vnitřní rozměr 600x600mm)</t>
  </si>
  <si>
    <t>pokrywa wyłazu dachowego z drewnianą ramą (wymiary wewnętrzne: 600 x 600 mm)</t>
  </si>
  <si>
    <t>tetőkibúvó ablak fa kerettel (belső méret 600x600mm)</t>
  </si>
  <si>
    <t>kryt na povalové okno s dreveným rámom
(vnútorný rozmer 600 x 600mm)</t>
  </si>
  <si>
    <t>dakluikdeksel met houten frame
(binnenmaat 600 x 600 mm)</t>
  </si>
  <si>
    <t>pokrov za zasilno strešno okno z lesenim okvirjem (notranja mera 600 x 600 mm)</t>
  </si>
  <si>
    <t>takluckskåpa med träram (invändigt mått 600 x 600 mm)</t>
  </si>
  <si>
    <t>taglugedæksel med træramme (indvendigt mål 600x600 mm)</t>
  </si>
  <si>
    <t>deksel for takluke med treramme
(innvendig mål 600x600 mm)</t>
  </si>
  <si>
    <t>Poklopac izlaznog krovnog prozora s drvenim okvirom  (unutarnje dimenzije: 600 × 600 mm)</t>
  </si>
  <si>
    <t>Dachlukendeckel (Innenmaß: 600 × 600 mm)</t>
  </si>
  <si>
    <t>roof hatch cover (internal dimensions: 600 × 600 mm)</t>
  </si>
  <si>
    <t>ouvrant de tabatière (dimensions intérieures : 600 × 600 mm)</t>
  </si>
  <si>
    <t>Passo uomo
(misura interna 600 x 600 mm)</t>
  </si>
  <si>
    <t>Poklop výlezového okna (vnitřní rozměr 600 x 600 mm)</t>
  </si>
  <si>
    <t>pokrywa wyłazu dachu (wymiary wewnętrzne: 600 x 600 mm)</t>
  </si>
  <si>
    <t>fedél tetőkibúvó ablakhoz (belső méret 600x600mm)</t>
  </si>
  <si>
    <t>kryt na povalové okno
(vnútorný rozmer 600 x 600 mm)</t>
  </si>
  <si>
    <t>dakluikdeksel
(binnenmaat 600 x 600 mm)</t>
  </si>
  <si>
    <t>pokrov za zasilno strešno okno (notranja mera 600 x 600)</t>
  </si>
  <si>
    <t>takluckskåpa (invändigt mått 600 x 600 mm)</t>
  </si>
  <si>
    <t>taglugedæksel
(indvendigt mål 600 x 600 mm)</t>
  </si>
  <si>
    <t>deksel for takluke
(innvendig mål 600 x 600 mm)</t>
  </si>
  <si>
    <t>Poklopac izlaznog krovnog prozora (unutarnje dimenzije: 600 × 600 mm)</t>
  </si>
  <si>
    <t>Dachneigung über 25° (47 %)</t>
  </si>
  <si>
    <t>roof pitch over 25° (47%)</t>
  </si>
  <si>
    <t>Pente de toit : supérieure à 25° (soit 47 %)</t>
  </si>
  <si>
    <t>Pendenza del tetto superiore a 25° (47%)</t>
  </si>
  <si>
    <t>střešní sklon nad 25° (47%)</t>
  </si>
  <si>
    <t>Nachylenie dachu powyżej 25° (47%)</t>
  </si>
  <si>
    <t>25° (47 %) feletti tetőhajlásszög</t>
  </si>
  <si>
    <t>sklon strechy viac ako 25° (47 %)</t>
  </si>
  <si>
    <t>Dakhelling boven 25° (47 %)</t>
  </si>
  <si>
    <t>Naklon strehe 25°(47 %)</t>
  </si>
  <si>
    <t>Taklutning över 25° (47 %)</t>
  </si>
  <si>
    <t>Taghældning over 25° (47 %)</t>
  </si>
  <si>
    <t>Takvinkel over 25° (47 %)</t>
  </si>
  <si>
    <t>Nagib krova preko 25° (47 %)</t>
  </si>
  <si>
    <t>DACHPANEEL FX.12</t>
  </si>
  <si>
    <t>FX.12 ROOF PANEL</t>
  </si>
  <si>
    <t>PANNEAU DE TOITURE FX.12</t>
  </si>
  <si>
    <t>FX.12</t>
  </si>
  <si>
    <t>STŘEŠNÍ PANEL FX.12</t>
  </si>
  <si>
    <t>PANEL DACHOWY FX.12</t>
  </si>
  <si>
    <t>FX.12 TETŐFEDŐ PANEL</t>
  </si>
  <si>
    <t>STREŠNÝ PANEL FX.12</t>
  </si>
  <si>
    <t>DAKPANEEL FX.12</t>
  </si>
  <si>
    <t>strešni panel fx.12</t>
  </si>
  <si>
    <t>TAKPANEL FX.12</t>
  </si>
  <si>
    <t>TAGPANEL FX.12</t>
  </si>
  <si>
    <t>KROVNI PANEL FX.12</t>
  </si>
  <si>
    <t>DACHPLATTE</t>
  </si>
  <si>
    <t>ROOF TILE</t>
  </si>
  <si>
    <t>TUILE</t>
  </si>
  <si>
    <t>TEGOLA</t>
  </si>
  <si>
    <t>FALCOVANÁ TAŠKA</t>
  </si>
  <si>
    <t>DACHÓWKA KLASYCZNA</t>
  </si>
  <si>
    <t>CLASSIC ELEM</t>
  </si>
  <si>
    <t>DAKPLAAT</t>
  </si>
  <si>
    <t>strešna plošča</t>
  </si>
  <si>
    <t>TAKPLATTA</t>
  </si>
  <si>
    <t>TAGPLADE</t>
  </si>
  <si>
    <t>TAKPLATE</t>
  </si>
  <si>
    <t>KROVNA PLOČA</t>
  </si>
  <si>
    <t>Dachplatte (600 × 420 mm; 40 Stk./Karton); inkl. Rillennägel (28/30) und Patenthafte</t>
  </si>
  <si>
    <t>roof tile (600 × 420 mm, 40 pc./box), including ring nails (28/30) and patent clips</t>
  </si>
  <si>
    <t>tuile (600 × 420 mm ; 40 par carton) ; avec clous annelés (28/30) et pattes brevetées</t>
  </si>
  <si>
    <t>Tegola (600 x 420 mm, 40 pz./cart.) incl. chiodi zigrinati (28/30) e graffette</t>
  </si>
  <si>
    <t>Falcovaná taška (600 x 420 mm, 40 ks./Kart.) vč. vroubkovaných hřeníků (28/30) a patentovaných příponek</t>
  </si>
  <si>
    <t>Dachówka klasyczna (600 × 420 mm, 40 szt./opakowanie), z gwoździami (28/30) i patentowymi zaczepami</t>
  </si>
  <si>
    <t>Classic elem (600 x 420 mm, 40db/doboz) bordás szeggel (28/30) és rögzítőhafterral</t>
  </si>
  <si>
    <t>falcovaná škridla (600 x 420 mm, 40 ks/kartón) vrátane ryhovaných klincov (2,8/30) a patentovaných príponiek</t>
  </si>
  <si>
    <t>dakplaat (600 x 420 mm, 40 Stks./doos) incl. groefspijkers (28/30) en gepatenteerd hechtmiddel</t>
  </si>
  <si>
    <t>strešna plošča (600 x 420 mm, 40 kos/škatlo) vključno z narebrenimi žičniki 28/30 in patentnimi sidri</t>
  </si>
  <si>
    <t>takplatta (600 x 420 mm, 40 st./kart.) inkl. räfflade spikar (28/30) och patenthäftare</t>
  </si>
  <si>
    <t>tagplade (600 x 420 mm, 40 stk./kart.) inkl. rillesøm (28/30) og patentspænde</t>
  </si>
  <si>
    <t>takplate (600 x 420 mm, 40 stk./kart.) inkl. riflet spiker (28/30) og patenterte festebraketter</t>
  </si>
  <si>
    <t>Krovna ploča (600 × 420 mm; 40 kom./kutija); uklj. vijci (28/30) i patentni učvršćivač</t>
  </si>
  <si>
    <t>DACHPLATTE R.16</t>
  </si>
  <si>
    <t>R.16 ROOF TILE</t>
  </si>
  <si>
    <t>R.16</t>
  </si>
  <si>
    <t>TEGOLA R.16</t>
  </si>
  <si>
    <t>STŘEŠNÍ PANEL R.16</t>
  </si>
  <si>
    <t>DACHÓWKA R.16</t>
  </si>
  <si>
    <t>R.16 TETŐFEDŐ ELEM</t>
  </si>
  <si>
    <t>DAKPLAAT R.16</t>
  </si>
  <si>
    <t>strešna plošča r.16</t>
  </si>
  <si>
    <t>TAKPLATTA R.16</t>
  </si>
  <si>
    <t>TAGPLADE R.16</t>
  </si>
  <si>
    <t>TAKPLATE R.16</t>
  </si>
  <si>
    <t>KROVNA PLOČA R.16</t>
  </si>
  <si>
    <t>Dachplatte R.16 (700 × 420 mm)</t>
  </si>
  <si>
    <t>R.16 roof tile (700 × 420 mm)</t>
  </si>
  <si>
    <t>R.16 (700 × 420 mm)</t>
  </si>
  <si>
    <t>Tegola R.16 (700 x 420 mm)</t>
  </si>
  <si>
    <t>Střešní panel R.16 (700 x 420 mm)</t>
  </si>
  <si>
    <t>Dachówka R.16 (700 × 420 mm)</t>
  </si>
  <si>
    <t>R.16 tetőfedő elem (700x420mm)</t>
  </si>
  <si>
    <t>dakplaat R.16 (700 × 420 mm)</t>
  </si>
  <si>
    <t>Prefa strešna plošča R.16 (700 x 420 mm)</t>
  </si>
  <si>
    <t>takplatta R.16 (700 × 420 mm)</t>
  </si>
  <si>
    <t>tagplade R.16 (700 × 420 mm)</t>
  </si>
  <si>
    <t>takplate R.16 (700 × 420 mm)</t>
  </si>
  <si>
    <t>Krovna ploča R.16 (700 × 420 mm)</t>
  </si>
  <si>
    <t>Dachraute (29 × 29 mm; 120 Stk./Karton)</t>
  </si>
  <si>
    <t>rhomboid roof tile (29 × 29 mm, 120 pc./box)</t>
  </si>
  <si>
    <t>losange de toiture (29 × 29 mm ; 120 par carton)</t>
  </si>
  <si>
    <t>Scaglia 29 (29x29 mm, 120 pz./cf.)</t>
  </si>
  <si>
    <t>Střešní šablona (29x29 mm, 120 ks./balení)</t>
  </si>
  <si>
    <t>Dachówka romb (29 × 29 mm, 120 szt./opak.)</t>
  </si>
  <si>
    <t>tetőfedő rombusz (29x29 mm, 120 db./doboz)</t>
  </si>
  <si>
    <t>daklosange (29 × 29 mm, 120 stks./doos)</t>
  </si>
  <si>
    <t>Prefa strešni romb (290x290 mm, 120 kos/škatlo)</t>
  </si>
  <si>
    <t>takromb (29 × 29 mm, 120 st./kart.)</t>
  </si>
  <si>
    <t>rudeformet tagplade (29 × 29 mm, 120 stk./kart.)</t>
  </si>
  <si>
    <t>takstein (29 × 29 mm, 120 stk./kart.)</t>
  </si>
  <si>
    <t>Krovni romb (29 × 29 mm; 120 kom./kutija)</t>
  </si>
  <si>
    <t>Dachraute (440 × 440 mm; 42 Stk./Karton)</t>
  </si>
  <si>
    <t>rhomboid roof tile (440 × 440 mm, 42 pc./box)</t>
  </si>
  <si>
    <t>losange de toiture (440 × 440 mm ; 42 par carton)</t>
  </si>
  <si>
    <t>Scaglia 44 (440 x 440 mm, 42 pz./cf.)</t>
  </si>
  <si>
    <t>Střešní šablona (440 x 440 mm, 42 ks./balení)</t>
  </si>
  <si>
    <t>Dachówka romb (440 × 440 mm, 42 szt./opak.)</t>
  </si>
  <si>
    <t>tetőfedő rombusz (440 x 440 mm, 42 db./doboz)</t>
  </si>
  <si>
    <t>strešná šablóna  (440 x 440 mm, 42 ks/kart.)</t>
  </si>
  <si>
    <t>daklosange (440 × 440 mm, 42 stks./doos)</t>
  </si>
  <si>
    <t>strešni romb (440 mm x 440 mm, 42 kos/škatlo)</t>
  </si>
  <si>
    <t>takromb (440 × 440 mm, 42 st./kart.)</t>
  </si>
  <si>
    <t>rudeformet tagplade (440 × 440 mm, 42 stk./kart.)</t>
  </si>
  <si>
    <t>takstein (440 × 440 mm, 42 stk./kart.)</t>
  </si>
  <si>
    <t>Krovni romb (440 × 440 mm; 42 kom./kutija)</t>
  </si>
  <si>
    <t>DACHRAUTE 29 × 29</t>
  </si>
  <si>
    <t>RHOMBOID ROOF TILE 29 × 29</t>
  </si>
  <si>
    <t>LOSANGE DE TOITURE 29 × 29</t>
  </si>
  <si>
    <t>SCAGLIA 29</t>
  </si>
  <si>
    <t>STŘEŠNÍ ŠABLONA 29x29</t>
  </si>
  <si>
    <t>DACHÓWKA ROMB 29 × 29</t>
  </si>
  <si>
    <t>29X29 TETŐFEDŐ ROMBUSZ</t>
  </si>
  <si>
    <t>DAKLOSANGE 29 × 29</t>
  </si>
  <si>
    <t>strešni romb 29x29</t>
  </si>
  <si>
    <t>TAKROMB 29 × 29</t>
  </si>
  <si>
    <t>RUDEFORMET TAGPLADE 29 × 29</t>
  </si>
  <si>
    <t>TAKSTEIN 29 × 29</t>
  </si>
  <si>
    <t>KROVNI ROMB 29 × 29</t>
  </si>
  <si>
    <t>DACHRAUTE 44 × 44</t>
  </si>
  <si>
    <t>RHOMBOID ROOF TILE 44 × 44</t>
  </si>
  <si>
    <t>LOSANGE DE TOITURE 44 × 44</t>
  </si>
  <si>
    <t>SCAGLIA 44</t>
  </si>
  <si>
    <t>STŘEŠNÍ ŠABLONA 44x44</t>
  </si>
  <si>
    <t>DACHÓWKA ROMB 44 × 44</t>
  </si>
  <si>
    <t>44X44 TETŐFEDŐ ROMBUSZ</t>
  </si>
  <si>
    <t>DAKLOSANGE 44 × 44</t>
  </si>
  <si>
    <t>strešni romb 44x44</t>
  </si>
  <si>
    <t>TAKROMB 44 × 44</t>
  </si>
  <si>
    <t>RUDEFORMET TAGPLADE 44 × 44</t>
  </si>
  <si>
    <t>TAKSTEIN 44 × 44</t>
  </si>
  <si>
    <t>KROVNI ROMB 44 × 44</t>
  </si>
  <si>
    <t>Dachrautenhaft</t>
  </si>
  <si>
    <t>rhomboid roof tile clip</t>
  </si>
  <si>
    <t>patte de fixation pour losanges de toiture</t>
  </si>
  <si>
    <t>Graffetta di trattenuta per scaglia</t>
  </si>
  <si>
    <t>příponka šablony 29x29</t>
  </si>
  <si>
    <t>Zaczep do dachówki</t>
  </si>
  <si>
    <t>Hafter tetőfedő rombuszhoz</t>
  </si>
  <si>
    <t>príponka pre šablóny</t>
  </si>
  <si>
    <t>Daklosangevorm</t>
  </si>
  <si>
    <t>Sidro za strešne rombe</t>
  </si>
  <si>
    <t>diamantformad</t>
  </si>
  <si>
    <t>Tagrombefastgørelse</t>
  </si>
  <si>
    <t>Takromber</t>
  </si>
  <si>
    <t>Učvršćivač za krovni romb</t>
  </si>
  <si>
    <t>Dachrautenhaft 29 × 29</t>
  </si>
  <si>
    <t>rhomboid roof tile clip 29 × 29</t>
  </si>
  <si>
    <t>patte de fixation pour losange de toiture 29 × 29</t>
  </si>
  <si>
    <t>Graffetta per Scaglia 29</t>
  </si>
  <si>
    <t>patentovaná příchytka pro falcované šablony 29x29</t>
  </si>
  <si>
    <t>Zaczep do dachówki romb 29 × 29</t>
  </si>
  <si>
    <t>hafter 29x29 tetőfedő rombuszhoz</t>
  </si>
  <si>
    <t>príponka na strešnú šablónu 29x29</t>
  </si>
  <si>
    <t>daklosangehechting 29 × 29</t>
  </si>
  <si>
    <t>patentno sidro za strešni romb 29x29</t>
  </si>
  <si>
    <t>takrombsfäste 29 × 29</t>
  </si>
  <si>
    <t>spænde til rudeformet tagplade 29 × 29</t>
  </si>
  <si>
    <t>feste for takstein 29 × 29</t>
  </si>
  <si>
    <t>Učvršćivač za krovni romb 29 × 29</t>
  </si>
  <si>
    <t>Dachrinne</t>
  </si>
  <si>
    <t>gutter</t>
  </si>
  <si>
    <t>gouttière</t>
  </si>
  <si>
    <t>Grondaia</t>
  </si>
  <si>
    <t>střešní žlab</t>
  </si>
  <si>
    <t>Rynna dachowa</t>
  </si>
  <si>
    <t>Ereszcsatorna</t>
  </si>
  <si>
    <t>polkruhový žľab</t>
  </si>
  <si>
    <t>Dakgoot</t>
  </si>
  <si>
    <t>Žleb</t>
  </si>
  <si>
    <t>takränna</t>
  </si>
  <si>
    <t>Tagrende</t>
  </si>
  <si>
    <t>Takrenne</t>
  </si>
  <si>
    <t>Krovni žlijeb</t>
  </si>
  <si>
    <t>DACHRINNENSYSTEME</t>
  </si>
  <si>
    <t>GUTTER SYSTEMS</t>
  </si>
  <si>
    <t>SYSTÈMES DE GOUTTIÈRES</t>
  </si>
  <si>
    <t>SISTEMA SMALTIMENTO ACQUE</t>
  </si>
  <si>
    <t>Odvodňovací systémy</t>
  </si>
  <si>
    <t>SYSTEM RYNNOWY</t>
  </si>
  <si>
    <t>ereszcsatorna rendszerek</t>
  </si>
  <si>
    <t>SYSTÉM ODVODNENIA STRIECH</t>
  </si>
  <si>
    <t>DAKGOOTSYSTEMEN</t>
  </si>
  <si>
    <t xml:space="preserve">žlebovi </t>
  </si>
  <si>
    <t>TAKRÄNNESYSTEM</t>
  </si>
  <si>
    <t>TAGRENDESYSTEMER</t>
  </si>
  <si>
    <t>TAKRENNESYSTEMER</t>
  </si>
  <si>
    <t>SUSTAV KROVNIH ŽLJEBOVA</t>
  </si>
  <si>
    <t>DACHSCHINDEL</t>
  </si>
  <si>
    <t>SHINGLE</t>
  </si>
  <si>
    <t>BARDEAU</t>
  </si>
  <si>
    <t>SCANDOLA</t>
  </si>
  <si>
    <t>Falcovaný šindel</t>
  </si>
  <si>
    <t>DACHÓWKA ŁUPKOWA</t>
  </si>
  <si>
    <t>TETŐFEDŐ ZSINDELY</t>
  </si>
  <si>
    <t>STREŠNÝ ŠINDEĽ</t>
  </si>
  <si>
    <t>DAKSCHINDEL</t>
  </si>
  <si>
    <t>strešna skodla</t>
  </si>
  <si>
    <t>TAKSHINGEL</t>
  </si>
  <si>
    <t>TAGSPÅN</t>
  </si>
  <si>
    <t>KROVNA ŠINDRA</t>
  </si>
  <si>
    <t>Dachschindel (420 × 240 mm)</t>
  </si>
  <si>
    <t>shingle (420 × 240 mm)</t>
  </si>
  <si>
    <t>bardeau (420 × 240 mm)</t>
  </si>
  <si>
    <t>Scandola (420 x 240 mm)</t>
  </si>
  <si>
    <t>Falcovaný šindel (420 x 240 mm)</t>
  </si>
  <si>
    <t>Dachówka łupkowa(420 × 240 mm)</t>
  </si>
  <si>
    <t>tetőfedő zsindely (420 x 240 mm)</t>
  </si>
  <si>
    <t>strešný šindeľ (420 x 240 mm)</t>
  </si>
  <si>
    <t>dakschindel (420 x 240 mm)</t>
  </si>
  <si>
    <t>strešna skodla (420 x 240 mm)</t>
  </si>
  <si>
    <t>takshingel (420 x 240 mm)</t>
  </si>
  <si>
    <t>tagspån (420 x 240 mm)</t>
  </si>
  <si>
    <t>takshingel (420 × 240 mm)</t>
  </si>
  <si>
    <t>Krovna šindra (420 × 240 mm)</t>
  </si>
  <si>
    <t>Dachschindel (480 × 262 mm)</t>
  </si>
  <si>
    <t>DS.19 shingle (480 × 262 mm)</t>
  </si>
  <si>
    <t>bardeau (480 × 262 mm)</t>
  </si>
  <si>
    <t>Scandola (480 × 262 mm)</t>
  </si>
  <si>
    <t>Střešní šindel (480 × 262 mm)</t>
  </si>
  <si>
    <t>Dachówka łupkowa (480 × 262 mm)</t>
  </si>
  <si>
    <t>Tetőfedő zsindely (480 × 262 mm)</t>
  </si>
  <si>
    <t>strešný šindeľ (480 × 262 mm)</t>
  </si>
  <si>
    <t>Daklei (480 × 262 mm)</t>
  </si>
  <si>
    <t>Strešna skodla (480 × 262 mm)</t>
  </si>
  <si>
    <t>takshingel (480 × 262 mm)</t>
  </si>
  <si>
    <t>Tagspån (480 × 262 mm)</t>
  </si>
  <si>
    <t>Takshingel (480 × 262 mm)</t>
  </si>
  <si>
    <t>Krovna šindra (480 × 262 mm)</t>
  </si>
  <si>
    <t>DACHSCHINDEL DS.19</t>
  </si>
  <si>
    <t>DS.19 shingle</t>
  </si>
  <si>
    <t>BARDEAU DS.19</t>
  </si>
  <si>
    <t>SCANDOLA DS.19</t>
  </si>
  <si>
    <t>STŘEŠNÍ ŠINDEL DS.19</t>
  </si>
  <si>
    <t>DACHÓWKA DS.19</t>
  </si>
  <si>
    <t>DS.19 TETŐFEDŐ ZSINDELY</t>
  </si>
  <si>
    <t>STREŠNÝ ŠINDEĽ DS.19</t>
  </si>
  <si>
    <t>DAKLEI DS.19</t>
  </si>
  <si>
    <t>STREŠNA SKODLA DS.19</t>
  </si>
  <si>
    <t>TAKSHINGEL DS.19</t>
  </si>
  <si>
    <t>TAGSPÅN DS.19</t>
  </si>
  <si>
    <t>TAKSHINGEL DS.19</t>
  </si>
  <si>
    <t>KROVNA ŠINDRA DS.19</t>
  </si>
  <si>
    <t>Sicherheitsdachhaken auf Fußteilen</t>
  </si>
  <si>
    <t>roof anchor hook according on mounts</t>
  </si>
  <si>
    <t>crochet de sécurité monté sur platines</t>
  </si>
  <si>
    <t>Staffa anticaduta conforme EN 517B su basi di fissaggio</t>
  </si>
  <si>
    <t xml:space="preserve">Bezpečnostní hák na kruhových podložkách  EN 517B </t>
  </si>
  <si>
    <t>hak dachowy zgodny z normą EN 517 B (stal nierdzewna)</t>
  </si>
  <si>
    <t>tetőbiztonsági kampó EN 517B szabvány szerinti, talpakon</t>
  </si>
  <si>
    <t xml:space="preserve">bezpečnostný hák na kruhových podperách podľa EN 517B </t>
  </si>
  <si>
    <t>dakveiligheidshaak conform EN 517B op voetdelen</t>
  </si>
  <si>
    <t>Varovalni kavelj po EN 517b, na podložnih elementih</t>
  </si>
  <si>
    <t>säkerhetstakkrokar enligt EN 517B på understycken</t>
  </si>
  <si>
    <t>tagsikkerhedskrog i henhold til EN 517B på foddele</t>
  </si>
  <si>
    <t>tak-sikkerhetskroker iht. EN 517B på underdeler</t>
  </si>
  <si>
    <t>Sigurnosne krovne kuke na stopama</t>
  </si>
  <si>
    <t>Dachsparren</t>
  </si>
  <si>
    <t>rafters</t>
  </si>
  <si>
    <t>chevrons</t>
  </si>
  <si>
    <t>Trave portante</t>
  </si>
  <si>
    <t>krokev</t>
  </si>
  <si>
    <t>Krokwie dachowe</t>
  </si>
  <si>
    <t>Szarufa</t>
  </si>
  <si>
    <t>krokvy</t>
  </si>
  <si>
    <t>Dakspanten</t>
  </si>
  <si>
    <t>Strešni špirovci</t>
  </si>
  <si>
    <t>takbjälkar</t>
  </si>
  <si>
    <t>Tagspær</t>
  </si>
  <si>
    <t>Taksperrer</t>
  </si>
  <si>
    <t>Krovne roženice</t>
  </si>
  <si>
    <t>DACHSYSTEME</t>
  </si>
  <si>
    <t>ROOF SYSTEMS</t>
  </si>
  <si>
    <t>TOITURES</t>
  </si>
  <si>
    <t>COPERTURA PREFA</t>
  </si>
  <si>
    <t>STŘEŠNÍ SYSTÉMY</t>
  </si>
  <si>
    <t>SYSTEM DACHOWY</t>
  </si>
  <si>
    <t>TETŐFEDÉSI RENDSZEREK</t>
  </si>
  <si>
    <t>STREŠNÉ SYSTÉMY</t>
  </si>
  <si>
    <t>DAKSYSTEMEN</t>
  </si>
  <si>
    <t>Prefa strešni sistemi</t>
  </si>
  <si>
    <t>PREFA TAKSYSTEM</t>
  </si>
  <si>
    <t>TAGSYSTEMER</t>
  </si>
  <si>
    <t>TAKSYSTEMER</t>
  </si>
  <si>
    <t>KROVNI SUSTAVI</t>
  </si>
  <si>
    <t>Dachübergang von Dacheindeckung in PREFALZ</t>
  </si>
  <si>
    <t>roof transition from roof covering to Prefalz</t>
  </si>
  <si>
    <t>ligne de bris avec transition entre couverture et PREFALZ</t>
  </si>
  <si>
    <t>Passaggio del tetto da copertura a PREFALZ</t>
  </si>
  <si>
    <t>Přechod z maloformátové krytiny do PREFALZ</t>
  </si>
  <si>
    <t>Przejście dachowe między dachówką klasyczną a PREFALZ</t>
  </si>
  <si>
    <t>Tetőátmenet tetőburkolat és PREFALZ között</t>
  </si>
  <si>
    <t>Strešný prechod zo strešnej krytiny do PREFALZ-u</t>
  </si>
  <si>
    <t>Dakovergang van dakbedekking naar PREFALZ</t>
  </si>
  <si>
    <t>Prehod strehe iz kritine v PREFALZ</t>
  </si>
  <si>
    <t>Takövergång från tak i PREFALZ</t>
  </si>
  <si>
    <t>Tagovergang fra tagdækning i PREFALZ</t>
  </si>
  <si>
    <t>Takovergang fra takkledning til PREFALZ</t>
  </si>
  <si>
    <t>Prijelaz krova s krovišta u PREFALZ</t>
  </si>
  <si>
    <t>Dachübergang von Dachplatte in PREFALZ (Schweiz)</t>
  </si>
  <si>
    <t>roof transition from roof tile to Prefalz (Switzerland)</t>
  </si>
  <si>
    <t>ligne de bris avec transition entre tuile et PREFALZ (Suisse)</t>
  </si>
  <si>
    <t>Passaggio del tetto da tegola a PREFALZ (Svizzera)</t>
  </si>
  <si>
    <t>Přechod ze střešního panelu do PREFALZ (Švýcarsko)</t>
  </si>
  <si>
    <t>Przejście dachowe między dachówką klasyczną a PREFALZ (Szwajcaria)</t>
  </si>
  <si>
    <t>Tetőátmenet Classic elem és PREFALZ között (Svájc)</t>
  </si>
  <si>
    <t>Strešný prechod z falcovanej škridly do PREFALZ-u (Švajčiarsko)</t>
  </si>
  <si>
    <t>Dakovergang van dakplaat naar PREFALZ (Zwitserland)</t>
  </si>
  <si>
    <t>Prehod strehe s strešne plošče v PREFALZ (Švica)</t>
  </si>
  <si>
    <t>Takövergång från takplatta i PREFALZ (Schweiz)</t>
  </si>
  <si>
    <t>Tagovergang fra tagplade i PREFALZ (Schweiz)</t>
  </si>
  <si>
    <t>Takovergang fra takplate til PREFALZ (Sveits)</t>
  </si>
  <si>
    <t>Prijelaz krova s krovne ploče u PREFALZ (Švicarska)</t>
  </si>
  <si>
    <t>Dachübergang von PREFALZ in Dacheindeckung</t>
  </si>
  <si>
    <t>roof transition from Prefalz to roof covering</t>
  </si>
  <si>
    <t>ligne de bris avec transition entre PREFALZ et couverture</t>
  </si>
  <si>
    <t>Passaggio del tetto da PREFALZ a copertura</t>
  </si>
  <si>
    <t>Přechod z PREFALZ do maloformátové krytiny</t>
  </si>
  <si>
    <t>Przejście dachowe między PREFALZ a pokryciem dachowym</t>
  </si>
  <si>
    <t>Tetőátmenet PREFALZ és tetőburkolat között</t>
  </si>
  <si>
    <t>Strešný prechod z PREFALZ-u do strešnej krytiny</t>
  </si>
  <si>
    <t>Dakovergang van PREFALZ naar dakbedekking</t>
  </si>
  <si>
    <t>Prehod strehe s PREFALZ v strešno kritino</t>
  </si>
  <si>
    <t>Takövergång från PREFALZ i takbeläggning</t>
  </si>
  <si>
    <t>Tagovergang fra PREFALZ i tagdækning</t>
  </si>
  <si>
    <t>Takovergang fra PREFALZ til takkledning</t>
  </si>
  <si>
    <t>Prijelaz krova s PREFALZ-a u krovište</t>
  </si>
  <si>
    <t>Dachübergang von PREFALZ in PREFALZ</t>
  </si>
  <si>
    <t xml:space="preserve">roof transition from Prefalz to Prefalz </t>
  </si>
  <si>
    <t>ligne de bris avec transition entre PREFALZ et PREFALZ</t>
  </si>
  <si>
    <t>Passaggio del tetto da PREFALZ a PREFALZ</t>
  </si>
  <si>
    <t>Přechod z PREFALZ do PREFALZ</t>
  </si>
  <si>
    <t>Przejście dachowe między pokryciem PREFALZ a pokryciem PREFALZ</t>
  </si>
  <si>
    <t>Tetőátmenet PREFALZ és PREFALZ között</t>
  </si>
  <si>
    <t>Strešný prechod z PREFALZ-u do PREFALZ-u</t>
  </si>
  <si>
    <t>Dakovergang van PREFALZ naar PREFALZ</t>
  </si>
  <si>
    <t>Prehod strehe s PREFALZ v PREFALZ</t>
  </si>
  <si>
    <t>Takövergång från PREFALZ till PREFALZ</t>
  </si>
  <si>
    <t>Tagovergang fra PREFALZ i PREFALZ</t>
  </si>
  <si>
    <t>Takovergang fra PREFALZ til PREFALZ</t>
  </si>
  <si>
    <t>Prijelaz krova s PREFALZ-a u PREFALZ</t>
  </si>
  <si>
    <t>Dämmstoff</t>
  </si>
  <si>
    <t>insulation material</t>
  </si>
  <si>
    <t>matériau isolant</t>
  </si>
  <si>
    <t>Materiale isolante</t>
  </si>
  <si>
    <t>tepelná izolace</t>
  </si>
  <si>
    <t>Materiał izolacyjny</t>
  </si>
  <si>
    <t>szigetelőanyag</t>
  </si>
  <si>
    <t>izolačný materiál</t>
  </si>
  <si>
    <t>Isolatiemateriaal</t>
  </si>
  <si>
    <t>Izolacijski material</t>
  </si>
  <si>
    <t>isoleringsmaterial</t>
  </si>
  <si>
    <t>Isolerende materiale</t>
  </si>
  <si>
    <t>Isolasjonsmateriale</t>
  </si>
  <si>
    <t>Izolacijski materijal</t>
  </si>
  <si>
    <t>Dämmung</t>
  </si>
  <si>
    <t>insulation</t>
  </si>
  <si>
    <t>isolation</t>
  </si>
  <si>
    <t>Isolamento</t>
  </si>
  <si>
    <t>Izolace</t>
  </si>
  <si>
    <t>Izolacja</t>
  </si>
  <si>
    <t>szigetelés</t>
  </si>
  <si>
    <t>izolácia</t>
  </si>
  <si>
    <t>Isolatie</t>
  </si>
  <si>
    <t>Izolacija</t>
  </si>
  <si>
    <t>isolering</t>
  </si>
  <si>
    <t>Isolering</t>
  </si>
  <si>
    <t>Isolasjon</t>
  </si>
  <si>
    <t>Datum:</t>
  </si>
  <si>
    <t>Date:</t>
  </si>
  <si>
    <t>Date :</t>
  </si>
  <si>
    <t>Data:</t>
  </si>
  <si>
    <t>Dátum:</t>
  </si>
  <si>
    <t>datum</t>
  </si>
  <si>
    <t>Dato:</t>
  </si>
  <si>
    <t>dauerelastische Fuge</t>
  </si>
  <si>
    <t>permanently flexible joint</t>
  </si>
  <si>
    <t>joint à élasticité permanente</t>
  </si>
  <si>
    <t>Fuga a elasticità permanente</t>
  </si>
  <si>
    <t>Trvale pružná spára</t>
  </si>
  <si>
    <t>trwałe połączenie elastyczne</t>
  </si>
  <si>
    <t>tartósan rugalmas fuga</t>
  </si>
  <si>
    <t>trvalo elastická škára</t>
  </si>
  <si>
    <t>permanent elastische verbinding</t>
  </si>
  <si>
    <t>trajno elastični spoj</t>
  </si>
  <si>
    <t>permanent elastisk fog</t>
  </si>
  <si>
    <t>Permanent elastisk fuge</t>
  </si>
  <si>
    <t>trajno elastična fuga</t>
  </si>
  <si>
    <t>defektes Siding ausschneiden</t>
  </si>
  <si>
    <t>cut out the defective siding</t>
  </si>
  <si>
    <t>découper le Siding défectueux</t>
  </si>
  <si>
    <t>tagliare la Doga difettosa</t>
  </si>
  <si>
    <t>Vyříznout poškozený Siding</t>
  </si>
  <si>
    <t>wycinanie uszkodzonego sidingu</t>
  </si>
  <si>
    <t>hibás Siding kivágása</t>
  </si>
  <si>
    <t>poškodený Siding vyrezať</t>
  </si>
  <si>
    <t>defecte siding uitsnijden</t>
  </si>
  <si>
    <t>izrezovanje okvarjene obloge Siding</t>
  </si>
  <si>
    <t>utskärning av defekt siding</t>
  </si>
  <si>
    <t>Udskæring af defekt siding</t>
  </si>
  <si>
    <t>Skjære ut defekt Siding</t>
  </si>
  <si>
    <t>izrezati neispravnu fasadnu kazetu</t>
  </si>
  <si>
    <t>defektes Siding entfernen</t>
  </si>
  <si>
    <t>remove the defective siding</t>
  </si>
  <si>
    <t>retirer le Siding défectueux</t>
  </si>
  <si>
    <t>rimuovere la Doga difettosa</t>
  </si>
  <si>
    <t>Odstranit poškozený Siding</t>
  </si>
  <si>
    <t>usuwanie uszkodzonego sidingu</t>
  </si>
  <si>
    <t>hibás Siding eltávolítása</t>
  </si>
  <si>
    <t>poškodený Siding odstrániť</t>
  </si>
  <si>
    <t>defecte siding verwijderen</t>
  </si>
  <si>
    <t>odstranjevanje okvarjene obloge Siding</t>
  </si>
  <si>
    <t>borttagning av defekt siding</t>
  </si>
  <si>
    <t>Fjernelse af defekt siding</t>
  </si>
  <si>
    <t>Fjerne defekt Siding</t>
  </si>
  <si>
    <t>ukloniti neispravnu fasadnu kazetu</t>
  </si>
  <si>
    <t>Dehnungsabstand</t>
  </si>
  <si>
    <t>space for expansion</t>
  </si>
  <si>
    <t>jeu de dilatation</t>
  </si>
  <si>
    <t>Distanza di dilatazione</t>
  </si>
  <si>
    <t>dilatační mezera</t>
  </si>
  <si>
    <t>Szczelina na wydłużenie</t>
  </si>
  <si>
    <t>tágulási rés</t>
  </si>
  <si>
    <t>dilatačná medzera</t>
  </si>
  <si>
    <t>Uitzettingsverschil</t>
  </si>
  <si>
    <t>raztezna razdalja</t>
  </si>
  <si>
    <t>utsträckningsavstånd</t>
  </si>
  <si>
    <t>Udvidelsesafstand</t>
  </si>
  <si>
    <t>Strekkavstand</t>
  </si>
  <si>
    <t>Razmak za rastezanje</t>
  </si>
  <si>
    <t>Dehnungsbereich</t>
  </si>
  <si>
    <t>expansion range</t>
  </si>
  <si>
    <t>Ampiezza di dilatazione</t>
  </si>
  <si>
    <t>oblast dilatace</t>
  </si>
  <si>
    <t>Zakres wydłużenia</t>
  </si>
  <si>
    <t>tágulási tartomány</t>
  </si>
  <si>
    <t>Uitzettingsbereik</t>
  </si>
  <si>
    <t>raztezno območje</t>
  </si>
  <si>
    <t>utsträckningsområde</t>
  </si>
  <si>
    <t>Udvidelsesområde</t>
  </si>
  <si>
    <t>Strekkområde</t>
  </si>
  <si>
    <t>Područje za rastezanje</t>
  </si>
  <si>
    <t>Der Traufenvorsprung darf 80 mm nicht überschreiten!</t>
  </si>
  <si>
    <t>The eaves projection must not exceed 80 mm.</t>
  </si>
  <si>
    <t>La saillie à l’égout ne doit pas excéder 80 mm !</t>
  </si>
  <si>
    <t>La sporgenza della gronda non deve superare gli 80 mm!</t>
  </si>
  <si>
    <t>Přesah přes okapovou hranu nesmí přesáhnout 80 mm!</t>
  </si>
  <si>
    <t>Występ okapu nie może przekraczać 80 mm!</t>
  </si>
  <si>
    <t>Az eresztúlnyúlás nem haladhatja meg a 80 mm-t!</t>
  </si>
  <si>
    <t>Presah cez odkvapovú hranu nesmie prekročiť 80 mm!</t>
  </si>
  <si>
    <t>De dakrand mag niet meer dan 80 mm uitsteken!</t>
  </si>
  <si>
    <t>Napušč v kapu ne sme presegati 80 mm!</t>
  </si>
  <si>
    <t>Takfotens utsprång får inte överstiga 80 mm!</t>
  </si>
  <si>
    <t>Tagudhængets fremspring må ikke overskride 80 mm!</t>
  </si>
  <si>
    <t>Takskjeggets utstikk skal ikke overskride 80 mm!</t>
  </si>
  <si>
    <t>Izbočenost strehe ne smije biti veća od 80 mm!</t>
  </si>
  <si>
    <t>Design (Welle; 5 mm oder 9 mm)</t>
  </si>
  <si>
    <t>design (wave: 5 mm or 9 mm)</t>
  </si>
  <si>
    <t>design (onde ; 5 mm ou 9 mm)</t>
  </si>
  <si>
    <t>Design (onda; 5 mm o 9 mm)</t>
  </si>
  <si>
    <t>Design (vlna 5 mm nebo 9 mm)</t>
  </si>
  <si>
    <t>Projekt (fala, 5 mm lub 9 mm)</t>
  </si>
  <si>
    <t>Dizájn (hullám; 5 mm vagy 9 mm)</t>
  </si>
  <si>
    <t>Dizajnová vlna (5 mm alebo 9 mm)</t>
  </si>
  <si>
    <t>Design (plaat; 5 mm of 9 mm)</t>
  </si>
  <si>
    <t>Dizajn (valovit; 5 mm ali 9 mm)</t>
  </si>
  <si>
    <t>Utformning (våg; 5 mm eller 9 mm)</t>
  </si>
  <si>
    <t>Design (bølge; 5 mm eller 9 mm)</t>
  </si>
  <si>
    <t>Design (bølge; 5 mm eller 9 mm)</t>
  </si>
  <si>
    <t>Dizajn (val; 5 mm ili 9 mm)</t>
  </si>
  <si>
    <t>Dichtband</t>
  </si>
  <si>
    <t>sealing tape</t>
  </si>
  <si>
    <t>bande d’étanchéité</t>
  </si>
  <si>
    <t>Nastro sigillante</t>
  </si>
  <si>
    <t>Taśma uszczelniająca</t>
  </si>
  <si>
    <t>Tömítőszalag</t>
  </si>
  <si>
    <t>tesniaca páska</t>
  </si>
  <si>
    <t>Afdichtingstape</t>
  </si>
  <si>
    <t>Tesnilni trak</t>
  </si>
  <si>
    <t>tätningsband</t>
  </si>
  <si>
    <t>Tætningsbånd</t>
  </si>
  <si>
    <t>Tetningsbånd</t>
  </si>
  <si>
    <t>Brtvena traka</t>
  </si>
  <si>
    <t>Dichteinlage</t>
  </si>
  <si>
    <t>sealing insert</t>
  </si>
  <si>
    <t>joint d’étanchéité</t>
  </si>
  <si>
    <t>Inserto di tenuta</t>
  </si>
  <si>
    <t>Nutno dodržet požadované střešní sklony pro jednotlivé produkty dle směrnic pro pokládku</t>
  </si>
  <si>
    <t>Wkład uszczelniający</t>
  </si>
  <si>
    <t>Tömítőbetét</t>
  </si>
  <si>
    <t>tesniaca vložka</t>
  </si>
  <si>
    <t>Afdichting</t>
  </si>
  <si>
    <t>Tesnilni vložek</t>
  </si>
  <si>
    <t>tätningsinsats</t>
  </si>
  <si>
    <t>Tætningsindsats</t>
  </si>
  <si>
    <t>Tetningsinnlegg</t>
  </si>
  <si>
    <t>Brtveni umetak</t>
  </si>
  <si>
    <t>Dichtschraube</t>
  </si>
  <si>
    <t>sealing screw</t>
  </si>
  <si>
    <t>vis d’étanchéité</t>
  </si>
  <si>
    <t>Vite di fissaggio con rondella di tenuta</t>
  </si>
  <si>
    <t>mechanické namáhání podvěšených fólií během stavby ( např. pohyb osob, skladování materiálů)</t>
  </si>
  <si>
    <t>Śruba uszczelniająca</t>
  </si>
  <si>
    <t>Tömítőcsavar</t>
  </si>
  <si>
    <t>tesniaca skrutka</t>
  </si>
  <si>
    <t>Afdichtingsschroef</t>
  </si>
  <si>
    <t>Tesnilni vijak</t>
  </si>
  <si>
    <t>tätningsskruv</t>
  </si>
  <si>
    <t>Tætningsskrue</t>
  </si>
  <si>
    <t>Tetningsskrue</t>
  </si>
  <si>
    <t>Brtveni vijak</t>
  </si>
  <si>
    <t>Die dargestellten nicht maßstabsgetreuen Skizzen wurden in Zusammenarbeit mit der Fa. Bauder entwickelt. Außerdem stellen die Konstruktionsbeispiele den Regelfall dar und sind ggf. an die örtliche Situation anzupassen. Länderspezifische technische Richtlinien sind zu beachten!</t>
  </si>
  <si>
    <t>The sketches, which are not true-to-scale, were created together with the company, Bauder. Furthermore, the construction examples depict general cases and should be adapted to the local situation, if necessary. National technical guidelines must be observed.</t>
  </si>
  <si>
    <t>Les schémas ont été réalisés en collaboration avec la société Bauder. Nota : ces schémas ne sont pas à l’échelle. Par ailleurs, les exemples de construction fournis par PREFA sont conformes à la règle générale. La mise en œuvre pourra néanmoins, le cas échéant, nécessiter des adaptations en fonction des particularités locales. Attention à respecter les réglementations techniques nationales.</t>
  </si>
  <si>
    <t>Gli schizzi non in scala mostrati sono stati sviluppati in collaborazione con la ditta Bauder. Inoltre, gli esempi di progettazione rappresentano il caso standard e devono essere adattati alla situazione locale se necessario. Si devono osservare le linee guida tecniche specifiche del paese!</t>
  </si>
  <si>
    <t>Zamieszczone szkice nieskalowane zostały opracowane we współpracy z firmą Bauder. Ponadto przykłady projektowe przedstawiają przypadek typowy i w razie potrzeby należy je dostosować do konkretnej sytuacji. Należy przestrzegać wytycznych technicznych obowiązujących w danym kraju!</t>
  </si>
  <si>
    <t>A bemutatott, nem méretarányos vázlatok a Bauder céggel együttműködve készültek. Ezenkívül a tervezési példák a hagyományos esetet mutatják be, és így szükség esetén a helyi körülményekhez igazítandók. Az országspecifikus műszaki irányelveket be kell tartani!</t>
  </si>
  <si>
    <t>Zobrazené náčrty, ktoré nie sú presne v mierke, boli vyvinuté v spoluprácu s firmou Bauder. Okrem toho príklady konštrukcie predstavujú obvyklý prípad a treba ich príp. prispôsobiť miestnej situácii. Je nutné dodržiavať technické smernice platné pre danú krajinu!</t>
  </si>
  <si>
    <t>De afgebeelde niet-schaalschetsen zijn ontwikkeld in samenwerking met Bauder. Bovendien zijn de ontwerpvoorbeelden een regelgeval en moeten zij zo nodig aan de plaatselijke situatie worden aangepast. Landspecifieke technische richtlijnen moeten in acht worden genomen!</t>
  </si>
  <si>
    <t>Prikazane skice, ki ne ustrezajo merilu, so bile razvite v sodelovanju s podjetjem Bauder. Poleg tega primeri konstrukcij predstavljajo splošen primer in jih bo morda treba prilagoditi lokalnim razmeram. Upoštevati je treba tehnične smernice za posamezne države!</t>
  </si>
  <si>
    <t>Ej skalenliga skisser har utvecklats i samarbete med företaget Bauder. Dessutom representerar konstruktionsexemplen generella fall och kan behöva anpassas till den aktuella situationen. Landspecifika tekniska riktlinjer måste följas!</t>
  </si>
  <si>
    <t>De viste skitser, som ikke er i korrekt skala, er udviklet i samarbejde med Bauder. Designeksemplerne repræsenterer generelle eksempler og skal muligvis tilpasses den lokale situation. Landespecifikke tekniske retningslinjer skal overholdes!</t>
  </si>
  <si>
    <t>De viste skissene, som ikke er i skala, er utviklet i samarbeid med bedriften Bauder. I tillegg representerer designeksemplene vanlige tilfeller og må kanskje tilpasses den lokale situasjonen. Landsspesifikke tekniske retningslinjer må følges!</t>
  </si>
  <si>
    <t>Prikazane skice, koje ne odgovaraju mjerilu, razvijene su u suradnji s tvrtkom Bauder. Osim toga, primjeri dizajna predstavljaju opći slučaj i možda će ih trebati prilagoditi lokalnoj situaciji. Potrebno je poštivati ​​tehničke smjernice specifične za zemlju!</t>
  </si>
  <si>
    <t>Die in den Verlegerichtlinien angegebenen Dachneigungen der jeweiligen Produkte sind einzuhalten.</t>
  </si>
  <si>
    <t>Observe the roof pitches specified in the installation guidelines for each product.</t>
  </si>
  <si>
    <t>Respectez scrupuleusement les pentes de toit indiquées dans les guides de pose pour chaque produit.</t>
  </si>
  <si>
    <t>È necessario rispettare le pendenze del tetto specificate nelle linee guida per l'installazione dei vari prodotti.</t>
  </si>
  <si>
    <t>Použitý pás při požadavku na pojistnou hydroizolaci</t>
  </si>
  <si>
    <t>Należy postępować odpowiednio w zależności od kątów nachylenia dachu podanych w wytycznych montażowych dla poszczególnych produktów.</t>
  </si>
  <si>
    <t>Az adott termékek kivitelezési útmutatójában megadott tetőhajlásszögeket be kell tartani.</t>
  </si>
  <si>
    <t>Sklony striech príslušných výrobkov uvedené v smerniciach na pokládku je nutné dodržať.</t>
  </si>
  <si>
    <t>De dakhellingen die in de montagerichtlijnen voor de respectieve producten zijn aangegeven, moeten in acht worden genomen.</t>
  </si>
  <si>
    <t>Upoštevati je treba naklone strehe posameznih izdelkov, ki so navedeni v smernicah za namestitev.</t>
  </si>
  <si>
    <t>Taklutningarna för respektive produkter som anges i monteringsanvisningarna måste beaktas.</t>
  </si>
  <si>
    <t>Taghældningerne for de respektive produkter, der er angivet i monteringsvejledningen, skal overholdes.</t>
  </si>
  <si>
    <t>Takhellingene for de respektive produktene spesifisert i monteringsveiledningen må overholdes.</t>
  </si>
  <si>
    <t>Moraju se poštivati ​​nagibi krova odgovarajućih proizvoda koji su navedeni u uputama za postavljanje.</t>
  </si>
  <si>
    <t>mechanische Beanspruchung der Unterdeckmaterialien während der Bauphase (z. B. Begehen des Unterdaches, Materiallagerung)</t>
  </si>
  <si>
    <t>the mechanical stress to which the roof underlay materials are subjected during the building phase (e.g. walking on the underlay, material storage)</t>
  </si>
  <si>
    <t>contraintes mécaniques auxquelles sont soumis les matériaux de la sous-couverture pendant de la phase de construction (stockage de matériaux de construction ou déplacements de personnes sur la sous-couverture par exemple)</t>
  </si>
  <si>
    <t>sollecitazioni meccaniche sui materiali del sottotetto durante la fase di costruzione (ad es. camminare sul sottotetto, stoccaggio di materiale)</t>
  </si>
  <si>
    <t>difuzně otevřená podstřešní fólie (např. BauderTOP Difutex NSK nebo BauderTOP Difubit NSK)</t>
  </si>
  <si>
    <t>mechaniczne obciążenie materiałów dachowych na etapie budowy (np. chodzenie po pokryciu więźby dachowej, składowanie materiałów)</t>
  </si>
  <si>
    <t>a tető alatti anyagokat érő mechanikai igénybevétel az építési fázisban (pl. az alsó tetősík bejárása, anyagtárolás)</t>
  </si>
  <si>
    <t>mechanické namáhanie materiálov stropného podhľadu počas stavebnej fázy (napr. chodenie po podstreší, uloženie materiálu)</t>
  </si>
  <si>
    <t>mechanische belasting van de materialen van het onderdak tijdens de bouwfase (bijv. lopen op het onderdak, opslag van materiaal)</t>
  </si>
  <si>
    <t>mehanske obremenitve podstrešnih materialov v fazi gradnje (npr. hoja po podstrehi, skladiščenje materiala)</t>
  </si>
  <si>
    <t>mekanisk påfrestning på underlagsmembranet under konstruktionsfasen (t.ex. vid gång på undertaket, materiallagring)</t>
  </si>
  <si>
    <t>mekanisk belastning af undertagets materialer i byggefasen (f.eks. gang på undertaget, materialeopbevaring)</t>
  </si>
  <si>
    <t>Mekanisk belastning på undertakets materialer i byggefasen (f.eks. gange på undertaket, materiallagring)</t>
  </si>
  <si>
    <t>mehanička opterećenja na potkrovnim materijalima tijekom faze izgradnje (npr. hodanje po foliji, skladištenje materijala)</t>
  </si>
  <si>
    <t>wärme- und feuchteschutztechnischen Eigenschaften des Gesamtdachaufbaues</t>
  </si>
  <si>
    <t>the hygrothermal performance characteristics of the entire roof structure</t>
  </si>
  <si>
    <t>propriétés de l’ensemble de la toiture en termes d’isolation thermique et de protection contre l’humidité</t>
  </si>
  <si>
    <t>proprietà termiche e di protezione dall'umidità della struttura complessiva del tetto</t>
  </si>
  <si>
    <t>těsnicí pásek</t>
  </si>
  <si>
    <t>właściwości termiczne i ochrona przed wilgocią całej konstrukcji dachu</t>
  </si>
  <si>
    <t>a teljes tetőszerkezet hő- és nedvességvédelmi tulajdonságai</t>
  </si>
  <si>
    <t>technické tepelnoizolačné a hydroizolačné vlastnosti celkovej skladby strechy</t>
  </si>
  <si>
    <t>thermische en vochtwerende eigenschappen van de totale dakmontage</t>
  </si>
  <si>
    <t>toplotne in vlagozaščitne lastnosti celotne strešne konstrukcije</t>
  </si>
  <si>
    <t>termiska och fuktskyddande egenskaper hos hela takkonstruktionen</t>
  </si>
  <si>
    <t>termiske og fugtbeskyttende egenskaber for hele tagkonstruktionen</t>
  </si>
  <si>
    <t>Varme- og fuktbeskyttende egenskaper for hele takkonstruksjonen</t>
  </si>
  <si>
    <t>toplinska svojstva i svojstva zaštite od vlage cijele krovne konstrukcije</t>
  </si>
  <si>
    <t>Die zu verwendende Unterdeckbahn bei Anforderung an ein Unterdach.</t>
  </si>
  <si>
    <t>Roof underlay to be used according to underlayment requirements</t>
  </si>
  <si>
    <t>Lés de sous-couverture à utiliser lorsque ceux-ci sont requis.</t>
  </si>
  <si>
    <t>La membrana sottomanto da utilizzare quando è richiesto un sottotetto.</t>
  </si>
  <si>
    <t>těsnící vložka</t>
  </si>
  <si>
    <t>Membrana szalunkowa do stosowania w przypadku konieczności wykonania pokrycia więźby dachowej.</t>
  </si>
  <si>
    <t>Elválasztóréteg használata, ha alsó tetősíkra van szükség.</t>
  </si>
  <si>
    <t>Používaný podkladový pás pri požiadavke na podstrešie.</t>
  </si>
  <si>
    <t>Het schoorsteenmembraan dat moet worden gebruikt wanneer een onderdak is vereist.</t>
  </si>
  <si>
    <t>Podložna membrana, ki se uporablja, kadar se zahteva podstreha.</t>
  </si>
  <si>
    <t>Underlagsmembranet som ska användas när ett undertak krävs.</t>
  </si>
  <si>
    <t>Undertag, der skal anvendes, når der kræves et undertag.</t>
  </si>
  <si>
    <t>Underlaget som skal brukes når det er behov for undertak.</t>
  </si>
  <si>
    <t>Krovna podloga koja se koristi kada je potreban sekundarni krov.</t>
  </si>
  <si>
    <t>dieser Kombination</t>
  </si>
  <si>
    <t>available for this</t>
  </si>
  <si>
    <t>questa combinazione</t>
  </si>
  <si>
    <t>Těchto kombinací</t>
  </si>
  <si>
    <t>ta kombinacja</t>
  </si>
  <si>
    <t>ez a kombináció</t>
  </si>
  <si>
    <t>Tieto kombinácie</t>
  </si>
  <si>
    <t>deze combinatie</t>
  </si>
  <si>
    <t>za to kombinacijo</t>
  </si>
  <si>
    <t>denna kombination</t>
  </si>
  <si>
    <t>denne kombination</t>
  </si>
  <si>
    <t>denne kombinasjonen</t>
  </si>
  <si>
    <t>ova kombinacija</t>
  </si>
  <si>
    <t>diffusionsoffene Unterdeckbahn (z. B. BauderTOP Difutex NSK oder BauderTOP Difubit NSK)</t>
  </si>
  <si>
    <t xml:space="preserve">breathable roof underlay (e.g. BauderTOP Difutex NSK or BauderTOP Difubit NSK) </t>
  </si>
  <si>
    <t>lé de sous-couverture perméable à la diffusion (p. ex. BauderTop Difutex NSK ou BauderTop Difubit NSK)</t>
  </si>
  <si>
    <t>membrana sottomanto traspirante (ad es. BauderTOP Difutex NSK o BauderTOP Difubit NSK)</t>
  </si>
  <si>
    <t>těsnicí vrut</t>
  </si>
  <si>
    <t>otwarta dyfuzyjnie membrana szalunkowa (np. BauderTOP Difutex NSK lub BauderTOP Difubit NSK)</t>
  </si>
  <si>
    <t>diffúziósan nyitott elválasztóréteg (pl. BauderTOP Difutex NSK vagy BauderTOP Difubit NSK)</t>
  </si>
  <si>
    <t>difúzne otvorený podkladový pás (napr. BauderTOP Difutex NSK alebo BauderTOP Difubit NSK)</t>
  </si>
  <si>
    <t>diffusieopen schoorsteenmembraan (bijv. BauderTOP Difutex NSK of BauderTOP Difubit NSK)</t>
  </si>
  <si>
    <t>Difuzijsko odprta podložna membrana (npr. BauderTOP Difutex NSK ali BauderTOP Difubit NSK)</t>
  </si>
  <si>
    <t>diffusionsöppen underlagsmembran för (t.ex. BauderTOP Difutex NSK eller BauderTOP Difubit NSK)</t>
  </si>
  <si>
    <t>Diffusionsåbent undertag (f.eks. BauderTOP Difutex NSK eller BauderTOP Difubit NSK)</t>
  </si>
  <si>
    <t>Diffusjonsåpent underlag (f.eks. BauderTOP Difutex NSK eller BauderTOP Difubit NSK)</t>
  </si>
  <si>
    <t>propusna podloga (npr. BauderTOP Difutex NSK ili BauderTOP Difubit NSK)</t>
  </si>
  <si>
    <t>Dila</t>
  </si>
  <si>
    <t>expansion component</t>
  </si>
  <si>
    <t>joint de dilatation</t>
  </si>
  <si>
    <t>Elemento di dilatazione</t>
  </si>
  <si>
    <t>Dilatace</t>
  </si>
  <si>
    <t>Dylatacja rynny</t>
  </si>
  <si>
    <t>Dilatáció</t>
  </si>
  <si>
    <t>dilatačný prvok</t>
  </si>
  <si>
    <t>dila</t>
  </si>
  <si>
    <t>expanderingsskarv</t>
  </si>
  <si>
    <t>udvidelse</t>
  </si>
  <si>
    <t>skjøtestykke</t>
  </si>
  <si>
    <t>Dilatacija</t>
  </si>
  <si>
    <t>Dimension nicht möglich</t>
  </si>
  <si>
    <t>Dimension not available</t>
  </si>
  <si>
    <t>Dimension non disponible</t>
  </si>
  <si>
    <t>Misura non disponibile</t>
  </si>
  <si>
    <t>Rozměr není možný</t>
  </si>
  <si>
    <t>Wymiar jest nie dostępny</t>
  </si>
  <si>
    <t>Ez a méret nem érhető el</t>
  </si>
  <si>
    <t>Rozmer nie je k dispozícii</t>
  </si>
  <si>
    <t>Dimensie niet mogelijk</t>
  </si>
  <si>
    <t>Dimenzija ni na voljo</t>
  </si>
  <si>
    <t>Dimensionen inte möjlig</t>
  </si>
  <si>
    <t>Mål ikke muligt</t>
  </si>
  <si>
    <t>Dimensjon ikke mulig</t>
  </si>
  <si>
    <t>Dimenzije nisu moguće</t>
  </si>
  <si>
    <t>Dimension wählen:</t>
  </si>
  <si>
    <t>Select dimension:</t>
  </si>
  <si>
    <t>Sélectionner la dimension :</t>
  </si>
  <si>
    <t>Selezionare la misura</t>
  </si>
  <si>
    <t>Zvolit rozměr</t>
  </si>
  <si>
    <t>Wybierz średnicę:</t>
  </si>
  <si>
    <t>Méret választása:</t>
  </si>
  <si>
    <t>Vyberte rozmer:</t>
  </si>
  <si>
    <t>Dimensie kiezen:</t>
  </si>
  <si>
    <t>Izbrana dimenzija:</t>
  </si>
  <si>
    <t>Välj dimension:</t>
  </si>
  <si>
    <t>Vælg mål:</t>
  </si>
  <si>
    <t>Velg dimensjon:</t>
  </si>
  <si>
    <t>Odaberite dimenzije:</t>
  </si>
  <si>
    <t>Dimension:</t>
  </si>
  <si>
    <t>Dimensions :</t>
  </si>
  <si>
    <t>Dimensioni:</t>
  </si>
  <si>
    <t>Dimenze</t>
  </si>
  <si>
    <t>Wymiar:</t>
  </si>
  <si>
    <t>méretek:</t>
  </si>
  <si>
    <t>Dimensie:</t>
  </si>
  <si>
    <t>Dimenzije:</t>
  </si>
  <si>
    <t>Mått:</t>
  </si>
  <si>
    <t>Dimensjon:</t>
  </si>
  <si>
    <t>Distanzhalter</t>
  </si>
  <si>
    <t>spacer bracket</t>
  </si>
  <si>
    <t>Distanziatore</t>
  </si>
  <si>
    <t>Rozpěrka</t>
  </si>
  <si>
    <t>Uchwyt dystansowy</t>
  </si>
  <si>
    <t>Távtartó</t>
  </si>
  <si>
    <t>dištančný držiak</t>
  </si>
  <si>
    <t>Afstandshouder</t>
  </si>
  <si>
    <t>Distančnik</t>
  </si>
  <si>
    <t>distanser</t>
  </si>
  <si>
    <t>Afstandsstykke</t>
  </si>
  <si>
    <t>Avstandsstykke</t>
  </si>
  <si>
    <t>Odstojnik</t>
  </si>
  <si>
    <t>Doppelstehfalz mit Falzabdichtung</t>
  </si>
  <si>
    <t>double-lock standing seam with seam sealing</t>
  </si>
  <si>
    <t>joint debout à double agrafe avec insert d’étanchéité</t>
  </si>
  <si>
    <t>Doppia aggraffatura con aggraffatura sigillata</t>
  </si>
  <si>
    <t>dvojitá stojatá drážka s těsněním</t>
  </si>
  <si>
    <t>Rąbek stojący podwójny z uszczelnieniem połączeń</t>
  </si>
  <si>
    <t>Kettős állókorc korctömítéssel</t>
  </si>
  <si>
    <t>dvojitá stojatá drážka s utesnením falcov</t>
  </si>
  <si>
    <t>Dubbele naad met naadafdichting</t>
  </si>
  <si>
    <t>Dvojni stoječi zgib z zatesnitvijo zgiba</t>
  </si>
  <si>
    <t>Dubbel stående fals med falstätning</t>
  </si>
  <si>
    <t>Dobbelt stående fals med falsafdækning</t>
  </si>
  <si>
    <t>Stående dobbelfals med falstetning</t>
  </si>
  <si>
    <t>Dvostruki stojeći falc s brtvljenjem falca</t>
  </si>
  <si>
    <t>Doppelstehfalzdeckung (PREFALZ)</t>
  </si>
  <si>
    <t>double-lock standing seam Prefalz</t>
  </si>
  <si>
    <t>couverture à joint debout à double agrafe (PREFALZ )</t>
  </si>
  <si>
    <t>Copertura con doppia aggraffatura (PREFALZ)</t>
  </si>
  <si>
    <t>krytí PREFALZ na dvojitou stojatou drážku</t>
  </si>
  <si>
    <t>Pokrycie dachowe na podwójny rąbek stojący (PREFALZ)</t>
  </si>
  <si>
    <t>Kettős állókorcos fedés (PREFALZ)</t>
  </si>
  <si>
    <t>krytina na dvojitú stojatú drážku (PREFALZ)</t>
  </si>
  <si>
    <t>Dubbele naaddakbedekking (PREFALZ)</t>
  </si>
  <si>
    <t>Kritina z dvojnim stoječim zgibom (PREFALZ)</t>
  </si>
  <si>
    <t>Tak med dubbel stående fals (PREFALZ)</t>
  </si>
  <si>
    <t>Dobbeltstående falsafdækning (PREFALZ)</t>
  </si>
  <si>
    <t>Kledning med stående dobbelfals (PREFALZ)</t>
  </si>
  <si>
    <t>Pokrov s dvostrukim stojećim falcom (PREFALZ)</t>
  </si>
  <si>
    <t>Doppelter Querfalz</t>
  </si>
  <si>
    <t>double transverse seam</t>
  </si>
  <si>
    <t>agrafure transversale double</t>
  </si>
  <si>
    <t>Dvojitá příčná drážka</t>
  </si>
  <si>
    <t>Łączenie na podwójną zakładkę</t>
  </si>
  <si>
    <t>Dupla keresztkorc</t>
  </si>
  <si>
    <t>dvojitá priečna drážka</t>
  </si>
  <si>
    <t>Dubbele kruisnaad</t>
  </si>
  <si>
    <t>Dvojni prečni zgib</t>
  </si>
  <si>
    <t>dubbel korsfals</t>
  </si>
  <si>
    <t>Dobbelt tværfals</t>
  </si>
  <si>
    <t>Dobbel tverrfals</t>
  </si>
  <si>
    <t>Dvostruki križni falc</t>
  </si>
  <si>
    <t>Eckverbinder für Rohr</t>
  </si>
  <si>
    <t>corner connector for pipe</t>
  </si>
  <si>
    <t>pièce d’assemblage d’angle pour tube</t>
  </si>
  <si>
    <t xml:space="preserve">spojka trubky sněhové zábrany </t>
  </si>
  <si>
    <t>Narożne złącze Rury</t>
  </si>
  <si>
    <t>sarok összekötő elem hófogócsőhöz</t>
  </si>
  <si>
    <t>hoekverbinding voor buis</t>
  </si>
  <si>
    <t>vogalni zaključek za cev</t>
  </si>
  <si>
    <t>kantanslutning för PREFA-rör</t>
  </si>
  <si>
    <t>hjørneforbinder til rør</t>
  </si>
  <si>
    <t>hjørnetilkobling for rør</t>
  </si>
  <si>
    <t>Kutni spojni element za cijev</t>
  </si>
  <si>
    <t>Eckverbinderwinkel</t>
  </si>
  <si>
    <t>corner connector</t>
  </si>
  <si>
    <t>pièce d’assemblage d’angle</t>
  </si>
  <si>
    <t>Angolo del raccordo angolare</t>
  </si>
  <si>
    <t>Rohový spojovací úhelník</t>
  </si>
  <si>
    <t>Narożny łącznik kątowy</t>
  </si>
  <si>
    <t>Sarokcsatlakozó szeglet</t>
  </si>
  <si>
    <t>rohový spojovací profil</t>
  </si>
  <si>
    <t>Hoekverbindingshoek</t>
  </si>
  <si>
    <t>Vogalni kotnik</t>
  </si>
  <si>
    <t>hörnkopplingsfäste</t>
  </si>
  <si>
    <t>Hjørneforbindelsesbeslag</t>
  </si>
  <si>
    <t>Hjørnekoblingsbrakett</t>
  </si>
  <si>
    <t>Kut kutnog spojnog elementa</t>
  </si>
  <si>
    <t>Eckwinkel außen</t>
  </si>
  <si>
    <t>external corner flashing</t>
  </si>
  <si>
    <t>équerre d’angle sortant</t>
  </si>
  <si>
    <t>Angolare esterno</t>
  </si>
  <si>
    <t>Rohový úhelník vnější</t>
  </si>
  <si>
    <t>Łącznik narożny zewnętrzny</t>
  </si>
  <si>
    <t>Külső sarokszeglet</t>
  </si>
  <si>
    <t>rohový profil vonkajší</t>
  </si>
  <si>
    <t>Hoek buiten</t>
  </si>
  <si>
    <t>Kotnik zunaj</t>
  </si>
  <si>
    <t>hörnvinkel utvändigt</t>
  </si>
  <si>
    <t>Ydre hjørnevinkel</t>
  </si>
  <si>
    <t>Hjørnebrakett utvendig</t>
  </si>
  <si>
    <t>Kutni element, vanjski</t>
  </si>
  <si>
    <t>Eckwinkel außen (2-teilig)</t>
  </si>
  <si>
    <t>équerre d’angle sortant (2 éléments)</t>
  </si>
  <si>
    <t>Angolare esterno (2 parti)</t>
  </si>
  <si>
    <t>Rohový úhelník vnější (dvoudílný)</t>
  </si>
  <si>
    <t>Łącznik narożny zewnętrzny (2-częściowy)</t>
  </si>
  <si>
    <t>Külső sarokszeglet (2-részes)</t>
  </si>
  <si>
    <t>rohový profil vonkajší (2-dielny)</t>
  </si>
  <si>
    <t>Hoek buiten (2-delig)</t>
  </si>
  <si>
    <t>Kotnik zunaj (2-delni)</t>
  </si>
  <si>
    <t>utvändigt hörnfäste (2-delat)</t>
  </si>
  <si>
    <t>Ydre hjørnevinkel (2-delt)</t>
  </si>
  <si>
    <t>Hjørnebrakett utvendig (2-delt)</t>
  </si>
  <si>
    <t>Kutni element, vanjski (2-dijelni)</t>
  </si>
  <si>
    <t>équerre d’angle sortant (longueur : 2 500 mm)</t>
  </si>
  <si>
    <t>Eckwinkel innen</t>
  </si>
  <si>
    <t>internal corner flashing</t>
  </si>
  <si>
    <t>équerre d’angle rentrant</t>
  </si>
  <si>
    <t>Angolare interno</t>
  </si>
  <si>
    <t>Rohový úhelník vnitřní</t>
  </si>
  <si>
    <t>Łącznik narożny wewnętrzny</t>
  </si>
  <si>
    <t>Belső sarokszeglet</t>
  </si>
  <si>
    <t>rohový profil vnútorný</t>
  </si>
  <si>
    <t>Hoek binnen</t>
  </si>
  <si>
    <t>Kotnik znotraj</t>
  </si>
  <si>
    <t>hörnvinkel invändig</t>
  </si>
  <si>
    <t>Indre hjørnevinkel</t>
  </si>
  <si>
    <t>Hjørnebrakett innvendig</t>
  </si>
  <si>
    <t>Kutni element, unutarnji</t>
  </si>
  <si>
    <t>Einfacher Querfalz</t>
  </si>
  <si>
    <t>simple transverse seam</t>
  </si>
  <si>
    <t>Agrafure transversale simple</t>
  </si>
  <si>
    <t>Jednoduchá příčná drážka</t>
  </si>
  <si>
    <t>Łączenie na pojedynczą zakładkę</t>
  </si>
  <si>
    <t>Egyszerű keresztkorc</t>
  </si>
  <si>
    <t>jednoduchá priečna drážka</t>
  </si>
  <si>
    <t>Enkele kruisnaad</t>
  </si>
  <si>
    <t>Enostavni prečni zgib</t>
  </si>
  <si>
    <t>enkel korsfals</t>
  </si>
  <si>
    <t>Enkelt tværfals</t>
  </si>
  <si>
    <t>Enkel tverrfals</t>
  </si>
  <si>
    <t>Jednostavan križni falc</t>
  </si>
  <si>
    <t>einfalzen</t>
  </si>
  <si>
    <t>fold in</t>
  </si>
  <si>
    <t>agrafer</t>
  </si>
  <si>
    <t>aggraffare</t>
  </si>
  <si>
    <t>zadrážkovat</t>
  </si>
  <si>
    <t>zakładanie</t>
  </si>
  <si>
    <t>befalcolás</t>
  </si>
  <si>
    <t>napojiť drážkovaním</t>
  </si>
  <si>
    <t>naar binnen vouwen</t>
  </si>
  <si>
    <t>zgibanje</t>
  </si>
  <si>
    <t>infällning</t>
  </si>
  <si>
    <t>indfalsning</t>
  </si>
  <si>
    <t>Innfalsing</t>
  </si>
  <si>
    <t>pregibanje</t>
  </si>
  <si>
    <t>Einfassung für Roto (stucco)</t>
  </si>
  <si>
    <t>flashing for Roto roof windows; stucco</t>
  </si>
  <si>
    <t>raccordement pour fenêtres Roto (stucco)</t>
  </si>
  <si>
    <t>Conversa per lucernari Roto, goffrata</t>
  </si>
  <si>
    <t>Lemování pro střešní okna Roto stucco</t>
  </si>
  <si>
    <t>kołnierz do okien dachowych Roto; stucco</t>
  </si>
  <si>
    <t>burkolókeret Roto tetősíkablakhoz, stukkó</t>
  </si>
  <si>
    <t>omlijsting voor Roto-ramen voor platte daken stucco</t>
  </si>
  <si>
    <t>obroba za Roto strešna okna stucco</t>
  </si>
  <si>
    <t>infattning för Roto-takfönster stuckatur</t>
  </si>
  <si>
    <t>indfatning til Roto-tagfladevindue stucco</t>
  </si>
  <si>
    <t>omramming for Roto-takvindu stucco</t>
  </si>
  <si>
    <t>Opšav za Roto (stucco)</t>
  </si>
  <si>
    <t>Einfassung für Roto-Dachflächenfenster (stucco)</t>
  </si>
  <si>
    <t>raccordement pour fenêtres de toit Roto (stucco)</t>
  </si>
  <si>
    <t>Einfassung für Roto-Dachflächenfenster stucco_SW</t>
  </si>
  <si>
    <t>omkadering voor ROTO-dakvensters stucco</t>
  </si>
  <si>
    <t>Indfalsning til Roto-tagvindue (stucco)</t>
  </si>
  <si>
    <t>Ramme for Roto-takvinduer (stucco)</t>
  </si>
  <si>
    <t>Opšav za Roto ležeće krovne prozore (stucco)</t>
  </si>
  <si>
    <t>Einfassung für Roto-Q-Serie (stucco)</t>
  </si>
  <si>
    <t>flashings for Roto Q Series</t>
  </si>
  <si>
    <t>raccordement pour fenêtres Roto Q (stucco)</t>
  </si>
  <si>
    <t>Conversa goffrata per Roto Serie Q</t>
  </si>
  <si>
    <t>Lemování pro střešní okna Roto-Q-Serie (stucco)</t>
  </si>
  <si>
    <t>Kołnierz do serii Roto-Q (stucco)</t>
  </si>
  <si>
    <t>Burkoló keret Roto-Q-sorozathoz (stukkó)</t>
  </si>
  <si>
    <t>lemovanie pre sériu Roto-Q (stucco)</t>
  </si>
  <si>
    <t>Rand voor Roto-Q serie (stucwerk)</t>
  </si>
  <si>
    <t>Okvir za serijo Roto-Q (štukatura)</t>
  </si>
  <si>
    <t>ram för Roto-Q-serien (stuckatur)</t>
  </si>
  <si>
    <t>Indfalsning til Roto-Q-serie (stucco)</t>
  </si>
  <si>
    <t>Ramme for Roto Q-serien (stucco)</t>
  </si>
  <si>
    <t>Opšav za Roto-Q seriju (stucco)</t>
  </si>
  <si>
    <t>Einfassung für Velux (stucco)</t>
  </si>
  <si>
    <t>flashing for Velux roof windows; stucco</t>
  </si>
  <si>
    <t>raccordement pour fenêtres Velux (stucco)</t>
  </si>
  <si>
    <t>Conversa per lucernari Velux, goffrata</t>
  </si>
  <si>
    <t>Lemování pro střešní okna Veluxr stucco</t>
  </si>
  <si>
    <t>kołnierz do okien dachowych Velux; stucco</t>
  </si>
  <si>
    <t>burkolókeret Velux tetősíkablakhoz, stukkó</t>
  </si>
  <si>
    <t>omlijsting voor Velux-ramen voor platte daken stucco</t>
  </si>
  <si>
    <t>obrobe za velux strešna okna stucco</t>
  </si>
  <si>
    <t>infattning för Velux-takfönster stuckatur</t>
  </si>
  <si>
    <t>indfatning til Velux-tagfladevindue stucco</t>
  </si>
  <si>
    <t>omramming for Velux-takvindu stucco</t>
  </si>
  <si>
    <t>Opšav za Velux (stucco)</t>
  </si>
  <si>
    <t>Einfassung für Velux-Dachflächenfenster (stucco)</t>
  </si>
  <si>
    <t>raccordement pour fenêtres de toit Velux (stucco)</t>
  </si>
  <si>
    <t>Einfassung für Velux-Dachflächenfenster stucco_SW</t>
  </si>
  <si>
    <t>omkadering voor VELUX-dakvensters stucco</t>
  </si>
  <si>
    <t>Indfalsning til Velux-tagvindue (stucco)</t>
  </si>
  <si>
    <t>Ramme for Velux-takvinduer (stucco)</t>
  </si>
  <si>
    <t>Opšav za Velux ležeće krovne prozore (stucco)</t>
  </si>
  <si>
    <t>Einfassungsplatte für Dachplatte R.16 und FX.12; glatt; ⌀ 80–125 mm</t>
  </si>
  <si>
    <t>flashing plate for R.16 roof tile and FX.12, smooth, ⌀ 80–125 mm</t>
  </si>
  <si>
    <t>raccordement de ventilation pour R.16 et FX.12 ; lisse ; ⌀ 80-125 mm</t>
  </si>
  <si>
    <t>Conversa per Tegola R.16 e FX.12, liscia, Ø 80 - 125 mm</t>
  </si>
  <si>
    <t>Prostup pro panely R.16 a FX.12, hladký, Ø 80 - 125 mm</t>
  </si>
  <si>
    <t>Element wentylacyjny dla Dachówka R.16 i FX.12, gładki, ⌀ 80–125 mm</t>
  </si>
  <si>
    <t>kivezető elem R.16 tetőfedő elemhez és FX.12 panelhez, sima, Ø 80 - 125 mm</t>
  </si>
  <si>
    <t>inwerkplaat voor dakplaat R.16 en FX.12, glad, ⌀ 80 – 125 mm</t>
  </si>
  <si>
    <t>prehodna plošča za strešno ploščo R.16 in FX.12, gladka, Ø 80-125 mm</t>
  </si>
  <si>
    <t>infattningsplatta för takplatta R.16 och FX.12, slät, ⌀ 80-125 mm</t>
  </si>
  <si>
    <t>indfatningsplade til tagplade R.16 og FX.12, glat, ⌀ 80–125 mm</t>
  </si>
  <si>
    <t>innfatningsplate for takplate R.16 og FX.12, glatt, ⌀ 80–125 mm</t>
  </si>
  <si>
    <t>Podložna ploča za krovnu ploču R.16 i FX.12; glatka, ⌀ 80-125 mm</t>
  </si>
  <si>
    <t>Einfassungsplatte für Dachplatte; glatt; ⌀ 80–125 mm</t>
  </si>
  <si>
    <t>flashing plate for roof tile, smooth, Ø 80–125 mm</t>
  </si>
  <si>
    <t>raccordement de ventilation pour tuiles ; lisse ; ⌀ 80-125 mm</t>
  </si>
  <si>
    <t>PREFAConversa di ventilazione per Tegole, liscia, per tubi Ø 80 - 125 mm</t>
  </si>
  <si>
    <t>Prostup pro falcované tašky hladký, Ø 80 - 125 mm</t>
  </si>
  <si>
    <t>element wentylacyjny dla dachówek klasycznych, gładki, Ø 80–125 mm</t>
  </si>
  <si>
    <t>kivezető elem Classic elemhez, sima, Ø 80 - 125 mm</t>
  </si>
  <si>
    <t>inwerkplaat voor dakplaat, glad, Ø 80 - 125 mm</t>
  </si>
  <si>
    <t>prehodna plošča za strešne plošče, gladka, premer 80 - 125 mm</t>
  </si>
  <si>
    <t>infattningsplatta för takplatta, slät, Ø 80-125 mm</t>
  </si>
  <si>
    <t>indfatningsplade til tagplade, glat, Ø 80 - 125 mm</t>
  </si>
  <si>
    <t>innfatningsplate for takplate, glatt, Ø 80 - 125 mm</t>
  </si>
  <si>
    <t>Podložna ploča za krovnu ploču; glatka, ⌀ 80-125 mm</t>
  </si>
  <si>
    <t>Einfassungsplatte für Dachraute 29 × 29; glatt; ⌀ 80–125 mm</t>
  </si>
  <si>
    <t>flashing plate for rhomboid roof tile 29 × 29, smooth, ⌀ 80–125 mm</t>
  </si>
  <si>
    <t>raccordement de ventilation pour losanges de toiture 29 × 29 ; lisse ; ⌀ 80-125 mm</t>
  </si>
  <si>
    <t>Conversa per Scaglia 29, liscia, Ø 80 - 125 mm</t>
  </si>
  <si>
    <t>Prostup pro Falcovanou šablonu 29x29, hladký, Ø 80 - 125 mm</t>
  </si>
  <si>
    <t>Element wentylacyjny dla Dachówka romb 29 × 29, gładki, ⌀ 80–125 mm</t>
  </si>
  <si>
    <t>kivezető elem 29x29 tetőfedő rombuszhoz, sima, Ø 80 - 125 mm</t>
  </si>
  <si>
    <t>prestupový prvok pre strešnú šablónu 29x29, hladký, Ø 80 - 125 mm</t>
  </si>
  <si>
    <t>inwerkplaat voor daklosange 29 × 29, glad, ⌀ 80 – 125 mm</t>
  </si>
  <si>
    <t>prehodna plošča za strešni romb 29x29, gladka, Ø80 - 125 mm</t>
  </si>
  <si>
    <t>infattningsplatta för takromb 29 × 29, slät, ⌀ 80-125 mm</t>
  </si>
  <si>
    <t>indfatningsplade til rudeformet tagplade 29 × 29, glat, ⌀ 80–125 mm</t>
  </si>
  <si>
    <t>innfatningsplate for takstein 29 × 29, glatt, ⌀ 80–125 mm</t>
  </si>
  <si>
    <t>Podložna ploča za krovni romb 29 × 29; glatka; ⌀ 80–125 mm</t>
  </si>
  <si>
    <t>Einfassungsplatte für Dachraute 44 × 44; glatt; ⌀ 80–125 mm</t>
  </si>
  <si>
    <t>flashing plate for rhomboid roof tile 44 × 44, smooth, ⌀ 80–125 mm</t>
  </si>
  <si>
    <t>raccordement de ventilation pour losanges de toiture 44 × 44 ; lisse ; ⌀ 80-125 mm</t>
  </si>
  <si>
    <t>Conversa per Scaglia 44, liscia, Ø 80 - 125 mm</t>
  </si>
  <si>
    <t>Prostup pro Falcovanou šablonu 44x44, hladký Ø 80 - 125 mm</t>
  </si>
  <si>
    <t>Element wentylacyjny dla Dachówka romb 44 × 44, gładki, ⌀ 80–125 mm</t>
  </si>
  <si>
    <t>kivezető elem 44x44 tetőfedő rombuszhoz, sima, Ø 80 - 125 mm</t>
  </si>
  <si>
    <t>prestupový prvok pre strešnú šablónu 44x44, hladký, Ø 80 - 125 mm</t>
  </si>
  <si>
    <t>inwerkplaat voor daklosange 44 × 44, glad, ⌀ 80 – 125 mm</t>
  </si>
  <si>
    <t>prehodna plošča za strešni romb 44x44, gladka, Ø80-125</t>
  </si>
  <si>
    <t>infattningsplatta för takromb 44 × 44, slät, ⌀ 80-125 mm</t>
  </si>
  <si>
    <t>indfatningsplade til rudeformet tagplade 44 × 44, glat, ⌀ 80–125 mm</t>
  </si>
  <si>
    <t>innfatningsplate for takstein 44 × 44, glatt, ⌀ 80–125 mm</t>
  </si>
  <si>
    <t>Podložna ploča za krovni romb 44 × 44; glatka; ⌀ 80–125 mm</t>
  </si>
  <si>
    <t>Einfassungsplatte für Dachschindel</t>
  </si>
  <si>
    <t>flashing plate for shingle</t>
  </si>
  <si>
    <t>raccordement de ventilation pour bardeaux</t>
  </si>
  <si>
    <t>Conversa per Scandola, liscia, Ø 80 - 125 mm</t>
  </si>
  <si>
    <t>Prostup pro falcovaný šindel</t>
  </si>
  <si>
    <t>Element wentylacyjny dla Dachówka łupkowa</t>
  </si>
  <si>
    <t>kivezető elem tetőfedő zsindelyhez</t>
  </si>
  <si>
    <t>prestupový prvok pre strešný šindeľ</t>
  </si>
  <si>
    <t>inwerkplaat voor dakschindel</t>
  </si>
  <si>
    <t xml:space="preserve">prehodna plošča za strešno skodlo </t>
  </si>
  <si>
    <t>infattningsplatta för takshingel</t>
  </si>
  <si>
    <t>indfatningsplade til tagspån</t>
  </si>
  <si>
    <t>innfatningsplate for takshingel</t>
  </si>
  <si>
    <t>Podložna ploča za krovnu šindru</t>
  </si>
  <si>
    <t>eingesetztes Siding mechanisch befestigen</t>
  </si>
  <si>
    <t>fasten the new siding mechanically</t>
  </si>
  <si>
    <t>fixer mécaniquement le Siding mis en place</t>
  </si>
  <si>
    <t>Fissare meccanicamente la Doga inserita</t>
  </si>
  <si>
    <t>Mechanicky upevnit vložený Siding</t>
  </si>
  <si>
    <t>mechaniczne mocowanie założonego sidingu</t>
  </si>
  <si>
    <t>behelyezett Siding mechanikus rögzítése</t>
  </si>
  <si>
    <t>vložený Siding mechanicky upevniť</t>
  </si>
  <si>
    <t>Mechanische bevestiging van de ingevoegde siding</t>
  </si>
  <si>
    <t>mehanska pritrditev uporabljene obloge Siding</t>
  </si>
  <si>
    <t>mekanisk infästning av siding</t>
  </si>
  <si>
    <t>mekanisk fastgørelse af indsat siding</t>
  </si>
  <si>
    <t>Innfelt, mekanisk festet Siding</t>
  </si>
  <si>
    <t>mehanički pričvrstiti korištenu fasadnu kazetu</t>
  </si>
  <si>
    <t>Einhängstreifen / Traufstreifen</t>
  </si>
  <si>
    <t>mounting strip / edge cleat strip</t>
  </si>
  <si>
    <t>bande d’accrochage / bande de départ</t>
  </si>
  <si>
    <t>Strisce sospese/Strisce di gronda</t>
  </si>
  <si>
    <t>zatahovací pás</t>
  </si>
  <si>
    <t>Listwy wiszące / listwy okapowe</t>
  </si>
  <si>
    <t>Függőszegély / ereszszegély</t>
  </si>
  <si>
    <t>Hangstrips / dakrandstrips</t>
  </si>
  <si>
    <t>Obesni trakovi/trakovi za napušče</t>
  </si>
  <si>
    <t>hängremsor/takfotsremsor</t>
  </si>
  <si>
    <t>Ophængslister/tagrender</t>
  </si>
  <si>
    <t>Hengelister/takfotlister</t>
  </si>
  <si>
    <t>Viseća traka / traka za strehu</t>
  </si>
  <si>
    <t>Einheit</t>
  </si>
  <si>
    <t>Unit</t>
  </si>
  <si>
    <t>unité</t>
  </si>
  <si>
    <t>UDM</t>
  </si>
  <si>
    <t>Jednotka</t>
  </si>
  <si>
    <t>egység</t>
  </si>
  <si>
    <t>Eenheid</t>
  </si>
  <si>
    <t>enota</t>
  </si>
  <si>
    <t>Enhet</t>
  </si>
  <si>
    <t>Enhed</t>
  </si>
  <si>
    <t>Jedinica</t>
  </si>
  <si>
    <t>Einlaufblech</t>
  </si>
  <si>
    <t>eaves apron</t>
  </si>
  <si>
    <t>larmier d’égout</t>
  </si>
  <si>
    <t>Scossalina</t>
  </si>
  <si>
    <t>krycí plech</t>
  </si>
  <si>
    <t>Pas podrynnowy</t>
  </si>
  <si>
    <t>Cseppentő lemez</t>
  </si>
  <si>
    <t>odkvapový plech</t>
  </si>
  <si>
    <t>Inlaatplaat</t>
  </si>
  <si>
    <t>Odkap</t>
  </si>
  <si>
    <t>inloppsplåt</t>
  </si>
  <si>
    <t>Indløb</t>
  </si>
  <si>
    <t>Innløpsplate</t>
  </si>
  <si>
    <t>Uljevni lim</t>
  </si>
  <si>
    <t>Einlaufblech (230 × 2.000 × 0,7 mm)</t>
  </si>
  <si>
    <t>eaves apron strip (230 × 2,000 × 0.7 mm)</t>
  </si>
  <si>
    <t>larmier d’égout (230 × 2 000 × 0,7 mm)</t>
  </si>
  <si>
    <t>Grondalina 230 x 2.000 x 0.7 mm</t>
  </si>
  <si>
    <t>Okapový plech pod folii 230 x 2.000 x 0.7 mm</t>
  </si>
  <si>
    <t>Okap? 230 × 2.000 × 0,7 mm</t>
  </si>
  <si>
    <t>cseppentő lemez 230 x 2.000 x 0.7 mm</t>
  </si>
  <si>
    <t>inloopplaat 230 × 2000 × 0,7 mm</t>
  </si>
  <si>
    <t>odkapna pločevina 230 x 2.000 x 0,7 mm</t>
  </si>
  <si>
    <t>avrinningsplåt 230 × 2.000 × 0,7 mm</t>
  </si>
  <si>
    <t>indløbsplade 230 × 2.000 × 0,7 mm</t>
  </si>
  <si>
    <t>avrenningsplate 230 × 2000 × 0,7 mm</t>
  </si>
  <si>
    <t>Uljevni lim (230 × 2.000 × 0,7 mm)</t>
  </si>
  <si>
    <t>Einlaufblech (glatt)</t>
  </si>
  <si>
    <t>eaves apron strip</t>
  </si>
  <si>
    <t>larmier d’égout (lisse)</t>
  </si>
  <si>
    <t>Grondalina liscia</t>
  </si>
  <si>
    <t>Okapový plech hladký</t>
  </si>
  <si>
    <t>Okap ??gładki</t>
  </si>
  <si>
    <t>cseppentő lemez sima</t>
  </si>
  <si>
    <t>inloopplaat glad</t>
  </si>
  <si>
    <t>odkapna pločevina gladka 230 x 2.000 x 0,7 mm</t>
  </si>
  <si>
    <t>avrinningsplåt slät</t>
  </si>
  <si>
    <t>indløbsplade glat</t>
  </si>
  <si>
    <t>avrenningsplate glatt</t>
  </si>
  <si>
    <t>Uljevni lim (glatki)</t>
  </si>
  <si>
    <t>Einlaufblech (glatt; 230 × 2.000 × 0,7 mm)</t>
  </si>
  <si>
    <t>eaves apron, smooth (230 × 2,000 × 0.7 mm)</t>
  </si>
  <si>
    <t>larmier d’égout (lisse ; 230 × 2 000 × 0,7 mm)</t>
  </si>
  <si>
    <t>Grondalina standard liscia 230 x 2.000 x 0,7 mm</t>
  </si>
  <si>
    <t>Okapnička pod folii-hladká 230 x 2.000 x 0,7 mm</t>
  </si>
  <si>
    <t>pas podrynnowy, gładki (230 × 2,000 × 0.7 mm)</t>
  </si>
  <si>
    <t>cseppentőlemez sima 230 × 2.000 × 0,7 mm</t>
  </si>
  <si>
    <t>inloopplaat glad 230 × 2000 × 0,7 mm</t>
  </si>
  <si>
    <t>inloppsplåt slät 230 × 2.000 × 0,7 mm</t>
  </si>
  <si>
    <t>indløbsplade glat 230 × 2.000 × 0,7 mm</t>
  </si>
  <si>
    <t>avrenningsplate glatt 230 × 2000 × 0,7 mm</t>
  </si>
  <si>
    <t>Uljevni lim (glatki, 230 × 2.000 × 0,7 mm)</t>
  </si>
  <si>
    <t>Einlegebügel (selbst gekantet)</t>
  </si>
  <si>
    <t>insert hanger (to be canted by installer)</t>
  </si>
  <si>
    <t>étrier de fixation (plié par l’installateur)</t>
  </si>
  <si>
    <t>Staffa da inserimento (squadrata)</t>
  </si>
  <si>
    <t>mezistřešní hák (zámečnický prvek)</t>
  </si>
  <si>
    <t>Wspornik wkładany (samozaciskowy)</t>
  </si>
  <si>
    <t>Betétkonzol (hajtott)</t>
  </si>
  <si>
    <t>vkladací hák (vlastný ohyb)</t>
  </si>
  <si>
    <t>Inzetstuk beugel (zelfgeslepen)</t>
  </si>
  <si>
    <t>Vstavitveni nosilec (lastna obroba)</t>
  </si>
  <si>
    <t>Insättningsfäste (kantas själv)</t>
  </si>
  <si>
    <t>Monteringsbøjle (kantet)</t>
  </si>
  <si>
    <t>Innleggsbøyle (også kantet)</t>
  </si>
  <si>
    <t>Unutarnji nosač (mora se kantirati)</t>
  </si>
  <si>
    <t>Einschalige Dachausbildung</t>
  </si>
  <si>
    <t>single-skin roof construction</t>
  </si>
  <si>
    <t>toit simple peau</t>
  </si>
  <si>
    <t>Realizzazione copertura monostrato</t>
  </si>
  <si>
    <t>hřebenové odvětrání jednostranné</t>
  </si>
  <si>
    <t>Konstrukcja dachu jednowarstwowego</t>
  </si>
  <si>
    <t>Egyhéjú tetőszerkezet</t>
  </si>
  <si>
    <t>jednoplášťové vyhotovenie strechy</t>
  </si>
  <si>
    <t>Enkelwandige dakconstructie</t>
  </si>
  <si>
    <t>Strešna konstrukcija z enojnim opažem</t>
  </si>
  <si>
    <t>enkelskalig takkonstruktion</t>
  </si>
  <si>
    <t>En-skals tag</t>
  </si>
  <si>
    <t>Ettlags takkonstruksjon</t>
  </si>
  <si>
    <t>Jednoslojna krovna konstrukcija</t>
  </si>
  <si>
    <t>Einschaliger Aufbau – Dachgeschoß nicht ausgebaut</t>
  </si>
  <si>
    <t>single-skin structure — unconverted attic</t>
  </si>
  <si>
    <t>toit simple peau — combles non aménagés</t>
  </si>
  <si>
    <t>Struttura monostrato - Sottotetto non abitabile</t>
  </si>
  <si>
    <t>Jednoplášťová střešní skladba</t>
  </si>
  <si>
    <t>Konstrukcja jednowarstwowa – poddasze nieużytkowe</t>
  </si>
  <si>
    <t>Egyhéjú rétegrend – beépítetlen tetőtér</t>
  </si>
  <si>
    <t>jednoplášťová skladba strechy – nevyužívané podkrovie na obytné účely</t>
  </si>
  <si>
    <t>Enkelwandige montage - zolder niet uitgebouwd</t>
  </si>
  <si>
    <t>Konstrukcija z enojnim opažem – podstrešje ni razširjeno</t>
  </si>
  <si>
    <t>enkelskalig konstruktion – ej utbyggd vind</t>
  </si>
  <si>
    <t>En-skalskonstruktion - loftsrum ikke udvidet</t>
  </si>
  <si>
    <t>Ettlags oppbygging – loftsetasje er ikke ombygd</t>
  </si>
  <si>
    <t>Jednoslojna konstrukcija – potkrovlje nije preuređeno</t>
  </si>
  <si>
    <t>Einschubkeil</t>
  </si>
  <si>
    <t>insert wedge</t>
  </si>
  <si>
    <t>coyau</t>
  </si>
  <si>
    <t>Cuneo di inserimento</t>
  </si>
  <si>
    <t>Jednoplášťová střešní skladba - neobytný podstřešní prostor</t>
  </si>
  <si>
    <t>Klin wprowadzający</t>
  </si>
  <si>
    <t>Betétes ék</t>
  </si>
  <si>
    <t>Insteekspie</t>
  </si>
  <si>
    <t>Vrivni klin</t>
  </si>
  <si>
    <t>inskjutbar kil</t>
  </si>
  <si>
    <t>Skydekile</t>
  </si>
  <si>
    <t>Innskyvningskile</t>
  </si>
  <si>
    <t>Klizni klin</t>
  </si>
  <si>
    <t>Einseitige Firstentlüftung</t>
  </si>
  <si>
    <t>one-sided ridge ventilation</t>
  </si>
  <si>
    <t>ventilation de faîtière unilatérale</t>
  </si>
  <si>
    <t>Aerazione di colmo unilaterale</t>
  </si>
  <si>
    <t>Jednostronna wentylacja kalenicowa</t>
  </si>
  <si>
    <t>Egyoldali gerincszellőztetés</t>
  </si>
  <si>
    <t>jednostranné odvetrávanie hrebeňa</t>
  </si>
  <si>
    <t>Enkelzijdige nokventilatie</t>
  </si>
  <si>
    <t>Enostransko prezračevanje slemena</t>
  </si>
  <si>
    <t>enkelsidig nockventilation</t>
  </si>
  <si>
    <t>Ensidet rygningsventilation</t>
  </si>
  <si>
    <t>Ensidig møneventilasjon</t>
  </si>
  <si>
    <t>Jednostrano odzračivanje sljemena</t>
  </si>
  <si>
    <t>Einzelanschlagspunkt</t>
  </si>
  <si>
    <t>single anchor point</t>
  </si>
  <si>
    <t>point d’ancrage unique</t>
  </si>
  <si>
    <t>Punto di attacco singolo</t>
  </si>
  <si>
    <t>EAP kotvící zařízení</t>
  </si>
  <si>
    <t>Pojedynczy punkt mocowania</t>
  </si>
  <si>
    <t>Egyszeres rögzítési pont</t>
  </si>
  <si>
    <t>Enkel bevestigingspunt</t>
  </si>
  <si>
    <t>Ena sidrna točka</t>
  </si>
  <si>
    <t>enkel ankarpunkt</t>
  </si>
  <si>
    <t>Enkelt ankerpunkt</t>
  </si>
  <si>
    <t>Enkeltstående anslagspunkt</t>
  </si>
  <si>
    <t>Jedna točka sidrenja</t>
  </si>
  <si>
    <t>Einzelanschlagspunkt nach EN 795, Klasse A (bis Bahnenbreite von 650 mm)</t>
  </si>
  <si>
    <t>single anchor point according to EN 795, class A (tray length up to 650)</t>
  </si>
  <si>
    <t>point d’ancrage unique selon la norme EN 795, classe A (jusqu’à une longueur de bac de 650 mm)</t>
  </si>
  <si>
    <t>EAP anticaduta conforme EN 795 classe A (per larghezza lastre fino a 650mm)</t>
  </si>
  <si>
    <t>EAP dle EN 795 třída A (šířka pásů do 650)</t>
  </si>
  <si>
    <t>Punkt mocowań lin alpinistycznych (EAP) zgodny z normą EN 795, Klasa A (dla szerokości 650mm)</t>
  </si>
  <si>
    <t>rögzítési pont EN 795 szerint, A osztály (max. 650mm lemezsávszélesség)</t>
  </si>
  <si>
    <t>enkel aanslagpunt (EAP) conform EN 795, klasse A (tot strokenbreedte 650)</t>
  </si>
  <si>
    <t>EAP po EN 795 razred A (za širine trakov do 650 mm)</t>
  </si>
  <si>
    <t>separat anslagspunkt (SAP) enligt EN 795, klass A (upp till spårbredd 650)</t>
  </si>
  <si>
    <t>enkeltanslagspunkt (EAP) iht. EN 795, klasse A (op til banebredde 650)</t>
  </si>
  <si>
    <t>enkelt anslagspunkt (EAP) iht. EN 795, klasse A (til banebredde 650)</t>
  </si>
  <si>
    <t>Jedna točka sidrenja prema EN 795, klasa A (do širine trake od 650 mm)</t>
  </si>
  <si>
    <t>Einzeltritt</t>
  </si>
  <si>
    <t>safety tread</t>
  </si>
  <si>
    <t>marche de toit</t>
  </si>
  <si>
    <t>Gradino singolo</t>
  </si>
  <si>
    <t>nášlapný stupeň</t>
  </si>
  <si>
    <t>Stopień kominiarski</t>
  </si>
  <si>
    <t>Tetőlépcső</t>
  </si>
  <si>
    <t>stúpací schodík</t>
  </si>
  <si>
    <t>Enkele stap</t>
  </si>
  <si>
    <t>Enojna dimniška stopnica</t>
  </si>
  <si>
    <t>enkelsteg</t>
  </si>
  <si>
    <t>Enkelttrin</t>
  </si>
  <si>
    <t>Enkelttrinn</t>
  </si>
  <si>
    <t>Pojedinačna stepenica</t>
  </si>
  <si>
    <t>Einzeltritt (inkl. zwei Fußteile)</t>
  </si>
  <si>
    <t>safety tread, including two mounts</t>
  </si>
  <si>
    <t>marche de toit (fournie avec deux platines)</t>
  </si>
  <si>
    <t>Gradino singolo, incluse le due basi d'appoggio</t>
  </si>
  <si>
    <t>Nášlapný stupeň</t>
  </si>
  <si>
    <t>stopień kominiarski</t>
  </si>
  <si>
    <t>tipegő két talppal</t>
  </si>
  <si>
    <t>enkele trede incl. twee voetdelen</t>
  </si>
  <si>
    <t>enojna stopnja vklj. Z 2 podložnima elementoma</t>
  </si>
  <si>
    <t>separat fotsteg inkl. två understycken</t>
  </si>
  <si>
    <t>enkelttrin inkl. to foddele</t>
  </si>
  <si>
    <t>enkelttrinn inkl. to underdeler</t>
  </si>
  <si>
    <t>Pojedinačna stepenica (uklj. dvije stope)</t>
  </si>
  <si>
    <t>Eisfänger</t>
  </si>
  <si>
    <t>ice stopper</t>
  </si>
  <si>
    <t>crochet à glace</t>
  </si>
  <si>
    <t>Rompighiaccio</t>
  </si>
  <si>
    <t xml:space="preserve">Zachytávač ledu </t>
  </si>
  <si>
    <t xml:space="preserve"> Łamacz lodu</t>
  </si>
  <si>
    <t>jégkarom</t>
  </si>
  <si>
    <t>zachytávač ľadu</t>
  </si>
  <si>
    <t>ijsvanger</t>
  </si>
  <si>
    <t>zadrževalec ledu</t>
  </si>
  <si>
    <t>isstoppare</t>
  </si>
  <si>
    <t>isfanger</t>
  </si>
  <si>
    <t>Hvatač leda</t>
  </si>
  <si>
    <t>Eisstreifen (Einlaufblech)</t>
  </si>
  <si>
    <t>Scossalina (lamiera protettiva)</t>
  </si>
  <si>
    <t>Listwa chroniąca przed lodem (pas podrynnowy)</t>
  </si>
  <si>
    <t>Jégszegély (cseppentő lemez)</t>
  </si>
  <si>
    <t>železný pás (odkvapový plech)</t>
  </si>
  <si>
    <t>IJsstrook (inlaatplaat)</t>
  </si>
  <si>
    <t>Trak za led (odkap)</t>
  </si>
  <si>
    <t>isremsor (inmatningsplåt)</t>
  </si>
  <si>
    <t>Islister (indløb)</t>
  </si>
  <si>
    <t>Islister (innløpsplate)</t>
  </si>
  <si>
    <t>Ledena traka (uljevni lim)</t>
  </si>
  <si>
    <t>elastischer Dichtstoff</t>
  </si>
  <si>
    <t>elastic sealant</t>
  </si>
  <si>
    <t>mastic d’étanchéité élastique</t>
  </si>
  <si>
    <t>Isolante elastico</t>
  </si>
  <si>
    <t>trvale elastické těsnění</t>
  </si>
  <si>
    <t>szczeliwo elastyczne</t>
  </si>
  <si>
    <t>rugalmas tömítőanyag</t>
  </si>
  <si>
    <t>elastický tesniaci materiál</t>
  </si>
  <si>
    <t>elastisch afdichtmiddel</t>
  </si>
  <si>
    <t>elastična tesnilna masa</t>
  </si>
  <si>
    <t>elastiskt tätningsmedel</t>
  </si>
  <si>
    <t>elastisk tætningsmiddel</t>
  </si>
  <si>
    <t>Elastisk tetningsmiddel</t>
  </si>
  <si>
    <t>elastično brtvilo</t>
  </si>
  <si>
    <t>E-Mail:</t>
  </si>
  <si>
    <t>Email:</t>
  </si>
  <si>
    <t>Courriel :</t>
  </si>
  <si>
    <t>email:</t>
  </si>
  <si>
    <t>e-mail:</t>
  </si>
  <si>
    <t>E-mail:</t>
  </si>
  <si>
    <t>email</t>
  </si>
  <si>
    <t>E-post:</t>
  </si>
  <si>
    <t>E-pošta:</t>
  </si>
  <si>
    <t>Empfehlung:</t>
  </si>
  <si>
    <t>Recommendation:</t>
  </si>
  <si>
    <t>Recommandation :</t>
  </si>
  <si>
    <t>Suggerimento:</t>
  </si>
  <si>
    <t>Doporučení:</t>
  </si>
  <si>
    <t>Zalecenie:</t>
  </si>
  <si>
    <t>Javaslat:</t>
  </si>
  <si>
    <t>Odporúčanie:</t>
  </si>
  <si>
    <t>Aanbeveling:</t>
  </si>
  <si>
    <t>Priporočilo:</t>
  </si>
  <si>
    <t>Rekommendation:</t>
  </si>
  <si>
    <t>Anbefaling:</t>
  </si>
  <si>
    <t>Preporuka:</t>
  </si>
  <si>
    <t>Endabkantung:</t>
  </si>
  <si>
    <t>Edge downstand:</t>
  </si>
  <si>
    <t>Pliure de rebord :</t>
  </si>
  <si>
    <t>Testata ripiegata:</t>
  </si>
  <si>
    <t>Ohranění</t>
  </si>
  <si>
    <t>zagięcie końcowe</t>
  </si>
  <si>
    <t>végek lezárása</t>
  </si>
  <si>
    <t>Koncový ohyb</t>
  </si>
  <si>
    <t>Eindafkanting</t>
  </si>
  <si>
    <t>Zaključna obroba:</t>
  </si>
  <si>
    <t>Ändavkantning:</t>
  </si>
  <si>
    <t>Endekant:</t>
  </si>
  <si>
    <t>Endefals:</t>
  </si>
  <si>
    <t>Završno kantiranje</t>
  </si>
  <si>
    <t>Enden um 11 mm abgekantet:</t>
  </si>
  <si>
    <t>Ends canted by 11 mm:</t>
  </si>
  <si>
    <t>Rebord plié sur 11 mm :</t>
  </si>
  <si>
    <t>Testate ripiegate di 11 mm:</t>
  </si>
  <si>
    <t>Konce ohraněny 11 mm</t>
  </si>
  <si>
    <t>zakończenia podgięte 11 mm</t>
  </si>
  <si>
    <t>végek 11 mm lezárással</t>
  </si>
  <si>
    <t>Koncový ohyb 11 mm</t>
  </si>
  <si>
    <t>Einden 11 mm afgekant:</t>
  </si>
  <si>
    <t>Konci obrobljeni za 11 mm:</t>
  </si>
  <si>
    <t>Ändarna avkantade 11 mm:</t>
  </si>
  <si>
    <t>Ender kantet 11 mm:</t>
  </si>
  <si>
    <t>Ender med 11 mm fals:</t>
  </si>
  <si>
    <t>Završeci 11 mm kantirani</t>
  </si>
  <si>
    <t>Endplatte (1,48 Stk./m; 40 Stk./Karton)</t>
  </si>
  <si>
    <t>end plate (1.48 pc./m, 40 pc./box)</t>
  </si>
  <si>
    <t>demi-losange de fin (1,48 par mètre ; 40 par carton)</t>
  </si>
  <si>
    <t>Scaglia 44 finale (1,48 pz./m, 40 pz./cf.)</t>
  </si>
  <si>
    <t>Ukončovací šablona (1,48 ks./bm, 40 ks./balení)</t>
  </si>
  <si>
    <t>Dachówka końcowa(1,48 szt./mb, 40 szt./opak.)</t>
  </si>
  <si>
    <t>végelem (1,48 db./fm, 40 db./doboz)</t>
  </si>
  <si>
    <t>ukončovací prvok (1,48 ks/bm, 40 ks/kart.)</t>
  </si>
  <si>
    <t>eindplaat (1,48 stks./m1, 40 stks./doos)</t>
  </si>
  <si>
    <t>zaključna plošča (1,48 kos/tm, 40 kos/škatlo)</t>
  </si>
  <si>
    <t>ändplatta (1,48 st./lpm, 40 st./kart.)</t>
  </si>
  <si>
    <t>endeplade (1,48 stk./lbm, 40 stk./kart.)</t>
  </si>
  <si>
    <t>endeplate (1,48 stk./lm, 40 stk./kart.)</t>
  </si>
  <si>
    <t>Krajnja ploča (1,48 kom./m; 40 kom./kutija)</t>
  </si>
  <si>
    <t>Endplatte (2,2 Stk./m; 100 Stk./Karton)</t>
  </si>
  <si>
    <t>end plate (2.2 pc./m, 100 pc./box)</t>
  </si>
  <si>
    <t>demi-losange de fin (2,2 par mètre ; 100 par carton)</t>
  </si>
  <si>
    <t>Scaglia 29 finale (2,2 pz./m, 100 pz./cf.)</t>
  </si>
  <si>
    <t>Ukončovací šablona (2,2 ks./bm, 100 ks./balení)</t>
  </si>
  <si>
    <t>Dachówka końcowa(2,2 szt./mb, 100 szt./opak.)</t>
  </si>
  <si>
    <t>végelem (2,2 db./fm, 100 db./doboz)</t>
  </si>
  <si>
    <t>ukončovací prvok (2,2 ks/bm, 100 ks/kart.)</t>
  </si>
  <si>
    <t>eindplaat (2,2 stks./m1, 100 stks./doos)</t>
  </si>
  <si>
    <t>zaključna plošča (2,2 kos/tm, 100 kos/škatlo)</t>
  </si>
  <si>
    <t>ändplatta (2,2 st./lpm, 100 st./kart.)</t>
  </si>
  <si>
    <t>endeplade (2,2 stk./lbm, 100 stk./kart.)</t>
  </si>
  <si>
    <t>endeplate (2,2 stk./lm, 100 stk./kart.)</t>
  </si>
  <si>
    <t>Krajnja ploča (2,2 kom./m; 100 kom./kutija)</t>
  </si>
  <si>
    <t>Endplatte für Dachraute</t>
  </si>
  <si>
    <t>end plate for rhomboid roof tiles</t>
  </si>
  <si>
    <t>demi-losange de fin</t>
  </si>
  <si>
    <t>Dachówka końcowa dla dachówki romb</t>
  </si>
  <si>
    <t>Záró elem tetőfedő rombuszhoz</t>
  </si>
  <si>
    <t>ukončujúca šablóna pre strešnú šablónu</t>
  </si>
  <si>
    <t>Eindplaat voor daklosange</t>
  </si>
  <si>
    <t>Zaključna plošča za strešni romb</t>
  </si>
  <si>
    <t>ändplatta för takdiamant</t>
  </si>
  <si>
    <t>Endeplade til tagrombe</t>
  </si>
  <si>
    <t>Endeplate for takrombe</t>
  </si>
  <si>
    <t>Krajnja ploča za krovni romb</t>
  </si>
  <si>
    <t>Endplatte für Dachraute 29 × 29</t>
  </si>
  <si>
    <t>end plate for rhomboid roof tile 29 × 29</t>
  </si>
  <si>
    <t>demi-losange de fin 29 × 29</t>
  </si>
  <si>
    <t>ukončovací šablona 29x29</t>
  </si>
  <si>
    <t>Dachówka końcowa dla dachówki romb 29 × 29</t>
  </si>
  <si>
    <t>záró elem 29 × 29-es tetőfedő rombuszhoz</t>
  </si>
  <si>
    <t>ukončujúca šablóna pre strešnú šablónu 29 × 29</t>
  </si>
  <si>
    <t>Eindplaat voor daklosange 29 x 29</t>
  </si>
  <si>
    <t>Zaključna plošča za strešni romb 29 × 29</t>
  </si>
  <si>
    <t>ändplatta för takdiamant 29 × 29</t>
  </si>
  <si>
    <t>Endeplade til tagrombe 29 × 29</t>
  </si>
  <si>
    <t>Endeplate for takrombe 29 × 29</t>
  </si>
  <si>
    <t>Krajnja ploča za krovni romb 29 × 29</t>
  </si>
  <si>
    <t>Endplatte für Dachraute 44 × 44</t>
  </si>
  <si>
    <t>end plate for rhomboid roof tile 44 × 44</t>
  </si>
  <si>
    <t>demi-losange de fin 44 × 44</t>
  </si>
  <si>
    <t>ukončovací šablona 44x44</t>
  </si>
  <si>
    <t>Dachówka końcowa dla dachówki romb 44 × 44</t>
  </si>
  <si>
    <t>záró elem 44 × 44-es tetőfedő rombuszhoz</t>
  </si>
  <si>
    <t>ukončujúca šablóna pre strešnú šablónu 44 × 44</t>
  </si>
  <si>
    <t>Eindplaat voor daklosange 44 x 44</t>
  </si>
  <si>
    <t>Zaključna plošča za strešni romb 44 × 44</t>
  </si>
  <si>
    <t>ändplatta för takdiamant 44 × 44</t>
  </si>
  <si>
    <t>Endeplade til tagrombe 44 × 44</t>
  </si>
  <si>
    <t>Endeplate for takrombe 44 × 44</t>
  </si>
  <si>
    <t>Krajnja ploča za krovni romb 44 × 44</t>
  </si>
  <si>
    <t>Entlüftung</t>
  </si>
  <si>
    <t>ventilation</t>
  </si>
  <si>
    <t>Aerazione</t>
  </si>
  <si>
    <t>Wentylacja</t>
  </si>
  <si>
    <t>Szellőztetés</t>
  </si>
  <si>
    <t>odvetrávanie</t>
  </si>
  <si>
    <t>Ventilatie</t>
  </si>
  <si>
    <t>Odzračevanje</t>
  </si>
  <si>
    <t>Ventilation</t>
  </si>
  <si>
    <t>Ventilasjon</t>
  </si>
  <si>
    <t>Odzračivanje</t>
  </si>
  <si>
    <t>Entlüftung über Froschmaulluken (für Dachpaneel FX.12)</t>
  </si>
  <si>
    <t>ventilation for FX.12 roof panels via frog-mouth vents</t>
  </si>
  <si>
    <t>ventilation par chatières (pour panneaux de toiture FX.12)</t>
  </si>
  <si>
    <t>Aerazione tramite bocchetta di aerazione (per pannello per tetto FX.12)</t>
  </si>
  <si>
    <t>odvětrání odvětrávací haubnou u STŘEŠNÍHO PANELU FX.12</t>
  </si>
  <si>
    <t>Wentylacja przez pokrywę wywietrzników (do panelu dachowego FX.12)</t>
  </si>
  <si>
    <t>Szellőztetés szellőzőelemeken keresztül (FX.12 tetőfedő panelhez)</t>
  </si>
  <si>
    <t>odvetrávanie cez odvetrávacie tvarovky (pre strešný panel FX.12)</t>
  </si>
  <si>
    <t>Ventilatie via kikkermondluiken (voor FX.12 dakpaneel)</t>
  </si>
  <si>
    <t>Odzračevanje preko žabjih zračnikov (za strešni panel FX.12)</t>
  </si>
  <si>
    <t>Ventilation via grodluckor (för takpanel FX.12)</t>
  </si>
  <si>
    <t>Ventilation via tagudluftning (til tagpanel FX.12)</t>
  </si>
  <si>
    <t>Ventilasjon via froskemunnformet luke (til takpanel FX.12)</t>
  </si>
  <si>
    <t>Odzračivanje preko odzračnika (za krovni panel FX.12)</t>
  </si>
  <si>
    <t>Entlüftung über Froschmaulluken (für Dachplatte)</t>
  </si>
  <si>
    <t xml:space="preserve">ventilation for roof tiles via frog-mouth vents </t>
  </si>
  <si>
    <t>ventilation par chatières (pour tuiles)</t>
  </si>
  <si>
    <t>Aerazione tramite bocchetta di aerazione (per tegola)</t>
  </si>
  <si>
    <t>odvětrání odvětrávací haubnou u FALCOVANÉ TAŠKY</t>
  </si>
  <si>
    <t>Wentylacja przez pokrywę wywietrzników (do dachówki klasycznej)</t>
  </si>
  <si>
    <t>Szellőztetés szellőzőelemeken keresztül (Classic elemhez)</t>
  </si>
  <si>
    <t>odvetrávanie cez odvetrávacie tvarovky (pre falcovanú škridlu)</t>
  </si>
  <si>
    <t>Ventilatie via kikkermondluiken (voor dakplaat)</t>
  </si>
  <si>
    <t>Odzračevanje preko žabjih zračnikov (za strešno ploščo)</t>
  </si>
  <si>
    <t>Ventilation via grodluckor (för takpanel)</t>
  </si>
  <si>
    <t>Ventilation via tagudluftning (til tagplade)</t>
  </si>
  <si>
    <t>Ventilasjon via froskemunnformet luke (til takplate)</t>
  </si>
  <si>
    <t>Odzračivanje preko odzračnika (za krovnu ploču)</t>
  </si>
  <si>
    <t>Entlüftung über Froschmaulluken (für Dachraute 29 × 29)</t>
  </si>
  <si>
    <t>ventilation for rhomboid roof tiles 29 × 29 via frog-mouth vents</t>
  </si>
  <si>
    <t>ventilation par chatières (pour losanges de toiture 29 × 29)</t>
  </si>
  <si>
    <t>Aerazione tramite bocchetta di aerazione (per scaglia 29 x 29)</t>
  </si>
  <si>
    <t>odvětrání odvětrávací haubnou u FALCOVANÉ ŠABLONY 29x29</t>
  </si>
  <si>
    <t>Wentylacja przez pokrywę wywietrzników (dachówki romb 29 × 29)</t>
  </si>
  <si>
    <t>Szellőztetés szellőzőelemeken keresztül (29 × 29-es tetőfedő rombuszhoz)</t>
  </si>
  <si>
    <t>odvetrávanie cez odvetrávacie tvarovky (pre strešnú šablónu 29 × 29)</t>
  </si>
  <si>
    <t>Ventilatie via kikkermondluiken (voor daklosange 29 x 29)</t>
  </si>
  <si>
    <t>Odzračevanje preko žabjih zračnikov (za strešni romb 29 × 29)</t>
  </si>
  <si>
    <t>Ventilation via grodluckor (för takdiamant 29 × 29)</t>
  </si>
  <si>
    <t>Ventilation via tagudluftning (til tagrombe 29 x 29)</t>
  </si>
  <si>
    <t>Ventilasjon via froskemunnformet luke (til takrombe 29 × 29)</t>
  </si>
  <si>
    <t>Odzračivanje preko odzračnika (za krovni romb 29 × 29))</t>
  </si>
  <si>
    <t>Entlüftung über Froschmaulluken (für Dachraute 44 × 44)</t>
  </si>
  <si>
    <t>ventilation for rhomboid roof tiles 44 × 44 via frog-mouth vents</t>
  </si>
  <si>
    <t>ventilation par chatières (pour losanges de toiture 44 × 44)</t>
  </si>
  <si>
    <t>Aerazione tramite bocchetta di aerazione (per scaglia 44 x 44)</t>
  </si>
  <si>
    <t>odvětrání odvětrávací haubnou u STŘEŠNÍ ŠABLONY 44x44</t>
  </si>
  <si>
    <t>Wentylacja przez pokrywę wywietrzników (do dachówki romb 44 × 44)</t>
  </si>
  <si>
    <t>Szellőztetés szellőzőelemeken keresztül (44 × 44-es tetőfedő rombuszhoz)</t>
  </si>
  <si>
    <t>odvetrávanie cez odvetrávacie tvarovky (pre strešnú šablónu 44 × 44)</t>
  </si>
  <si>
    <t>Ventilatie via kikkermondluiken (voor daklosange 44 x 44)</t>
  </si>
  <si>
    <t>Odzračevanje preko žabjih zračnikov (za strešni romb 44 × 44)</t>
  </si>
  <si>
    <t>Ventilation via grodluckor (för takdiamant 44 × 44)</t>
  </si>
  <si>
    <t>Ventilation via tagudluftning (til tagrombe 44 x 44)</t>
  </si>
  <si>
    <t>Ventilasjon via froskemunnformet luke (til takrombe 44 × 44)</t>
  </si>
  <si>
    <t>Odzračivanje preko odzračnika (za krovni romb 44 × 44))</t>
  </si>
  <si>
    <t>Entlüftung über Froschmaulluken (für Dachschindel)</t>
  </si>
  <si>
    <t xml:space="preserve">ventilation for shingles via frog-mouth vents </t>
  </si>
  <si>
    <t>ventilation par chatières (pour bardeaux)</t>
  </si>
  <si>
    <t>Aerazione tramite bocchetta di aerazione (per scandola)</t>
  </si>
  <si>
    <t>odvětrání odvětrávací haubnou u FALCOVANÉHO ŠINDELU</t>
  </si>
  <si>
    <t>Wentylacja przez pokrywę wywietrzników (do dachówki łupkowej)</t>
  </si>
  <si>
    <t>Szellőztetés szellőzőelemeken keresztül (tetőfedő zsindelyhez)</t>
  </si>
  <si>
    <t>odvetrávanie cez odvetrávacie tvarovky (pre strešný šindeľ)</t>
  </si>
  <si>
    <t>Ventilatie via kikkermondluiken (voor daklei)</t>
  </si>
  <si>
    <t>Odzračevanje preko žabjih zračnikov (za strešno skodlo)</t>
  </si>
  <si>
    <t>Ventilation via grodluckor (för takshingel)</t>
  </si>
  <si>
    <t>Ventilation via tagudluftning (til tagspån)</t>
  </si>
  <si>
    <t>Ventilasjon via froskemunnformet luke (til takshingel)</t>
  </si>
  <si>
    <t>Odzračivanje preko odzračnika (za krovnu šindru)</t>
  </si>
  <si>
    <t>Entlüftungshaube (⌀ 100; glatt)</t>
  </si>
  <si>
    <t>ventilation cap (Ø 100), smooth</t>
  </si>
  <si>
    <t>raccordement d’aération (⌀ 100 ; lisse)</t>
  </si>
  <si>
    <t>Calotta di aerazione Ø 100, liscia</t>
  </si>
  <si>
    <t>Kolmý prostup Ø 100, hladká</t>
  </si>
  <si>
    <t>Pokrywa wywietrzników (Ø 100), gładka</t>
  </si>
  <si>
    <t xml:space="preserve">szellőzőcső derékszögű átvezetéssel Ø 100, sima </t>
  </si>
  <si>
    <t>kolmý prestup Ø 100, hladký</t>
  </si>
  <si>
    <t>ventilatiekap Ø 100, glad</t>
  </si>
  <si>
    <t>prezračevalna kapa Ø  100, gladka</t>
  </si>
  <si>
    <t>ventilationskåpa Ø 100, slät</t>
  </si>
  <si>
    <t>udluftningshætte Ø 100, glat</t>
  </si>
  <si>
    <t>ventilasjonshette Ø 100, glatt</t>
  </si>
  <si>
    <t>Odzračna kapa (⌀ 100; glatko)</t>
  </si>
  <si>
    <t>Entlüftungsrohr (⌀ 100)</t>
  </si>
  <si>
    <t>vent pipe (⌀ 100)</t>
  </si>
  <si>
    <t>tuyau de ventilation (⌀ 100)</t>
  </si>
  <si>
    <t>Torretta aerazione Ø 100</t>
  </si>
  <si>
    <t>Nástavec odvětrání Ø 100</t>
  </si>
  <si>
    <t>Rura wentylacyjna ⌀ 100</t>
  </si>
  <si>
    <t>szellőzőcső Ø 100</t>
  </si>
  <si>
    <t>odvetrávacia rúra Ø 100</t>
  </si>
  <si>
    <t>ventilatiebuis ⌀ 100</t>
  </si>
  <si>
    <t>prezračevalna cev Ø100</t>
  </si>
  <si>
    <t>ventilationsrör ⌀ 100</t>
  </si>
  <si>
    <t>udluftningsrør ⌀ 100</t>
  </si>
  <si>
    <t>ventilasjonsrør ⌀ 100</t>
  </si>
  <si>
    <t>Odzračna cijev (⌀ 100)</t>
  </si>
  <si>
    <t>Entlüftungsrohr (⌀ 100; passend für HT-Rohr [NW 110])</t>
  </si>
  <si>
    <t>vent pipe (Ø 100), suitable for high-temperature pipe (nominal size 110)</t>
  </si>
  <si>
    <t>tuyau de ventilation (⌀ 100 ; compatible pour tuyaux HT [DN 110])</t>
  </si>
  <si>
    <t>Tubo torretta aerazione Ø 100, adatto a tubo HT DN 110</t>
  </si>
  <si>
    <t>Nástavec odvětránír Ø 100, vhodné pro HT-rouru velikosti 110</t>
  </si>
  <si>
    <t>rura wentylacyjna (Ø 100), przystosowana do rur o wysokie temperaturze (dla rur DN 110)</t>
  </si>
  <si>
    <t>szellőzőcső Ø 100, 110 PVC csőhöz</t>
  </si>
  <si>
    <t>odvetrávacia rúra Ø 100, vhodná pre PVC rúru veľkosti 110</t>
  </si>
  <si>
    <t>ventilatiebuis Ø 100, geschikt voor HT-buis NW 110</t>
  </si>
  <si>
    <t>prezračevalna cev Ø  100, ustrezna za cev HT-NW 110</t>
  </si>
  <si>
    <t>ventilationsrör ⌀ 100, lämpligt för HT-rör NV 110</t>
  </si>
  <si>
    <t>udluftningsrør ⌀ 100, passer til HT-rør NW 110</t>
  </si>
  <si>
    <t>ventilasjonsrør ⌀ 100, passer til HT-rør NW 110</t>
  </si>
  <si>
    <t>Odzračna cijev (⌀ 100; prikladno za HT cijev [NW 110])</t>
  </si>
  <si>
    <t>Entlüftungsrohr (⌀ 120)</t>
  </si>
  <si>
    <t>vent pipe (⌀ 120)</t>
  </si>
  <si>
    <t>tuyau de ventilation (⌀ 120)</t>
  </si>
  <si>
    <t>Torretta aerazione Ø 120</t>
  </si>
  <si>
    <t>Nástavec odvětrání Ø 120</t>
  </si>
  <si>
    <t>Rura wentylacyjna ⌀ 120</t>
  </si>
  <si>
    <t>szellőzőcső Ø 120</t>
  </si>
  <si>
    <t>odvetrávacia rúra Ø 120</t>
  </si>
  <si>
    <t>ventilatiebuis ⌀ 120</t>
  </si>
  <si>
    <t>prezračevalna cev Ø120</t>
  </si>
  <si>
    <t>ventilationsrör ⌀ 120</t>
  </si>
  <si>
    <t>udluftningsrør ⌀ 120</t>
  </si>
  <si>
    <t>ventilasjonsrør ⌀ 120</t>
  </si>
  <si>
    <t>Odzračna cijev (⌀ 120)</t>
  </si>
  <si>
    <t>Entlüftungsrohr (⌀ 120; passend für HT-Rohr [NW 125])</t>
  </si>
  <si>
    <t>vent pipe (Ø 120), suitable for high-temperature pipe (nominal size 125)</t>
  </si>
  <si>
    <t>tuyau de ventilation (⌀ 120; compatible pour tuyaux HT [DN 125])</t>
  </si>
  <si>
    <t>Tubo torretta aerazione Ø 120, adatto a tubo HT DN 125</t>
  </si>
  <si>
    <t xml:space="preserve"> Nástavec odvětránír Ø 120, vhodné pro HT-rouru velikosti 125</t>
  </si>
  <si>
    <t>rura wentylacyjna (Ø 120), przystosowana do rur o wysokie temperaturze (dla rur DN 125)</t>
  </si>
  <si>
    <t>szellőzőcső Ø 120, 125 PVC csőhöz</t>
  </si>
  <si>
    <t>odvetrávacia rúra Ø 120, vhodná pre PVC rúru veľkosti 125</t>
  </si>
  <si>
    <t>ventilatiebuis Ø 120, geschikt voor HT-buis NW 125</t>
  </si>
  <si>
    <t>prezračevalna cev Ø  120, ustrezna za cev HT-NW 125</t>
  </si>
  <si>
    <t>ventilationsrör ⌀ 120, lämpligt för HT-rör NV 125</t>
  </si>
  <si>
    <t>udluftningsrør ⌀ 120, passer til HT-rør NW 125</t>
  </si>
  <si>
    <t>ventilasjonsrør ⌀ 120, passer til HT-rør NW 125</t>
  </si>
  <si>
    <t>Odzračna cijev (⌀ 120; prikladno za HT cijev [NW 125])</t>
  </si>
  <si>
    <t>EPDM-Fugenband</t>
  </si>
  <si>
    <t>EPDM joint tape</t>
  </si>
  <si>
    <t>joint EPDM</t>
  </si>
  <si>
    <t>Nastro coprifuga in EPDM</t>
  </si>
  <si>
    <t>Dilatační páska EPDM</t>
  </si>
  <si>
    <t>Taśma dylatacyjna z EPDM</t>
  </si>
  <si>
    <t>EPDM-fugaszalag</t>
  </si>
  <si>
    <t>EPDM utesňovací pás</t>
  </si>
  <si>
    <t>EPDM-voegband</t>
  </si>
  <si>
    <t>EPDM trak za fuge</t>
  </si>
  <si>
    <t>EPDM fogband</t>
  </si>
  <si>
    <t>EPDM-fugebånd</t>
  </si>
  <si>
    <t>EPDM traka za reške</t>
  </si>
  <si>
    <t>Ergänzungsband</t>
  </si>
  <si>
    <t>Flashing strip</t>
  </si>
  <si>
    <t>bande complémentaire</t>
  </si>
  <si>
    <t>nastro per lattonerie</t>
  </si>
  <si>
    <t>Doplňkový svitkový plech</t>
  </si>
  <si>
    <t>taśma uzupełniająca</t>
  </si>
  <si>
    <t>kiegészítő szalag</t>
  </si>
  <si>
    <t>Doplnkový pás</t>
  </si>
  <si>
    <t>Aanvullingsband</t>
  </si>
  <si>
    <t>Dopolnilni trak</t>
  </si>
  <si>
    <t>Extrabeslag</t>
  </si>
  <si>
    <t>Suppleringsbånd</t>
  </si>
  <si>
    <t>Traka za dopunu</t>
  </si>
  <si>
    <t>Ergänzungsband (1,0 × 1.000 mm; nur für Saumstreifen)</t>
  </si>
  <si>
    <t>flashing strip 1.0 × 1,000 mm (for edge cleat strips only)</t>
  </si>
  <si>
    <t>bande complémentaire (1,0 × 1 000 mm ; uniquement pour les bandes de départ)</t>
  </si>
  <si>
    <t>Nastro di complemento 1,0x1.000 mm (solo per scossaline)</t>
  </si>
  <si>
    <t>Doplňkový plech 1,0x1.000 mm (pouze na okapnice)</t>
  </si>
  <si>
    <t>Prefalz listwa 1.0 × 1,000 mm (do wykończeni krawędziowych)</t>
  </si>
  <si>
    <t>Kiegészítő szalag 1,0x1.000 mm (csak rögzítőszegélyhez)</t>
  </si>
  <si>
    <t>Doplnkový pás 1,0 x 1.000 mm (len pre odkvapový pás)</t>
  </si>
  <si>
    <t>Aanvullingsband 1,0 x 1000 mm (alleen voor randstroken)</t>
  </si>
  <si>
    <t>dopolnilni trak 1,0 x 1.000 mm (le za začetne trakove)</t>
  </si>
  <si>
    <t>Extrabeslag 1,0 x 1.000 mm (endast för kantremsor)</t>
  </si>
  <si>
    <t>Suppleringsbånd 1,0x1.000 mm (kun til kantstrimmel)</t>
  </si>
  <si>
    <t>Suppleringsbånd 1,0x1000 mm (kun for skjøteplate)</t>
  </si>
  <si>
    <t>Dopunska traka (1,0 × 1.000 mm; samo za početne trake)</t>
  </si>
  <si>
    <t>ERHEBUNGSBOGEN</t>
  </si>
  <si>
    <t>INFORMATION FORM</t>
  </si>
  <si>
    <t>FORMULAIRE</t>
  </si>
  <si>
    <t>ZJIŠŤOVACÍ DOTAZNÍK</t>
  </si>
  <si>
    <t>FORMULARZ ANKIETY</t>
  </si>
  <si>
    <t>FELMÉRÉSI LAP</t>
  </si>
  <si>
    <t>FORMULÁR</t>
  </si>
  <si>
    <t>ENQUÊTEFORMULIER</t>
  </si>
  <si>
    <t>Vprašalnik</t>
  </si>
  <si>
    <t>FRÅGEFORMULÄR</t>
  </si>
  <si>
    <t>SPØRGESKEMA</t>
  </si>
  <si>
    <t>SKJEMA</t>
  </si>
  <si>
    <t>UPITNIK</t>
  </si>
  <si>
    <t>Ersatzgitter für Regenklappe</t>
  </si>
  <si>
    <t>eeplacement grid for downpipe cleanout</t>
  </si>
  <si>
    <t>grille de rechange pour récupérateur d’eau</t>
  </si>
  <si>
    <t>Griglia di ricambio per deviatore con ispezione</t>
  </si>
  <si>
    <t>Náhradní mřížka pro dešťovou klapku</t>
  </si>
  <si>
    <t>Wymienna kratka do rewizji rury</t>
  </si>
  <si>
    <t>pótrács esővíz kivezető elemhez</t>
  </si>
  <si>
    <t>náhradná mriežka pre klapku na zber dažďovej vody</t>
  </si>
  <si>
    <t>Vervangingsrooster voor regenklep</t>
  </si>
  <si>
    <t>Nadomestna rešetka za dežno loputo</t>
  </si>
  <si>
    <t>ersättningsgaller för regnlucka</t>
  </si>
  <si>
    <t>Udskiftningsgitter til regnklap</t>
  </si>
  <si>
    <t>Reservegitter til regnluke</t>
  </si>
  <si>
    <t>Zamjenska rešetka za kišnu klapnu</t>
  </si>
  <si>
    <t>evtl. Dichtband</t>
  </si>
  <si>
    <t>sealing tape (if applicable)</t>
  </si>
  <si>
    <t>bande d’étanchéité (si nécessaire)</t>
  </si>
  <si>
    <t>event. těsnicí pásek</t>
  </si>
  <si>
    <t>ew. taśma uszczelniająca</t>
  </si>
  <si>
    <t>esetleg tömítőszalag</t>
  </si>
  <si>
    <t>príp. tesniaca páska</t>
  </si>
  <si>
    <t>morebitni tesnilni trak</t>
  </si>
  <si>
    <t>eventuellt tätningsband</t>
  </si>
  <si>
    <t>evt. tætningsbånd</t>
  </si>
  <si>
    <t>Ev. tetningsbånd</t>
  </si>
  <si>
    <t>možda brtvena traka</t>
  </si>
  <si>
    <t>evtl. Dichteinlage</t>
  </si>
  <si>
    <t>sealing insert (if applicable)</t>
  </si>
  <si>
    <t>joint d’étanchéité (si nécessaire)</t>
  </si>
  <si>
    <t>event. těsnící vložka</t>
  </si>
  <si>
    <t>ew. wkład uszczelniający</t>
  </si>
  <si>
    <t>esetleg tömítőbetét</t>
  </si>
  <si>
    <t>príp. tesniaca vložka</t>
  </si>
  <si>
    <t>evtl. Afdichting</t>
  </si>
  <si>
    <t>morebitni tesnilni vložek</t>
  </si>
  <si>
    <t>eventuell tätande insats</t>
  </si>
  <si>
    <t>evt. tætningsindsats</t>
  </si>
  <si>
    <t>Ev. tetningsinnlegg</t>
  </si>
  <si>
    <t>možda brtveni umetak</t>
  </si>
  <si>
    <t>evtl. Trennlage</t>
  </si>
  <si>
    <t>separating layer (if applicable)</t>
  </si>
  <si>
    <t>couche de séparation (si nécessaire)</t>
  </si>
  <si>
    <t>event. separační vrstva</t>
  </si>
  <si>
    <t>ew. warstwa rozdzielająca</t>
  </si>
  <si>
    <t>esetleg elválasztóréteg</t>
  </si>
  <si>
    <t>príp. separačná vrstva</t>
  </si>
  <si>
    <t>evtl. Scheidingslaag</t>
  </si>
  <si>
    <t>morebitna ločilna plast</t>
  </si>
  <si>
    <t>eventuellt separationsskikt</t>
  </si>
  <si>
    <t>evt. skillelag</t>
  </si>
  <si>
    <t>Ev. skillelag</t>
  </si>
  <si>
    <t>možda razdjelni sloj</t>
  </si>
  <si>
    <t>Eventual</t>
  </si>
  <si>
    <t>Optionally</t>
  </si>
  <si>
    <t>Éventuellement</t>
  </si>
  <si>
    <t>Eventuale</t>
  </si>
  <si>
    <t xml:space="preserve">Případně </t>
  </si>
  <si>
    <t>Opcjonalnie</t>
  </si>
  <si>
    <t>esetleg</t>
  </si>
  <si>
    <t>Prípadne</t>
  </si>
  <si>
    <t>Eventueel</t>
  </si>
  <si>
    <t>opcijsko</t>
  </si>
  <si>
    <t>Eventuellt</t>
  </si>
  <si>
    <t>Ekstra</t>
  </si>
  <si>
    <t>Možda</t>
  </si>
  <si>
    <t>Fallrohr</t>
  </si>
  <si>
    <t>downpipe</t>
  </si>
  <si>
    <t>Tubo di scolo</t>
  </si>
  <si>
    <t>svod</t>
  </si>
  <si>
    <t>Rura spustowa</t>
  </si>
  <si>
    <t>ejtőcső</t>
  </si>
  <si>
    <t>zvodové potrubie</t>
  </si>
  <si>
    <t>Regenpijp</t>
  </si>
  <si>
    <t>Odtočna cev</t>
  </si>
  <si>
    <t>stuprör</t>
  </si>
  <si>
    <t>Faldrør</t>
  </si>
  <si>
    <t>Fallrør</t>
  </si>
  <si>
    <t>Odvodna cijev</t>
  </si>
  <si>
    <t>Faltmanschette (Ø 100–130)</t>
  </si>
  <si>
    <t>flexible pipe collar (Ø 100–130)</t>
  </si>
  <si>
    <t>soufflet plissé (⌀ 100-130)</t>
  </si>
  <si>
    <t>Guarnizione per fori passanti Ø 100-130</t>
  </si>
  <si>
    <t>Manžeta Ø 100-130</t>
  </si>
  <si>
    <t>mankiet zginany (Ø 100–130)</t>
  </si>
  <si>
    <t>csőgallér Ø  100-130</t>
  </si>
  <si>
    <t>manžeta Ø 100-130</t>
  </si>
  <si>
    <t>vouwmof Ø 100 - 130</t>
  </si>
  <si>
    <t>tesnilna manšeta Ø100-130</t>
  </si>
  <si>
    <t>fallmanschett Ø 100-130</t>
  </si>
  <si>
    <t>foldemanchet Ø 100-130</t>
  </si>
  <si>
    <t>fleksibel rørmansjett Ø 100-130</t>
  </si>
  <si>
    <t>Preklopna manžeta (Ø 100–130)</t>
  </si>
  <si>
    <t>Falzausbildung</t>
  </si>
  <si>
    <t>seam formation</t>
  </si>
  <si>
    <t>réalisation des joints</t>
  </si>
  <si>
    <t>Raccordo dell'aggraffatura</t>
  </si>
  <si>
    <t>Provedení drážek</t>
  </si>
  <si>
    <t>Formowanie zakładek</t>
  </si>
  <si>
    <t>korckialakítás</t>
  </si>
  <si>
    <t>vytvorenie drážky</t>
  </si>
  <si>
    <t>Naadvorming</t>
  </si>
  <si>
    <t>Oblikovanje zgiba</t>
  </si>
  <si>
    <t>falsbildning</t>
  </si>
  <si>
    <t>Falsdesign</t>
  </si>
  <si>
    <t>Falsdannelse</t>
  </si>
  <si>
    <t>Konstrukcija falca</t>
  </si>
  <si>
    <t>Falzgel</t>
  </si>
  <si>
    <t>sealing gel</t>
  </si>
  <si>
    <t>gel d’étanchéité pour agrafe</t>
  </si>
  <si>
    <t>żel uszczelniający</t>
  </si>
  <si>
    <t>falczselé</t>
  </si>
  <si>
    <t>drážkový gel</t>
  </si>
  <si>
    <t>felsgel</t>
  </si>
  <si>
    <t>falzgel</t>
  </si>
  <si>
    <t>falsgel</t>
  </si>
  <si>
    <t>falsegel</t>
  </si>
  <si>
    <t>Gel za falceve</t>
  </si>
  <si>
    <t>FALZLAGE EINTRAGEN!</t>
  </si>
  <si>
    <t>ENTER SEAM POSITION!</t>
  </si>
  <si>
    <t>INDIQUEZ LA DISPOSITION DES AGRAFURES</t>
  </si>
  <si>
    <t>ZAPSAT POLOHU DRÁŽKY!</t>
  </si>
  <si>
    <t>WPROWADZIĆ POZYCJĘ ZŁOŻENIA!</t>
  </si>
  <si>
    <t>KORC MEGADÁSA!</t>
  </si>
  <si>
    <t>ZAPÍSAŤ POLOHU DRÁŽKY!</t>
  </si>
  <si>
    <t>VOER NAADPOSITIE IN!</t>
  </si>
  <si>
    <t>VNESITE POLOŽAJ ZGIBA!</t>
  </si>
  <si>
    <t>ANGE FALSENS LÄGE!</t>
  </si>
  <si>
    <t>INDTAST FALSPOSITION</t>
  </si>
  <si>
    <t>TAST INN FALSPOSSISJON!</t>
  </si>
  <si>
    <t>UNESITE POLOŽAJ FALCA!</t>
  </si>
  <si>
    <t>Farbe</t>
  </si>
  <si>
    <t>Colour</t>
  </si>
  <si>
    <t>Colore</t>
  </si>
  <si>
    <t>Barva:</t>
  </si>
  <si>
    <t>Kolor</t>
  </si>
  <si>
    <t>Szín:</t>
  </si>
  <si>
    <t>Farba</t>
  </si>
  <si>
    <t>Kleur</t>
  </si>
  <si>
    <t>barva:</t>
  </si>
  <si>
    <t>Färg</t>
  </si>
  <si>
    <t>Farve</t>
  </si>
  <si>
    <t>Farge</t>
  </si>
  <si>
    <t>Boja</t>
  </si>
  <si>
    <t>Farbe möglich</t>
  </si>
  <si>
    <t>colour combination.</t>
  </si>
  <si>
    <t>Également disponible en couleur</t>
  </si>
  <si>
    <t>Colore possibile</t>
  </si>
  <si>
    <t>v této barvě není možné</t>
  </si>
  <si>
    <t>kolor niedostępny</t>
  </si>
  <si>
    <t>szín nem lehetséges</t>
  </si>
  <si>
    <t>v tejto farbe nie je možné</t>
  </si>
  <si>
    <t>Kleur mogelijk</t>
  </si>
  <si>
    <t>Možna barva</t>
  </si>
  <si>
    <t>Färg möjlig</t>
  </si>
  <si>
    <t>Farve mulig</t>
  </si>
  <si>
    <t>Farge mulig</t>
  </si>
  <si>
    <t>Moguća boja</t>
  </si>
  <si>
    <t>Farbe:</t>
  </si>
  <si>
    <t>Colour:</t>
  </si>
  <si>
    <t>Couleur :</t>
  </si>
  <si>
    <t>Colore:</t>
  </si>
  <si>
    <t>Kolor:</t>
  </si>
  <si>
    <t>Farba:</t>
  </si>
  <si>
    <t>Kleur:</t>
  </si>
  <si>
    <t>Färg:</t>
  </si>
  <si>
    <t>Farve:</t>
  </si>
  <si>
    <t>Farge:</t>
  </si>
  <si>
    <t>Boja:</t>
  </si>
  <si>
    <t>Fassadenniete</t>
  </si>
  <si>
    <t>façade rivet</t>
  </si>
  <si>
    <t>rivet de façade</t>
  </si>
  <si>
    <t>Rivetto per facciata</t>
  </si>
  <si>
    <t>Fasádní nýt</t>
  </si>
  <si>
    <t>Nity elewacyjne</t>
  </si>
  <si>
    <t>homlokzatburkolati szegecs</t>
  </si>
  <si>
    <t>fasádne nity</t>
  </si>
  <si>
    <t>Gevelklinknagel</t>
  </si>
  <si>
    <t>Fasadna kovica</t>
  </si>
  <si>
    <t>fasadnit</t>
  </si>
  <si>
    <t>Facadenitte</t>
  </si>
  <si>
    <t>Fasadespiker</t>
  </si>
  <si>
    <t>Fasadna zakovica</t>
  </si>
  <si>
    <t>Fassadenniete/Schraube</t>
  </si>
  <si>
    <t>façade rivet / screw</t>
  </si>
  <si>
    <t>vis ou rivet de façade</t>
  </si>
  <si>
    <t>Rivetto/Vite per facciata</t>
  </si>
  <si>
    <t>Fasádní nýt/šroub</t>
  </si>
  <si>
    <t>Nity/wkręty elewacyjne</t>
  </si>
  <si>
    <t>homlokzatburkolati szegecs/csavar</t>
  </si>
  <si>
    <t>fasádne nity/skrutky</t>
  </si>
  <si>
    <t>Gevelklinknagel/schroef</t>
  </si>
  <si>
    <t>Fasadna kovica/vijak</t>
  </si>
  <si>
    <t>fasadnit/skruv</t>
  </si>
  <si>
    <t>Facadenitte/skrue</t>
  </si>
  <si>
    <t>Fasadespiker/-skruer</t>
  </si>
  <si>
    <t>Fasadna zakovica/vijak</t>
  </si>
  <si>
    <t>Fassadenpaneel FX.12</t>
  </si>
  <si>
    <t>façade panel FX.12 (PREFA)</t>
  </si>
  <si>
    <t>panneau de façade FX.12</t>
  </si>
  <si>
    <t>Pannello per facciata FX.12</t>
  </si>
  <si>
    <t>Fasádní lamela FX.12</t>
  </si>
  <si>
    <t>Panel elewacyjny FX.12</t>
  </si>
  <si>
    <t>FX.12 homlokzatburkoló panel</t>
  </si>
  <si>
    <t>fasádny panel FX.12</t>
  </si>
  <si>
    <t>Gevelpaneel FX.12</t>
  </si>
  <si>
    <t>Fasadni panel FX.12</t>
  </si>
  <si>
    <t>fasadpanel FX.12</t>
  </si>
  <si>
    <t>Facadepanel FX.12</t>
  </si>
  <si>
    <t>Fasadepanel FX.12</t>
  </si>
  <si>
    <t>Fassadenschraube</t>
  </si>
  <si>
    <t>façade screw</t>
  </si>
  <si>
    <t>vis de façade</t>
  </si>
  <si>
    <t>Vite per facciata</t>
  </si>
  <si>
    <t>Fasádní šroub</t>
  </si>
  <si>
    <t>Wkręt do elewacji</t>
  </si>
  <si>
    <t>homlokzatburkolati csavar</t>
  </si>
  <si>
    <t>fasádne skrutky</t>
  </si>
  <si>
    <t>Gevelschroef</t>
  </si>
  <si>
    <t>Fasadni vijak</t>
  </si>
  <si>
    <t>fasadskruv</t>
  </si>
  <si>
    <t>Facadeskrue</t>
  </si>
  <si>
    <t>Fasadeskruer</t>
  </si>
  <si>
    <t>FASSADENSYSTEME</t>
  </si>
  <si>
    <t>FAÇADE SYSTEMS</t>
  </si>
  <si>
    <t>FAÇADES</t>
  </si>
  <si>
    <t>SISTEMI PER FACCIATA</t>
  </si>
  <si>
    <t>fasádní systémy</t>
  </si>
  <si>
    <t>SYSTEMY FASADOWE</t>
  </si>
  <si>
    <t xml:space="preserve"> HOMLOKZATBURKOLATI RENDSZEREK</t>
  </si>
  <si>
    <t>fasádne systémy</t>
  </si>
  <si>
    <t>GEVELSYSTEMEN</t>
  </si>
  <si>
    <t>FASADNI SISTEMI</t>
  </si>
  <si>
    <t>PREFA FASADSYSTEM</t>
  </si>
  <si>
    <t>FACADESYSTEMER</t>
  </si>
  <si>
    <t>FASADESYSTEMER</t>
  </si>
  <si>
    <t>Fensterbank</t>
  </si>
  <si>
    <t>window ledge</t>
  </si>
  <si>
    <t>tablette de fenêtre</t>
  </si>
  <si>
    <t>Davanzale</t>
  </si>
  <si>
    <t>Okenní parapet</t>
  </si>
  <si>
    <t>Parapet okienny</t>
  </si>
  <si>
    <t>ablakpárkány</t>
  </si>
  <si>
    <t>Vensterbank</t>
  </si>
  <si>
    <t>Okenska polica</t>
  </si>
  <si>
    <t>fönsterbräda</t>
  </si>
  <si>
    <t>Vindueskarm</t>
  </si>
  <si>
    <t>Vinduskarm</t>
  </si>
  <si>
    <t>Daska za prozor</t>
  </si>
  <si>
    <t>Filter:</t>
  </si>
  <si>
    <t>Filtre :</t>
  </si>
  <si>
    <t>Filtro</t>
  </si>
  <si>
    <t>Filtr:</t>
  </si>
  <si>
    <t>szűrő:</t>
  </si>
  <si>
    <t>filter</t>
  </si>
  <si>
    <t>Filtar:</t>
  </si>
  <si>
    <t>Firma / Besteller:</t>
  </si>
  <si>
    <t>Company / Purchaser:</t>
  </si>
  <si>
    <t>Entreprise / Acheteur :</t>
  </si>
  <si>
    <t>Installatore / Committente:</t>
  </si>
  <si>
    <t>Firma zamawiająca:</t>
  </si>
  <si>
    <t>Cég / megrendelő:</t>
  </si>
  <si>
    <t>Firma / objednávateľ:</t>
  </si>
  <si>
    <t>Bedrijf/besteller:</t>
  </si>
  <si>
    <t>podjetje/naročnik</t>
  </si>
  <si>
    <t>Företag/beställare:</t>
  </si>
  <si>
    <t>Firma / Bestiller:</t>
  </si>
  <si>
    <t>Firma/bestiller:</t>
  </si>
  <si>
    <t>Poduzeće / Naručioc</t>
  </si>
  <si>
    <t>Firstabdeckung aus PREFALZ</t>
  </si>
  <si>
    <t>Prefalz ridge cap</t>
  </si>
  <si>
    <t>couverture de faîtière (bandes d’aluminium PREFALZ)</t>
  </si>
  <si>
    <t>Krytí hřebene PREFALZ</t>
  </si>
  <si>
    <t>Osłona kalenicy PREFALZ</t>
  </si>
  <si>
    <t>PREFALZ gerinctakaró elem</t>
  </si>
  <si>
    <t>krycí profil hrebeňa z PREFALZ-u</t>
  </si>
  <si>
    <t>Nokafdekking van PREFALZ</t>
  </si>
  <si>
    <t>Kritina za sleme iz PREFALZ</t>
  </si>
  <si>
    <t>nockbeklädnad av PREFALZ</t>
  </si>
  <si>
    <t>Rygningsafdækning fra PREFALZ</t>
  </si>
  <si>
    <t>Mønedekke av PREFALZ</t>
  </si>
  <si>
    <t>Pokrov za sljeme od PREFALZ-a</t>
  </si>
  <si>
    <t>Firstausbildung mit Gratreiter</t>
  </si>
  <si>
    <t>ridge construction — hip cap</t>
  </si>
  <si>
    <t>pose d’une faîtière avec arêtier</t>
  </si>
  <si>
    <t>Detail hřebene - malý hřebenáč</t>
  </si>
  <si>
    <t>Konstrukcja kalenicowa z gąsiorem</t>
  </si>
  <si>
    <t>Gerinckialakítás kúpelemekkel</t>
  </si>
  <si>
    <t>vytvorenie hrebeňa pomocou hrebenáča na hrebeň a nárožie</t>
  </si>
  <si>
    <t>Nokvorming met nokruiter</t>
  </si>
  <si>
    <t>Oblikovanje slemena z grebenskim slemenjakom</t>
  </si>
  <si>
    <t>nockkonstruktion med åsryttare</t>
  </si>
  <si>
    <t>Rygningsdesign med grat</t>
  </si>
  <si>
    <t>Møneoppbygging med mønestein</t>
  </si>
  <si>
    <t>Konstrukcija sljemena sa sljemenjakom</t>
  </si>
  <si>
    <t>Firstausbildung mit Jet-Lüfter</t>
  </si>
  <si>
    <t>ridge construction — ridge vent</t>
  </si>
  <si>
    <t>faîtage avec faîtière ventilée</t>
  </si>
  <si>
    <t>Detail hřebene - Jetlüfter</t>
  </si>
  <si>
    <t>Konstrukcja kalenicowa z gąsiorem wentylacyjnym</t>
  </si>
  <si>
    <t>Gerinckialakítás szellőző gerincelemekkel</t>
  </si>
  <si>
    <t>vytvorenie hrebeňa pomocou odvetrávacieho hrebenáča Jet-Lüfter</t>
  </si>
  <si>
    <t>Nokvorming met straalventilator</t>
  </si>
  <si>
    <t>Oblikovanje slemena z jet zračnikom</t>
  </si>
  <si>
    <t>nockkonstruktion med jetfläkt</t>
  </si>
  <si>
    <t>Rygningsdesign med Jet-ventilator</t>
  </si>
  <si>
    <t>Møneoppbygging med kanalventilasjon</t>
  </si>
  <si>
    <t>Konstrukcija sljemena s jet-odzračnikom</t>
  </si>
  <si>
    <t>Firstentlüftung mit Jet-Lüfter (Variante)</t>
  </si>
  <si>
    <t>ridge ventilation with ridge vent — variant</t>
  </si>
  <si>
    <t>ventilation par faîtière ventilée (variante)</t>
  </si>
  <si>
    <t>Aerazione di colmo con copricolmo ventilato (variante)</t>
  </si>
  <si>
    <t>Hřebenové odvětrání Jetlüfter - varianta</t>
  </si>
  <si>
    <t>Wentylacja kalenicowa z gąsiorem wentylacyjnym (wariant)</t>
  </si>
  <si>
    <t>Gerincszellőztetés szellőző gerincelemekkel (változat)</t>
  </si>
  <si>
    <t>odvetrávanie hrebeňa pomocou odvetrávacieho hrebenáča Jet-Lüfter (variant)</t>
  </si>
  <si>
    <t>Nokventilatie met straalventilator (varianten)</t>
  </si>
  <si>
    <t>Prezračevanje slemena z jet zračnikom (različica)</t>
  </si>
  <si>
    <t>nockventilation med jetfläkt (variant)</t>
  </si>
  <si>
    <t>Rygningsventilation med Jet-ventilator (variant)</t>
  </si>
  <si>
    <t>Møneventilasjon med kanalventilasjon (variant)</t>
  </si>
  <si>
    <t>Odzračivanje sljemena s jet-odzračnikom (varijanta)</t>
  </si>
  <si>
    <t>Firstentlüftung (Variante)</t>
  </si>
  <si>
    <t>ridge construction — variant</t>
  </si>
  <si>
    <t>ventilation de faîtière (variante)</t>
  </si>
  <si>
    <t>Aerazione di colmo (variante)</t>
  </si>
  <si>
    <t>Hřebenové odvětrání - varianta</t>
  </si>
  <si>
    <t>Wentylacja kalenicowa (wariant)</t>
  </si>
  <si>
    <t>Gerincszellőztetés (változat)</t>
  </si>
  <si>
    <t>odvetrávanie hrebeňa (variant)</t>
  </si>
  <si>
    <t>Nokventilatie (varianten)</t>
  </si>
  <si>
    <t>Prezračevanje slemena (različica)</t>
  </si>
  <si>
    <t>nockventilation (variant)</t>
  </si>
  <si>
    <t>Rygningsventilation (variant)</t>
  </si>
  <si>
    <t>Møneventilasjon (variant)</t>
  </si>
  <si>
    <t>Odzračivanje sljemena (varijanta)</t>
  </si>
  <si>
    <t>Fixierschieber</t>
  </si>
  <si>
    <t>fixing slide</t>
  </si>
  <si>
    <t>glissière de fixation</t>
  </si>
  <si>
    <t>Elemento scorrevole di fissaggio</t>
  </si>
  <si>
    <t>fixační zásuvná lišta</t>
  </si>
  <si>
    <t>Zasuwa mocująca</t>
  </si>
  <si>
    <t>Rögzítő csúszka</t>
  </si>
  <si>
    <t>fixačný posúvač</t>
  </si>
  <si>
    <t>Bevestigingsschuif</t>
  </si>
  <si>
    <t>Fiksirni drsnik</t>
  </si>
  <si>
    <t>fixeringsreglage</t>
  </si>
  <si>
    <t>Fastgørelsesbøjle</t>
  </si>
  <si>
    <t>Festeskyver</t>
  </si>
  <si>
    <t>Klizač za fiksiranje</t>
  </si>
  <si>
    <t>Fixpunkt</t>
  </si>
  <si>
    <t>fixed point</t>
  </si>
  <si>
    <t>point fixe</t>
  </si>
  <si>
    <t>Punto fisso</t>
  </si>
  <si>
    <t>Pevný bod</t>
  </si>
  <si>
    <t>Punkt stały</t>
  </si>
  <si>
    <t>Fixpont</t>
  </si>
  <si>
    <t>pevný bod</t>
  </si>
  <si>
    <t>Bevestigingspunt</t>
  </si>
  <si>
    <t>Fiksna točka</t>
  </si>
  <si>
    <t>fixpunkt</t>
  </si>
  <si>
    <t>Festepunkt</t>
  </si>
  <si>
    <t>Fixpunkthülse (⌀ 9,5 × ⌀ 5,1 mm)</t>
  </si>
  <si>
    <t>fixed point bushing ∅ 9.5 × ∅ 5.1 mm (PREFA)</t>
  </si>
  <si>
    <t>douille de point fixe (⌀ 9,5 × ⌀ 5,1 mm)</t>
  </si>
  <si>
    <t>Giunto per punto fisso (⌀ 9,5 × ⌀ 5,1 mm)</t>
  </si>
  <si>
    <t>Pouzdro pevného bodu (9,5 × ⌀ 5,1 mm)</t>
  </si>
  <si>
    <t>Tuleja z punktem stałym (⌀ 9,5 × ⌀ 5,1 mm)</t>
  </si>
  <si>
    <t>Fixponthüvely (⌀ 9,5 × ⌀ 5,1 mm)</t>
  </si>
  <si>
    <t>fixovacia objímka (⌀ 9,5 × ⌀ 5,1 mm)</t>
  </si>
  <si>
    <t>Bevestigingspunthuls (⌀ 9,5 × ⌀ 5,1 mm)</t>
  </si>
  <si>
    <t>Tulec za fiksno točko (⌀ 9,5 × ⌀ 5,1 mm)</t>
  </si>
  <si>
    <t>fast punkthylsa (⌀ 9,5 × ⌀ 5,1 mm)</t>
  </si>
  <si>
    <t>Fixpunktkappe (⌀ 9,5 × ⌀ 5,1 mm)</t>
  </si>
  <si>
    <t>Festepunkthylse (⌀ 9,5 × ⌀ 5,1 mm)</t>
  </si>
  <si>
    <t>Rukav fiksne točke (⌀ 9,5 × ⌀ 5,1 mm)</t>
  </si>
  <si>
    <t>Flachprofil (35 × 7 × 3.000 mm)</t>
  </si>
  <si>
    <t>flat profile (35 × 7 × 3,000 mm)</t>
  </si>
  <si>
    <t>profil plat (35 × 7 × 3 000 mm)</t>
  </si>
  <si>
    <t>Profilo piatto (35 x 7 x 3.000 mm)</t>
  </si>
  <si>
    <t>Ploché profily (35 x 7 x 3.000 mm)</t>
  </si>
  <si>
    <t>profil płaski (35 × 7 × 3,000 mm)</t>
  </si>
  <si>
    <t>laposprofil (35 x 7 x 3.000 mm)</t>
  </si>
  <si>
    <t>plochý profil (35 x 7 x 3.000 mm)</t>
  </si>
  <si>
    <t>vlak profiel (35 x 7 x 3000 mm)</t>
  </si>
  <si>
    <t>ploščati profil (35 x 7 x 3.000 mm)</t>
  </si>
  <si>
    <t>platt profil (35 x 7 x 3.000 mm)</t>
  </si>
  <si>
    <t>fladprofil (35 x 7 x 3.000 mm)</t>
  </si>
  <si>
    <t>flatprofil (35 x 7 x 3000 mm)</t>
  </si>
  <si>
    <t>Ravni profil (35 × 7 × 3.000 mm)</t>
  </si>
  <si>
    <t>Folie:</t>
  </si>
  <si>
    <t>Film:</t>
  </si>
  <si>
    <t>Feuille de protection :</t>
  </si>
  <si>
    <t>Pellicola di protezione:</t>
  </si>
  <si>
    <t>folia:</t>
  </si>
  <si>
    <t>fólia:</t>
  </si>
  <si>
    <t>Fólia</t>
  </si>
  <si>
    <t>Folija:</t>
  </si>
  <si>
    <t>FP = Fixpunkt</t>
  </si>
  <si>
    <t>PF = point fixe</t>
  </si>
  <si>
    <t>FP = Punto fisso</t>
  </si>
  <si>
    <t>FP = pevný bod</t>
  </si>
  <si>
    <t>FP = Punkt stały</t>
  </si>
  <si>
    <t>FP = fixpont</t>
  </si>
  <si>
    <t>BP = Bevestigingspunt</t>
  </si>
  <si>
    <t>FP = Fiksna točka</t>
  </si>
  <si>
    <t>FP = fixpunkt</t>
  </si>
  <si>
    <t>FP = festepunkt</t>
  </si>
  <si>
    <t>FP = Fiksna točka</t>
  </si>
  <si>
    <t>Fräsungen (135°)</t>
  </si>
  <si>
    <t>FP = fixed point</t>
  </si>
  <si>
    <t>rainurages (135°)</t>
  </si>
  <si>
    <t>Fresature (135°)</t>
  </si>
  <si>
    <t>Frézování (135°)</t>
  </si>
  <si>
    <t>Frezowanie (135°)</t>
  </si>
  <si>
    <t>Marások (135°)</t>
  </si>
  <si>
    <t>frézovania (135°)</t>
  </si>
  <si>
    <t>Frezen (135°)</t>
  </si>
  <si>
    <t>Frezanje (135°)</t>
  </si>
  <si>
    <t>fräsning (135°)</t>
  </si>
  <si>
    <t>Fræsninger (135°)</t>
  </si>
  <si>
    <t>Fresing (135°)</t>
  </si>
  <si>
    <t>Utori (135°)</t>
  </si>
  <si>
    <t>Froschmaulluke</t>
  </si>
  <si>
    <t>frog-mouth vent</t>
  </si>
  <si>
    <t>chatière</t>
  </si>
  <si>
    <t>Bocchetta di aerazione</t>
  </si>
  <si>
    <t>Odvětrávací haubna</t>
  </si>
  <si>
    <t>Półokrągły wywietrznik dachowy</t>
  </si>
  <si>
    <t>Szellőzőelem</t>
  </si>
  <si>
    <t>odvetrávacia tvarovka</t>
  </si>
  <si>
    <t>Kikkermondluik</t>
  </si>
  <si>
    <t>Žabja loputa</t>
  </si>
  <si>
    <t>grodlucka</t>
  </si>
  <si>
    <t>Tagudluftning</t>
  </si>
  <si>
    <t>Froskemunnformet luke</t>
  </si>
  <si>
    <t>Odzračnik</t>
  </si>
  <si>
    <t>Froschmaulluke für Dachplatte 300 × 420 mm Lüftungsquerschnitt: ca. 30 cm²</t>
  </si>
  <si>
    <t>frog-mouth vent for roof tile (300 × 420 mm)
air intake section: approx. 30 cm²</t>
  </si>
  <si>
    <t>chatière pour tuiles de 300 × 420 mm section d’aération : env. 30 cm²</t>
  </si>
  <si>
    <t>Tegola con bocchetta per aerazione 300x420 mm
Sezione di ventilazione ca. 30 cm²</t>
  </si>
  <si>
    <t>Odvětrávací prvek pro falcované tašky 300x420 mm
průřez odvětrání ca. 30 cm²</t>
  </si>
  <si>
    <t>wywietrznik dla dachówki klasycznej (300 × 420 mm)
powierzchnia wentylacji: około 30 cm²</t>
  </si>
  <si>
    <t>szellőzőelem Classic elemhez 300x420mm. Szellőző keresztmetszet kb. 30 cm²</t>
  </si>
  <si>
    <t>odvetrávacia falcovaná škridla, 300 x 420 mm
otvor odvetrávania cca 30 cm²</t>
  </si>
  <si>
    <t>verluchtingskap met kikkerbekluik voor dakplaat 300 x 420 mm
Ventilatiediameter ca. 30 cm²</t>
  </si>
  <si>
    <t>žabji zračnik za strešne plošče 300x420 mm, presek zračenja ca. 30cm2</t>
  </si>
  <si>
    <t>halvmåneformad kåpa för takplatta 300 x 420 mm ventilationstvärsnitt cirka 30 cm²</t>
  </si>
  <si>
    <t>frømundsluge til tagplade 300x420 mm
Ventilationstværsnit ca. 30 cm²</t>
  </si>
  <si>
    <t>froskemunnsformet luke for takplate 300x420 mm
ventilasjonstverrsnitt ca. 30 cm²</t>
  </si>
  <si>
    <t>Odzračnik za krovnu ploču 300 × 420 mm slobodni presjek: cca. 30 cm²</t>
  </si>
  <si>
    <t>Froschmaulluke (stucco) für Dachschindel 420 × 240 mm Lüftungsquerschnitt: ca. 30 cm²</t>
  </si>
  <si>
    <t>frog-mouth vent, stucco, for shingles (420 × 240 mm); air intake section: approx. 30 cm²</t>
  </si>
  <si>
    <t>chatière pour bardeaux (stucco) pour bardeaux de 420 × 240 mm section d’aération : env. 30 cm²</t>
  </si>
  <si>
    <t>Bocchetta aerazione goffrata per Scandola 420 x 240 mm
Sezione di ventilazione ca. 30 cm²</t>
  </si>
  <si>
    <t>Odvětrávací haubna stucco pro Falcovaný šindel 420 x 240 mm
průřez odvětrání ca. 30 cm²</t>
  </si>
  <si>
    <t>Wywietrznik dla  Dachówka łupkowa 420 x 240 mm powierzchnia wentylacji ok. 30 cm²</t>
  </si>
  <si>
    <t>pontszellőző stukkó tetőfedő zsindelyhez 420 x 240 mm
szellőző keresztmetszet kb. 30 cm2</t>
  </si>
  <si>
    <t>odvetrávací šindeľ stucco 420 x 240 mm
vetrací otvor cca 30 cm²</t>
  </si>
  <si>
    <t>verluchtingskap met kikkerbekluik stucco voor dakschindel 420 x 240 mm
Ventilatiediameter ca. 30 cm²</t>
  </si>
  <si>
    <t>žabji zračnik stucco za strešno skodlo 420 x 240 mm, presek zračenja ca. 30cm2</t>
  </si>
  <si>
    <t>halvmåneformad kåpa stuckatur för takshingel 420 x 240 mm ventilationstvärsnitt cirka 30 cm²</t>
  </si>
  <si>
    <t>frømundsluge stucco til tagspån 420 x 240 mm
ventilationstværsnit ca. 30 cm²</t>
  </si>
  <si>
    <t>froskemunnsformet luke stucco for takshingel 420 x 240 mm
ventilasjonstverrsnitt ca. 30 cm²</t>
  </si>
  <si>
    <t>Odzračnik (stucco) za krovnu ploču 420 × 240 mm slobodni presjek: cca. 30 cm²</t>
  </si>
  <si>
    <t>Froschmaullukenhaube</t>
  </si>
  <si>
    <t>frog-mouth vent cover</t>
  </si>
  <si>
    <t>chapeau de raccordement pour chatière</t>
  </si>
  <si>
    <t>odvětrávací haubna</t>
  </si>
  <si>
    <t>Osłona półokrągłego wywietrznika dachowego</t>
  </si>
  <si>
    <t>Pontszellőző sapka</t>
  </si>
  <si>
    <t>veko odvetrávacej tvarovky</t>
  </si>
  <si>
    <t>Kikkermondluikkap</t>
  </si>
  <si>
    <t>Pokrov žabje lopute</t>
  </si>
  <si>
    <t>huva för grodlucka</t>
  </si>
  <si>
    <t>Tagudluftningsdæksel</t>
  </si>
  <si>
    <t>Deksel til froskemunnformet luke</t>
  </si>
  <si>
    <t>Kapa za odzračnik</t>
  </si>
  <si>
    <t>Froschmaullukenhaube zum Aufnieten (glatt) Lüftungsquerschnitt: ca. 30 cm²</t>
  </si>
  <si>
    <t>frog-mouth vent cover, for riveting, smooth
air intake section: approx. 30 cm²</t>
  </si>
  <si>
    <t>chapeau de raccordement pour chatière ; à riveter (lisse) section d’aération : env. 30 cm²</t>
  </si>
  <si>
    <t>Bocchetta per aerazione, da rivettare, finitura liscia
Sezione di ventilazione ca. 30 cm²</t>
  </si>
  <si>
    <t>Odvětrávací haubna, hladká
průřez odvětrání cca. 30 cm²</t>
  </si>
  <si>
    <t>pokrywa wywietrzników, do nitowania, gładka
powierzchnia wentylacji: około 30 cm²</t>
  </si>
  <si>
    <t>pontszellőző sapka sima. Szellőző keresztmetszet kb. 30 cm²</t>
  </si>
  <si>
    <t>odvetrávacia tvarovka pre upevnenie nitmi, hladká
otvor odvetrávania cca 30 cm²</t>
  </si>
  <si>
    <t>verluchtingskap met kikkerbekluik voor vastnieten glad
Ventilatiediameter ca. 30 cm²</t>
  </si>
  <si>
    <t>žabji zračnik za pritrjevanje s kovicami, presek zračenja ca. 30cm2</t>
  </si>
  <si>
    <t>halvmåneformad kåpa för nitning (slät) ventilationstvärsnitt cirka 30 cm²</t>
  </si>
  <si>
    <t>frømundslugekappe til pånitning glat
Ventilationstværsnit ca. 30 cm²</t>
  </si>
  <si>
    <t>deksel til froskemunnsformet luke klinkes fast glatt
ventilasjonstverrsnitt ca. 30 cm²</t>
  </si>
  <si>
    <t>Kapa za odzračnik za zakivanje (glatka) slobodni presjek: cca. 30 cm²</t>
  </si>
  <si>
    <t>Froschmaullukenhaube zum Aufnieten Lüftungsquerschnitt: ca. 30 cm²</t>
  </si>
  <si>
    <t>frog-mouth vent cover, for riveting; air intake section: approx. 30 cm²</t>
  </si>
  <si>
    <t>chapeau de raccordement pour chatière ; à riveter section d’aération : env. 30 cm²</t>
  </si>
  <si>
    <t>Bocchetta aerazione da rivettare, sezione di ventilazione ca. 30 cm²</t>
  </si>
  <si>
    <t>Froschmaulluken-Haube zum aufnieten, Lüftungsquerschnitt ca. 30 cm²</t>
  </si>
  <si>
    <t>Pokrywa wywietrznika o pow. 30 cm²</t>
  </si>
  <si>
    <t>pontszellőző sapka, szellőző keresztmetszet kb. 30 cm2</t>
  </si>
  <si>
    <t>odvetrávacia tvarovka, upevnenie nitmi,  vetrací otvor cca 30 cm²</t>
  </si>
  <si>
    <t>verluchtingskap met kikkerbekluik voor vastnieten, ventilatiediameter ca. 30 cm²</t>
  </si>
  <si>
    <t>žabji zračnik za pritrjevanje s kovicami, presek zračevanja ca. 30 cm2</t>
  </si>
  <si>
    <t>halvmåneformad kåpa för nitning, ventilationstvärsnitt cirka 30 cm²</t>
  </si>
  <si>
    <t>frømundslugekappe til pånitning, ventilationstværsnit ca. 30 cm²</t>
  </si>
  <si>
    <t>froskemunnsformet luke klinkes fast, ventilasjonstverrsnitt ca. 30 cm²</t>
  </si>
  <si>
    <t>Kapa za odzračnik za zakivanje slobodni presjek: cca. 30 cm²</t>
  </si>
  <si>
    <t>Fuge.138</t>
  </si>
  <si>
    <t>joint.138</t>
  </si>
  <si>
    <t>fuga.138</t>
  </si>
  <si>
    <t>spára 138 mm</t>
  </si>
  <si>
    <t>Fuga.138</t>
  </si>
  <si>
    <t>škára 138 mm</t>
  </si>
  <si>
    <t>voeg.138</t>
  </si>
  <si>
    <t>Fog.138</t>
  </si>
  <si>
    <t>Fuge.200</t>
  </si>
  <si>
    <t>joint.200</t>
  </si>
  <si>
    <t>fuga.200</t>
  </si>
  <si>
    <t>spára 200 mm</t>
  </si>
  <si>
    <t>Fuga.200</t>
  </si>
  <si>
    <t>škára 200 mm</t>
  </si>
  <si>
    <t>voeg.200</t>
  </si>
  <si>
    <t>Fog.200</t>
  </si>
  <si>
    <t>Fuge.300</t>
  </si>
  <si>
    <t>joint.300</t>
  </si>
  <si>
    <t>fuga.300</t>
  </si>
  <si>
    <t>spára 300 mm</t>
  </si>
  <si>
    <t>Fuga.300</t>
  </si>
  <si>
    <t>škára 300 mm</t>
  </si>
  <si>
    <t>voeg.300</t>
  </si>
  <si>
    <t>Fog.300</t>
  </si>
  <si>
    <t>Fuge.400</t>
  </si>
  <si>
    <t>joint.400</t>
  </si>
  <si>
    <t>fuga.400</t>
  </si>
  <si>
    <t>spára 400 mm</t>
  </si>
  <si>
    <t>Fuga.400</t>
  </si>
  <si>
    <t>škára 400 mm</t>
  </si>
  <si>
    <t>voeg.400</t>
  </si>
  <si>
    <t>Fog.400</t>
  </si>
  <si>
    <t>Fuge:</t>
  </si>
  <si>
    <t>Joint:</t>
  </si>
  <si>
    <t>Fuga:</t>
  </si>
  <si>
    <t>Spára:</t>
  </si>
  <si>
    <t>Fuga</t>
  </si>
  <si>
    <t>fuga:</t>
  </si>
  <si>
    <t>Škára</t>
  </si>
  <si>
    <t>Voeg:</t>
  </si>
  <si>
    <t>Fog:</t>
  </si>
  <si>
    <t>Fugenausbildung</t>
  </si>
  <si>
    <t>joint design</t>
  </si>
  <si>
    <t>mise en œuvre d’un joint</t>
  </si>
  <si>
    <t>Raccordo di fuga</t>
  </si>
  <si>
    <t>Provedení spár</t>
  </si>
  <si>
    <t>Wykonywanie fugi</t>
  </si>
  <si>
    <t>fugaképzés</t>
  </si>
  <si>
    <t>vytvorenie škáry</t>
  </si>
  <si>
    <t>Voegvorming</t>
  </si>
  <si>
    <t>Oblikovanje fuge</t>
  </si>
  <si>
    <t>fogbildning</t>
  </si>
  <si>
    <t>Fugedesign</t>
  </si>
  <si>
    <t>Skjøteoppbygging</t>
  </si>
  <si>
    <t>Konstrukcija fuga</t>
  </si>
  <si>
    <t>Fugenhinterlegung</t>
  </si>
  <si>
    <t>joint backing strip</t>
  </si>
  <si>
    <t>profil de joint</t>
  </si>
  <si>
    <t>Profilo di giunzione</t>
  </si>
  <si>
    <t>Podložení spár</t>
  </si>
  <si>
    <t>Wypełnianie fug</t>
  </si>
  <si>
    <t>fuga takaró</t>
  </si>
  <si>
    <t>lemovací profil škáry</t>
  </si>
  <si>
    <t>Voegopvulling</t>
  </si>
  <si>
    <t>Podloga fuge</t>
  </si>
  <si>
    <t>fogstöd</t>
  </si>
  <si>
    <t>Fuge</t>
  </si>
  <si>
    <t>Skjøtestøtte</t>
  </si>
  <si>
    <t>Postavljanje fuga</t>
  </si>
  <si>
    <t>Fugenhinterlegung (horizontal)</t>
  </si>
  <si>
    <t>horizontal joint backing strip</t>
  </si>
  <si>
    <t>profil de joint (horizontal)</t>
  </si>
  <si>
    <t>Profilo di giunzione (orizzontale)</t>
  </si>
  <si>
    <t>Podložení spár (horizontální)</t>
  </si>
  <si>
    <t>Wypełnianie fug (poziomo)</t>
  </si>
  <si>
    <t>fuga takaró (vízszintes)</t>
  </si>
  <si>
    <t>lemovací profil škáry (horizontálny)</t>
  </si>
  <si>
    <t>Voegopvulling (horizontaal)</t>
  </si>
  <si>
    <t>Podloga fuge (vodoravno)</t>
  </si>
  <si>
    <t>fogstöd (horisontell)</t>
  </si>
  <si>
    <t>Fuge (horisontal)</t>
  </si>
  <si>
    <t>Skjøtestøtte (horisontal)</t>
  </si>
  <si>
    <t>Postavljanje fuga (vodoravno)</t>
  </si>
  <si>
    <t>Fugenhinterlegung (vertikal)</t>
  </si>
  <si>
    <t>vertical joint backing strip</t>
  </si>
  <si>
    <t>profil de joint (vertical)</t>
  </si>
  <si>
    <t>Profilo di giunzione (verticale)</t>
  </si>
  <si>
    <t>Podložení spár (vertikální)</t>
  </si>
  <si>
    <t>Wypełnianie fug (pionowo)</t>
  </si>
  <si>
    <t>fuga takaró (függőleges)</t>
  </si>
  <si>
    <t>lemovací profil škáry (vertikálny)</t>
  </si>
  <si>
    <t>Voegopvulling (verticaal)</t>
  </si>
  <si>
    <t>Podloga fuge (navpično)</t>
  </si>
  <si>
    <t>fogstöd (vertikalt)</t>
  </si>
  <si>
    <t>Fuge (vertikal)</t>
  </si>
  <si>
    <t>Skjøtestøtte (vertikal)</t>
  </si>
  <si>
    <t>Postavljanje fuga (okomito)</t>
  </si>
  <si>
    <t>Fugenhinterlegungsblech</t>
  </si>
  <si>
    <t>cache de profil de joint</t>
  </si>
  <si>
    <t>Lastra del profilo di giunzione</t>
  </si>
  <si>
    <t>Podkládací plech spár</t>
  </si>
  <si>
    <t>Paca do wypełniania fug</t>
  </si>
  <si>
    <t>fugatakaró lemez</t>
  </si>
  <si>
    <t>plech lemovacieho profilu škáry</t>
  </si>
  <si>
    <t>Voegopvullingsplaat</t>
  </si>
  <si>
    <t>Pločevinasta podloga fuge</t>
  </si>
  <si>
    <t>fogstödsplåt</t>
  </si>
  <si>
    <t>Fugeplade</t>
  </si>
  <si>
    <t>Skjøtestøtteplate</t>
  </si>
  <si>
    <t>Lim za postavljanje fuga</t>
  </si>
  <si>
    <t>FX.12 roof panel, short (700 × 420 mm)</t>
  </si>
  <si>
    <t>panneau de toiture FX.12 (court ; 700 × 420 mm)</t>
  </si>
  <si>
    <t>FX.12 piccolo (700 x 420 mm)</t>
  </si>
  <si>
    <t>FX.12 Střešní panel malý (700 x 420 mm)</t>
  </si>
  <si>
    <t>FX.12 Panel dachowy mały (700 × 420 mm)</t>
  </si>
  <si>
    <t>FX.12 tetőfedő panel rövid (700 x 420 mm)</t>
  </si>
  <si>
    <t>strešný panel FX.12 krátky (700 x 420 mm)</t>
  </si>
  <si>
    <t>FX.12 dakpaneel kort (700 × 420 mm)</t>
  </si>
  <si>
    <t>fx.12 strešni panel majhen (700 x 420 mm)</t>
  </si>
  <si>
    <t>FX.12 takpanel kort (700 × 420 mm)</t>
  </si>
  <si>
    <t>FX.12 tagpanel kort (700 × 420 mm)</t>
  </si>
  <si>
    <t>FX.12 takpanel kort (700 × 420 mm)</t>
  </si>
  <si>
    <t>Krovni panel FX.12 (kratak; 700 × 420 mm)</t>
  </si>
  <si>
    <t>FX.12 roof panel, long (1,400 × 420 mm)</t>
  </si>
  <si>
    <t>panneau de toiture FX.12 (long ; 1 400 × 420 mm)</t>
  </si>
  <si>
    <t>FX.12 grande (1.400 x 420 mm)</t>
  </si>
  <si>
    <t>FX.12 Střešní panel velký (1.400 x 420 mm)</t>
  </si>
  <si>
    <t>FX.12 Panel dachowy duży (1.400 × 420 mm)</t>
  </si>
  <si>
    <t>FX.12 tetőfedő panel hosszú (1.400 x 420 mm)</t>
  </si>
  <si>
    <t>strešný panel FX.12 dlhý (1.400 x 420 mm)</t>
  </si>
  <si>
    <t>FX.12 dakpaneel lang (1400 × 420 mm)</t>
  </si>
  <si>
    <t>fx.12 strešni panel večji (1.400 x 420 mm)</t>
  </si>
  <si>
    <t>FX.12 takpanel lång (1.400 × 420 mm)</t>
  </si>
  <si>
    <t>FX.12 tagpanel langt (1.400 × 420 mm)</t>
  </si>
  <si>
    <t>FX.12 takpanel langt (1400 × 420 mm)</t>
  </si>
  <si>
    <t>Krovni panel FX.12 (dug; 1.400 × 420 mm)</t>
  </si>
  <si>
    <t>Gebirgsschneefangstütze</t>
  </si>
  <si>
    <t>mountain snow-guard bracket</t>
  </si>
  <si>
    <t>support de pare-neige pour rondins</t>
  </si>
  <si>
    <t>Staffa fermaneve per legno tondo</t>
  </si>
  <si>
    <t>Držák kulatiny pro zadržování sněhu</t>
  </si>
  <si>
    <t>hak przeciwśniegowy do warunków górskich</t>
  </si>
  <si>
    <t>hófogórönk tartó</t>
  </si>
  <si>
    <t>držiak horského zachytávača snehu pre rúrky kruhového prierezu</t>
  </si>
  <si>
    <t>sneeuwvangsteun voor in het gebergte</t>
  </si>
  <si>
    <t>nosilec za linijski snegolov</t>
  </si>
  <si>
    <t>snöstoppsstötta</t>
  </si>
  <si>
    <t>bjergsnefangstøtte</t>
  </si>
  <si>
    <t>fjellsnøfangerstøtte</t>
  </si>
  <si>
    <t>Nosač planinskog snjegobrana</t>
  </si>
  <si>
    <t>držák kulatiny</t>
  </si>
  <si>
    <t>Wspornik do barier górskich</t>
  </si>
  <si>
    <t>hófogórönk-tartó elem</t>
  </si>
  <si>
    <t>držiak horského zachytávača snehu</t>
  </si>
  <si>
    <t>Steensneeuwvanger</t>
  </si>
  <si>
    <t>Gorski snegolovni opornik</t>
  </si>
  <si>
    <t>fjällsnöskyddsstöd</t>
  </si>
  <si>
    <t>Bjergsnesystem</t>
  </si>
  <si>
    <t>Snøstopperstøtte</t>
  </si>
  <si>
    <t>Gefällesprung</t>
  </si>
  <si>
    <t>step-shaped transition</t>
  </si>
  <si>
    <t>Ressaut</t>
  </si>
  <si>
    <t>Gradino di pendenza</t>
  </si>
  <si>
    <t>Spádový stupeň</t>
  </si>
  <si>
    <t>Pochyłość z uskokami</t>
  </si>
  <si>
    <t>lejtőlépcső</t>
  </si>
  <si>
    <t>spádový stupeň</t>
  </si>
  <si>
    <t>Hellingsprong</t>
  </si>
  <si>
    <t>Stopničast prehod</t>
  </si>
  <si>
    <t>lutningsförskjutning</t>
  </si>
  <si>
    <t>Hældning</t>
  </si>
  <si>
    <t>Fallsprang</t>
  </si>
  <si>
    <t>Prijelaz u obliku stepenice</t>
  </si>
  <si>
    <t>Gefällesprungausbildung (Abtreppung)</t>
  </si>
  <si>
    <t>step-shaped transition formation (step work)</t>
  </si>
  <si>
    <t>réalisation d’un ressaut (décrochement)</t>
  </si>
  <si>
    <t>Detail spádového stupně</t>
  </si>
  <si>
    <t>Pochyłość z uskokami (stopnie)</t>
  </si>
  <si>
    <t>lejtőlépcsős kialakítás (lépcsőzetesség)</t>
  </si>
  <si>
    <t>vytvorenie spádového stupňa (odstupňovanie)</t>
  </si>
  <si>
    <t>Hellingsprongvorming (afstap)</t>
  </si>
  <si>
    <t>Oblikovanje stopničastega prehoda (stopničast zaključek)</t>
  </si>
  <si>
    <t>utförande lutningsförskjutning (nedtrappning)</t>
  </si>
  <si>
    <t>Hældningsdesign (trin)</t>
  </si>
  <si>
    <t>Fallsprangoppbygging (avtrapping)</t>
  </si>
  <si>
    <t>Konstrukcija prijelaza u obliku stepenice (stepenasti prijelaz)</t>
  </si>
  <si>
    <t>Gefällesprungausbildung mit Aufschiebling (Abtreppung)</t>
  </si>
  <si>
    <t>step-shaped transition formation with sprocket (step work)</t>
  </si>
  <si>
    <t>réalisation d’un ressaut au moyen d’un coyau (décrochement)</t>
  </si>
  <si>
    <t>Detail spádového stupně s náběhem</t>
  </si>
  <si>
    <t>Pochyłość z uskokami z obróbką nasuwaną (stopnie)</t>
  </si>
  <si>
    <t>lejtőlépcsős kialakítás toldattal (lépcsőzetesség)</t>
  </si>
  <si>
    <t>vytvorenie spádového stupňa s nábehom (odstupňovanie)</t>
  </si>
  <si>
    <t>Hellingsprongvorming met verlenging (afstap)</t>
  </si>
  <si>
    <t>Oblikovanje stopničastega prehoda s podaljškom špirovca (stopničast zaključek)</t>
  </si>
  <si>
    <t>utförande lutningsförskjutning med glidning (nedtrappning)</t>
  </si>
  <si>
    <t>Hældningsdesign med dobling (trin)</t>
  </si>
  <si>
    <t>Fallsprangoppbygging med møneplank (avtrapping)</t>
  </si>
  <si>
    <t>Konstrukcija prijelaza u obliku stepenice s nastavkom (stepenasti prijelaz)</t>
  </si>
  <si>
    <t>geklebt</t>
  </si>
  <si>
    <t>glued</t>
  </si>
  <si>
    <t>collé</t>
  </si>
  <si>
    <t>incollato</t>
  </si>
  <si>
    <t>lepené</t>
  </si>
  <si>
    <t>klejone</t>
  </si>
  <si>
    <t>ragasztva</t>
  </si>
  <si>
    <t>lepený</t>
  </si>
  <si>
    <t>gelijmd</t>
  </si>
  <si>
    <t>lepljeno</t>
  </si>
  <si>
    <t>limmad</t>
  </si>
  <si>
    <t>limet</t>
  </si>
  <si>
    <t>Limt</t>
  </si>
  <si>
    <t>zalijepljeno</t>
  </si>
  <si>
    <t>geklebter Einhängstreifen</t>
  </si>
  <si>
    <t>bonded mounting strip</t>
  </si>
  <si>
    <t>bande d’accrochage collée</t>
  </si>
  <si>
    <t>Strisce sospese incollate</t>
  </si>
  <si>
    <t>zatahovací pás lepený</t>
  </si>
  <si>
    <t>klejona listwa nośna</t>
  </si>
  <si>
    <t>ragasztott függőszegély</t>
  </si>
  <si>
    <t>lepený závesný pás</t>
  </si>
  <si>
    <t>gelijmde ophangstrips</t>
  </si>
  <si>
    <t>lepljen obesni trak</t>
  </si>
  <si>
    <t>limmad hängremsa</t>
  </si>
  <si>
    <t>limede ophængslister</t>
  </si>
  <si>
    <t>Limte opphengslister</t>
  </si>
  <si>
    <t>zalijepljena viseća traka</t>
  </si>
  <si>
    <t>Gesimswinkel</t>
  </si>
  <si>
    <t>cornice angle</t>
  </si>
  <si>
    <t>angle de corniche</t>
  </si>
  <si>
    <t>Angolo del cornicione</t>
  </si>
  <si>
    <t>oplechování římsy</t>
  </si>
  <si>
    <t>Kąt gzymsu</t>
  </si>
  <si>
    <t>szögletes párkányidom</t>
  </si>
  <si>
    <t>uhol rímsy</t>
  </si>
  <si>
    <t>Kroonlijsthoek</t>
  </si>
  <si>
    <t>Vogal napušča</t>
  </si>
  <si>
    <t>taklistvinkel</t>
  </si>
  <si>
    <t>Gesimsvinkel</t>
  </si>
  <si>
    <t>Kut vijenca</t>
  </si>
  <si>
    <t>Giebelstreifen</t>
  </si>
  <si>
    <t>verge flashing</t>
  </si>
  <si>
    <t>bande de rive</t>
  </si>
  <si>
    <t>Strisce del frontone</t>
  </si>
  <si>
    <t>závětrná lišta</t>
  </si>
  <si>
    <t>Listwa szczytowa</t>
  </si>
  <si>
    <t>oromfalszegély</t>
  </si>
  <si>
    <t>štítový pás</t>
  </si>
  <si>
    <t>Gevelstrips</t>
  </si>
  <si>
    <t>Trak za zatrep</t>
  </si>
  <si>
    <t>gavelremsor</t>
  </si>
  <si>
    <t>Gavllister</t>
  </si>
  <si>
    <t>Zabatna traka</t>
  </si>
  <si>
    <t>glatt</t>
  </si>
  <si>
    <t>smooth</t>
  </si>
  <si>
    <t>lisse</t>
  </si>
  <si>
    <t>liscia</t>
  </si>
  <si>
    <t>Hladký</t>
  </si>
  <si>
    <t>Gładka</t>
  </si>
  <si>
    <t>sima</t>
  </si>
  <si>
    <t>glad</t>
  </si>
  <si>
    <t>gladka</t>
  </si>
  <si>
    <t>slät</t>
  </si>
  <si>
    <t>glat</t>
  </si>
  <si>
    <t>glatko</t>
  </si>
  <si>
    <t>Gleithaft für Profilwelle</t>
  </si>
  <si>
    <t>sliding clip for ripple profile (PREFA)</t>
  </si>
  <si>
    <t>patte de fixation coulissante pour profil sinus</t>
  </si>
  <si>
    <t>Graffetta scorrevole per profilo ondulato</t>
  </si>
  <si>
    <t>Kluzná příponka pro profil s vlnou</t>
  </si>
  <si>
    <t>Zaczep ślizgowy do profilu falistego</t>
  </si>
  <si>
    <t>csúszó hafter profilhullámhoz</t>
  </si>
  <si>
    <t>dilatačná príponka pre vlnitý profil</t>
  </si>
  <si>
    <t>Schuifgreep voor golfplaat</t>
  </si>
  <si>
    <t>Drsna pritrditev za valoviti profil</t>
  </si>
  <si>
    <t>glidfäste för vågprofil</t>
  </si>
  <si>
    <t>Glideplade for profilbølge</t>
  </si>
  <si>
    <t>Glidefeste for bølgeprofil</t>
  </si>
  <si>
    <t>Klizni učvršćivač za valoviti profil</t>
  </si>
  <si>
    <t>Gleithaft für Zackenprofil</t>
  </si>
  <si>
    <t>sliding clip for serrated profile (PREFA)</t>
  </si>
  <si>
    <t>patte de fixation coulissante pour profil triangle</t>
  </si>
  <si>
    <t>Graffetta scorrevole per profilo a zeta</t>
  </si>
  <si>
    <t>Kluzná příponka pro pilový profil</t>
  </si>
  <si>
    <t>Zaczep ślizgowy do profilu trójkątnego</t>
  </si>
  <si>
    <t>csúszó hafter fogazott profilhoz</t>
  </si>
  <si>
    <t>dilatačná príponka pre prelamovaný profil</t>
  </si>
  <si>
    <t>Schuifgreep voor gekarteld profiel</t>
  </si>
  <si>
    <t>Drsna pritrditev za zobčast profil</t>
  </si>
  <si>
    <t>glidfäste för tandad profil</t>
  </si>
  <si>
    <t>Glideplade for takket profil</t>
  </si>
  <si>
    <t>Glidefeste for sikksakkprofil</t>
  </si>
  <si>
    <t>Klizni učvršćivač za zupčasti profil</t>
  </si>
  <si>
    <t>Gleitpunkt</t>
  </si>
  <si>
    <t>sliding point</t>
  </si>
  <si>
    <t>point coulissant</t>
  </si>
  <si>
    <t>Punto scorrevole</t>
  </si>
  <si>
    <t>Kluzný bod</t>
  </si>
  <si>
    <t>Punkt przesuwny</t>
  </si>
  <si>
    <t>csúszópont</t>
  </si>
  <si>
    <t>posuvný bod</t>
  </si>
  <si>
    <t>Schuifpunt</t>
  </si>
  <si>
    <t>Drsna točka</t>
  </si>
  <si>
    <t>glidpunkt</t>
  </si>
  <si>
    <t>Glidepunkt</t>
  </si>
  <si>
    <t>Klizna točka</t>
  </si>
  <si>
    <t>GP = Gleitpunkt</t>
  </si>
  <si>
    <t>GP = sliding point</t>
  </si>
  <si>
    <t>PC = point coulissant</t>
  </si>
  <si>
    <t>PS = Punto scorrevole</t>
  </si>
  <si>
    <t>GP = kluzný bod</t>
  </si>
  <si>
    <t>GP = Punkt przesuwny</t>
  </si>
  <si>
    <t>GP = Csúszópont (Gleitpunkt)</t>
  </si>
  <si>
    <t>GP = posuvný bod</t>
  </si>
  <si>
    <t>SP = Schuifpunt</t>
  </si>
  <si>
    <t>GP = Drsna točka</t>
  </si>
  <si>
    <t>GP = glidpunkt</t>
  </si>
  <si>
    <t>GP = glidepunkt</t>
  </si>
  <si>
    <t>GP = Klizna točka</t>
  </si>
  <si>
    <t>Grat- und Firstlatte, 30 mm breit (Höhe nach Dachneigung verschieden)</t>
  </si>
  <si>
    <t>hip and ridge batten, 30 mm wide (height may differ according to roof gradient)</t>
  </si>
  <si>
    <t>panne faîtière et chevron d’arêtier (largeur : 30 mm ; hauteur variable en fonction de la pente du toit)</t>
  </si>
  <si>
    <t>Listello di colmo e di cresta, largo 30 mm (l'altezza varia a seconda della pendenza del tetto)</t>
  </si>
  <si>
    <t>hřebenová/nárožní lať, šířka 30 mm (výška dle sklonu střechy)</t>
  </si>
  <si>
    <t>Łata kalenicowa i naroża o szerokości 30 mm (wysokość zależy od kąta nachylenia dachu)</t>
  </si>
  <si>
    <t>30 mm széles él- és taréjgerinclemez (magassága a tetőhajlásszögtől függően változik)</t>
  </si>
  <si>
    <t>hrebeňová a nárožná lata, šírka 30 mm (výška podľa sklonu strechy rozdielna)</t>
  </si>
  <si>
    <t>Pan- en noklatten, 30 mm breed (hoogte varieert naargelang de dakhelling)</t>
  </si>
  <si>
    <t>Letev grebena in slemena, 30 mm široka (višina se razlikuje glede na naklon strehe)</t>
  </si>
  <si>
    <t>Nock och nockläkt, 30 mm bred (höjden varierar beroende på taklutningen)</t>
  </si>
  <si>
    <t>Grat- og rygningsplade, 30 mm bred (højden varierer efter taghældning)</t>
  </si>
  <si>
    <t>Mønestein og mønelekt, 30 mm bred (høyde varierer etter takhelling)</t>
  </si>
  <si>
    <t>Sljemena letva, široka 30 mm (visina ovisi o nagibu krova)</t>
  </si>
  <si>
    <t>Grat- und Firstreiter</t>
  </si>
  <si>
    <t>hip and ridge cap</t>
  </si>
  <si>
    <t>faîtière et arêtier</t>
  </si>
  <si>
    <t>Copricolmo e copricresta</t>
  </si>
  <si>
    <t>hřebenáč malý</t>
  </si>
  <si>
    <t>Łata kalenicowa i naroża</t>
  </si>
  <si>
    <t>él- és taréjgerincelem</t>
  </si>
  <si>
    <t>Prekrytie hrebeňa a nárožia</t>
  </si>
  <si>
    <t>Pan- en noklatten</t>
  </si>
  <si>
    <t>Grebenski slemenjak</t>
  </si>
  <si>
    <t>ås- och åsryttare</t>
  </si>
  <si>
    <t>Grat og rygning</t>
  </si>
  <si>
    <t>Mønestein og mønelekt</t>
  </si>
  <si>
    <t>Sljemenjak</t>
  </si>
  <si>
    <t>faîtière et arêtier (500 × 1,00 mm ; stucco) fourni avec vis inox 4,5 × 45 mm et rondelle d’étanchéité</t>
  </si>
  <si>
    <t>Gratreitervorkopf (stucco)</t>
  </si>
  <si>
    <t>hip and ridge cap, end piece, stucco</t>
  </si>
  <si>
    <t>about d’arêtier (stucco)</t>
  </si>
  <si>
    <t>Testata per copricolmo/Displuvio, goffrata</t>
  </si>
  <si>
    <t>Ukončovací hřebenáč stucco</t>
  </si>
  <si>
    <t>końcówka gąsiora, stucco</t>
  </si>
  <si>
    <t>kezdő elem él- és taréjgerinc elemhez stukkó</t>
  </si>
  <si>
    <t>hrebenáč na hrebeň reps. na nárožie, prvok na začiatok alebo ukončenie hrebeňa resp. nárožia, stucco</t>
  </si>
  <si>
    <t>graat-/vorstafdekking begin-/eindstuk stucco</t>
  </si>
  <si>
    <t xml:space="preserve">polkrožni začetni grebenski slemenjak </t>
  </si>
  <si>
    <t>nockpanna, start-/ändstycke stuckatur</t>
  </si>
  <si>
    <t>rygnings-/mønningsrytter start-/slutstykke stucco</t>
  </si>
  <si>
    <t>mønestein start-/endestykke stucco</t>
  </si>
  <si>
    <t>Čelo žlijeba za sljemenjak (stucco)</t>
  </si>
  <si>
    <t>Grundlage: ÖNORM B 1991-1-3 und EN 1991-1-3</t>
  </si>
  <si>
    <t>Basic principle: ÖNORM B 1991-1-3 and EN 1991-1-3</t>
  </si>
  <si>
    <t>Normes de référence : ÖNORM B 1991-1-3 et EN 1991-1-3</t>
  </si>
  <si>
    <t>Norma: ÖNORM B 1991-1-3 ed EN 1991-1-3</t>
  </si>
  <si>
    <t>Podklad: ÖNORM B 1991-1-3 und EN 1991-1-3</t>
  </si>
  <si>
    <t>Podstawa: ÖNORM B 1991-1-3 i EN 1991-1-3</t>
  </si>
  <si>
    <t>Alap: ÖNORM B 1991-1-3 és EN 1991-1-3</t>
  </si>
  <si>
    <t>Podklad: ÖNORM B 1991-1-3 a EN 1991-1-3</t>
  </si>
  <si>
    <t>Fundering: ÖNORM B 1991-1-3 en EN 1991-1-3</t>
  </si>
  <si>
    <t>Osnova: ÖNORM B 1991-1-3 in EN 1991-1-3</t>
  </si>
  <si>
    <t>grund: ÖNORM B 1991-1-3 och EN 1991-1-3</t>
  </si>
  <si>
    <t>Grundlag: ÖNORM B 1991-1-3 og EN 1991-1-3</t>
  </si>
  <si>
    <t>Grunnlag: ÖNORM B 1991-1-3 og EN 1991-1-3</t>
  </si>
  <si>
    <t>Osnova: ÖNORM B 1991-1-3 i EN 1991-1-3</t>
  </si>
  <si>
    <t>Gummidichtung für Anschluss der Ablaufrohre und Muffen ins HT- oder KG-Rohr</t>
  </si>
  <si>
    <t>rubber seal for connecting the downpipes and sleeves to the high-temperature and foul drainage pipe</t>
  </si>
  <si>
    <t>joint en caoutchouc pour le raccordement des tuyaux de descente et des manchons de jonction aux tuyaux haute température ou aux canalisations souterraines.</t>
  </si>
  <si>
    <t>Guarnizione in gomma per raccordo del pluviale al tubo HT o KG</t>
  </si>
  <si>
    <t>Gumové těsnění pro připojení svodů a spojek do potrubí HT nebo KG</t>
  </si>
  <si>
    <t>Gumowa uszczelka do łączenia rur spustowych i kielichów z rurą HT lub KG</t>
  </si>
  <si>
    <t>Gumitömítés a lefolyócsövek és karmantyúk csatlakoztatásához a HT- vagy KG-csőbe</t>
  </si>
  <si>
    <t>gumené tesnenie na napojenie dažďových zvodov a spojok do HT alebo KG rúry</t>
  </si>
  <si>
    <t>Rubberen afdichting voor de aansluiting van de afvoerbuizen en -moffen in de HT- of KG-pijp</t>
  </si>
  <si>
    <t>Gumijasto tesnilo za priključitev odtočnih cevi in ​​objemk na cev HT ali KG</t>
  </si>
  <si>
    <t>Gummitätning för anslutning av avloppsrör och hylsor till HT- eller KG-röret</t>
  </si>
  <si>
    <t>Gummitætning til tilslutning af afløbsrør og muffer til HT- eller KG-rør</t>
  </si>
  <si>
    <t>Gummitetning for kobling av dreneringsrør og muffer til HT- eller KG-rør</t>
  </si>
  <si>
    <t>Gumena brtva za spajanje odvodnih cijevi i kolčaka na HT ili KG cijev</t>
  </si>
  <si>
    <t>Gummidichtung passend für HT/KG (NW 110 mm)</t>
  </si>
  <si>
    <t>suitable for high-temperature and foul drainage pipe (nominal size 110 mm)</t>
  </si>
  <si>
    <t>joint en caoutchouc compatible tuyaux HT et canalisations souterraines (DN 110 mm)</t>
  </si>
  <si>
    <t>Guarnizione in gomma per raccordi al tubo HT/KG NW 110 mm</t>
  </si>
  <si>
    <t>Gumové těsnění pro zaústění do HT/KG DN 110 mm</t>
  </si>
  <si>
    <t>do rury wywiewnej kanalizacji  (średnica nominalna  110 mm) ????</t>
  </si>
  <si>
    <t>gumitömítés 110 mm-es PVC csőhöz</t>
  </si>
  <si>
    <t>gumové tesnenie sedí pre PVC DN 110 mm</t>
  </si>
  <si>
    <t>rubberdichting geschikt voor HT/KG (NW 110 mm)</t>
  </si>
  <si>
    <t>gumijasto tesnilo za HAT/KG NW 110 mm</t>
  </si>
  <si>
    <t>gummitätning lämplig för HT/KG (NV 110 mm)</t>
  </si>
  <si>
    <t>gummitætning passer til HT/KG (NW 110 mm)</t>
  </si>
  <si>
    <t>gummitetning passer til HT/KG (NW 110 mm)</t>
  </si>
  <si>
    <t>Gumena brtva prikladna za HT/KG (NW 110 mm)</t>
  </si>
  <si>
    <t>H</t>
  </si>
  <si>
    <t>Haft</t>
  </si>
  <si>
    <t>clip</t>
  </si>
  <si>
    <t>patte de fixation</t>
  </si>
  <si>
    <t>Graffetta</t>
  </si>
  <si>
    <t>příponka</t>
  </si>
  <si>
    <t>Zaczep</t>
  </si>
  <si>
    <t>Hafter</t>
  </si>
  <si>
    <t>príponka</t>
  </si>
  <si>
    <t>Schacht</t>
  </si>
  <si>
    <t>Pritrditev</t>
  </si>
  <si>
    <t>fäste</t>
  </si>
  <si>
    <t>Hafte</t>
  </si>
  <si>
    <t>Heft</t>
  </si>
  <si>
    <t>Učvršćivač</t>
  </si>
  <si>
    <t>Haft (Fix- oder Schiebehaft)</t>
  </si>
  <si>
    <t>clip (preformed fixed clip or sliding clip) – PREFA</t>
  </si>
  <si>
    <t>patte de fixation (fixe ou coulissante)</t>
  </si>
  <si>
    <t>Graffetta (graffetta fissa o scorrevole)</t>
  </si>
  <si>
    <t>Příchytka (pevná nebo posuvná)</t>
  </si>
  <si>
    <t>Zaczep (stały lub przesuwny)</t>
  </si>
  <si>
    <t>Hafter (fix vagy csúszó hafter)</t>
  </si>
  <si>
    <t>príponka (pevná alebo posuvná)</t>
  </si>
  <si>
    <t>Schacht (bevestigings- of schuifschacht)</t>
  </si>
  <si>
    <t>Pritrditev (fiksna ali drsna pritrditev)</t>
  </si>
  <si>
    <t>fäste (fast eller glidfäste)</t>
  </si>
  <si>
    <t>Hafte (fast eller glidehafte)</t>
  </si>
  <si>
    <t>Heft (fast eller skyveheft)</t>
  </si>
  <si>
    <t>Učvršćivač (fiksni ili klizni učvršćivač)</t>
  </si>
  <si>
    <t>clips</t>
  </si>
  <si>
    <t>pattes de fixation</t>
  </si>
  <si>
    <t>Graffette</t>
  </si>
  <si>
    <t>příponky</t>
  </si>
  <si>
    <t>príponky</t>
  </si>
  <si>
    <t>Schachten</t>
  </si>
  <si>
    <t>fästen</t>
  </si>
  <si>
    <t>Hæftning</t>
  </si>
  <si>
    <t>Hefte</t>
  </si>
  <si>
    <t>Učvršćivači</t>
  </si>
  <si>
    <t>Haftemagazin zum Nachladen für Bull-Tack-Nagler 80 Stk./Haftemagazin; 30 Mag./Karton</t>
  </si>
  <si>
    <t>clip magazine for reloading the Bull Tack Power nail gun
80 clips per magazine, 30 magazines per box</t>
  </si>
  <si>
    <t>chargeur de pattes de fixation pour remplir le chargeur de la cloueuse Bull Tack 80 pattes par chargeur ; 30 chargeurs par carton</t>
  </si>
  <si>
    <t>Caricatore di graffette per sparachiodi Bull Tack
80 Stk/Haftemagazin, 30 Mag/Karton_IT</t>
  </si>
  <si>
    <t>Zásobník příponek pro doplnění Bull Tack nastřelovačky hřebíků
80 ks/zásobník, 30 zásobníků/krabice</t>
  </si>
  <si>
    <t>Magazynki do załadunku pistoletu Bull Tack Power
80 zszywek w magazynku, 30 magazynków w opak.</t>
  </si>
  <si>
    <t>Hafter tár Bull Tack  szögbelövőhöz 80db/tár, 30 tár/doboz</t>
  </si>
  <si>
    <t>Zásobník na príponky pro doplnenie Bull Tack zásobníka
80 ks/zásobník, 30 zásobníkov/krabica</t>
  </si>
  <si>
    <t>Klinknagelmagazijn voor het bijvullen van Bull Tack spijkerpistool
80 stks./klinknagelmagazijn, 30 mag/doos</t>
  </si>
  <si>
    <t>magazin s sidri Bull Tack 80 kos/magazin, 30 mag/škatlo</t>
  </si>
  <si>
    <t>Häftmagasin för efterladdning av Bull Tack-häftmaskin
80 st./häftmagasin, 30 magasin/kartong</t>
  </si>
  <si>
    <t>Spændemagasin til opfyldning af Bull Tack sømpistol
80 stk./spændemagasin, 30 mag./karton</t>
  </si>
  <si>
    <t>Brakettmagasin for etterlading Bull Tack-spikerpistol
80 stk./brakettmagasin, 30 mag./kartong</t>
  </si>
  <si>
    <t>Magazin za kopče za ponovno punjenje bull-tack zabijača 80 komada./magazin; 30 mag./kutija</t>
  </si>
  <si>
    <t>Haftstreifen</t>
  </si>
  <si>
    <t>cleat strip</t>
  </si>
  <si>
    <t>bande d’accrochage</t>
  </si>
  <si>
    <t>Lamierino di fissaggio</t>
  </si>
  <si>
    <t>upevňovací pás</t>
  </si>
  <si>
    <t>Zaczep paskowy</t>
  </si>
  <si>
    <t>hafterlemez</t>
  </si>
  <si>
    <t>príponkový pás</t>
  </si>
  <si>
    <t>Schachtstrips</t>
  </si>
  <si>
    <t>Pritrdilni trak</t>
  </si>
  <si>
    <t>självhäftande remsor</t>
  </si>
  <si>
    <t>Hæftelister</t>
  </si>
  <si>
    <t>Heftelister</t>
  </si>
  <si>
    <t>Pričvrsna traka</t>
  </si>
  <si>
    <t>Haftstreifen (Halteblech)</t>
  </si>
  <si>
    <t>Lamierino di fissaggio (lamiera di fissaggio)</t>
  </si>
  <si>
    <t>Zaczep paskowy (płyta mocująca)</t>
  </si>
  <si>
    <t>hafterlemez (tartólemez)</t>
  </si>
  <si>
    <t>príponkový pás (pridržiavací plech)</t>
  </si>
  <si>
    <t>Schachtstrips (bevestigingsplaat)</t>
  </si>
  <si>
    <t>Pritrdilni trak (nosilna pločevina)</t>
  </si>
  <si>
    <t>självhäftande remsa (hållplåt)</t>
  </si>
  <si>
    <t>Hæftelister (holdeplade)</t>
  </si>
  <si>
    <t>Heftelister (holdeplate)</t>
  </si>
  <si>
    <t>Pričvrsna traka (pričvrsna ploča)</t>
  </si>
  <si>
    <t>Halbfirstausbildung</t>
  </si>
  <si>
    <t>half-ridge construction</t>
  </si>
  <si>
    <t>réalisation d’une demi-faîtière</t>
  </si>
  <si>
    <t>Raccordo del semicolmo</t>
  </si>
  <si>
    <t>Hřeben pultové střechy</t>
  </si>
  <si>
    <t>Wykonanie kalenicy jednospadowej</t>
  </si>
  <si>
    <t>félgerinces kialakítás</t>
  </si>
  <si>
    <t>vytvorenie polovičného hrebeňa</t>
  </si>
  <si>
    <t>Halve nokvorming</t>
  </si>
  <si>
    <t>Oblikovanje polslemena</t>
  </si>
  <si>
    <t>halvnock</t>
  </si>
  <si>
    <t>Halvrygningsdesign</t>
  </si>
  <si>
    <t>Halvmøneoppbygging</t>
  </si>
  <si>
    <t>Konstrukcija polusljemena</t>
  </si>
  <si>
    <t>Halteklemme</t>
  </si>
  <si>
    <t>fastener</t>
  </si>
  <si>
    <t>clip de fixation</t>
  </si>
  <si>
    <t>Staffa di fissaggio</t>
  </si>
  <si>
    <t>Excentrický držák</t>
  </si>
  <si>
    <t>łącznik</t>
  </si>
  <si>
    <t>rögzítő elem</t>
  </si>
  <si>
    <t>montážna svorka</t>
  </si>
  <si>
    <t>bevestigingsklem</t>
  </si>
  <si>
    <t>ojačitveno streme za alu strešne žlebove</t>
  </si>
  <si>
    <t>fästklammer</t>
  </si>
  <si>
    <t>holdeklemme</t>
  </si>
  <si>
    <t>festeklemme</t>
  </si>
  <si>
    <t>Obujmica za držanje</t>
  </si>
  <si>
    <t>Haltestreifen</t>
  </si>
  <si>
    <t>fixing strip</t>
  </si>
  <si>
    <t>bande de maintien</t>
  </si>
  <si>
    <t>Strisce di fissaggio</t>
  </si>
  <si>
    <t>Listwy montażowe</t>
  </si>
  <si>
    <t>tartószegély</t>
  </si>
  <si>
    <t>pridržiavací pás</t>
  </si>
  <si>
    <t>Bevestigingsstrips</t>
  </si>
  <si>
    <t>Nosilni trak</t>
  </si>
  <si>
    <t>fästremsor</t>
  </si>
  <si>
    <t>Holdelister</t>
  </si>
  <si>
    <t>Haltewinkel</t>
  </si>
  <si>
    <t>flashing strip</t>
  </si>
  <si>
    <t>Angolo di fissaggio</t>
  </si>
  <si>
    <t>Montážní úhelník</t>
  </si>
  <si>
    <t>Wspornik montażowy</t>
  </si>
  <si>
    <t>tartószeglet</t>
  </si>
  <si>
    <t>pridržiavací uholník</t>
  </si>
  <si>
    <t>Bevestigingshoek</t>
  </si>
  <si>
    <t>Nosilni kotnik</t>
  </si>
  <si>
    <t>konsol</t>
  </si>
  <si>
    <t>Holdevinkel</t>
  </si>
  <si>
    <t>Holdebrakett</t>
  </si>
  <si>
    <t>Kutni držač</t>
  </si>
  <si>
    <t>Haltewinkel gekantet</t>
  </si>
  <si>
    <t>continuous pre-formed supporting flashing strip</t>
  </si>
  <si>
    <t>équerre-support repliée</t>
  </si>
  <si>
    <t>Angolo di fissaggio squadrato</t>
  </si>
  <si>
    <t>Montážní úhelník hraněný</t>
  </si>
  <si>
    <t>Kątowy wspornik montażowy</t>
  </si>
  <si>
    <t>tartószeglet, hajtott</t>
  </si>
  <si>
    <t>pridržiavací uholník ohýbaný</t>
  </si>
  <si>
    <t>Bevestigingshoek gevoegd</t>
  </si>
  <si>
    <t>Nosilni kotnik obrobljen</t>
  </si>
  <si>
    <t>kantat vinklat fäste</t>
  </si>
  <si>
    <t>Holdevinkel kantet</t>
  </si>
  <si>
    <t>Kantet holdebrakett</t>
  </si>
  <si>
    <t>Kutni držač, kantiran</t>
  </si>
  <si>
    <t>Hängerinnen-Dila mit Wulst und Blende</t>
  </si>
  <si>
    <t>hanging gutter expansion joint with bead and cover plate</t>
  </si>
  <si>
    <t>joint de dilatation avec boudin et cache (gouttière demi-ronde)</t>
  </si>
  <si>
    <t>Elemento di dilatazione per canale con ricciolo e scossalina</t>
  </si>
  <si>
    <t>Žlabová dilatace s návalkou a krytem gumy</t>
  </si>
  <si>
    <t xml:space="preserve">Rynna wisząca z połączeniem i kolanem z przykryciem </t>
  </si>
  <si>
    <t>függő ereszcsatorna dilatációs elem takaróelemmel</t>
  </si>
  <si>
    <t>dilatačný prvok polkruhového zľabu s návalkom a krytom</t>
  </si>
  <si>
    <t>hanggoot-Dila met rand en kap</t>
  </si>
  <si>
    <t>dilatacija za polokrogli žleb z zaslonko in zavitkom</t>
  </si>
  <si>
    <t>expanderingsskarv för hängränna med vulst och täckkåpebleck</t>
  </si>
  <si>
    <t>hængerendeudvidelse med vulst og blænde</t>
  </si>
  <si>
    <t>skjøtestykke for takrenne med vulst og dekkplate</t>
  </si>
  <si>
    <t>Dilatacija visećeg žlijeba s opšavom i blendom</t>
  </si>
  <si>
    <t>Hängerinnen-Dila ohne Wulst und Blende</t>
  </si>
  <si>
    <t>hanging gutter expansion joint without bead or cover plate</t>
  </si>
  <si>
    <t>joint de dilatation sans boudin ni cache (gouttière demi-ronde)</t>
  </si>
  <si>
    <t>Elemento di dilatazione per canale senza ricciolo e scossalina</t>
  </si>
  <si>
    <t>Žlabová dilatace bez návalky a krytu gumy</t>
  </si>
  <si>
    <t>Rynna wisząca z połączeniem bez kolana z przykryciem</t>
  </si>
  <si>
    <t>függő ereszcsatorna dilatációs elem takaróelem nélkül</t>
  </si>
  <si>
    <t>dilatačný prvok polkruhového zľabu bez návalku a krytu</t>
  </si>
  <si>
    <t>hanggoot-Dila zonder rand en kap</t>
  </si>
  <si>
    <t>dilatacija za polokrogli žleb brez zaslonke in zavitka</t>
  </si>
  <si>
    <t>expanderingsskarv för hängränna utan vulst och täckkåpebleck</t>
  </si>
  <si>
    <t>hængerendeudvidelse uden vulst og blænde</t>
  </si>
  <si>
    <t>skjøtestykke for takrenne uten vulst og dekkplate</t>
  </si>
  <si>
    <t>Dilatacija visećeg žlijeba bez opšava i blende</t>
  </si>
  <si>
    <t>Hauerbuckel; zum Abdecken von Befestigungsmitteln</t>
  </si>
  <si>
    <t>domed cap, for covering fasteners</t>
  </si>
  <si>
    <t>capuchon de protection, protection anticorrosion pour les éléments de fixation (vis, etc.)</t>
  </si>
  <si>
    <t>Borchia coprivite, per mascherare le teste delle viti di fissaggio</t>
  </si>
  <si>
    <t>Krytka kotvících prvků</t>
  </si>
  <si>
    <t>Maskownica wkręt</t>
  </si>
  <si>
    <t>lyuktakaró sapka</t>
  </si>
  <si>
    <t>krytka kotviacich prvkov</t>
  </si>
  <si>
    <t>slagdop, voor het afdekken van bevestigingsmiddelen</t>
  </si>
  <si>
    <t>pokrivna kapa, za prekrivanje pritrdilnih sredstev</t>
  </si>
  <si>
    <t>täckkåpa, för täckning av fästmedel</t>
  </si>
  <si>
    <t>dækplade, til afdækning af fastgørelsesmidler</t>
  </si>
  <si>
    <t>skålformet deksel, til å dekke festemidler</t>
  </si>
  <si>
    <t>Poklopac; za pokrivanje pričvršćivača</t>
  </si>
  <si>
    <t>Hellgrau/Hellgrau</t>
  </si>
  <si>
    <t>light grey/light grey</t>
  </si>
  <si>
    <t>gris souris/gris souris</t>
  </si>
  <si>
    <t>grigio chiaro/grigio chiaro</t>
  </si>
  <si>
    <t>světle šedá/světle šedá</t>
  </si>
  <si>
    <t>jasnoszary / jasnoszary</t>
  </si>
  <si>
    <t>világosszürke/világosszürke</t>
  </si>
  <si>
    <t>svetlošedá/svetlošedá</t>
  </si>
  <si>
    <t>lichtgrijs/lichtgrijs</t>
  </si>
  <si>
    <t>svetlo siva/svetlo siva)</t>
  </si>
  <si>
    <t>ljusgrå/ljusgrå</t>
  </si>
  <si>
    <t>lys grå/lys grå</t>
  </si>
  <si>
    <t>Svijetlo siva / svijetlo siva</t>
  </si>
  <si>
    <t>Diese Anschlussmöglichkeit wird an bereits bestehenden WDVS-Fassaden empfohlen.</t>
  </si>
  <si>
    <t>This type of flashing is recommended for façades with existing external thermal insulation cladding systems (ETICS).</t>
  </si>
  <si>
    <t>Il est recommandé d’utiliser ce type de raccordement pour les façades ITE existantes.</t>
  </si>
  <si>
    <t>Questa opzione di raccordo è raccomandata su facciate ETICS già esistenti.</t>
  </si>
  <si>
    <t>Tato varianta napojení se doporučuje u již zateplených stěn.</t>
  </si>
  <si>
    <t>Ta opcja połączenia jest zalecana dla już istniejących elewacji z systemem izolacyjnym.</t>
  </si>
  <si>
    <t>Ez a csatlakozási lehetőség már meglévő WDVS-homlokzatok esetében ajánlott.</t>
  </si>
  <si>
    <t>Táto možnosť pripojenia sa odporúča na už existujúcich fasádach s kontaktným zatepľovacím systémom.</t>
  </si>
  <si>
    <t>Deze verbindingsoptie wordt aanbevolen op reeds bestaande ETICS-gevels.</t>
  </si>
  <si>
    <t>Ta možnost povezave je priporočljiva za obstoječe fasade ETICS.</t>
  </si>
  <si>
    <t>Denna anslutningsmöjlighet rekommenderas för befintliga ETICS fasader.</t>
  </si>
  <si>
    <t>Denne tilslutningsmulighed anbefales til eksisterende WDVS-facader.</t>
  </si>
  <si>
    <t>Deenne koblingsmuligheten anbefales på eksisterende EIFS-fasader.</t>
  </si>
  <si>
    <t>Ova opcija spajanja preporuča se za postojeće ETICS fasade.</t>
  </si>
  <si>
    <t>Holzkonstruktion</t>
  </si>
  <si>
    <t>wooden structure</t>
  </si>
  <si>
    <t>construction en bois</t>
  </si>
  <si>
    <t>Costruzione in legno</t>
  </si>
  <si>
    <t>dřevěná konstrukce</t>
  </si>
  <si>
    <t>Konstrukcja drewniana</t>
  </si>
  <si>
    <t>Faszerkezet</t>
  </si>
  <si>
    <t>drevená konštrukcia</t>
  </si>
  <si>
    <t>Houtconstructie</t>
  </si>
  <si>
    <t>Lesena konstrukcija</t>
  </si>
  <si>
    <t>träkonstruktion</t>
  </si>
  <si>
    <t>Trækonstruktion</t>
  </si>
  <si>
    <t>Trekonstruksjon</t>
  </si>
  <si>
    <t>Drvena konstrukcija</t>
  </si>
  <si>
    <t>Holzrahmen (Innenmaß: 595 × 595 mm)</t>
  </si>
  <si>
    <t>Wodden frame (inside dimensions: 595x595 mm)</t>
  </si>
  <si>
    <t>châssis en bois (dimensions intérieures : 595 × 595 mm)</t>
  </si>
  <si>
    <t>Telaio in legno (dimensioni interne: 595x595 mm)</t>
  </si>
  <si>
    <t>Dřevěný rám (vnitřní rozměr: 595 × 595 mm)</t>
  </si>
  <si>
    <t>Rama drewniana (wymiary wewnętrzne: 595 × 595 mm)</t>
  </si>
  <si>
    <t>Fakeret (belső méret: 595 × 595 mm)</t>
  </si>
  <si>
    <t>drevený rám (vnútorný rozmer: 595 × 595 mm)</t>
  </si>
  <si>
    <t>Houten frame (Binnenafmeting: 595 x 595 mm)</t>
  </si>
  <si>
    <t>Leseni okvir (notranja dimenzija: 595 × 595 mm)</t>
  </si>
  <si>
    <t>träram (innermått: 595 × 595 mm)</t>
  </si>
  <si>
    <t>Træramme (indvendige mål: 595 × 595 mm)</t>
  </si>
  <si>
    <t>Trerammer (innvendige mål: 595 × 595 mm)</t>
  </si>
  <si>
    <t>Drveni okvir (unutarnje dimenzije: 595 × 595 mm)</t>
  </si>
  <si>
    <t>Holzrahmen (Innenmaß: 600 × 600 mm)</t>
  </si>
  <si>
    <t>wooden frame (internal dimensions: 600 × 600 mm)</t>
  </si>
  <si>
    <t>châssis en bois (dimensions intérieures : 600 × 600 mm)</t>
  </si>
  <si>
    <t>Telaio in legno
(misura interna 600 x 600 mm)</t>
  </si>
  <si>
    <t>Dřevěný rám (vnitřní rozměr 600 x 600 mm)</t>
  </si>
  <si>
    <t>rama drewniana (wymiary wew. 600 x 600 mm)</t>
  </si>
  <si>
    <t>fakeret
(belső méret 600 x 600 mm)</t>
  </si>
  <si>
    <t>drevený rám
(vnutorný rozmer 600 x 600 mm)</t>
  </si>
  <si>
    <t>houten frame
(binnenmaat 600 x 600 mm)</t>
  </si>
  <si>
    <t>leseni okvir za zasilno strešno okno (notranja mera 600 x 600 mm)</t>
  </si>
  <si>
    <t>träram (invändigt mått 600 x 600 mm)</t>
  </si>
  <si>
    <t>træramme
(indvendigt mål 600 x 600 mm)</t>
  </si>
  <si>
    <t>treramme
(innvendig mål 600 x 600 mm)</t>
  </si>
  <si>
    <t>Drveni okvir (unutarnje dimenzije: 600 × 600 mm)</t>
  </si>
  <si>
    <t>horizontaler Holzriegel</t>
  </si>
  <si>
    <t>nogging piece</t>
  </si>
  <si>
    <t>contre-lattage horizontal</t>
  </si>
  <si>
    <t>Barra di legno orizzontale</t>
  </si>
  <si>
    <t>horizontální dřevěná výztuha</t>
  </si>
  <si>
    <t>poziomy gzyms drewniany</t>
  </si>
  <si>
    <t>vízszintes fagerenda</t>
  </si>
  <si>
    <t>horizontálna drevená západka</t>
  </si>
  <si>
    <t>horizontale houten richel</t>
  </si>
  <si>
    <t>vodoravni leseni zapah</t>
  </si>
  <si>
    <t>horisontell träregel</t>
  </si>
  <si>
    <t>horisontal trælås</t>
  </si>
  <si>
    <t>Horisontal trelekt</t>
  </si>
  <si>
    <t>vodoravna drvena šipka</t>
  </si>
  <si>
    <t>Horizontalschnitt</t>
  </si>
  <si>
    <t>horizontal cross-section</t>
  </si>
  <si>
    <t>section horizontale</t>
  </si>
  <si>
    <t>Sezione orizzontale</t>
  </si>
  <si>
    <t>Horizontální řez</t>
  </si>
  <si>
    <t>Przekrój poziomy</t>
  </si>
  <si>
    <t>vízszintes metszet</t>
  </si>
  <si>
    <t>horizontálny rez</t>
  </si>
  <si>
    <t>Horizontale doorsnede</t>
  </si>
  <si>
    <t>Horizontalni rez</t>
  </si>
  <si>
    <t>horisontalsektion</t>
  </si>
  <si>
    <t>Vandret snit</t>
  </si>
  <si>
    <t>Horisontalt snitt</t>
  </si>
  <si>
    <t>Vodoravni presjek</t>
  </si>
  <si>
    <t>Horizontalschnitt – Außeneckausbildung</t>
  </si>
  <si>
    <t>horizontal cross-section – construction of external corner</t>
  </si>
  <si>
    <t>section horizontale — mise en œuvre d’un angle sortant</t>
  </si>
  <si>
    <t>Sezione orizzontale - Raccordo dell'angolo esterno</t>
  </si>
  <si>
    <t>Horizontální řez – Provedení vnějšího rohu</t>
  </si>
  <si>
    <t>Przekrój poziomy – formowanie narożnika zewnętrznego</t>
  </si>
  <si>
    <t>vízszintes metszet – külső sarokkialakítás</t>
  </si>
  <si>
    <t>horizontálny rez – vytvorenie vonkajšieho rohového profilu</t>
  </si>
  <si>
    <t>Horizontale doorsnede - buitenhoekvorming</t>
  </si>
  <si>
    <t>Horizontalni rez – oblikovanje zunanjega vogala</t>
  </si>
  <si>
    <t>horisontalsektion – utförande ytterhörn</t>
  </si>
  <si>
    <t>Vandret snit – yderhjørnedesign</t>
  </si>
  <si>
    <t>Horisontalt snitt – utvendig hjørneoppbygging</t>
  </si>
  <si>
    <t>Vodoravni presjek – konstrukcija vanjskog kuta</t>
  </si>
  <si>
    <t>Horizontalschnitt – Außenecke</t>
  </si>
  <si>
    <t>horizontal cross-section – external corner</t>
  </si>
  <si>
    <t>section horizontale — angle sortant</t>
  </si>
  <si>
    <t>Sezione orizzontale - Angolo esterno</t>
  </si>
  <si>
    <t>Horizontální řez – Vnější roh</t>
  </si>
  <si>
    <t>Przekrój poziomy – narożnik zewnętrzny</t>
  </si>
  <si>
    <t>vízszintes metszet – külső sarok</t>
  </si>
  <si>
    <t>horizontálny rez – vonkajší rohový profil</t>
  </si>
  <si>
    <t>Horizontale doorsnede - buitenhoek</t>
  </si>
  <si>
    <t>Horizontalni rez – zunanji vogal</t>
  </si>
  <si>
    <t>horisontalsektion – ytterhörn</t>
  </si>
  <si>
    <t>Vandret snit – yderhjørne</t>
  </si>
  <si>
    <t>Horisontalt snitt – ytterhjørne</t>
  </si>
  <si>
    <t>Vodoravni presjek – vanjski kut</t>
  </si>
  <si>
    <t>Horizontalschnitt – Außenecke (Variante 1)</t>
  </si>
  <si>
    <t>horizontal cross-section – external corner (variant 1)</t>
  </si>
  <si>
    <t>section horizontale — angle sortant (variante 1)</t>
  </si>
  <si>
    <t>Sezione orizzontale - Angolo esterno (variante 1)</t>
  </si>
  <si>
    <t>Horizontální řez – Vnější roh (varianta 1)</t>
  </si>
  <si>
    <t>Przekrój poziomy – narożnik zewnętrzny (wariant 1)</t>
  </si>
  <si>
    <t>vízszintes metszet – külső sarok (1. változat)</t>
  </si>
  <si>
    <t>horizontálny rez – vonkajší rohový profil (variant 1)</t>
  </si>
  <si>
    <t>Horizontale doorsnede - buitenhoek (variant 1)</t>
  </si>
  <si>
    <t>Horizontalni rez – zunanji vogal (različica 1)</t>
  </si>
  <si>
    <t>horisontalsektion – ytterhörn (variant 1)</t>
  </si>
  <si>
    <t>Vandret snit – yderhjørne (variant 1)</t>
  </si>
  <si>
    <t>Horisontalt snitt – ytterhjørne (variant 1)</t>
  </si>
  <si>
    <t>Vodoravni presjek – vanjski kut (varijanta 1)</t>
  </si>
  <si>
    <t>Horizontalschnitt – Außenecke (Variante 2)</t>
  </si>
  <si>
    <t>horizontal cross-section – external corner (variant 2)</t>
  </si>
  <si>
    <t>section horizontale — angle sortant (variante 2)</t>
  </si>
  <si>
    <t>Sezione orizzontale - Angolo esterno (variante 2)</t>
  </si>
  <si>
    <t>Horizontální řez – Vnější roh (varianta 2)</t>
  </si>
  <si>
    <t>Przekrój poziomy – narożnik zewnętrzny (wariant 2)</t>
  </si>
  <si>
    <t>vízszintes metszet – külső sarok (2. változat)</t>
  </si>
  <si>
    <t>horizontálny rez – vonkajší rohový profil (variant 2)</t>
  </si>
  <si>
    <t>Horizontale doorsnede - buitenhoek (variant 2)</t>
  </si>
  <si>
    <t>Horizontalni rez – zunanji vogal (različica 2)</t>
  </si>
  <si>
    <t>horisontalsektion – ytterhörn (variant 2)</t>
  </si>
  <si>
    <t>Vandret snit – yderhjørne (variant 2)</t>
  </si>
  <si>
    <t>Horisontalt snitt – ytterhjørne (variant 2)</t>
  </si>
  <si>
    <t>Vodoravni presjek – vanjski kut (varijanta 2)</t>
  </si>
  <si>
    <t>Horizontalschnitt – Fensterlaibung</t>
  </si>
  <si>
    <t>horizontal cross-section – window reveals</t>
  </si>
  <si>
    <t>section horizontale — tableau de fenêtre</t>
  </si>
  <si>
    <t>Horizontální řez – Ostění okna</t>
  </si>
  <si>
    <t>Przekrój poziomy – ościeże okienne</t>
  </si>
  <si>
    <t>vízszintes metszet – ablakkáva</t>
  </si>
  <si>
    <t>horizontálny rez – ostenie okna</t>
  </si>
  <si>
    <t>Horizontale doorsnede - raamopening</t>
  </si>
  <si>
    <t>Horizontalni rez – okenska špaleta</t>
  </si>
  <si>
    <t>horisontalsektion – fönstersmyg</t>
  </si>
  <si>
    <t>Vandret snit – vindueskarm</t>
  </si>
  <si>
    <t>Horisontalt snitt – vindusåpning</t>
  </si>
  <si>
    <t>Vodoravni presjek – niša prozora</t>
  </si>
  <si>
    <t>Horizontalschnitt – Fensterlaibung (Variante 1)</t>
  </si>
  <si>
    <t>horizontal cross-section – window reveals (variant 1)</t>
  </si>
  <si>
    <t>section horizontale — tableau de fenêtre (variante 1)</t>
  </si>
  <si>
    <t>Horizontální řez – Ostění okna (varianta 1)</t>
  </si>
  <si>
    <t>Przekrój poziomy – ościeże okienne (wariant 1)</t>
  </si>
  <si>
    <t>vízszintes metszet – ablakkáva (1. változat)</t>
  </si>
  <si>
    <t>horizontálny rez – ostenie okna (variant 1)</t>
  </si>
  <si>
    <t>Horizontale doorsnede - raamopening (variant 1)</t>
  </si>
  <si>
    <t>Horizontalni rez – okenska špaleta (različica 1)</t>
  </si>
  <si>
    <t>horisontalsektion – fönstersmyg (variant 1)</t>
  </si>
  <si>
    <t>Vandret snit – vindueskarm (variant 1)</t>
  </si>
  <si>
    <t>Horisontalt snitt – vindusåpning (variant 1)</t>
  </si>
  <si>
    <t>Vodoravni presjek – niša prozora (varijanta 1)</t>
  </si>
  <si>
    <t>Horizontalschnitt – Fensterlaibung (Variante 2)</t>
  </si>
  <si>
    <t>horizontal cross-section – window reveals (variant 2)</t>
  </si>
  <si>
    <t>section horizontale — tableau de fenêtre (variante 2)</t>
  </si>
  <si>
    <t>Horizontální řez – Ostění okna (varianta 2)</t>
  </si>
  <si>
    <t>Przekrój poziomy – ościeże okienne (wariant 2)</t>
  </si>
  <si>
    <t>vízszintes metszet – ablakkáva (2. változat)</t>
  </si>
  <si>
    <t>horizontálny rez – ostenie okna (variant 2)</t>
  </si>
  <si>
    <t>Horizontale doorsnede - raamopening (variant 2)</t>
  </si>
  <si>
    <t>Horizontalni rez – okenska špaleta (različica 2)</t>
  </si>
  <si>
    <t>horisontalsektion – fönstersmyg (variant 2)</t>
  </si>
  <si>
    <t>Vandret snit – vindueskarm (variant 2)</t>
  </si>
  <si>
    <t>Horisontalt snitt – vindusåpning (variant 2)</t>
  </si>
  <si>
    <t>Vodoravni presjek – niša prozora (varijanta 2)</t>
  </si>
  <si>
    <t>Horizontalschnitt – Fensterlaibung (Variante 3)</t>
  </si>
  <si>
    <t>horizontal cross-section – window reveals (variant 3)</t>
  </si>
  <si>
    <t>section horizontale — tableau de fenêtre (variante 3)</t>
  </si>
  <si>
    <t>Horizontální řez – Ostění okna (varianta 3)</t>
  </si>
  <si>
    <t>Przekrój poziomy – ościeże okienne (wariant 3)</t>
  </si>
  <si>
    <t>vízszintes metszet – ablakkáva (3. változat)</t>
  </si>
  <si>
    <t>horizontálny rez – ostenie okna (variant 3)</t>
  </si>
  <si>
    <t>Horizontale doorsnede - raamopening (variant 3)</t>
  </si>
  <si>
    <t>Horizontalni rez – okenska špaleta (različica 3)</t>
  </si>
  <si>
    <t>horisontalsektion – fönstersmyg (variant 3)</t>
  </si>
  <si>
    <t>Vandret snit – vindueskarm (variant 3)</t>
  </si>
  <si>
    <t>Horisontalt snitt – vindusåpning (variant 3)</t>
  </si>
  <si>
    <t>Vodoravni presjek – niša prozora (varijanta 3)</t>
  </si>
  <si>
    <t>Horizontalschnitt – Horizontalschnitt</t>
  </si>
  <si>
    <t>horizontal cross-section – horizontal cross-section</t>
  </si>
  <si>
    <t>section horizontale — section horizontale</t>
  </si>
  <si>
    <t>Sezione orizzontale - Sezione orizzontale</t>
  </si>
  <si>
    <t>Horizontální řez – Horizontální řez</t>
  </si>
  <si>
    <t>Przekrój poziomy – przekrój poziomy</t>
  </si>
  <si>
    <t>vízszintes metszet – vízszintes metszet</t>
  </si>
  <si>
    <t>horizontálny rez – horizontálny rez</t>
  </si>
  <si>
    <t>Horizontale doorsnede - horizontale doorsnede</t>
  </si>
  <si>
    <t>Horizontalni rez – horizontalni rez</t>
  </si>
  <si>
    <t>horisontalsektion – horisontalsektion</t>
  </si>
  <si>
    <t>Vandret snit – vandret snit</t>
  </si>
  <si>
    <t>Horisontalt snitt – horisontalt snitt</t>
  </si>
  <si>
    <t>Vodoravni presjek – vodoravni presjek</t>
  </si>
  <si>
    <t>Horizontalschnitt – Inneneckausbildung</t>
  </si>
  <si>
    <t>horizontal cross-section – construction of internal corner</t>
  </si>
  <si>
    <t>section horizontale — mise en œuvre d’un angle rentrant</t>
  </si>
  <si>
    <t>Sezione orizzontale - Raccordo dell'angolo interno</t>
  </si>
  <si>
    <t>Horizontální řez – Provedení vnitřního rohu</t>
  </si>
  <si>
    <t>Przekrój poziomy – formowanie narożnika wewnętrznego</t>
  </si>
  <si>
    <t>vízszintes metszet – belső sarokkialakítás</t>
  </si>
  <si>
    <t>horizontálny rez – vytvorenie vnútorného rohového profilu</t>
  </si>
  <si>
    <t>Horizontale doorsnede - binnenhoekvorming</t>
  </si>
  <si>
    <t>Horizontalni rez – oblikovanje notranjega vogala</t>
  </si>
  <si>
    <t>horisontalsektion – utförande innerhörn</t>
  </si>
  <si>
    <t>Vandret snit – inderhjørnedesign</t>
  </si>
  <si>
    <t>Horisontalt snitt – innvendig hjørneoppbygging</t>
  </si>
  <si>
    <t>Vodoravni presjek – konstrukcija unutarnjeg kuta</t>
  </si>
  <si>
    <t>Horizontalschnitt – Innenecke</t>
  </si>
  <si>
    <t>horizontal cross-section – internal corner</t>
  </si>
  <si>
    <t>section horizontale — angle rentrant</t>
  </si>
  <si>
    <t>Sezione orizzontale - Angolo interno</t>
  </si>
  <si>
    <t>Horizontální řez – Vnitřní roh</t>
  </si>
  <si>
    <t>Przekrój poziomy – narożnik wewnętrzny</t>
  </si>
  <si>
    <t>vízszintes metszet – belső sarok</t>
  </si>
  <si>
    <t>horizontálny rez – vnútorný rohový profil</t>
  </si>
  <si>
    <t>Horizontale doorsnede - binnenhoek</t>
  </si>
  <si>
    <t>Horizontalni rez – notranji vogal</t>
  </si>
  <si>
    <t>horisontalsektion – innerhörn</t>
  </si>
  <si>
    <t>Vandret snit – inderhjørne</t>
  </si>
  <si>
    <t>Horisontalt snitt – innerhjørne</t>
  </si>
  <si>
    <t>Vodoravni presjek – unutarnji kut</t>
  </si>
  <si>
    <t>Horizontalschnitt – Siding mit UZ-Profil</t>
  </si>
  <si>
    <t>horizontal cross-section – siding with UZ-profile</t>
  </si>
  <si>
    <t>section horizontale — Siding avec profil UZ</t>
  </si>
  <si>
    <t>Sezione orizzontale - Doga con profilo UZ</t>
  </si>
  <si>
    <t>Horizontální řez – Siding s profilem UZ</t>
  </si>
  <si>
    <t>Przekrój poziomy – SIDING z użyciem profilu UZ</t>
  </si>
  <si>
    <t>vízszintes metszet – Siding UZ-profillal</t>
  </si>
  <si>
    <t>horizontálny rez – Siding s UZ-profilom</t>
  </si>
  <si>
    <t>Horizontale doorsnede - siding met UZ-profiel</t>
  </si>
  <si>
    <t>Horizontalni rez – Siding z UZ-profilom</t>
  </si>
  <si>
    <t>horisontalsektion – siding med UZ-profil</t>
  </si>
  <si>
    <t>Vandret snit – siding med UZ-profil</t>
  </si>
  <si>
    <t>Horisontalt snitt – Siding med UZ-profil</t>
  </si>
  <si>
    <t>Vodoravni presjek – fasadna kazeta s UZ profilom</t>
  </si>
  <si>
    <t>Horizontalschnitt – Vertikaltrennung</t>
  </si>
  <si>
    <t>horizontal cross-section – vertical separation</t>
  </si>
  <si>
    <t>section horizontale — séparation verticale</t>
  </si>
  <si>
    <t>Sezione orizzontale - Divisione verticale</t>
  </si>
  <si>
    <t>Horizontální řez – Vertikální oddělení</t>
  </si>
  <si>
    <t>Przekrój poziomy – podział pionowy</t>
  </si>
  <si>
    <t>vízszintes metszet – függőleges elválasztás</t>
  </si>
  <si>
    <t>horizontálny rez – vertikálne oddelenie</t>
  </si>
  <si>
    <t>Horizontale doorsnede - verticale scheiding</t>
  </si>
  <si>
    <t>Horizontalni rez – vertikalna ločitev</t>
  </si>
  <si>
    <t>horisontalsektion – vertikal separation</t>
  </si>
  <si>
    <t>Vandret snit – lodret adskillelse</t>
  </si>
  <si>
    <t>Horisontalt snitt – vertikaldeling</t>
  </si>
  <si>
    <t>Vodoravni presjek – okomito razdvajanje</t>
  </si>
  <si>
    <t>Horizontalschnitt – Wandanschluss</t>
  </si>
  <si>
    <t>horizontal cross-section – wall connection</t>
  </si>
  <si>
    <t>section horizontale —raccordement de couloir latéral</t>
  </si>
  <si>
    <t>Sezione orizzontale - Raccordo a parete</t>
  </si>
  <si>
    <t>Horizontální řez – Napojení na zeď</t>
  </si>
  <si>
    <t>Przekrój poziomy – połączenie ściany</t>
  </si>
  <si>
    <t>vízszintes metszet – fali csatlakozás</t>
  </si>
  <si>
    <t>horizontálny rez – ukončenie pri stene</t>
  </si>
  <si>
    <t>Horizontale doorsnede - wandaansluiting</t>
  </si>
  <si>
    <t>Horizontalni rez – stenski priključek</t>
  </si>
  <si>
    <t>horisontalsektion – vägganslutning</t>
  </si>
  <si>
    <t>Vandret snit – vægtilslutning</t>
  </si>
  <si>
    <t>Horisontalt snitt – veggtilkobling</t>
  </si>
  <si>
    <t>Vodoravni presjek – zidni spoj</t>
  </si>
  <si>
    <t>Hydrolack</t>
  </si>
  <si>
    <t>water-based paint</t>
  </si>
  <si>
    <t>peinture aqueuse</t>
  </si>
  <si>
    <t>Farba na bazie wody</t>
  </si>
  <si>
    <t>Hydrolakk</t>
  </si>
  <si>
    <t>hydrolak</t>
  </si>
  <si>
    <t>lak za popravilo poškodb</t>
  </si>
  <si>
    <t>hydrolack</t>
  </si>
  <si>
    <t>hydrolakk</t>
  </si>
  <si>
    <t>Boja na bazi vode</t>
  </si>
  <si>
    <t>Kehlenausbildung mit konischen Doppelstehfalzbahnen</t>
  </si>
  <si>
    <t>valley construction with tapered double-lock standing seam strip</t>
  </si>
  <si>
    <t>pose d’une noue avec bacs trapézoïdaux à joints debout à double agrafe</t>
  </si>
  <si>
    <t>Raccordo di compluvio con pannelli conici a doppia aggraffatura</t>
  </si>
  <si>
    <t>Úžlabí z kónických krytinových pásů</t>
  </si>
  <si>
    <t>Formowanie wnęk stożkowe na rąbek stojący</t>
  </si>
  <si>
    <t>Vápakialakítás kónikus, kettős állókorcos szalagokkal</t>
  </si>
  <si>
    <t>vytvorenie úžľabí pomocou kónických pásov s dvojitými stojatými drážkami</t>
  </si>
  <si>
    <t>Zetwerk met conische panelen met dubbele sluiting</t>
  </si>
  <si>
    <t>Izvedba žlote s stožčastimi trakovi z dvojnim zgibom</t>
  </si>
  <si>
    <t>Dalformation med koniska dubbla stående falsremsor</t>
  </si>
  <si>
    <t>Kiledesign med koniske dobbeltstående falsbaner</t>
  </si>
  <si>
    <t>Vinkelrenneoppbygging med koniske doble stående falslister</t>
  </si>
  <si>
    <t>Konstrukcija uvale s konusnom podlogom s dvosturkim stojećim falcom</t>
  </si>
  <si>
    <t>Im Allgemeinen empfehlen wir die Verwendung geeigneter Bitumentrennlagen.</t>
  </si>
  <si>
    <t>In general, we recommend using suitable bitumen separating layers.</t>
  </si>
  <si>
    <t>De manière générale, nous recommandons l’utilisation de couches de séparation bitumineuses adaptées.</t>
  </si>
  <si>
    <t>In generale, raccomandiamo l'uso di adeguati strati separatori di bitume.</t>
  </si>
  <si>
    <t>Všeobecně doporučujeme použití vhodné bitumenové separační vrstvy</t>
  </si>
  <si>
    <t>Zasadniczo zalecamy stosowanie odpowiednich bitumicznych warstw rozdzielających.</t>
  </si>
  <si>
    <t>Általában megfelelő bitumenes elválasztórétegek használatát javasoljuk.</t>
  </si>
  <si>
    <t>Vo všeobecnosti odporúčame použitie vhodných bitúmenových separačných fólií.</t>
  </si>
  <si>
    <t>In het algemeen bevelen wij het gebruik van geschikte bitumen scheidingslagen aan.</t>
  </si>
  <si>
    <t>Na splošno priporočamo uporabo ustreznih bitumenskih ločevalnih plasti.</t>
  </si>
  <si>
    <t>Generellt rekommenderar vi användning av lämpliga bitumenseparationsskikt.</t>
  </si>
  <si>
    <t>Generelt anbefaler vi brugen af ​​passende bitumen-skillelag.</t>
  </si>
  <si>
    <t>Generelt sett anbefaler vi bruk av egnet bitumenpapp.</t>
  </si>
  <si>
    <t>Općenito preporučamo korištenje odgovarajućih bitumenskih razdjelnih slojeva.</t>
  </si>
  <si>
    <t>Verfügbare Baubreiten:</t>
  </si>
  <si>
    <t>available visible widths:</t>
  </si>
  <si>
    <t>Largeurs utiles disponibles :</t>
  </si>
  <si>
    <t>Larghezze disponibili:</t>
  </si>
  <si>
    <t>Dostupné stavební šířky:</t>
  </si>
  <si>
    <t>Dostępne szerokości:</t>
  </si>
  <si>
    <t>Elérhető fektetési szélességek:</t>
  </si>
  <si>
    <t>Dostupné konštrukčné šírky:</t>
  </si>
  <si>
    <t>Beschikbare breedtes:</t>
  </si>
  <si>
    <t>Širine, ki so na voljo:</t>
  </si>
  <si>
    <t>Tillgängliga konstruktionsbredder:</t>
  </si>
  <si>
    <t>Tilgængelige bredder:</t>
  </si>
  <si>
    <t>Tilgjengelige byggebredder:</t>
  </si>
  <si>
    <t>Dostupne širine:</t>
  </si>
  <si>
    <t>Information: Lüftungsquerschnitt der Froschmaulluken: ca. 30 cm². Schalung und Trennlage sind entsprechend dem Lüftungsquerschnitt auszuschneiden (Durchmesser: ca. 10 cm). Die Dacheindeckung ist im Randbereich der Ausschnitte umlaufend mit einer 1 cm hohen Aufschweifung zu versehen.</t>
  </si>
  <si>
    <t>Information:
Air intake section of the frog-mouth vents: the air intake section must be taken into account when cutting out the sheathing (approx. 30 cm²) and the separating layer (diameter: approx. 10 cm). The edges of the cut-outs on the roof covering must be surrounded by a raised curve with a height of 1 cm.</t>
  </si>
  <si>
    <t>Pour information : section d’aération des chatières : env. 30 cm². Découper le voligeage et la couche de séparation en tenant compte de la section d’aération (diamètre : env. 10 cm). Border le pourtour de l’ouverture pratiquée dans la couverture en relevant celui-ci d’une hauteur de 1 cm.</t>
  </si>
  <si>
    <t>Informazione: Sezione di ventilazione della bocchetta di aerazione: circa 30 cm². Tavolato e strato separatore devono essere tagliati secondo la sezione di ventilazione (diametro: circa 10 cm). La copertura del tetto deve essere dotata di un rialzo di 1 cm di altezza intorno all'area del bordo dei ritagli.</t>
  </si>
  <si>
    <r>
      <t>Odvětrávací průřez prvku je cca 30 cm</t>
    </r>
    <r>
      <rPr>
        <vertAlign val="superscript"/>
        <sz val="11"/>
        <color indexed="8"/>
        <rFont val="Arial"/>
        <family val="2"/>
      </rPr>
      <t>2</t>
    </r>
    <r>
      <rPr>
        <sz val="11"/>
        <color indexed="8"/>
        <rFont val="Arial"/>
        <family val="2"/>
      </rPr>
      <t xml:space="preserve"> Bednění a separační vrstvu je nutno odpovídajícím způsobem vyříznout (průměr cca 10 cm). Na krytině v místě prostřihu vytvořte zvednutí 1 cm.</t>
    </r>
  </si>
  <si>
    <t>Informacje: Efektywny przekrój wentylacyjny pokrywy wywietrzników ok. 30 cm². Szalunek i warstwa rozdzielająca muszą być wycięte zgodnie z efektywnym przekrojem wentylacyjnym (średnica: ok. 10 cm). Wokół krawędzi wycięć na pokryciu dachowym należy wykonać podgięcie o wysokości 1 cm.</t>
  </si>
  <si>
    <t>Információk: A szellőzőelemek szellőzési keresztmetszete: kb. 30 cm². A zsaluzatot és az elválasztóréteget a szellőzési keresztmetszetnek megfelelően kell kivágni (átmérő: kb. 10 cm). A tetőfedést a kivágások szélénél 1 cm magas felhajtással kell ellátni.</t>
  </si>
  <si>
    <t>Informácia: Vetrací prierez odvetrávacích tvaroviek: cca 30 cm². Debnenie a separačnú vrstvu treba vyrezať podľa vetracieho prierezu (priemer: cca 10 cm). Strešná krytina musí mať v okrajovej oblasti výrezov po celom obvode 1 cm vysoký lem.</t>
  </si>
  <si>
    <t>Informatie: Ventilatie-doorsnede van de kikkermondluiken: ca. 30 cm². De bekisting en de scheidingslaag moeten worden uitgesneden volgens de doorsnede van de ventilatie (diameter: ca. 10 cm). De dakbedekking moet rondom de randzone van de uitsparingen worden voorzien van een opstand van 1 cm hoog.</t>
  </si>
  <si>
    <t>Informacija: Prezračevalni prerez žabjega zračnika: približno 30 cm². Opaž in ločilni sloj je treba izrezati glede na prečni prerez zračnika (premer: pribl. 10 cm). Strešna kritina mora v robnem območju izrezov imeti neprekinjen zavihan rob višine 1 cm.</t>
  </si>
  <si>
    <t>Information: Ventilationstvärsnitt av grodluckor: ca 30 cm². Formsättning och separationsskikt ska skäras ut enligt ventilationstvärsnittet (diameter: ca 10 cm). Takbeläggningen ska förses med en 1 cm hög förhöjning hela vägen runt urskärningarnas kanter.</t>
  </si>
  <si>
    <t>Information: Ventilationstværsnit for tagudluftning: cirka 30 cm². Forskalling og skillelag skal udskæres efter ventilationstværsnittet (diameter: ca. 10 cm). Tagdækningen skal forsynes med en 1 cm høj udblænding hele vejen rundt om udskæringernes kanter.</t>
  </si>
  <si>
    <t>Informasjon: Ventilasjonstverrsnitt for froskemunnformede luker: ca. 30 cm². Forskaling og skillelag skjæres ut i henhold til ventilasjonstverrsnittet (diameter: ca. 10 cm). Takbelegget skal forsynes med 1 cm høy krage hele veien rundt kantene på utskjæringene.</t>
  </si>
  <si>
    <t>Informacija: Slobodni presjek kapa za odzračnik: cca. 30 cm². Oplatu i razdjelni sloj potrebno je izrezati prema slobodnom presjeku (promjer: cca. 10 cm). Rubovi izreza na krovnom pokrovu moraju biti okruženi povišenom krivuljom visine 1 cm.</t>
  </si>
  <si>
    <t>INHALT:</t>
  </si>
  <si>
    <t>CONTENTS:</t>
  </si>
  <si>
    <t>SOMMAIRE :</t>
  </si>
  <si>
    <t>OBSAH:</t>
  </si>
  <si>
    <t>TREŚĆ:</t>
  </si>
  <si>
    <t>TARTALOM:</t>
  </si>
  <si>
    <t>INHOUD:</t>
  </si>
  <si>
    <t>VSEBINA:</t>
  </si>
  <si>
    <t>INNEHÅLL:</t>
  </si>
  <si>
    <t>INDHOLD:</t>
  </si>
  <si>
    <t>INNHOLD:</t>
  </si>
  <si>
    <t>SADRŽAJ:</t>
  </si>
  <si>
    <t>Innenecke</t>
  </si>
  <si>
    <t>internal corner (PREFA)</t>
  </si>
  <si>
    <t>angle rentrant</t>
  </si>
  <si>
    <t>Angolo interno</t>
  </si>
  <si>
    <t>Vnitřní roh</t>
  </si>
  <si>
    <t>Narożnik wewnętrzny</t>
  </si>
  <si>
    <t>belső sarok</t>
  </si>
  <si>
    <t>vnútorný rohový profil</t>
  </si>
  <si>
    <t>Binnenhoek</t>
  </si>
  <si>
    <t>Notranji vogal</t>
  </si>
  <si>
    <t>invändigt hörn</t>
  </si>
  <si>
    <t>Inderhjørne</t>
  </si>
  <si>
    <t>Innerhjørne</t>
  </si>
  <si>
    <t>Unutarnji kut</t>
  </si>
  <si>
    <t>Innenecke gekantet</t>
  </si>
  <si>
    <t>internal corner (canted)</t>
  </si>
  <si>
    <t>angle rentrant plié</t>
  </si>
  <si>
    <t>Vnitřní roh hraněný</t>
  </si>
  <si>
    <t>Narożnik wewnętrzny obrobiony</t>
  </si>
  <si>
    <t>belső sarok, hajtott</t>
  </si>
  <si>
    <t>vnútorný rohový profil ohýbaný</t>
  </si>
  <si>
    <t>Binnenhoek gevoegd</t>
  </si>
  <si>
    <t>Notranji vogal obrobljen</t>
  </si>
  <si>
    <t>Kantat invändigt hörn</t>
  </si>
  <si>
    <t>Inderhjørne kantet</t>
  </si>
  <si>
    <t>Kantet innerhjørne</t>
  </si>
  <si>
    <t>Unutarnji kut, kantiran</t>
  </si>
  <si>
    <t>Innenecke gekantet (Variante 1)</t>
  </si>
  <si>
    <t>internal corner (canted) – (version 1)</t>
  </si>
  <si>
    <t>angle rentrant plié (variante 1)</t>
  </si>
  <si>
    <t>Vnitřní roh hraněný (varianta 1)</t>
  </si>
  <si>
    <t>Narożnik wewnętrzny obrobiony (wariant 1)</t>
  </si>
  <si>
    <t>belső sarok, hajtott (1. változat)</t>
  </si>
  <si>
    <t>vnútorný rohový profil ohýbaný (variant 1)</t>
  </si>
  <si>
    <t>Binnenhoek gevoegd (variant 1)</t>
  </si>
  <si>
    <t>Notranji vogal obrobljen (različica 1)</t>
  </si>
  <si>
    <t>Kantat innerhörn (variant 1)</t>
  </si>
  <si>
    <t>Inderhjørne kantet (variant 1)</t>
  </si>
  <si>
    <t>Kantet innerhjørne (variant 1)</t>
  </si>
  <si>
    <t>Unutarnji kut, kantiran (varijanta 1)</t>
  </si>
  <si>
    <t>Innenecke gekantet (Variante 2)</t>
  </si>
  <si>
    <t>internal corner (canted) – (version 2)</t>
  </si>
  <si>
    <t>angle rentrant plié (variante 2)</t>
  </si>
  <si>
    <t>Vnitřní roh hraněný (varianta 2)</t>
  </si>
  <si>
    <t>Narożnik wewnętrzny obrobiony (wariant 2)</t>
  </si>
  <si>
    <t>belső sarok, hajtott (2. változat)</t>
  </si>
  <si>
    <t>vnútorný rohový profil ohýbaný (variant 2)</t>
  </si>
  <si>
    <t>Binnenhoek gevoegd (variant 2)</t>
  </si>
  <si>
    <t>Notranji vogal obrobljen (različica 2)</t>
  </si>
  <si>
    <t>Kantat innerhörn (variant 2)</t>
  </si>
  <si>
    <t>Inderhjørne kantet (variant 2)</t>
  </si>
  <si>
    <t>Kantet innerhjørne (variant 2)</t>
  </si>
  <si>
    <t>Unutarnji kut, kantiran (varijanta 2)</t>
  </si>
  <si>
    <t>Innenecke gekantet (Variante 3)</t>
  </si>
  <si>
    <t>internal corner (canted) – (version 3)</t>
  </si>
  <si>
    <t>angle rentrant plié (variante 3)</t>
  </si>
  <si>
    <t>Vnitřní roh hraněný (varianta 3)</t>
  </si>
  <si>
    <t>Narożnik wewnętrzny obrobiony (wariant 3)</t>
  </si>
  <si>
    <t>belső sarok, hajtott (3. változat)</t>
  </si>
  <si>
    <t>vnútorný rohový profil ohýbaný (variant 3)</t>
  </si>
  <si>
    <t>Binnenhoek gevoegd (variant 3)</t>
  </si>
  <si>
    <t>Notranji vogal obrobljen (različica 3)</t>
  </si>
  <si>
    <t>Kantat innerhörn (variant 3)</t>
  </si>
  <si>
    <t>Inderhjørne kantet (variant 3)</t>
  </si>
  <si>
    <t>Kantet innerhjørne (variant 3)</t>
  </si>
  <si>
    <t>Unutarnji kut, kantiran (varijanta 3)</t>
  </si>
  <si>
    <t>angle rentrant (longueur : 2 000 mm)</t>
  </si>
  <si>
    <t>angolo interno; L = 2000 mm</t>
  </si>
  <si>
    <t>vnitřní roh, délka 2000 mm</t>
  </si>
  <si>
    <t>Narożnik wewnętrzny L=2000 mm</t>
  </si>
  <si>
    <t>belső sarok profil H = 2.000 mm</t>
  </si>
  <si>
    <t>binnenhoek L = 2000 mm</t>
  </si>
  <si>
    <t>Notranji vogal (dolžina: 2.000 mm)</t>
  </si>
  <si>
    <t>invändigt hörn L = 2.000 mm</t>
  </si>
  <si>
    <t>indvendigt hjørne L = 2.000 mm</t>
  </si>
  <si>
    <t>innvendig hjørne L = 2000 mm</t>
  </si>
  <si>
    <t>Unutarnji kut L = 2.000 mm</t>
  </si>
  <si>
    <t>Innenliegende Kastenrinne</t>
  </si>
  <si>
    <t>internal box gutter</t>
  </si>
  <si>
    <t>chéneau encaissé carré</t>
  </si>
  <si>
    <t>Vnitřní hranatý žlab</t>
  </si>
  <si>
    <t>Rynna wewnętrzna o profilu skrzynkowym</t>
  </si>
  <si>
    <t>belső négyszögszelvényű ereszcsatorna</t>
  </si>
  <si>
    <t>vnútorný hranatý žľab</t>
  </si>
  <si>
    <t>Interne doosgoot</t>
  </si>
  <si>
    <t>Notranji pravokotni žleb</t>
  </si>
  <si>
    <t>invändig lådränna</t>
  </si>
  <si>
    <t>Indvendig kassetagrende</t>
  </si>
  <si>
    <t>Innvendig firkantrenne</t>
  </si>
  <si>
    <t>Unutarnji sandučasti žlijeb</t>
  </si>
  <si>
    <t>Innenrinnenwinkel (W3 über 90°)</t>
  </si>
  <si>
    <t>internal gutter corner (W3 over 90°)</t>
  </si>
  <si>
    <t>équerre pour angle rentrant de gouttière (W3 supérieur à 90°)</t>
  </si>
  <si>
    <t>Angolo interno della grondaia (A3 superiore a 90°)</t>
  </si>
  <si>
    <t>Roh žlabu vnitřní (W3 více než 90°)</t>
  </si>
  <si>
    <t>Wewnętrzny narożnik rynny (W3 powyżej 90°)</t>
  </si>
  <si>
    <t>belső ereszcsatorna sarokelem (W3 90° felett)</t>
  </si>
  <si>
    <t>vnútorný roh polkruhového žľabu (W3 nad 90°)</t>
  </si>
  <si>
    <t>Inwendige goothoek (W3 boven 90°)</t>
  </si>
  <si>
    <t>Notranji vogalnik žleba (W3 nad 90°)</t>
  </si>
  <si>
    <t>Invändig rännvinkel (W3 över 90°)</t>
  </si>
  <si>
    <t>Inderrendevinkel (W3 over 90°)</t>
  </si>
  <si>
    <t>Innvendig rennevinkel (W3 over 90°)</t>
  </si>
  <si>
    <t>Kutni element unutarnjeg žlijeba (W3 preko 90°)</t>
  </si>
  <si>
    <t>Innenrinnenwinkel (W3 unter 90°)</t>
  </si>
  <si>
    <t>internal gutter corner (W3 below 90°)</t>
  </si>
  <si>
    <t>équerre pour angle rentrant de gouttière (W3 inférieur à 90°)</t>
  </si>
  <si>
    <t>Angolo interno della grondaia (A3 inferiore a 90°)</t>
  </si>
  <si>
    <t>Roh žlabu vnitřní (W3 méně než 90°)</t>
  </si>
  <si>
    <t>Wewnętrzny narożnik rynny (W3 poniżej 90°)</t>
  </si>
  <si>
    <t>belső ereszcsatorna sarokelem (W3 90° alatt)</t>
  </si>
  <si>
    <t>vnútorný roh polkruhového žľabu (W3 pod 90°)</t>
  </si>
  <si>
    <t>Inwendige goothoek (W3 onder 90°)</t>
  </si>
  <si>
    <t>Notranji vogalnik žleba (W3 pod 90°)</t>
  </si>
  <si>
    <t>Innerrännans vinkel (W3 under 90°)</t>
  </si>
  <si>
    <t>Inderrendevinkel (W3 under 90°)</t>
  </si>
  <si>
    <t>Innvendig rennevinkel (W3 under 90°)</t>
  </si>
  <si>
    <t>Kutni element unutarnjeg žlijeba (W3 ispod 90°)</t>
  </si>
  <si>
    <t>Isolator</t>
  </si>
  <si>
    <t>thermal break</t>
  </si>
  <si>
    <t>cale de rupture de pont thermique</t>
  </si>
  <si>
    <t>Elemento isolante</t>
  </si>
  <si>
    <t>Izolátor</t>
  </si>
  <si>
    <t>Szigetelő</t>
  </si>
  <si>
    <t>izolátor</t>
  </si>
  <si>
    <t>Izolator</t>
  </si>
  <si>
    <t>Isolator (Thermostopper)</t>
  </si>
  <si>
    <t>Elemento isolante (thermostop)</t>
  </si>
  <si>
    <t>Izolátor (Thermostopper)</t>
  </si>
  <si>
    <t>Materiał izolacyjny (Thermostopper)</t>
  </si>
  <si>
    <t>Szigetelő (hőgátló)</t>
  </si>
  <si>
    <t>izolátor (prerušenie tepelného mostu)</t>
  </si>
  <si>
    <t>Izolator (Thermostop)</t>
  </si>
  <si>
    <t>Isolator (termostopper)</t>
  </si>
  <si>
    <t>Izolator (termički stoper)</t>
  </si>
  <si>
    <t>ja</t>
  </si>
  <si>
    <t>yes</t>
  </si>
  <si>
    <t>oui</t>
  </si>
  <si>
    <t>sì</t>
  </si>
  <si>
    <t>Ano</t>
  </si>
  <si>
    <t>tak</t>
  </si>
  <si>
    <t>igen</t>
  </si>
  <si>
    <t>Áno</t>
  </si>
  <si>
    <t>da</t>
  </si>
  <si>
    <t>Ja</t>
  </si>
  <si>
    <t>Jet-Lüfter</t>
  </si>
  <si>
    <t>ridge vent</t>
  </si>
  <si>
    <t>faîtière ventilée</t>
  </si>
  <si>
    <t>Copricolmo ventilato</t>
  </si>
  <si>
    <t>JET-LÜFTER</t>
  </si>
  <si>
    <t>Gąsior wentylacyjny</t>
  </si>
  <si>
    <t>szellőző gerincelem (Jet Lüfter)</t>
  </si>
  <si>
    <t>odvetrávací hrebenáč Jet-Lüfter</t>
  </si>
  <si>
    <t>Straalventilator</t>
  </si>
  <si>
    <t>Jet zračni slemenjak</t>
  </si>
  <si>
    <t>jetfläkt</t>
  </si>
  <si>
    <t>Jet-ventilator</t>
  </si>
  <si>
    <t>Kanalventilasjon</t>
  </si>
  <si>
    <t>Jet-odzračnik</t>
  </si>
  <si>
    <t>FAÎTIÈRE VENTILÉE</t>
  </si>
  <si>
    <t>GĄSIOR WENTYLACYJNY</t>
  </si>
  <si>
    <t>SZELLŐZŐ GERINCELEM (JET LÜFTER)</t>
  </si>
  <si>
    <t>ODVETRÁVACÍ HREBENÁČ JET-LÜFTER</t>
  </si>
  <si>
    <t>STRAALVENTILATOR</t>
  </si>
  <si>
    <t>JET ZRAČNI SLEMENJAK</t>
  </si>
  <si>
    <t>JETFLÄKT</t>
  </si>
  <si>
    <t>JET-VENTILATOR</t>
  </si>
  <si>
    <t>KANALVENTILASJON</t>
  </si>
  <si>
    <t>JET-ODZRAČNIK</t>
  </si>
  <si>
    <t>Jet-Lüfter (stucco; 1.200 mm); inkl. Niro-Schraube und Dichtscheibe</t>
  </si>
  <si>
    <t>ridge vent, stucco (1,200 mm), including stainless steel screw and sealing washer</t>
  </si>
  <si>
    <t>faîtière ventilée (stucco ; 1 200 mm) ; fournie avec vis inox et rondelle d’étanchéité</t>
  </si>
  <si>
    <t>Copricolmo ventilato (1.200mm) incl. vite inox e rondella di tenuta</t>
  </si>
  <si>
    <t>Jet-Lüfter stucco (1.200mm) včetně nerez. vrutu a těs. podložky</t>
  </si>
  <si>
    <t>gąsior wentylowany, stucco (1,200 mm), z wkrętami ze stali nierdzewnej i uszczelnieniem</t>
  </si>
  <si>
    <t>Jet Lüfter szellőző gerincelem (1.200mm) rozsdamentes csavarral és tömítő alátéttel</t>
  </si>
  <si>
    <t>odvetrávací hrebenáč Jet-Lüfter, stucco (1.200 mm) vrátane nerezovej skrutky s tesniacou podložkou</t>
  </si>
  <si>
    <t>jetventilator stucco (1200 mm) incl. Niro-schr. en afdichtingsch.</t>
  </si>
  <si>
    <t xml:space="preserve">PREfa Jet-zračni slemenjak stucco (1.200 mm) vklj. S kleparskimi nerjavečimi vijaki </t>
  </si>
  <si>
    <t>Jet-ventilation stuckatur (1.200 mm) inkl. Niro-skruv och tätningsbricka</t>
  </si>
  <si>
    <t>jet-ventilator (1.200 mm) inkl. Niro-skrue og tætningsskive.</t>
  </si>
  <si>
    <t>kanalventilasjon stucco (1200 mm) inkl. skrue i rustfritt stål og tetn.skive</t>
  </si>
  <si>
    <t>Jet-odzračnik (stucco; 1.200 mm); uklj. nehrđajući vijak i brtvena podloga</t>
  </si>
  <si>
    <t>Jet-Lüfter (stucco; 3.000 mm); inkl. Niro-Schraube und Dichtscheibe</t>
  </si>
  <si>
    <t>ridge vent, stucco (3,000 mm), including stainless steel screw and sealing washer</t>
  </si>
  <si>
    <t>faîtière ventilée (stucco ; 3 000 mm) ; fournie avec vis inox et rondelle d’étanchéité</t>
  </si>
  <si>
    <t>Copricolmo ventilato (3000mm) incl. vite inox e rondella di tenuta</t>
  </si>
  <si>
    <t>Jet-Lüfter stucco (3.000mm)  včetně nerez. vrutu a těs. podložky</t>
  </si>
  <si>
    <t>gąsior wentylowany, stucco (3,000 mm), z wkrętami ze stali nierdzewnej i uszczelnieniem</t>
  </si>
  <si>
    <t>Jet Lüfter szellőző gerincelem (3.000mm) rozsdamentes csavarral és tömítő alátéttel</t>
  </si>
  <si>
    <t>odvetrávací hrebenáč Jet-Lüfter, stucco (3.000 mm) vrátane nerezovej skrutky s tesniacou podložkou</t>
  </si>
  <si>
    <t>jetventilator stucco (3.000mm) incl. Niro-schr. en afdichtingsch.</t>
  </si>
  <si>
    <t xml:space="preserve">PREfa Jet-zračni slemenjak stucco (3.000 mm) vklj. S kleparskimi nerjavečimi vijaki </t>
  </si>
  <si>
    <t>Jet-ventilation stuckatur (3.000 mm) inkl. Niro-skruv och tätningsbricka</t>
  </si>
  <si>
    <t>jet-ventilator (3.000mm) inkl. Niro-skrue og tætningsskive.</t>
  </si>
  <si>
    <t>kanalventilasjon stucco (3000 mm) inkl. skrue i rustfritt stål og tetn.skive</t>
  </si>
  <si>
    <t>Jet-odzračnik (stucco; 3.000 mm); uklj. nehrđajući vijak i brtvena podloga</t>
  </si>
  <si>
    <t>Jet-Lüfter-Vorkopf (stucco)</t>
  </si>
  <si>
    <t>ridge vent end piece, stucco</t>
  </si>
  <si>
    <t>about de faîtière ventilée (stucco)</t>
  </si>
  <si>
    <t>Testata per copricolmo ventilato, goffrata</t>
  </si>
  <si>
    <t>Ukončovací prvek pro Jet-Lüfter</t>
  </si>
  <si>
    <t>końcówka gąsiora wentylowanego, stucco</t>
  </si>
  <si>
    <t>végelem szellőző gerincelemhez stukkó</t>
  </si>
  <si>
    <t xml:space="preserve">ukončujúci prvok pre odvetrávací hrebenáč Jet-Lüfter </t>
  </si>
  <si>
    <t>jetventilator-eindstuk stucco</t>
  </si>
  <si>
    <t>jet-začetni slemenjak stucco</t>
  </si>
  <si>
    <t>Jet-ventilation ändstycke stuckatur</t>
  </si>
  <si>
    <t>jet-ventilator endestykke stucco</t>
  </si>
  <si>
    <t>kanalventilasjon endestykke stucco</t>
  </si>
  <si>
    <t>Jet-odzračnik-čelo žlijeba (stucco)</t>
  </si>
  <si>
    <t>Kabelführungsrohr</t>
  </si>
  <si>
    <t>cable conduit</t>
  </si>
  <si>
    <t>tube pour le passage de câbles</t>
  </si>
  <si>
    <t>Tubo con condotto per cavi</t>
  </si>
  <si>
    <t>trubka vedení kabelů</t>
  </si>
  <si>
    <t>Przepust kablowy</t>
  </si>
  <si>
    <t>Kábelcsatorna</t>
  </si>
  <si>
    <t>rúrka na vedenie kábla</t>
  </si>
  <si>
    <t>Kabelgeleidingsbuis</t>
  </si>
  <si>
    <t>Cev za napeljavo kablov</t>
  </si>
  <si>
    <t>kabelstyrningsrör</t>
  </si>
  <si>
    <t>Kabelkanal</t>
  </si>
  <si>
    <t>Kabelføringsrør</t>
  </si>
  <si>
    <t>Cijev za vođenje kabela</t>
  </si>
  <si>
    <t>Kabelführungsrohr (Ø 25)</t>
  </si>
  <si>
    <t>cable conduit (diameter 25)</t>
  </si>
  <si>
    <t>tube pour le passage de câbles (⌀ 25)</t>
  </si>
  <si>
    <t>Tubo con condotto per cavi (Ø 25)</t>
  </si>
  <si>
    <t>trubka vedení kabelů Ø 25 mm</t>
  </si>
  <si>
    <t>Przepust kablowy (Ø 25)</t>
  </si>
  <si>
    <t>Kábelcsatorna (Ø 25)</t>
  </si>
  <si>
    <t>rúrka na vedenie kábla (Ø 25)</t>
  </si>
  <si>
    <t>Kabelgeleidingsbuis (Ø 25)</t>
  </si>
  <si>
    <t>Cev za napeljavo kablov (Ø 25)</t>
  </si>
  <si>
    <t>kabelstyrningsrör (Ø 25)</t>
  </si>
  <si>
    <t>Kabelkanal (Ø 25)</t>
  </si>
  <si>
    <t>Kabelføringsrør (Ø 25)</t>
  </si>
  <si>
    <t>Cijev za vođenje kabela (Ø 25)</t>
  </si>
  <si>
    <t>Kabelführungsrohr (z. B. Solar)</t>
  </si>
  <si>
    <t>cable conduit (e.g. Solar)</t>
  </si>
  <si>
    <t>tube pour le passage de câbles (accessoires pour panneaux solaires par exemple)</t>
  </si>
  <si>
    <t>Tubo con condotto per cavi (ad es. solare)</t>
  </si>
  <si>
    <t>trubka vedení kabelů, např. Solar</t>
  </si>
  <si>
    <t>Przepust kablowy (np. do paneli fotowoltaicznych)</t>
  </si>
  <si>
    <t>Kábelcsatorna (pl. Solar)</t>
  </si>
  <si>
    <t>rúrka na vedenie kábla (napr. Solar)</t>
  </si>
  <si>
    <t>Kabelgeleidingsbuis (bijv. zonne-energie)</t>
  </si>
  <si>
    <t>Cev za napeljavo kablov (npr. solarni sistem)</t>
  </si>
  <si>
    <t>kabelstyrningsrör (t.ex. solenergi)</t>
  </si>
  <si>
    <t>Kabelkanal (f.eks. Solar)</t>
  </si>
  <si>
    <t>Kabelføringsrør (f.eks. til solcelle)</t>
  </si>
  <si>
    <t>Cijev za vođenje kabela (npr. solar)</t>
  </si>
  <si>
    <t>Kaminhut (1.000 × 700 mm)</t>
  </si>
  <si>
    <t>chimney cap ( 1,000 × 700 mm)</t>
  </si>
  <si>
    <t>chapeau de cheminée (1 000 × 700 mm)</t>
  </si>
  <si>
    <t>Cappello camino 1.000 x 700 mm</t>
  </si>
  <si>
    <t xml:space="preserve"> Kryt komínu - Napoleon.000 x 700 mm</t>
  </si>
  <si>
    <t>daszek kominowy ( 1,000 × 700 mm)</t>
  </si>
  <si>
    <t>kéményfedél 1000 x 700 mm</t>
  </si>
  <si>
    <t>komínová strieška 1.000 x 700 mm</t>
  </si>
  <si>
    <t>schoorsteenkap 1000 x 700 mm</t>
  </si>
  <si>
    <t>iskrolov za dimnik 1000x700mm</t>
  </si>
  <si>
    <t>skorstenshuv 1.000 x 700 mm</t>
  </si>
  <si>
    <t>skorstenshat 1.000 x 700 mm</t>
  </si>
  <si>
    <t>pipehatt 1000 x 700 mm</t>
  </si>
  <si>
    <t>Dimnjačka kapa (1.000 × 700 mm)</t>
  </si>
  <si>
    <t>Kaminhut (1.100 × 800 mm)</t>
  </si>
  <si>
    <t>chimney cap ( 1,100 × 800 mm)</t>
  </si>
  <si>
    <t>chapeau de cheminée (1 100 × 800 mm)</t>
  </si>
  <si>
    <t>Cappello camino 1.100 x 800 mm</t>
  </si>
  <si>
    <t xml:space="preserve"> Kryt komínu - Napoleon 1.100 x 800 mm</t>
  </si>
  <si>
    <t>daszek kominowy ( 1,100 × 800 mm)</t>
  </si>
  <si>
    <t>kéményfedél 1.100 x 800 mm</t>
  </si>
  <si>
    <t>komínová strieška 1.100 x 800 mm</t>
  </si>
  <si>
    <t>schoorsteenkap 1100 x 800 mm</t>
  </si>
  <si>
    <t>iskrolov za dimnik 1100x800mm</t>
  </si>
  <si>
    <t>skorstenshuv 1 100 x 800 mm</t>
  </si>
  <si>
    <t>skorstenshat 1.100 x 800 mm</t>
  </si>
  <si>
    <t>pipehatt 1100 x 800 mm</t>
  </si>
  <si>
    <t>Dimnjačka kapa (1.100 × 800 mm)</t>
  </si>
  <si>
    <t>chapeau de cheminée (1 500 × 800 mm)</t>
  </si>
  <si>
    <t>Kaminhut (700 × 700 mm)</t>
  </si>
  <si>
    <t>chimney cap ( 700 × 700 mm)</t>
  </si>
  <si>
    <t>chapeau de cheminée (700 × 700 mm)</t>
  </si>
  <si>
    <t>Cappello camino 700 x 700 mm</t>
  </si>
  <si>
    <t>Kryt komínu - Napoleon 700 x 700 mm</t>
  </si>
  <si>
    <t>daszek kominowy ( 700 × 700 mm)</t>
  </si>
  <si>
    <t>kéményfedél 700 x 700 mm</t>
  </si>
  <si>
    <t>komínová strieška 700 x 700 mm</t>
  </si>
  <si>
    <t>schoorsteenkap 700 x 700 mm</t>
  </si>
  <si>
    <t>iskrolov za dimnik 700x700mm</t>
  </si>
  <si>
    <t>skorstenshuv 700 x 700 mm</t>
  </si>
  <si>
    <t>skorstenshat 700 x 700 mm</t>
  </si>
  <si>
    <t>pipehatt 700 x 700 mm</t>
  </si>
  <si>
    <t>Dimnjačka kapa (700 × 700 mm)</t>
  </si>
  <si>
    <t>Kaminhut (800 × 800 mm)</t>
  </si>
  <si>
    <t>chimney cap ( 800 × 800 mm)</t>
  </si>
  <si>
    <t>chapeau de cheminée (800 × 800 mm)</t>
  </si>
  <si>
    <t>Cappello camino 800 x 800 mm</t>
  </si>
  <si>
    <t xml:space="preserve"> Kryt komínu - Napoleon 800 x 800 mm</t>
  </si>
  <si>
    <t>daszek kominowy ( 800 × 800 mm)</t>
  </si>
  <si>
    <t>kéményfedél 800 x 800 mm</t>
  </si>
  <si>
    <t>komínová strieška 800 x 800 mm</t>
  </si>
  <si>
    <t>schoorsteenkap 800 x 800 mm</t>
  </si>
  <si>
    <t>iskrolov za dimnik 800x800mm</t>
  </si>
  <si>
    <t>skorstenshuv 800 x 800 mm</t>
  </si>
  <si>
    <t>skorstenshat 800 x 800 mm</t>
  </si>
  <si>
    <t>pipehatt 800 x 800 mm</t>
  </si>
  <si>
    <t>Dimnjačka kapa (800 × 800 mm)</t>
  </si>
  <si>
    <t>Kaminstrebe gebogen</t>
  </si>
  <si>
    <t>chimney cap leg, bent</t>
  </si>
  <si>
    <t>pied incurvé</t>
  </si>
  <si>
    <t>Staffa cappello camino</t>
  </si>
  <si>
    <t>Vzpěra krytu komínu - ohýbaná</t>
  </si>
  <si>
    <t xml:space="preserve">Profil mocujący daszka kominowego </t>
  </si>
  <si>
    <t>kéményfedél tartó</t>
  </si>
  <si>
    <t>Výstuha komínovej striešky</t>
  </si>
  <si>
    <t>Schoorsteenstrook gebogen</t>
  </si>
  <si>
    <t>opora za dimniški iskrolov</t>
  </si>
  <si>
    <t>Skorstensstötta, böjd</t>
  </si>
  <si>
    <t>Bukket skorstensstøtte</t>
  </si>
  <si>
    <t>Bøyd pipestag</t>
  </si>
  <si>
    <t>Potpora za dimnjak, koljeno</t>
  </si>
  <si>
    <t>Kappleiste (Kittleiste)</t>
  </si>
  <si>
    <t>counter flashing (plaster sealing strip) ????</t>
  </si>
  <si>
    <t>solin (bande de solin fixée par joint mastic)</t>
  </si>
  <si>
    <t>Coprifuga (striscia stuccata)</t>
  </si>
  <si>
    <t>Poprzeczka (listwa mocowana na kit)</t>
  </si>
  <si>
    <t>fedőléc (gittléc)</t>
  </si>
  <si>
    <t>krycia lišta (tmelová lišta)</t>
  </si>
  <si>
    <t>Snijstrook (stopverfstrook)</t>
  </si>
  <si>
    <t>Odkapna letev (zaključna letvica)</t>
  </si>
  <si>
    <t>kaplist (spackelremsa)</t>
  </si>
  <si>
    <t>Kapliste (spartelliste)</t>
  </si>
  <si>
    <t>Avslutningslist (kittlist)</t>
  </si>
  <si>
    <t>Lajsna s kapom (brtvena lajsna)</t>
  </si>
  <si>
    <t>Kappleiste (Kittputzleiste)</t>
  </si>
  <si>
    <t>counter flashing (plaster sealing strip)</t>
  </si>
  <si>
    <t>solin (bande de solin fixée par joint mastic et enduit de parement)</t>
  </si>
  <si>
    <t>Coprifuga (striscia di stucco)</t>
  </si>
  <si>
    <t>Poprzeczka (listwa mocowana na kit lub gips)</t>
  </si>
  <si>
    <t>fedőszalag (vakolattömítő szalag)</t>
  </si>
  <si>
    <t>krycia lišta (tmelová omietková lišta)</t>
  </si>
  <si>
    <t>Kruissnijstrook (plamuurstrook)</t>
  </si>
  <si>
    <t>Odkapna letev (nadometna zaključna letvica)</t>
  </si>
  <si>
    <t>kaplist (spackelgipslist)</t>
  </si>
  <si>
    <t>Kapliste (pudseliste)</t>
  </si>
  <si>
    <t>Avslutningslist (kittgipslist)</t>
  </si>
  <si>
    <t>Lajsna s kapom (gipsana brtvena lajsna)</t>
  </si>
  <si>
    <t>Karton</t>
  </si>
  <si>
    <t>box</t>
  </si>
  <si>
    <t>carton</t>
  </si>
  <si>
    <t>Cartone</t>
  </si>
  <si>
    <t>Krabice</t>
  </si>
  <si>
    <t>opak.</t>
  </si>
  <si>
    <t>doboz</t>
  </si>
  <si>
    <t>Krabica</t>
  </si>
  <si>
    <t>Doos</t>
  </si>
  <si>
    <t>škatla</t>
  </si>
  <si>
    <t>kartong</t>
  </si>
  <si>
    <t>Kartong</t>
  </si>
  <si>
    <t>Kutija</t>
  </si>
  <si>
    <t>box gutter</t>
  </si>
  <si>
    <t>Canale quadro</t>
  </si>
  <si>
    <t>hranatý žlab</t>
  </si>
  <si>
    <t>Rynna o profilu skrzynkowym</t>
  </si>
  <si>
    <t>négyszögszelvényű ereszcsatorna</t>
  </si>
  <si>
    <t>hranatý žľab</t>
  </si>
  <si>
    <t>Bakgoot</t>
  </si>
  <si>
    <t>Pravokotni žleb</t>
  </si>
  <si>
    <t>lådränna</t>
  </si>
  <si>
    <t>Firkantet tagrende</t>
  </si>
  <si>
    <t>Firkantet renne</t>
  </si>
  <si>
    <t>Kastenrinnen-Dila mit Wulst und Blende</t>
  </si>
  <si>
    <t>box gutter expansion joint with bead and cover plate</t>
  </si>
  <si>
    <t>joint de dilatation avec boudin et cache (gouttière carrée)</t>
  </si>
  <si>
    <t>Elemento di dilatazione per canale quadro con ricciolo e scossalina</t>
  </si>
  <si>
    <t>Žlabová dilatace hranatá s návalkou a krytem gumy</t>
  </si>
  <si>
    <t>Dylatacja rynny prostokątnej z wałkiem i przysłoną</t>
  </si>
  <si>
    <t>négyszögszelvényű ereszcsatorna dilatációs elem takaróelemmel</t>
  </si>
  <si>
    <t>dilatačný prvok hranatého zľabu s návalkom a krytom</t>
  </si>
  <si>
    <t>bakgoot-Dila met rand en kap</t>
  </si>
  <si>
    <t>dilatacija za pravokotni žleb z zavitkom in zaslonko</t>
  </si>
  <si>
    <t>expanderingsskarv för lådränna med vulst och täckkåpebleck</t>
  </si>
  <si>
    <t>kasserendeudvidelse med vulst og blænde</t>
  </si>
  <si>
    <t>skjøtestykke for firkantrenne med vulst og dekkplate</t>
  </si>
  <si>
    <t>Dilatacija sandučastog žlijeba s opšavom i blendom</t>
  </si>
  <si>
    <t>Kastenrinnen-Dila ohne Wulst und Blende</t>
  </si>
  <si>
    <t>box gutter expansion joint without bead or cover plate</t>
  </si>
  <si>
    <t>joint de dilatation sans boudin ni cache (gouttière carrée)</t>
  </si>
  <si>
    <t>Elemento di dilatazione per canale quadro senza ricciolo e scossalina</t>
  </si>
  <si>
    <t>négyszögszelvényű ereszcsatorna dilatációs elem takaróelem nélkül</t>
  </si>
  <si>
    <t>dilatačný prvok hranatého zľabu bez návalku a krytu</t>
  </si>
  <si>
    <t>bakgoot-Dila zonder rand en kap</t>
  </si>
  <si>
    <t>dilatacija za pravokotni žleb brez zavitka in zaslonke</t>
  </si>
  <si>
    <t>expanderingsskarv för lådränna utan vulst och täckkåpebleck</t>
  </si>
  <si>
    <t>kasserendeudvidelse uden vulst og blænde</t>
  </si>
  <si>
    <t>skjøtestykke for firkantrenne uten vulst og dekkplate</t>
  </si>
  <si>
    <t>Dilatacija sandučastog žljeba bez opšava i blende</t>
  </si>
  <si>
    <t>Kastenrinnenendboden</t>
  </si>
  <si>
    <t>box gutter end cap</t>
  </si>
  <si>
    <t>fond de gouttière carrée</t>
  </si>
  <si>
    <t>Testata per canale quadro</t>
  </si>
  <si>
    <t>Čelo žlabu pro hranaté žlaby</t>
  </si>
  <si>
    <t>Denko rynny</t>
  </si>
  <si>
    <t>négyszögszelvényű ereszcsatorna végelem</t>
  </si>
  <si>
    <t>čelo hranatého zľabu</t>
  </si>
  <si>
    <t>bakgootbodem</t>
  </si>
  <si>
    <t>zapora za pravokotni žleb</t>
  </si>
  <si>
    <t>lådrännegavel</t>
  </si>
  <si>
    <t>kasserendeendebund</t>
  </si>
  <si>
    <t>endebunn firkantrenne</t>
  </si>
  <si>
    <t>Čelo sandučastog žlijeba</t>
  </si>
  <si>
    <t>fond de gouttière carrée 500 (gauche)</t>
  </si>
  <si>
    <t>fond de gouttière carrée 500 (droite)</t>
  </si>
  <si>
    <t>Kastenrinnenkessel</t>
  </si>
  <si>
    <t>box gutter outlet</t>
  </si>
  <si>
    <t>naissance de gouttière carrée</t>
  </si>
  <si>
    <t>Bocchetta di scarico per canale quadro</t>
  </si>
  <si>
    <t>Hranatý kotlík</t>
  </si>
  <si>
    <t>Wylot rynny prostokątnej</t>
  </si>
  <si>
    <t>négyszögszelvényű ereszcsatorna betorkoló elem</t>
  </si>
  <si>
    <t>kotlík hranatého zľabu</t>
  </si>
  <si>
    <t>bakgootvergaarbak</t>
  </si>
  <si>
    <t xml:space="preserve">kotliček za pravokotni žleb </t>
  </si>
  <si>
    <t>omvikningskupa rektangulär lådränna till runda rör</t>
  </si>
  <si>
    <t>kasserendefordybning</t>
  </si>
  <si>
    <t>tappstykke for firkantrenne</t>
  </si>
  <si>
    <t>Odvod sandučastog žlijeba</t>
  </si>
  <si>
    <t>Kastenrinnenwinkel 90° (außen)</t>
  </si>
  <si>
    <t>external box gutter mitre 90°</t>
  </si>
  <si>
    <t>équerre de gouttière carrée 90° (angle sortant)</t>
  </si>
  <si>
    <t>Angolo esterno 90° per canale quadro</t>
  </si>
  <si>
    <t>Roh hranatého žlabu vnější 90°</t>
  </si>
  <si>
    <t>Narożnik rynny prostokątnej zew. 90°</t>
  </si>
  <si>
    <t>négyszögszelvényű ereszcsatorna külső szeglet 90°</t>
  </si>
  <si>
    <t>roh hranatého zľabu vonkajší 90°</t>
  </si>
  <si>
    <t>bakgoothoek buiten 90°</t>
  </si>
  <si>
    <t>vogalnik za pravokotni žleb, zunanji 90o</t>
  </si>
  <si>
    <t>lådränna utvändig vinkel 90°</t>
  </si>
  <si>
    <t>kasserendevinkel udvendig 90°</t>
  </si>
  <si>
    <t>firkantrennevinkel utvendig 90°</t>
  </si>
  <si>
    <t>Kutni element sandučastog žlijeba 90° (vanjski)</t>
  </si>
  <si>
    <t>Kastenrinnenwinkel 90° (innen)</t>
  </si>
  <si>
    <t>internal box gutter mitre 90°</t>
  </si>
  <si>
    <t>équerre de gouttière carrée 90° (angle rentrant)</t>
  </si>
  <si>
    <t>Angolo interno 90° per canale quadro</t>
  </si>
  <si>
    <t>Roh hranatého žlabu vnitřní 90°</t>
  </si>
  <si>
    <t>Narożnik rynny prostokątnej wew. 90°</t>
  </si>
  <si>
    <t>négyszögszelvényű ereszcsatorna belső szeglet 90°</t>
  </si>
  <si>
    <t>roh hranatého zľabu vnútorný 90°</t>
  </si>
  <si>
    <t>bakgoothoek binnen 90°</t>
  </si>
  <si>
    <t>vogalnik za pravokotni žleb, notranji 90o</t>
  </si>
  <si>
    <t>lådränna invändig vinkel 90°</t>
  </si>
  <si>
    <t>kasserendevinkel indvendig 90°</t>
  </si>
  <si>
    <t>firkantrennevinkel innvendig 90°</t>
  </si>
  <si>
    <t>Kutni element sandučastog žlijeba 90° (unutarnji)</t>
  </si>
  <si>
    <t>Kehlblech</t>
  </si>
  <si>
    <t>valley flashing</t>
  </si>
  <si>
    <t>tôle de noue</t>
  </si>
  <si>
    <t>Lamiera del compluvio</t>
  </si>
  <si>
    <t>úžlabní plech</t>
  </si>
  <si>
    <t>Blacha kosza</t>
  </si>
  <si>
    <t>vápalemez</t>
  </si>
  <si>
    <t>oplechovanie úžľabia</t>
  </si>
  <si>
    <t>Gootplaat</t>
  </si>
  <si>
    <t>Pločevina za žloto</t>
  </si>
  <si>
    <t>kilplåt</t>
  </si>
  <si>
    <t>Kileliste</t>
  </si>
  <si>
    <t>Vinkelrenneplate</t>
  </si>
  <si>
    <t>Lim za uvalu</t>
  </si>
  <si>
    <t>Kehlenausbildung mit einfacher Kehle</t>
  </si>
  <si>
    <t>valley construction with simple valley</t>
  </si>
  <si>
    <t>pose d’une noue — noue simple</t>
  </si>
  <si>
    <t>Raccordo di compluvio con scossalina singola</t>
  </si>
  <si>
    <t>Úžlabí s jednoduchou drážkou</t>
  </si>
  <si>
    <t>Wykonanie kosza z pojedynczym koszem</t>
  </si>
  <si>
    <t>vápakialakítás egyszeres vápával</t>
  </si>
  <si>
    <t>vytvorenie úžľabia pomocou jednoduchého úžľabia</t>
  </si>
  <si>
    <t>Gootstukvorming met enkele gootstuk</t>
  </si>
  <si>
    <t>Oblikovanje žlote z enostavno žloto</t>
  </si>
  <si>
    <t>kilutformning med enkelkil</t>
  </si>
  <si>
    <t>Kiledesign med enkelt kile</t>
  </si>
  <si>
    <t>Vinkelrenneoppbygging med enkel vinkelrenne</t>
  </si>
  <si>
    <t>Konstrukcija uvale s jednostavnom uvalom</t>
  </si>
  <si>
    <t>Kehlenausbildung mit vertiefter Kehle</t>
  </si>
  <si>
    <t>valley construction with recessed valley</t>
  </si>
  <si>
    <t>pose d’une noue — noue encaissée</t>
  </si>
  <si>
    <t>Raccordo di compluvio con scossalina incassata</t>
  </si>
  <si>
    <t>Úžlabí zapuštěné</t>
  </si>
  <si>
    <t>Wykonanie kosza z pogłębionym koszem</t>
  </si>
  <si>
    <t>vápakialakítás mélyített vápával</t>
  </si>
  <si>
    <t>vytvorenie úžľabia pomocou zapusteného úžľabia</t>
  </si>
  <si>
    <t>Gootstuk met verzonken gootstuk</t>
  </si>
  <si>
    <t>Oblikovanje žlote s poglobljeno žloto</t>
  </si>
  <si>
    <t>kilutformning med fördjupad kil</t>
  </si>
  <si>
    <t>Kiledesign med forsænket kile</t>
  </si>
  <si>
    <t>Vinkelrenneoppbygging med fordypet vinkelrenne</t>
  </si>
  <si>
    <t>Konstrukcija uvale s udubljenom uvalom</t>
  </si>
  <si>
    <t>Kehlenausbildung mit Sicherheitskehle</t>
  </si>
  <si>
    <t>valley construction with safety valley</t>
  </si>
  <si>
    <t>pose d’une noue — noue de sécurité</t>
  </si>
  <si>
    <t>Raccordo di compluvio con ripiega di sicurezza</t>
  </si>
  <si>
    <t>Úžlabí s použitím bezpečnostního úžlabí</t>
  </si>
  <si>
    <t>Wykonanie kosza z koszem zabezpieczającym</t>
  </si>
  <si>
    <t>vápakialakítás biztonsági vápával</t>
  </si>
  <si>
    <t>vytvorenie úžľabia pomocou bezpečnostného úžľabia</t>
  </si>
  <si>
    <t>Gootstuk met veiligheidsstuk</t>
  </si>
  <si>
    <t>Oblikovanje žlote z varnostno žloto</t>
  </si>
  <si>
    <t>kilutformning med säkerhetskil</t>
  </si>
  <si>
    <t>Kiledesign med sikkerhedskile</t>
  </si>
  <si>
    <t>Vinkelrenneoppbygging med sikkerhetsvinkelrenne</t>
  </si>
  <si>
    <t>Konstrukcija uvale sa sigurnosnom uvalom</t>
  </si>
  <si>
    <t>Keine Baubreiten mit</t>
  </si>
  <si>
    <t>No visible width</t>
  </si>
  <si>
    <t>Non disponibili larghezze utili con questa combinazione di superficie e colore</t>
  </si>
  <si>
    <t xml:space="preserve"> Žádné stavební šířky s</t>
  </si>
  <si>
    <t>brak szerokości z</t>
  </si>
  <si>
    <t>nincs ilyen szélesség</t>
  </si>
  <si>
    <t>Táto šírka nie je k dispozícii</t>
  </si>
  <si>
    <t>Geen bouwbreedtes met</t>
  </si>
  <si>
    <t>Nobenih širin z</t>
  </si>
  <si>
    <t>Inga byggbredder med</t>
  </si>
  <si>
    <t>Ingen byggebreder med</t>
  </si>
  <si>
    <t>Ingen bredder med</t>
  </si>
  <si>
    <t>Širine bez</t>
  </si>
  <si>
    <t>—</t>
  </si>
  <si>
    <t>nessuno</t>
  </si>
  <si>
    <t>žiadny</t>
  </si>
  <si>
    <t>ništa</t>
  </si>
  <si>
    <t>kg</t>
  </si>
  <si>
    <t>kg/m²</t>
  </si>
  <si>
    <t>Klebeeinfassung</t>
  </si>
  <si>
    <t>adhesive flashing strip</t>
  </si>
  <si>
    <t>raccordement de ventilation à coller</t>
  </si>
  <si>
    <t>Conversa per torretta di aerazione da incollare</t>
  </si>
  <si>
    <t>nalepovací prostup</t>
  </si>
  <si>
    <t>Klejona oprawa</t>
  </si>
  <si>
    <t>ragasztható kivezető elem</t>
  </si>
  <si>
    <t>nalepovací prestupový prvok</t>
  </si>
  <si>
    <t>Zelfklevende randen</t>
  </si>
  <si>
    <t>Lepilni obrobek</t>
  </si>
  <si>
    <t>självhäftande kant</t>
  </si>
  <si>
    <t>Limindfalsning</t>
  </si>
  <si>
    <t>Limefeste</t>
  </si>
  <si>
    <t>Lijepljena podloga</t>
  </si>
  <si>
    <t>Klebeeinfassung für Falzdächer (⌀ 120–170 mm)</t>
  </si>
  <si>
    <t>adhesive flashing strip for standing seam roofs (⌀ 120–170 mm)</t>
  </si>
  <si>
    <t>raccordement de ventilation à coller pour toitures à joints debout (⌀ 120-170 mm)</t>
  </si>
  <si>
    <t>Conversa per torretta aerazione, da incollare, per coperture aggraffate Ø 120-170 mm</t>
  </si>
  <si>
    <t>Nalepovací prostup pro falcované střechy Ø 120-170 mm</t>
  </si>
  <si>
    <t>Uchwyt przeklejany do dachów na rąbek stojący ⌀ 120–170 mm</t>
  </si>
  <si>
    <t>átvezető elem korcolt fedéshez ragasztós Ø 120-170 mm</t>
  </si>
  <si>
    <t>nalepovací prestupový prvok pre falcované strechy Ø 120-170 mm</t>
  </si>
  <si>
    <t>hechtingomlijsting voor felsdaken ⌀ 120 – 170 mm</t>
  </si>
  <si>
    <t>obroba za lepljenje za zgibne strehe Ø120-170</t>
  </si>
  <si>
    <t>liminfattning för falsade tak ⌀ 120-170 mm</t>
  </si>
  <si>
    <t>klæbeindfatning til falstage ⌀ 120–170 mm</t>
  </si>
  <si>
    <t>limt innfatning for falsede tak ⌀ 120–170 mm</t>
  </si>
  <si>
    <t>Lijepljena podloga za falcane krovove (⌀ 120–170 mm)</t>
  </si>
  <si>
    <t>Klebeeinfassung für Falzdächer (⌀ 170–210 mm)</t>
  </si>
  <si>
    <t>adhesive flashing strip for standing seam roofs (⌀ 170–210 mm)</t>
  </si>
  <si>
    <t>raccordement de ventilation à coller pour toitures à joints debout (⌀ 170-210 mm)</t>
  </si>
  <si>
    <t>Conversa per torretta aerazione, da incollare, per coperture aggraffate Ø 170-210 mm</t>
  </si>
  <si>
    <t>Nalepovací prostup pro falcované střechy Ø 170-210 mm</t>
  </si>
  <si>
    <t>Uchwyt przeklejany do dachów na rąbek stojący ⌀ 170–210 mm</t>
  </si>
  <si>
    <t>átvezető elem korcolt fedéshez ragasztós Ø 170-210 mm</t>
  </si>
  <si>
    <t>nalepovací prestupový prvok pre falcované strechy Ø 170-210 mm</t>
  </si>
  <si>
    <t>hechtingomlijsting voor felsdaken ⌀ 170 – 210 mm</t>
  </si>
  <si>
    <t>obroba za lepljenje za zgibne strehe Ø170-210</t>
  </si>
  <si>
    <t>liminfattning för falsade tak ⌀ 170-210 mm</t>
  </si>
  <si>
    <t>klæbeindfatning til falstage ⌀ 170-210 mm</t>
  </si>
  <si>
    <t>limt innfatning for falsede tak ⌀ 170-210 mm</t>
  </si>
  <si>
    <t>Lijepljena podloga za falcane krovove (⌀ 170–210 mm)</t>
  </si>
  <si>
    <t>Klebeeinfassung für Falzdächer (⌀ 50–65 mm)</t>
  </si>
  <si>
    <t>adhesive flashing strip for standing seam roofs (⌀ 50–65 mm)</t>
  </si>
  <si>
    <t>raccordement de ventilation à coller pour toitures à joints debout (⌀ 50-65 mm)</t>
  </si>
  <si>
    <t>Conversa per torretta aerazione, da incollare, per coperture aggraffate Ø 50-65 mm</t>
  </si>
  <si>
    <t>Nalepovací prostup pro falcované střechy Ø 50-65 mm</t>
  </si>
  <si>
    <t>Uchwyt przeklejany do dachów na rąbek stojący ⌀ 50–65 mm</t>
  </si>
  <si>
    <t>átvezető elem korcolt fedéshez ragasztós Ø 50-65 mm</t>
  </si>
  <si>
    <t>nalepovací prestupový prvok pre falcované strechy Ø 50-65 mm</t>
  </si>
  <si>
    <t>hechtingomlijsting voor felsdaken ⌀ 50 – 65 mm</t>
  </si>
  <si>
    <t>obroba za lepljenje za zgibne strehe Ø50-65</t>
  </si>
  <si>
    <t>liminfattning för falsade tak ⌀ 50-65 mm</t>
  </si>
  <si>
    <t>klæbeindfatning til falstage ⌀ 50-65 mm</t>
  </si>
  <si>
    <t>limt innfatning for falsede tak ⌀ 50-65 mm</t>
  </si>
  <si>
    <t>Lijepljena podloga za falcane krovove (⌀ 50–65 mm)</t>
  </si>
  <si>
    <t>Klebeeinfassung für Falzdächer (⌀ 80–125 mm)</t>
  </si>
  <si>
    <t>adhesive flashing strip for standing seam roofs (⌀ 80–125 mm)</t>
  </si>
  <si>
    <t>raccordement de ventilation à coller pour toitures à joints debout (⌀ 80-125 mm)</t>
  </si>
  <si>
    <t>Conversa per torretta aerazione, da incollare, per coperture aggraffate Ø 80-125 mm</t>
  </si>
  <si>
    <t>Nalepovací prostup pro falcované střechy Ø 80-125 mm</t>
  </si>
  <si>
    <t>Uchwyt przeklejany do dachów na rąbek stojący ⌀ 80–125 mm</t>
  </si>
  <si>
    <t>átvezető elem korcolt fedéshez ragasztós Ø 80-125 mm</t>
  </si>
  <si>
    <t>nalepovací prestupový prvok pre falcované strechy Ø 80-125 mm</t>
  </si>
  <si>
    <t>hechtingomlijsting voor felsdaken ⌀ 80 – 125 mm</t>
  </si>
  <si>
    <t>obroba za lepljenje za zgibne strehe Ø80-125</t>
  </si>
  <si>
    <t>liminfattning för falsade tak ⌀ 80-125 mm</t>
  </si>
  <si>
    <t>klæbeindfatning til falstage ⌀ 80-125 mm</t>
  </si>
  <si>
    <t>limt innfatning for falsede tak ⌀ 80-125 mm</t>
  </si>
  <si>
    <t>Lijepljena podloga za falcane krovove (⌀ 80–125 mm)</t>
  </si>
  <si>
    <t>Klebesystem</t>
  </si>
  <si>
    <t>adhesive system</t>
  </si>
  <si>
    <t>système de collage</t>
  </si>
  <si>
    <t>Sistema adesivo</t>
  </si>
  <si>
    <t>Lepicí systém</t>
  </si>
  <si>
    <t>System klejenia</t>
  </si>
  <si>
    <t>ragasztórendszer</t>
  </si>
  <si>
    <t>lepený systém</t>
  </si>
  <si>
    <t>Zelfklevend systeem</t>
  </si>
  <si>
    <t>Lepilni sistem</t>
  </si>
  <si>
    <t>limsystem</t>
  </si>
  <si>
    <t>Klæbesystem</t>
  </si>
  <si>
    <t>Limsystem</t>
  </si>
  <si>
    <t>Sustav za ljepljenje</t>
  </si>
  <si>
    <t>Kleinformat</t>
  </si>
  <si>
    <t>small-format roof elements</t>
  </si>
  <si>
    <t>petits formats</t>
  </si>
  <si>
    <t>Piccolo formato</t>
  </si>
  <si>
    <t>maloformátová krytina</t>
  </si>
  <si>
    <t>Mały format</t>
  </si>
  <si>
    <t>kis formátumú elem</t>
  </si>
  <si>
    <t>maloformát</t>
  </si>
  <si>
    <t>Klein formaat</t>
  </si>
  <si>
    <t>Mali format</t>
  </si>
  <si>
    <t>Produkter i mindre format</t>
  </si>
  <si>
    <t>Mindre format</t>
  </si>
  <si>
    <t>Småformat</t>
  </si>
  <si>
    <t>Knickbildung</t>
  </si>
  <si>
    <t>construction of pitch transition</t>
  </si>
  <si>
    <t>réalisation d’une brisure</t>
  </si>
  <si>
    <t>Cambio di pendenza</t>
  </si>
  <si>
    <t>Střešní zlom</t>
  </si>
  <si>
    <t>Tworzenie zagięć</t>
  </si>
  <si>
    <t>törés kialakítása</t>
  </si>
  <si>
    <t>vytvorenie zlomu</t>
  </si>
  <si>
    <t>Knikken</t>
  </si>
  <si>
    <t>Oblikovanje pregiba</t>
  </si>
  <si>
    <t>buckling</t>
  </si>
  <si>
    <t>Knækdesign</t>
  </si>
  <si>
    <t>Bøydannelse</t>
  </si>
  <si>
    <t>Konstrukcija pregiba</t>
  </si>
  <si>
    <t>Kommission:</t>
  </si>
  <si>
    <t>Order:</t>
  </si>
  <si>
    <t>Référence commande :</t>
  </si>
  <si>
    <t>Riferimento:</t>
  </si>
  <si>
    <t>Zamówienie:</t>
  </si>
  <si>
    <t>Komissió:</t>
  </si>
  <si>
    <t>Komisia:</t>
  </si>
  <si>
    <t>Groep:</t>
  </si>
  <si>
    <t>Poslovalnica</t>
  </si>
  <si>
    <t>Kommisjon:</t>
  </si>
  <si>
    <t>Komisija</t>
  </si>
  <si>
    <t>KONSTRUKTIONSBEISPIELE – DACHAUFBAUTEN</t>
  </si>
  <si>
    <t>CONSTRUCTION EXAMPLES — ROOF STRUCTURES</t>
  </si>
  <si>
    <t>EXEMPLES DE CONSTRUCTION — CONSTRUCTIONS HORS-COMBLES</t>
  </si>
  <si>
    <t>ESEMPI DI COSTRUZIONI - STRUTTURE DI TETTI</t>
  </si>
  <si>
    <t>PŘÍKLADY KONSTRUKCÍ  STŘEŠNÍ SKLADBY</t>
  </si>
  <si>
    <t>PRZYKŁADY KONSTRUKCJI – KONSTRUKCJE</t>
  </si>
  <si>
    <t>KIVITELEZÉSI PÉLDÁK – TETŐ RÉTEGREND</t>
  </si>
  <si>
    <t>KONŠTRUKČNÉ PRÍKLADY – SKLADBY STRECHY</t>
  </si>
  <si>
    <t>BOUWVOORBEELDEN – DAKSTRUCTUREN</t>
  </si>
  <si>
    <t>PRIMERI KONSTRUKCIJ – STREŠNE KONSTRUKCIJE</t>
  </si>
  <si>
    <t>KONSTRUKTIONSEXEMPEL – TAKUPPBYGGNAD</t>
  </si>
  <si>
    <t>KONSTRUKTIONSEKSEMPLER – TAGKONSTRUKTIONER</t>
  </si>
  <si>
    <t>KONSTRUKSJONSEKSEMPLER – TAKPÅBYGG</t>
  </si>
  <si>
    <t>PRIMJERI GRADNJE – KROVNE KONSTRUKCIJE</t>
  </si>
  <si>
    <t>Konstruktiver Aufbau</t>
  </si>
  <si>
    <t>structure</t>
  </si>
  <si>
    <t>structure constructive</t>
  </si>
  <si>
    <t>Struttura costruttiva</t>
  </si>
  <si>
    <t>Skladba konstrukce</t>
  </si>
  <si>
    <t>Struktura konstrukcji</t>
  </si>
  <si>
    <t>konstruktív rétegrend</t>
  </si>
  <si>
    <t>konštrukčná skladba</t>
  </si>
  <si>
    <t>Constructieve structuur</t>
  </si>
  <si>
    <t>Konstruktivna struktura</t>
  </si>
  <si>
    <t>Konstruktiv uppbyggnad</t>
  </si>
  <si>
    <t>Struktur</t>
  </si>
  <si>
    <t>Konstruksjonsoppbygging</t>
  </si>
  <si>
    <t>Gradnja konstrukcije</t>
  </si>
  <si>
    <t>Konterlatte</t>
  </si>
  <si>
    <t>counter batten</t>
  </si>
  <si>
    <t>contre-latte</t>
  </si>
  <si>
    <t>Controlistello</t>
  </si>
  <si>
    <t>kontralať</t>
  </si>
  <si>
    <t>Kontrłata</t>
  </si>
  <si>
    <t>ellenléc</t>
  </si>
  <si>
    <t>kontralata</t>
  </si>
  <si>
    <t>Contralat</t>
  </si>
  <si>
    <t>Kontra letev</t>
  </si>
  <si>
    <t>motläkt</t>
  </si>
  <si>
    <t>Modlægte</t>
  </si>
  <si>
    <t>Motlekte</t>
  </si>
  <si>
    <t>Kontra letva</t>
  </si>
  <si>
    <t>Konterlattung (Belüftungsebene)</t>
  </si>
  <si>
    <t>counter battens (ventilated channel)</t>
  </si>
  <si>
    <t>contre-lattage (lame d’air)</t>
  </si>
  <si>
    <t>Controlistellatura (piano di ventilazione)</t>
  </si>
  <si>
    <t>kontralať (úroveň odvětrání)</t>
  </si>
  <si>
    <t>Kontrłaty (poziom wentylacji)</t>
  </si>
  <si>
    <t>ellenlécezés (szellőzési szint)</t>
  </si>
  <si>
    <t>kontralatovanie (prevetrávacia vrstva)</t>
  </si>
  <si>
    <t>Contralatten (ventilatieniveau)</t>
  </si>
  <si>
    <t>Kontra letve (prezračevalni kanal)</t>
  </si>
  <si>
    <t>motläkt (ventilationsnivå)</t>
  </si>
  <si>
    <t>Modlægter (ventilationsniveau)</t>
  </si>
  <si>
    <t>Motlekting (ventilasjonsnivå)</t>
  </si>
  <si>
    <t>Kontra letve (razina ventilacije)</t>
  </si>
  <si>
    <t>Konterlattung (8/5 cm)</t>
  </si>
  <si>
    <t>counter battens (8/5 cm)</t>
  </si>
  <si>
    <t>contre-lattage (8/5 cm)</t>
  </si>
  <si>
    <t>Controlistellatura (8/5 cm)</t>
  </si>
  <si>
    <t>kontralatě 8/5 cm</t>
  </si>
  <si>
    <t>Kontrłaty (8/5 cm)</t>
  </si>
  <si>
    <t>ellenlécezés (8/5 cm)</t>
  </si>
  <si>
    <t>kontralatovanie (8/5 cm)</t>
  </si>
  <si>
    <t>Contralatten (8/5 cm)</t>
  </si>
  <si>
    <t>Kontra letve (8/5 cm)</t>
  </si>
  <si>
    <t>motläkt (8/5 cm)</t>
  </si>
  <si>
    <t>Modlægter (8/5 cm)</t>
  </si>
  <si>
    <t>Motlekting (8/5 cm)</t>
  </si>
  <si>
    <t>Konta letve (8/5 cm)</t>
  </si>
  <si>
    <t>Kugelendboden</t>
  </si>
  <si>
    <t>radius end cap</t>
  </si>
  <si>
    <t>fond de gouttière arrondi</t>
  </si>
  <si>
    <t>Testata sferica</t>
  </si>
  <si>
    <t>Kulaté čelo žlabu</t>
  </si>
  <si>
    <t>Denko rynny kulowe</t>
  </si>
  <si>
    <t>gömbölyített ereszcsatorna végelem</t>
  </si>
  <si>
    <t>guľaté čelo žľabu</t>
  </si>
  <si>
    <t>kogeleindebodem</t>
  </si>
  <si>
    <t>žlebna zapora krogla</t>
  </si>
  <si>
    <t>kuländgavel</t>
  </si>
  <si>
    <t>kugleendebund</t>
  </si>
  <si>
    <t>rund endebunn</t>
  </si>
  <si>
    <t>Kuglasto čelo žlijeba</t>
  </si>
  <si>
    <t>kurz</t>
  </si>
  <si>
    <t>short</t>
  </si>
  <si>
    <t>court</t>
  </si>
  <si>
    <t>corto</t>
  </si>
  <si>
    <t>krátký</t>
  </si>
  <si>
    <t>krótki</t>
  </si>
  <si>
    <t>rövid</t>
  </si>
  <si>
    <t>krátky</t>
  </si>
  <si>
    <t>kort</t>
  </si>
  <si>
    <t>kratko</t>
  </si>
  <si>
    <t>L</t>
  </si>
  <si>
    <t>Labyrinthentlüftung</t>
  </si>
  <si>
    <t>labyrinth ventilation system</t>
  </si>
  <si>
    <t>chemin de sortie d’air</t>
  </si>
  <si>
    <t>Aerazione a labirinto</t>
  </si>
  <si>
    <t>labyrintové odvětrání</t>
  </si>
  <si>
    <t>Wentylacja z układem labiryntowym</t>
  </si>
  <si>
    <t>labirintusszellőztetés</t>
  </si>
  <si>
    <t>labyrintové odvetrávanie</t>
  </si>
  <si>
    <t>Labyrint ventilatie</t>
  </si>
  <si>
    <t>Labirintni zračnik</t>
  </si>
  <si>
    <t>labyrintventil</t>
  </si>
  <si>
    <t>Labyrintventilation</t>
  </si>
  <si>
    <t>Labyrintventilasjon</t>
  </si>
  <si>
    <t>Labirintno odzračivanje</t>
  </si>
  <si>
    <t>Länderspezifische Vorgaben beachten (Unterdach, keine Kehlen oder Durchdringungen usw.).</t>
  </si>
  <si>
    <t>Observe national guidelines (roof underlay, no valleys/penetrations, etc.)</t>
  </si>
  <si>
    <t>Attention à respecter les réglementations nationales (lé de sous-couverture, absence de noues ou de pénétrations, etc.).</t>
  </si>
  <si>
    <t>Osservare i requisiti specifici del paese (sottotetto, niente compluvi o penetrazioni, ecc.).</t>
  </si>
  <si>
    <t>Zohlednit národní technické předpisy (pojistná hydroizolace, úžlabí bez průniků,…)  Těsnění v drážkách</t>
  </si>
  <si>
    <t>Należy przestrzegać wymagań obowiązujących w danym kraju (pokrycie więźby dachowej, brak obróbek blacharskich lub przebić itp.).</t>
  </si>
  <si>
    <t>az országspecifikus követelményeket be kell tartani (alsó tetősík, vápa vagy áttörések nélkül stb.).</t>
  </si>
  <si>
    <t>Rešpektujte pravidlá platné pre danú krajinu (podstrešie, žiadne úžľabia alebo prestupy atď.).</t>
  </si>
  <si>
    <t>Neem de landspecifieke specificaties in acht (onderdak, geen gootstukken of doorvoeren, enz.).</t>
  </si>
  <si>
    <t>Upoštevajte posebne zahteve države (podstreha, brez žlot ali prebojev itd.).</t>
  </si>
  <si>
    <t>Beakta landspecifika krav (undertak, inga kilar eller genomföringar etc.).</t>
  </si>
  <si>
    <t>Overhold landespecifikke krav (undertag, ingen kiler eller gennemtrængninger osv.).</t>
  </si>
  <si>
    <t>Overhold alltid landsspesifikke krav (undertak, ingen vinkelrenner eller gjennomføringer osv.).</t>
  </si>
  <si>
    <t>Poštujte zahtjeve specifične za zemlju (potkrov, bez uvala ili prodora, itd.).</t>
  </si>
  <si>
    <t>lang</t>
  </si>
  <si>
    <t>long</t>
  </si>
  <si>
    <t>lungo</t>
  </si>
  <si>
    <t>dlouhý</t>
  </si>
  <si>
    <t xml:space="preserve">długi </t>
  </si>
  <si>
    <t>hosszú</t>
  </si>
  <si>
    <t>dĺžka</t>
  </si>
  <si>
    <t>dolgo</t>
  </si>
  <si>
    <t>lång</t>
  </si>
  <si>
    <t>dugo</t>
  </si>
  <si>
    <t>Länge</t>
  </si>
  <si>
    <t>length</t>
  </si>
  <si>
    <t>longueur</t>
  </si>
  <si>
    <t>lunghezza</t>
  </si>
  <si>
    <t>długość</t>
  </si>
  <si>
    <t>hossz</t>
  </si>
  <si>
    <t>Dĺžka</t>
  </si>
  <si>
    <t>Lengte</t>
  </si>
  <si>
    <t>Dolžina</t>
  </si>
  <si>
    <t>Längd</t>
  </si>
  <si>
    <t>Længde</t>
  </si>
  <si>
    <t>Lengde</t>
  </si>
  <si>
    <t>Dužina</t>
  </si>
  <si>
    <t>Länge: 26 mm (3.200 Stk./Karton)</t>
  </si>
  <si>
    <t>Length: 26 mm (3,200 pc./box)</t>
  </si>
  <si>
    <t>Longueur : 26 mm (3 200 par carton)</t>
  </si>
  <si>
    <t>Lunghezza 26 mm (3.200 Pz/Cartone)</t>
  </si>
  <si>
    <t>Délka 26 mm (3.200 ks/krabice)</t>
  </si>
  <si>
    <t>Długość: 26 mm (3,200 szt./opak.)</t>
  </si>
  <si>
    <t>Hossz 26 mm (3.200 db/doboz)</t>
  </si>
  <si>
    <t>Dĺžka 26 mm (3.200 ks/krabica)</t>
  </si>
  <si>
    <t>Lengte 26 mm (3200 stks./doos)</t>
  </si>
  <si>
    <t>dolžina 26 mm (3.200 kos/škatlo)</t>
  </si>
  <si>
    <t>Längd 26 mm (3.200 st./kartong)</t>
  </si>
  <si>
    <t>Længde 26 mm (3.200 stk./karton)</t>
  </si>
  <si>
    <t>Lengde 26 mm (3200 stk./kartong)</t>
  </si>
  <si>
    <t>Duljina: 26 mm (3.200 kom./kutija)</t>
  </si>
  <si>
    <t>Länge: 26 mm (3.200 Stk./Karton); Niro</t>
  </si>
  <si>
    <t>Length: 26 mm (3,200 pc./box), stainless steel</t>
  </si>
  <si>
    <t>Longueur : 26 mm (3 200 par carton) ; inox</t>
  </si>
  <si>
    <t>Lunghezza 26 mm (3.200 Pz/Cartone) in acciaio inox</t>
  </si>
  <si>
    <t>Délka 26 mm (3.200 ks/krabice) NIRO</t>
  </si>
  <si>
    <t>Długość: 26 mm (3,200 szt./opak.), Stal nierdzewna</t>
  </si>
  <si>
    <t>Hossz 26 mm (3.200 db/doboz) rozsdamentes</t>
  </si>
  <si>
    <t>Dĺžka 26 mm (3.200 ks/krabica) NIRO</t>
  </si>
  <si>
    <t>Lengte 26 mm (3200 stks./doos) NIRO</t>
  </si>
  <si>
    <t>dolžina 26 mm (3.200 kos/škatlo) NIRO - nerjaveči</t>
  </si>
  <si>
    <t>Längd 26 mm (3.200 st./kartong) NIRO</t>
  </si>
  <si>
    <t>Længde 26 mm (3.200 stk./karton) NIRO</t>
  </si>
  <si>
    <t>Lengde 26 mm (3200 stk./kartong) RUSTFRITT STÅL</t>
  </si>
  <si>
    <t>Duljina: 26 mm (3.200 kom./kutija), nehrđajuće</t>
  </si>
  <si>
    <t>Länge: 35 mm (2.400 Stk./Karton)</t>
  </si>
  <si>
    <t>Length: 35 mm (2,400 pc./box)</t>
  </si>
  <si>
    <t>Longueur : 35 mm (2 400 par carton)</t>
  </si>
  <si>
    <t>Lunghezza 35 mm (2.400 Pz/Cartone)</t>
  </si>
  <si>
    <t>Délka 35 mm (2.400 ks/krabice)</t>
  </si>
  <si>
    <t>Długość: 35 mm (2,400 szt./opak.)</t>
  </si>
  <si>
    <t>Hossz 35 mm (2.400 db/doboz)</t>
  </si>
  <si>
    <t>Dĺžka 35 mm (2.400 ks/krabica)</t>
  </si>
  <si>
    <t>Lengte 35 mm (2400 stks./doos)</t>
  </si>
  <si>
    <t>dolžina 35 mm (2.400 kos/škatlo)</t>
  </si>
  <si>
    <t>Längd 35 mm (2.400 st./kartong)</t>
  </si>
  <si>
    <t>Længde 35 mm (2.400 stk./karton)</t>
  </si>
  <si>
    <t>Lengde 35 mm (2400 stk./kartong)</t>
  </si>
  <si>
    <t>Duljina: 35 mm (2.400 kom./kutija)</t>
  </si>
  <si>
    <t>Länge wählen:</t>
  </si>
  <si>
    <t>Select length:</t>
  </si>
  <si>
    <t>Sélectionner la longueur :</t>
  </si>
  <si>
    <t>Selezionare la lunghezza</t>
  </si>
  <si>
    <t>Zvolit délku</t>
  </si>
  <si>
    <t>Wybierz długość:</t>
  </si>
  <si>
    <t>Hossz kiválasztása</t>
  </si>
  <si>
    <t>Vyberte dĺžku:</t>
  </si>
  <si>
    <t>Lengte kiezen:</t>
  </si>
  <si>
    <t>Izbrana dolžina:</t>
  </si>
  <si>
    <t>Välj längd:</t>
  </si>
  <si>
    <t>Vælg længde:</t>
  </si>
  <si>
    <t>Velg lengde:</t>
  </si>
  <si>
    <t>Odaberite duljinu:</t>
  </si>
  <si>
    <t>Laubfänger (nur in Braun)</t>
  </si>
  <si>
    <t>strainer (brown only)</t>
  </si>
  <si>
    <t>crapaudine (en brun uniquement)</t>
  </si>
  <si>
    <t>Cipolla fermafoglie (disponibile solo in marrone)</t>
  </si>
  <si>
    <t>Lapač listí (pouze v hnědé barvě)</t>
  </si>
  <si>
    <t>Sito (tylko brązowe)</t>
  </si>
  <si>
    <t>lombkosár (csak barna)</t>
  </si>
  <si>
    <t>lapač lístia (iba hnedý)</t>
  </si>
  <si>
    <t>bladvanger (alleen in bruin)</t>
  </si>
  <si>
    <t>lovilec listja (samo v rjavi barvi)</t>
  </si>
  <si>
    <t>lövfångare (endast i brunt)</t>
  </si>
  <si>
    <t>løvfanger (kun i brun)</t>
  </si>
  <si>
    <t>løvfanger (kun i brunt)</t>
  </si>
  <si>
    <t>Hvatač lišća (samo u smeđoj boji)</t>
  </si>
  <si>
    <t>Laufrost</t>
  </si>
  <si>
    <t>walkway grating</t>
  </si>
  <si>
    <t>chemin de circulation</t>
  </si>
  <si>
    <t>Griglia pedonabile</t>
  </si>
  <si>
    <t>Stoupací plošina</t>
  </si>
  <si>
    <t>Ława kominiarska</t>
  </si>
  <si>
    <t>járórács</t>
  </si>
  <si>
    <t>vodiaci rošt</t>
  </si>
  <si>
    <t>Looprooster</t>
  </si>
  <si>
    <t>Pohodna rešetka</t>
  </si>
  <si>
    <t>gallerdurk</t>
  </si>
  <si>
    <t>Rist</t>
  </si>
  <si>
    <t>Stigrist</t>
  </si>
  <si>
    <t>Rešetka za hodanje</t>
  </si>
  <si>
    <t>Laufroststütze</t>
  </si>
  <si>
    <t>walkway grating support</t>
  </si>
  <si>
    <t>support de chemin de circulation</t>
  </si>
  <si>
    <t>Staffa per griglia pedonabile</t>
  </si>
  <si>
    <t>Držák stoupací plošiny</t>
  </si>
  <si>
    <t>Wspornik ławy kominiarskiej</t>
  </si>
  <si>
    <t>járórácstartó elem</t>
  </si>
  <si>
    <t>držiak vodiaceho roštu</t>
  </si>
  <si>
    <t>Looproosterondersteuning</t>
  </si>
  <si>
    <t>Opornik za pohodno rešetko</t>
  </si>
  <si>
    <t>stöd för gallerdurk</t>
  </si>
  <si>
    <t>Ristholder</t>
  </si>
  <si>
    <t>Stigriststøtte</t>
  </si>
  <si>
    <t>Nosač za rešetku za hodanje</t>
  </si>
  <si>
    <t>Laufsteg (250 × 1.200 mm)</t>
  </si>
  <si>
    <t>walkway ( 250 × 1,200 mm)</t>
  </si>
  <si>
    <t>chemin de circulation (250 × 1 200 mm)</t>
  </si>
  <si>
    <t>Griglia pedonabile (250 x 1.200 mm)</t>
  </si>
  <si>
    <t>Stoupací plošina (250 x 1.200 mm)</t>
  </si>
  <si>
    <t>ława kominiarska ( 250 × 1,200 mm)</t>
  </si>
  <si>
    <t>járórács (250 x 1.200 mm)</t>
  </si>
  <si>
    <t>strešná lávka (250 x 1.200 mm)</t>
  </si>
  <si>
    <t>loopbrug (250 x 1200 mm)</t>
  </si>
  <si>
    <t>pohodna rešetka (250x1.200mm)</t>
  </si>
  <si>
    <t>plattform (250 x 1.200 mm)</t>
  </si>
  <si>
    <t>løbebro (250 x 1.200 mm)</t>
  </si>
  <si>
    <t>plattform (250 x 1200 mm)</t>
  </si>
  <si>
    <t>Stepenica (250 × 1.200 mm)</t>
  </si>
  <si>
    <t>Laufsteg (250 × 420 mm)</t>
  </si>
  <si>
    <t>walkway ( 250 × 420 mm)</t>
  </si>
  <si>
    <t>chemin de circulation (250 × 420 mm)</t>
  </si>
  <si>
    <t>Griglia pedonabile (250 x 420 mm)</t>
  </si>
  <si>
    <t xml:space="preserve"> Stoupací plošina (250 x 420 mm)</t>
  </si>
  <si>
    <t>ława kominiarska ( 250 × 420 mm)</t>
  </si>
  <si>
    <t>járórács (250 x 420 mm)</t>
  </si>
  <si>
    <t>strešná lávka (250 x 420 mm)</t>
  </si>
  <si>
    <t>loopbrug (250 x 420 mm)</t>
  </si>
  <si>
    <t>pohodna rešetka (250x420mm)</t>
  </si>
  <si>
    <t>plattform (250 x 420 mm)</t>
  </si>
  <si>
    <t>løbebro (250 x 420 mm)</t>
  </si>
  <si>
    <t>Stepenica (250 × 420 mm)</t>
  </si>
  <si>
    <t>Laufsteg (250 × 600 mm)</t>
  </si>
  <si>
    <t>walkway ( 250 × 600 mm)</t>
  </si>
  <si>
    <t>chemin de circulation (250 × 600 mm)</t>
  </si>
  <si>
    <t>Griglia pedonabile (250 x 600 mm)</t>
  </si>
  <si>
    <t xml:space="preserve"> Stoupací plošina (250 x 600 mm)</t>
  </si>
  <si>
    <t>ława kominiarska ( 250 × 600 mm)</t>
  </si>
  <si>
    <t>járórács (250 x 600 mm)</t>
  </si>
  <si>
    <t>strešná lávka (250 x 600 mm)</t>
  </si>
  <si>
    <t>loopbrug (250 x 600 mm)</t>
  </si>
  <si>
    <t>pohodna rešetka (250x600mm)</t>
  </si>
  <si>
    <t>plattform (250 x 600 mm)</t>
  </si>
  <si>
    <t>løbebro (250 x 600 mm)</t>
  </si>
  <si>
    <t>Stepenica (250 × 600 mm)</t>
  </si>
  <si>
    <t>Laufsteg (250 × 800 mm)</t>
  </si>
  <si>
    <t>walkway ( 250 × 800 mm)</t>
  </si>
  <si>
    <t>chemin de circulation (250 × 800 mm)</t>
  </si>
  <si>
    <t>Griglia pedonabile (250 x 800 mm)</t>
  </si>
  <si>
    <t xml:space="preserve"> Stoupací plošina (250 x 800 mm)</t>
  </si>
  <si>
    <t>ława kominiarska ( 250 × 800 mm)</t>
  </si>
  <si>
    <t>járórács (250 x 800 mm)</t>
  </si>
  <si>
    <t>strešná lávka (250 x 800 mm)</t>
  </si>
  <si>
    <t>loopbrug (250 x 800 mm)</t>
  </si>
  <si>
    <t>pohodna rešetka (250x800mm)</t>
  </si>
  <si>
    <t>plattform (250 x 800 mm)</t>
  </si>
  <si>
    <t>løbebro (250 x 800 mm)</t>
  </si>
  <si>
    <t>Stepenica (250 × 800 mm)</t>
  </si>
  <si>
    <t>Laufsteg (360 × 1.200 mm)</t>
  </si>
  <si>
    <t>walkway (360 x 1.200 mm)</t>
  </si>
  <si>
    <t>chemin de circulation (360 × 1 200 mm)</t>
  </si>
  <si>
    <t>Griglia pedonabile (360 x 1.200 mm)</t>
  </si>
  <si>
    <t>Stoupací plošina (360 × 1200 mm)</t>
  </si>
  <si>
    <t>Wspornik ławy kominiarskiej (360 × 1200 mm)</t>
  </si>
  <si>
    <t>tetőjárda (360 × 1200 mm)</t>
  </si>
  <si>
    <t>strešná lávka (360 × 1 200 mm)</t>
  </si>
  <si>
    <t>Loopbrug (360 × 1.200 mm)</t>
  </si>
  <si>
    <t>Brv (360 × 1.200 mm)</t>
  </si>
  <si>
    <t>gångbro (360 × 1 200 mm)</t>
  </si>
  <si>
    <t>Løbegang (360 × 1.200 mm)</t>
  </si>
  <si>
    <t>Plattform (360 × 1200 mm)</t>
  </si>
  <si>
    <t>Stepenica (360 × 1.200 mm)</t>
  </si>
  <si>
    <t>Laufsteg (360 × 800 mm)</t>
  </si>
  <si>
    <t>walkway (360 x 800 mm)</t>
  </si>
  <si>
    <t>chemin de circulation (360 × 800 mm)</t>
  </si>
  <si>
    <t>Griglia pedonabile (360 x 800 mm)</t>
  </si>
  <si>
    <t>Stoupací plošina (360 × 800 mm)</t>
  </si>
  <si>
    <t>Wspornik ławy kominiarskiej (360 × 800 mm)</t>
  </si>
  <si>
    <t>tetőjárda (360 × 800 mm)</t>
  </si>
  <si>
    <t>strešná lávka (360 × 800 mm)</t>
  </si>
  <si>
    <t>Loopbrug (360 × 800 mm)</t>
  </si>
  <si>
    <t>Brv (360 × 800 mm)</t>
  </si>
  <si>
    <t>gångbro (360 × 800 mm)</t>
  </si>
  <si>
    <t>Løbegang (360 × 800 mm)</t>
  </si>
  <si>
    <t>Plattform (360 × 800 mm)</t>
  </si>
  <si>
    <t>Stepenica (360 × 800 mm)</t>
  </si>
  <si>
    <t>Laufstegstütze</t>
  </si>
  <si>
    <t>walkway support</t>
  </si>
  <si>
    <t>držák stoupací plošiny</t>
  </si>
  <si>
    <t>tetőjárda-tartó elem</t>
  </si>
  <si>
    <t>držiak strešnej lávky</t>
  </si>
  <si>
    <t>Loopbrugondersteuning</t>
  </si>
  <si>
    <t>Opornik za oder</t>
  </si>
  <si>
    <t>stöd för gångbro</t>
  </si>
  <si>
    <t>Løbegangsholder</t>
  </si>
  <si>
    <t>Plattformstøtte</t>
  </si>
  <si>
    <t>Nosač stepenice</t>
  </si>
  <si>
    <t>Laufstegstütze auf einem Fußteil</t>
  </si>
  <si>
    <t>walkway support on one mount</t>
  </si>
  <si>
    <t>support de chemin de circulation fixé sur une platine</t>
  </si>
  <si>
    <t xml:space="preserve">Staffa per griglia pedonabile con 1 base circolare di fissaggio </t>
  </si>
  <si>
    <t>Držák stoupací plošiny na jedné podložce</t>
  </si>
  <si>
    <t>Wspornik ławy kominiarskiej z jedną częścią stopową</t>
  </si>
  <si>
    <t>tetőjárda-tartó elem egy talppal</t>
  </si>
  <si>
    <t>držiak strešnej lávky s jednou podperou</t>
  </si>
  <si>
    <t>Loopbrugondersteuning op één voetdeel</t>
  </si>
  <si>
    <t>Opornik za oder na eni nogi</t>
  </si>
  <si>
    <t>stöd för gångbro på fotstycke</t>
  </si>
  <si>
    <t>Løbegangsholder med en foddel</t>
  </si>
  <si>
    <t>Plattformstøtte på én fotdel</t>
  </si>
  <si>
    <t>Nosač stepenice na jednoj stopi</t>
  </si>
  <si>
    <t>Laufstegstütze auf zwei Fußteilen</t>
  </si>
  <si>
    <t>walkway support on two mounts</t>
  </si>
  <si>
    <t>support de chemin de circulation fixé sur deux platines</t>
  </si>
  <si>
    <t>Staffa per griglia pedonabile con 2 basi circolari di fissaggio</t>
  </si>
  <si>
    <t>Držák stoupací plošiny na dvou podložkách</t>
  </si>
  <si>
    <t>Wspornik ławy kominiarskiej z dwoma częściami stopowymi</t>
  </si>
  <si>
    <t>tetőjárda-tartó elem két talppal</t>
  </si>
  <si>
    <t>držiak strešnej lávky s dvomi podperami</t>
  </si>
  <si>
    <t>Loopbrugondersteuning op twee voet secties</t>
  </si>
  <si>
    <t>Opornik za oder na dveh nogah</t>
  </si>
  <si>
    <t>stöd för gångbro på två fotstycke</t>
  </si>
  <si>
    <t>Løbegangsholder med to foddele</t>
  </si>
  <si>
    <t>Plattformstøtte på to fotdeler</t>
  </si>
  <si>
    <t>Nosač stepenice na dvije stope</t>
  </si>
  <si>
    <t>Laufstegstütze für Laufsteg</t>
  </si>
  <si>
    <t>Wspornik ławy kominiarskiej do montażu ławy</t>
  </si>
  <si>
    <t>tetőjárda-tartó elem tetőjárdához</t>
  </si>
  <si>
    <t>držiak strešnej lávky pre strešnú lávku</t>
  </si>
  <si>
    <t>Loopbrugondersteuning voor loopbrug</t>
  </si>
  <si>
    <t>Opornik za oder za brv</t>
  </si>
  <si>
    <t>stöd för steg för gångbro</t>
  </si>
  <si>
    <t>Løbegangsholder til løbegang</t>
  </si>
  <si>
    <t>Plattformstøtte til plattform</t>
  </si>
  <si>
    <t>Nosač stepenice za stubu</t>
  </si>
  <si>
    <t>Laufstegstütze für Laufstege</t>
  </si>
  <si>
    <t>Držák stoupací plošiny - pozinkovaný</t>
  </si>
  <si>
    <t>Wspornik ławy kominiarskiej do dachów na rąbek podwójny</t>
  </si>
  <si>
    <t>járórácstartó</t>
  </si>
  <si>
    <t>loopbrugsteun voor loopbruggen</t>
  </si>
  <si>
    <t xml:space="preserve">nosilec pohodne stopnice </t>
  </si>
  <si>
    <t>plattformsstöd för plattformar</t>
  </si>
  <si>
    <t>løbebrostøtte til løbebroer</t>
  </si>
  <si>
    <t>plattformstøtte for plattform</t>
  </si>
  <si>
    <t>Nosač stepenice za stube</t>
  </si>
  <si>
    <t>Laufstegstütze (verzinkt); für Laufstege</t>
  </si>
  <si>
    <t>walkway support (galvanised); for walkways</t>
  </si>
  <si>
    <t>support de chemin de circulation (galvanisé) ; pour chemins de circulation</t>
  </si>
  <si>
    <t>wspornik ław kominiarskich ze stali ocynkowanej</t>
  </si>
  <si>
    <t xml:space="preserve">járórács tartóelem horganyzott </t>
  </si>
  <si>
    <t>držiak strešnej lávky - pozinkovaný</t>
  </si>
  <si>
    <t>loopbrugsteun gegalvaniseerd voor loopbruggen</t>
  </si>
  <si>
    <t>plattformsstöd förzinkat för plattformar</t>
  </si>
  <si>
    <t>løbebrostøtte galvaniseret til løbebroer</t>
  </si>
  <si>
    <t>plattformstøtte galvanisert for plattform</t>
  </si>
  <si>
    <t>Nosač stepenice (pocinčan), za stube</t>
  </si>
  <si>
    <t>LEGENDE:</t>
  </si>
  <si>
    <t>LEGEND:</t>
  </si>
  <si>
    <t>LÉGENDE :</t>
  </si>
  <si>
    <t>LEGENDA:</t>
  </si>
  <si>
    <t>VYSVĚTLIVKA:</t>
  </si>
  <si>
    <t>JELMAGYARÁZAT:</t>
  </si>
  <si>
    <t>FÖRKLARING:</t>
  </si>
  <si>
    <t>FORKLARING:</t>
  </si>
  <si>
    <t>Laibungsblech</t>
  </si>
  <si>
    <t>jamb flashing</t>
  </si>
  <si>
    <t>habillage de tableau</t>
  </si>
  <si>
    <t>Lamiera di rivestimento</t>
  </si>
  <si>
    <t>Profil ostění</t>
  </si>
  <si>
    <t>Blacha podsufitowa</t>
  </si>
  <si>
    <t>ablakkáva profil</t>
  </si>
  <si>
    <t>plech na ostenie</t>
  </si>
  <si>
    <t>Dakplaat</t>
  </si>
  <si>
    <t>Pločevina za špaleto</t>
  </si>
  <si>
    <t>smygplåt</t>
  </si>
  <si>
    <t>Vinduesplade</t>
  </si>
  <si>
    <t>Åpningsplate</t>
  </si>
  <si>
    <t>Lim za nišu</t>
  </si>
  <si>
    <t>habillage de tableau (longueur : 2 500 mm)</t>
  </si>
  <si>
    <t>Leitersicherung</t>
  </si>
  <si>
    <t>ladder stabilizer</t>
  </si>
  <si>
    <t>stabilisateur d’échelle</t>
  </si>
  <si>
    <t>Sicura per scale</t>
  </si>
  <si>
    <t>Zajištění žebříku</t>
  </si>
  <si>
    <t>Zabezpieczenie drabiny</t>
  </si>
  <si>
    <t>létrabiztosító</t>
  </si>
  <si>
    <t>zaisťovač rebríka</t>
  </si>
  <si>
    <t>Openingsbescherming</t>
  </si>
  <si>
    <t>Varovalo za lestev</t>
  </si>
  <si>
    <t>stegsäkring</t>
  </si>
  <si>
    <t>Stigesikring</t>
  </si>
  <si>
    <t>Osiguranje za ljestve</t>
  </si>
  <si>
    <t>Leitungsdurchführung bei Firstentlüftung</t>
  </si>
  <si>
    <t>cable feed-through on ridge ventilation</t>
  </si>
  <si>
    <t>passage de câbles par la ventilation de faîtière</t>
  </si>
  <si>
    <t>Passaggio cavi per conversa per aerazione di colmo</t>
  </si>
  <si>
    <t>Průchod kabelového vedení hřebenovým odvětráním</t>
  </si>
  <si>
    <t>Przepust kablowy do wentylacji kalenicowej</t>
  </si>
  <si>
    <t>vezetékáthatolás gerincszellőztetés esetén</t>
  </si>
  <si>
    <t>priechodka vedenia pri odvetrávaní hrebeňa</t>
  </si>
  <si>
    <t>Kabeldoorvoer voor nokventilatie</t>
  </si>
  <si>
    <t>Preboj za napeljave pri zračniku slemena</t>
  </si>
  <si>
    <t>kabelgenomföring för nockventilation</t>
  </si>
  <si>
    <t>Ledningsgennemgang ved rygningsventilation</t>
  </si>
  <si>
    <t>Ledningsgjennomføring ved møneventilasjon</t>
  </si>
  <si>
    <t>Prolaz za kabele za odzračivanje sljemena</t>
  </si>
  <si>
    <t>Leitungsdurchführung bei Klebeeinfassung</t>
  </si>
  <si>
    <t>cable feed-through on adhesive flashing</t>
  </si>
  <si>
    <t>passage de câbles par le raccordement de ventilation à coller</t>
  </si>
  <si>
    <t>Passaggio cavi per conversa per torretta di aerazione da incollare</t>
  </si>
  <si>
    <t>Průchod kabelového vedení nalepovacím prostupem</t>
  </si>
  <si>
    <t>Przepust kablowy do klejonej oprawy pokrycia</t>
  </si>
  <si>
    <t>vezetékáthatolás ragasztható kivezető elem esetén</t>
  </si>
  <si>
    <t>priechodka vedenia pri nalepovacom prestupovom prvku</t>
  </si>
  <si>
    <t>Kabeldoorvoer voor lijmbevestiging</t>
  </si>
  <si>
    <t>Preboj za napeljave pri lepilnem robu</t>
  </si>
  <si>
    <t>kabelgenomföring med självhäftande kant</t>
  </si>
  <si>
    <t>Ledningsgennemgang ved limindfalsning</t>
  </si>
  <si>
    <t>Ledningsgjennomføring ved limfeste</t>
  </si>
  <si>
    <t>Prolaz za kabele za lijepljene podloge</t>
  </si>
  <si>
    <t>Leitungsdurchführung bei Solarluke</t>
  </si>
  <si>
    <t>cable feed-through on roof conduit</t>
  </si>
  <si>
    <t>passage de câbles par la chatière pour panneaux solaires</t>
  </si>
  <si>
    <t>Passaggio cavi per conversa per bocchetta Solar</t>
  </si>
  <si>
    <t>Průchod kabelového vedení Solar haubnou</t>
  </si>
  <si>
    <t>Przepust kablowy przewodów instalacji fotowoltaicznej</t>
  </si>
  <si>
    <t>vezetékáthatolás Solar kábelátvezető elem esetén</t>
  </si>
  <si>
    <t>priechodka vedenia pri prestupovom prvku solárnych vedení</t>
  </si>
  <si>
    <t>Kabeldoorvoer voor solarluik</t>
  </si>
  <si>
    <t>Preboj za napeljave pri solarni lini</t>
  </si>
  <si>
    <t>kabelgenomföring vid sollucka</t>
  </si>
  <si>
    <t>Ledningsgennemgang ved tagkanal</t>
  </si>
  <si>
    <t>Ledningsgjennomføring ved solcelleluke</t>
  </si>
  <si>
    <t>Prolaz za kabele za solar uvodnicu</t>
  </si>
  <si>
    <t>m</t>
  </si>
  <si>
    <t>bm</t>
  </si>
  <si>
    <t>mb</t>
  </si>
  <si>
    <t>fm</t>
  </si>
  <si>
    <r>
      <t>m</t>
    </r>
    <r>
      <rPr>
        <vertAlign val="superscript"/>
        <sz val="11"/>
        <color indexed="8"/>
        <rFont val="Arial"/>
        <family val="2"/>
      </rPr>
      <t>1</t>
    </r>
  </si>
  <si>
    <t>tekoči meter</t>
  </si>
  <si>
    <t>lpm</t>
  </si>
  <si>
    <t>lbm</t>
  </si>
  <si>
    <t>lm</t>
  </si>
  <si>
    <t>Lieferadresse:</t>
  </si>
  <si>
    <t>Delivery address:</t>
  </si>
  <si>
    <t>Adresse de livraison :</t>
  </si>
  <si>
    <t>Indirizzo di consegna:</t>
  </si>
  <si>
    <t>Adres dostawy:</t>
  </si>
  <si>
    <t>Szállítási cím:</t>
  </si>
  <si>
    <t>Dodacia adresa:</t>
  </si>
  <si>
    <t>Leveringsadres:</t>
  </si>
  <si>
    <t>naslov za dostavo</t>
  </si>
  <si>
    <t>Leveransadress:</t>
  </si>
  <si>
    <t>Leveringsadresse:</t>
  </si>
  <si>
    <t>Adresa isporuke:</t>
  </si>
  <si>
    <t>liniert</t>
  </si>
  <si>
    <t>lined</t>
  </si>
  <si>
    <t>ligné</t>
  </si>
  <si>
    <t>rigato</t>
  </si>
  <si>
    <t>linkovaný</t>
  </si>
  <si>
    <t>w linie</t>
  </si>
  <si>
    <t>mikrobordás</t>
  </si>
  <si>
    <t>čiarovaný</t>
  </si>
  <si>
    <t>gelinieerd</t>
  </si>
  <si>
    <t>črtano</t>
  </si>
  <si>
    <t>linjerad</t>
  </si>
  <si>
    <t>linjeret</t>
  </si>
  <si>
    <t>med linjer</t>
  </si>
  <si>
    <t>linirano</t>
  </si>
  <si>
    <t>Lochblech</t>
  </si>
  <si>
    <t>perforated metal plate</t>
  </si>
  <si>
    <t>bande d’aluminium perforée</t>
  </si>
  <si>
    <t>Nastro forato</t>
  </si>
  <si>
    <t>děrovaný plech</t>
  </si>
  <si>
    <t>Blacha perforowana</t>
  </si>
  <si>
    <t>perforált lemez</t>
  </si>
  <si>
    <t>perforovaný plech</t>
  </si>
  <si>
    <t>Geperforeerde plaat</t>
  </si>
  <si>
    <t>Perforirana pločevina</t>
  </si>
  <si>
    <t>perforerad plåt</t>
  </si>
  <si>
    <t>Hulplade</t>
  </si>
  <si>
    <t>Hullplate</t>
  </si>
  <si>
    <t>Perforirani lim</t>
  </si>
  <si>
    <t>Lochblech (⌀ 5 mm) ca. 24 kg/Rolle (0,7 × 1.000 mm)</t>
  </si>
  <si>
    <t>perforated plate (Ø 5 mm)
approx. 24 kg/roll (0.7 × 1,000 mm)</t>
  </si>
  <si>
    <t>bande d’aluminium perforée (⌀ 5 mm) env. 24 kg/bobine (0,7 × 1 000 mm)</t>
  </si>
  <si>
    <t>Nastro forato, fotro ø 5 mm, rotolo da ca. 24Kg (0,7x1000mm)</t>
  </si>
  <si>
    <t>Děrovaný plech, velikost děr 5 mm
cca. 24kg/svitek (0,7x1.000 mm)</t>
  </si>
  <si>
    <t>blacha perforowana (Ø 5 mm) około 24 kg/rolka (0.7 × 1,000 mm)</t>
  </si>
  <si>
    <t>perforált lemez lyukátmérő 5mm, kb 24kg/tekercs (0,7 x 1.000mm)</t>
  </si>
  <si>
    <t>dierovaný plech, veľkosť dier 5 mm
cca 24kg/zvitok (0,7 x 1.000 mm)</t>
  </si>
  <si>
    <t>geperforeerde plaat DM 5 mm
ca. 24 kg/rol (0,7 x 1000 mm)</t>
  </si>
  <si>
    <t>perforirana pločevina DM 5 mm ca. 24 kg/kolut (0,7 x 1.000mm)</t>
  </si>
  <si>
    <t>hålplåt DM 5 mm
cirka 24kg/rulle (0,7 x 1.000 mm)</t>
  </si>
  <si>
    <t>hulplade DM 5 mm
ca. 24 kg/rulle (0,7x1.000 mm)</t>
  </si>
  <si>
    <t>perforert plate DM 5 mm
ca. 24 kg/rull (0,7x1000 mm)</t>
  </si>
  <si>
    <t>Perforirani lim (⌀ 5 mm) cca. 24 kg/kolut (0,7 × 1.000 mm)</t>
  </si>
  <si>
    <t>Lochblech gekantet</t>
  </si>
  <si>
    <t>perforated metal plate (canted)</t>
  </si>
  <si>
    <t>bande d’aluminium perforée (pliée)</t>
  </si>
  <si>
    <t>Nastro forato squadrato</t>
  </si>
  <si>
    <t>Děrovaný plech hraněný</t>
  </si>
  <si>
    <t>Płyta perforowana z obrzeżem</t>
  </si>
  <si>
    <t>perforált lemez, hajtott</t>
  </si>
  <si>
    <t>perforovaný plech ohýbaný</t>
  </si>
  <si>
    <t>Geperforeerde beplating omrand</t>
  </si>
  <si>
    <t>Perforirana pločevina obrobljena</t>
  </si>
  <si>
    <t>kantad perforerad plåt</t>
  </si>
  <si>
    <t>Hulplade kantet</t>
  </si>
  <si>
    <t>Kantet hullplate</t>
  </si>
  <si>
    <t>Perforirani lim, kantiran</t>
  </si>
  <si>
    <t>Luftdichte Schicht (Dampfsperre)</t>
  </si>
  <si>
    <t>air-tight layer (vapour barrier)</t>
  </si>
  <si>
    <t>écran imperméable à l’air (pare-vapeur)</t>
  </si>
  <si>
    <t>Strato ermetico (barriera antivapore)</t>
  </si>
  <si>
    <t>vzduchotěsná vrstva/parozábrana</t>
  </si>
  <si>
    <t>Warstwa powietrznoszczelna (paroizolacja)</t>
  </si>
  <si>
    <t>légtömör réteg (párazáró réteg)</t>
  </si>
  <si>
    <t>vzduchotesná vrstva (parozábrana)</t>
  </si>
  <si>
    <t>Luchtdichte laag (dampscherm)</t>
  </si>
  <si>
    <t>Zračnotesni sloj (parna zapora)</t>
  </si>
  <si>
    <t>lufttätt skikt (ångspärr)</t>
  </si>
  <si>
    <t>Lufttæt lag (dampspærre)</t>
  </si>
  <si>
    <t>Lufttett lag (dampsperre)</t>
  </si>
  <si>
    <t>Nepropusni sloj (parna brana)</t>
  </si>
  <si>
    <t>Lüftungsband</t>
  </si>
  <si>
    <t>ventilation screen</t>
  </si>
  <si>
    <t>bavette ventilée</t>
  </si>
  <si>
    <t>Lamiera forata di ventilazione</t>
  </si>
  <si>
    <t>větrací pás</t>
  </si>
  <si>
    <t xml:space="preserve">Listwa wentylacyjna </t>
  </si>
  <si>
    <t>szellőzőszalag</t>
  </si>
  <si>
    <t>vetrací pás</t>
  </si>
  <si>
    <t>ventilatieband</t>
  </si>
  <si>
    <t xml:space="preserve">perforirani trak </t>
  </si>
  <si>
    <t>ventilationsplåt</t>
  </si>
  <si>
    <t>ventilationsbånd</t>
  </si>
  <si>
    <t>ventilasjonsplate</t>
  </si>
  <si>
    <t>Traka za odzračivanje</t>
  </si>
  <si>
    <t>M10-Gewindedorn</t>
  </si>
  <si>
    <t>M10 thread pin</t>
  </si>
  <si>
    <t>goujon fileté M10</t>
  </si>
  <si>
    <t>Chiodo filettato M10</t>
  </si>
  <si>
    <t>Trn se závitem M10</t>
  </si>
  <si>
    <t>M10 Trzpień gwintowany</t>
  </si>
  <si>
    <t>M10 menetes szár</t>
  </si>
  <si>
    <t xml:space="preserve">tŕň so závitom M10 </t>
  </si>
  <si>
    <t>M10 schroefdraaddoorn</t>
  </si>
  <si>
    <t>M10 navojna konica</t>
  </si>
  <si>
    <t>M10 gängad dorn</t>
  </si>
  <si>
    <t>M10 gevinddorn</t>
  </si>
  <si>
    <t>M10 gjengestift</t>
  </si>
  <si>
    <t>M10 navojni trn</t>
  </si>
  <si>
    <t>m²</t>
  </si>
  <si>
    <t>Mansardenknick</t>
  </si>
  <si>
    <t>mansard crease</t>
  </si>
  <si>
    <t>brisure ou ligne de bris (combles mansardés)</t>
  </si>
  <si>
    <t>Cambio di pendenza della mansarda</t>
  </si>
  <si>
    <t>Mansardový zlom</t>
  </si>
  <si>
    <t>Załamanie mansardowe</t>
  </si>
  <si>
    <t>manzárdtörés</t>
  </si>
  <si>
    <t>manzardové zalomenie</t>
  </si>
  <si>
    <t>Mansarde bocht</t>
  </si>
  <si>
    <t>Mansardni pregib</t>
  </si>
  <si>
    <t>mansardvinkel</t>
  </si>
  <si>
    <t>Mansardknæk</t>
  </si>
  <si>
    <t>Mansardtak</t>
  </si>
  <si>
    <t>Pregib mansarde</t>
  </si>
  <si>
    <t>Maßangaben in mm</t>
  </si>
  <si>
    <t>dimensions in mm</t>
  </si>
  <si>
    <t>dimensions en mm</t>
  </si>
  <si>
    <t>Indicazione misure in mm</t>
  </si>
  <si>
    <t>Rozměry v mm</t>
  </si>
  <si>
    <t>Wymiary w mm</t>
  </si>
  <si>
    <t>méretek mm-ben</t>
  </si>
  <si>
    <t>rozmerové údaje v mm</t>
  </si>
  <si>
    <t>Afmetingen in mm</t>
  </si>
  <si>
    <t>Mere v mm</t>
  </si>
  <si>
    <t>Mått i mm</t>
  </si>
  <si>
    <t>Mål i mm</t>
  </si>
  <si>
    <t>Dimensjoner i mm</t>
  </si>
  <si>
    <t>Dimenzije u mm</t>
  </si>
  <si>
    <t>Maße:</t>
  </si>
  <si>
    <t>Dimensions:</t>
  </si>
  <si>
    <t>wymiary:</t>
  </si>
  <si>
    <t>Rozmery:</t>
  </si>
  <si>
    <t>Afmetingen:</t>
  </si>
  <si>
    <t>Mål:</t>
  </si>
  <si>
    <t>Mauer</t>
  </si>
  <si>
    <t>wall</t>
  </si>
  <si>
    <t>mur</t>
  </si>
  <si>
    <t>Muro</t>
  </si>
  <si>
    <t>zdivo</t>
  </si>
  <si>
    <t>Ściana</t>
  </si>
  <si>
    <t>fal</t>
  </si>
  <si>
    <t>múr</t>
  </si>
  <si>
    <t>Muur</t>
  </si>
  <si>
    <t>Zid</t>
  </si>
  <si>
    <t>murvägg</t>
  </si>
  <si>
    <t>Mur</t>
  </si>
  <si>
    <t>Murvegg</t>
  </si>
  <si>
    <t>Mauerabdeckung</t>
  </si>
  <si>
    <t>wall flashing</t>
  </si>
  <si>
    <t>couvertine (couronnement de muret)</t>
  </si>
  <si>
    <t>Copertura muro</t>
  </si>
  <si>
    <t>Oplechování atiky</t>
  </si>
  <si>
    <t>Pokrycie ścienne</t>
  </si>
  <si>
    <t>falburkolat</t>
  </si>
  <si>
    <t>oplechovanie múru</t>
  </si>
  <si>
    <t>Muurafdekking</t>
  </si>
  <si>
    <t>Pokrov za zid</t>
  </si>
  <si>
    <t>murbeklädnad</t>
  </si>
  <si>
    <t>Murafdækning</t>
  </si>
  <si>
    <t>Veggkledning</t>
  </si>
  <si>
    <t>Zidna obloga</t>
  </si>
  <si>
    <t>Mauerwerk</t>
  </si>
  <si>
    <t>masonry</t>
  </si>
  <si>
    <t>maçonnerie</t>
  </si>
  <si>
    <t>Elemento in muratura</t>
  </si>
  <si>
    <t>Zdivo</t>
  </si>
  <si>
    <t>Murarstwo</t>
  </si>
  <si>
    <t>falazat</t>
  </si>
  <si>
    <t>murivo</t>
  </si>
  <si>
    <t>Metselwerk</t>
  </si>
  <si>
    <t>Zidava</t>
  </si>
  <si>
    <t>murverk</t>
  </si>
  <si>
    <t>Murværk</t>
  </si>
  <si>
    <t>Murverk</t>
  </si>
  <si>
    <t>Zidarstvo</t>
  </si>
  <si>
    <t>max.</t>
  </si>
  <si>
    <t>max</t>
  </si>
  <si>
    <t>maks.</t>
  </si>
  <si>
    <t>najv.</t>
  </si>
  <si>
    <t>Mechanisch befestigt auf Aluminium-Unterkonstruktion</t>
  </si>
  <si>
    <t>fastened mechanically on the aluminium substructure</t>
  </si>
  <si>
    <t>fixation mécanique sur sous-construction en aluminium</t>
  </si>
  <si>
    <t>Fissato meccanicamente su una sottostruttura in alluminio</t>
  </si>
  <si>
    <t>Mechanicky připevněno na hliníkovou spodní konstrukci</t>
  </si>
  <si>
    <t>Mocowanie mechaniczne do aluminiowej konstrukcji nośnej</t>
  </si>
  <si>
    <t>mechanikusan rögzítve az alumínium alátétszerkezetre</t>
  </si>
  <si>
    <t>mechanicky upevnený na hliníkovom nosnom rošte</t>
  </si>
  <si>
    <t>Mechanisch bevestigd aan aluminium onderconstructie</t>
  </si>
  <si>
    <t>Mehanska pritrditev na aluminijasto podkonstrukcijo</t>
  </si>
  <si>
    <t>Mekaniskt fäst på en aluminiumunderkonstruktion</t>
  </si>
  <si>
    <t>Mekanisk fastgjort af aluminium-underkonstruktion</t>
  </si>
  <si>
    <t>Mekanisk festet på underkonstruksjon i aluminium</t>
  </si>
  <si>
    <t>Mehanički pričvršćeno na aluminijsku potkonstrukciju</t>
  </si>
  <si>
    <t>Mechanisch befestigt auf Holz-Unterkonstruktion</t>
  </si>
  <si>
    <t>fastened mechanically on the wood substructure</t>
  </si>
  <si>
    <t>fixation mécanique sur sous-construction bois</t>
  </si>
  <si>
    <t>Fissato meccanicamente su una sottostruttura in legno</t>
  </si>
  <si>
    <t>Mechanicky připevněno na dřevěnou spodní konstrukci</t>
  </si>
  <si>
    <t>Mocowanie mechaniczne do drewnianej konstrukcji nośnej</t>
  </si>
  <si>
    <t>mechanikusan rögzítve fa alátétszerkezetre</t>
  </si>
  <si>
    <t>mechanicky upevnený na drevenom nosnom rošte</t>
  </si>
  <si>
    <t>Mechanisch bevestigd op houten onderconstructie</t>
  </si>
  <si>
    <t>Mehanska pritrditev na leseno podkonstrukcijo</t>
  </si>
  <si>
    <t>Mekaniskt fäst på en träunderkonstruktion</t>
  </si>
  <si>
    <t>Mekanisk fastgjort af træ-underkonstruktion</t>
  </si>
  <si>
    <t>Mekanisk festet på underkonstruksjon i tre</t>
  </si>
  <si>
    <t>Mehanički pričvršćeno na drvenu potkonstrukciju</t>
  </si>
  <si>
    <t>Menge</t>
  </si>
  <si>
    <t>Quantity</t>
  </si>
  <si>
    <t>quantité</t>
  </si>
  <si>
    <t>Quantità</t>
  </si>
  <si>
    <t>Množství</t>
  </si>
  <si>
    <t>Ilość</t>
  </si>
  <si>
    <t>Mennyiségi egység:</t>
  </si>
  <si>
    <t>Množstvo</t>
  </si>
  <si>
    <t>Aantal</t>
  </si>
  <si>
    <t>Količina v :</t>
  </si>
  <si>
    <t>Mängd</t>
  </si>
  <si>
    <t>Mængde</t>
  </si>
  <si>
    <t>Mengde</t>
  </si>
  <si>
    <t>Količina</t>
  </si>
  <si>
    <t>Mengen in:</t>
  </si>
  <si>
    <t>Quantities in:</t>
  </si>
  <si>
    <t>Quantités en :</t>
  </si>
  <si>
    <t>Quantità espresse in:</t>
  </si>
  <si>
    <t>Množství v:</t>
  </si>
  <si>
    <t>Ilość:</t>
  </si>
  <si>
    <t>Množstvo v:</t>
  </si>
  <si>
    <t>Aantallen in:</t>
  </si>
  <si>
    <t>Mängder i:</t>
  </si>
  <si>
    <t>Mængder i:</t>
  </si>
  <si>
    <t>Mengder i:</t>
  </si>
  <si>
    <t>Količina u:</t>
  </si>
  <si>
    <t>Mengenermittlung</t>
  </si>
  <si>
    <t>calcul des quantités requises</t>
  </si>
  <si>
    <t>Distinta materiali</t>
  </si>
  <si>
    <t>Výpis materiálu</t>
  </si>
  <si>
    <t>Zapytanie ilościowe:</t>
  </si>
  <si>
    <t>mennyiségszámítás</t>
  </si>
  <si>
    <t>Mengenermittlung/Anfrage_SW</t>
  </si>
  <si>
    <t>aanvraag</t>
  </si>
  <si>
    <t>Ocenitev količine</t>
  </si>
  <si>
    <t>Beregning af antal</t>
  </si>
  <si>
    <t>Mengdeangivelse</t>
  </si>
  <si>
    <t>Određivanje količine</t>
  </si>
  <si>
    <t>Mengenermittlung/Anfrage</t>
  </si>
  <si>
    <t>Material quotaion / inquiry</t>
  </si>
  <si>
    <t>Question / Quantités requises</t>
  </si>
  <si>
    <t>Distinta materiali/Richiesta offerta</t>
  </si>
  <si>
    <t>mennyiségszámítás / árajánlatkérés</t>
  </si>
  <si>
    <t>Výpis materiálu / dopyt</t>
  </si>
  <si>
    <t>Aantallen/aanvraag</t>
  </si>
  <si>
    <t>Ocenitev količine/povpraševanje</t>
  </si>
  <si>
    <t>Mängdberäkning/vid förfrågan</t>
  </si>
  <si>
    <t>Mængdeundersøgelse/Forespørgsel</t>
  </si>
  <si>
    <t>Mengdeberegning/forespørsel</t>
  </si>
  <si>
    <t>Određivanje količine/Upit</t>
  </si>
  <si>
    <t>Metalleindeckung (Kleinformat)</t>
  </si>
  <si>
    <t xml:space="preserve">metal roof covering (small format) </t>
  </si>
  <si>
    <t>couverture métallique (petits formats)</t>
  </si>
  <si>
    <t>Copertura metallica (formato piccolo)</t>
  </si>
  <si>
    <t>hliníková krytina (maloformát)</t>
  </si>
  <si>
    <t>Metalowe pokrycia dachowe (mały format)</t>
  </si>
  <si>
    <t>fémburkolat (kis formátum)</t>
  </si>
  <si>
    <t>kovová krytina (maloformát)</t>
  </si>
  <si>
    <t>Metalen dakbedekking (klein formaat)</t>
  </si>
  <si>
    <t>Kovinska kritina (majhen format)</t>
  </si>
  <si>
    <t>Metalltak (litet format)</t>
  </si>
  <si>
    <t>Metalinddækning (mindre format)</t>
  </si>
  <si>
    <t>Metallkledning (småformat)</t>
  </si>
  <si>
    <t>Metalni krov (mali format)</t>
  </si>
  <si>
    <t>min.</t>
  </si>
  <si>
    <t>min</t>
  </si>
  <si>
    <t>najm.</t>
  </si>
  <si>
    <t>MINDESTDACHNEIGUNG</t>
  </si>
  <si>
    <t>MINIMUM ROOF PITCH</t>
  </si>
  <si>
    <t>PENTE DE TOIT MINIMUM</t>
  </si>
  <si>
    <t>MINIMÁLNÍ SKLON</t>
  </si>
  <si>
    <t>MINIMALNY KĄT NACHYLENIA DACHU</t>
  </si>
  <si>
    <t>MINIMÁLIS TETŐHAJLÁSSZÖG</t>
  </si>
  <si>
    <t>MINIMÁLNY SKLON STRECHY</t>
  </si>
  <si>
    <t>MINIMALE DAKHELLING</t>
  </si>
  <si>
    <t>NAJMANJŠI NAKLON STREHE</t>
  </si>
  <si>
    <t>LÄGSTA TAKLUTNING</t>
  </si>
  <si>
    <t>MIN. TAGHÆLDNING</t>
  </si>
  <si>
    <t>MINSTE TAKVINKEL</t>
  </si>
  <si>
    <t>MINIMALNI NAGIB KROVA</t>
  </si>
  <si>
    <t>Mindestdachneigung</t>
  </si>
  <si>
    <t>minimum roof pitch with products</t>
  </si>
  <si>
    <t>pente de toit minimum</t>
  </si>
  <si>
    <t>Pendenza minima del tetto</t>
  </si>
  <si>
    <t>Minimální střešní sklony u produktů</t>
  </si>
  <si>
    <t>Minimalny kąt nachylenia dachu</t>
  </si>
  <si>
    <t>minimális tetőhajlásszög</t>
  </si>
  <si>
    <t>minimálny sklon strechy</t>
  </si>
  <si>
    <t>Minimale dakhelling</t>
  </si>
  <si>
    <t>Najmanjši naklon strehe</t>
  </si>
  <si>
    <t>Lägsta taklutning</t>
  </si>
  <si>
    <t>Min. taghældning</t>
  </si>
  <si>
    <t>Minste takvinkel</t>
  </si>
  <si>
    <t>Minimalni nagib krova</t>
  </si>
  <si>
    <t>Mindestgefälle: 3°</t>
  </si>
  <si>
    <t>minimum gradient 3°</t>
  </si>
  <si>
    <t>inclinaison minimum : 3°</t>
  </si>
  <si>
    <t>Pendenza minima: 3°</t>
  </si>
  <si>
    <t>Minimální sklon 3°</t>
  </si>
  <si>
    <t>Minimalny spadek: 3°</t>
  </si>
  <si>
    <t>minimális lejtés: 3°</t>
  </si>
  <si>
    <t>Minimálny spád: 3°</t>
  </si>
  <si>
    <t>Minimale helling: 3°</t>
  </si>
  <si>
    <t>Najmanjši padec: 3°</t>
  </si>
  <si>
    <t>Lägsta taklutning: 3°</t>
  </si>
  <si>
    <t>Mindste hældning: 3°</t>
  </si>
  <si>
    <t>Minste helling: 3°</t>
  </si>
  <si>
    <t>Minimalni gradijent: 3°</t>
  </si>
  <si>
    <t>Mindestmenge</t>
  </si>
  <si>
    <t>Minimum amount</t>
  </si>
  <si>
    <t>quantité minimum</t>
  </si>
  <si>
    <t>Minimální částka</t>
  </si>
  <si>
    <t>Minimalna kwota</t>
  </si>
  <si>
    <t>Minimális összeg</t>
  </si>
  <si>
    <t>Minimálna suma</t>
  </si>
  <si>
    <t>Minimumbedrag</t>
  </si>
  <si>
    <t>Najmanjši znesek</t>
  </si>
  <si>
    <t>Minsta belopp</t>
  </si>
  <si>
    <t>Minimumsbeløb</t>
  </si>
  <si>
    <t>Minimumsbeløp</t>
  </si>
  <si>
    <t>Najmanja količina</t>
  </si>
  <si>
    <t>MIT Wärmedämmung</t>
  </si>
  <si>
    <t>WITH thermal insulation</t>
  </si>
  <si>
    <t>AVEC isolation thermique</t>
  </si>
  <si>
    <t>CON isolante termico</t>
  </si>
  <si>
    <t>Včetně zateplení</t>
  </si>
  <si>
    <t xml:space="preserve">Z izolacją termiczną </t>
  </si>
  <si>
    <t>hőszigeteléssel</t>
  </si>
  <si>
    <t>vrátane zateplenia</t>
  </si>
  <si>
    <t>MET isolatie</t>
  </si>
  <si>
    <t>S toplotno izolacija</t>
  </si>
  <si>
    <t>MED värmeisolering</t>
  </si>
  <si>
    <t>MED varmeisolering</t>
  </si>
  <si>
    <t>MED varmeisolasjon</t>
  </si>
  <si>
    <t>S toplinskom izolacijom</t>
  </si>
  <si>
    <t>mit Zusatzfalz</t>
  </si>
  <si>
    <t>with additional joint</t>
  </si>
  <si>
    <t>avec joint supplémentaire</t>
  </si>
  <si>
    <t>con aggraffatura supplementare</t>
  </si>
  <si>
    <t>s přídavnou drážkou</t>
  </si>
  <si>
    <t>z dodatkową zakładką</t>
  </si>
  <si>
    <t>kiegészítő korccal</t>
  </si>
  <si>
    <t>s prídavnou drážkou</t>
  </si>
  <si>
    <t>met extra naad</t>
  </si>
  <si>
    <t>z dodatnim zgibom</t>
  </si>
  <si>
    <t>med extra fals</t>
  </si>
  <si>
    <t>med ekstrafals</t>
  </si>
  <si>
    <t>med tilleggsfals</t>
  </si>
  <si>
    <t>s dodatnim falcom</t>
  </si>
  <si>
    <t>Montage mit Unterlagsplatte</t>
  </si>
  <si>
    <t>installation with base plate</t>
  </si>
  <si>
    <t>pose avec plaque de support</t>
  </si>
  <si>
    <t>Montaggio con sottopiastra</t>
  </si>
  <si>
    <t>provedení s montážní podložkou</t>
  </si>
  <si>
    <t>Mocowanie z płytą podkładową</t>
  </si>
  <si>
    <t>szerelés alátétlemezzel</t>
  </si>
  <si>
    <t>montáž so spevňovacou podložkou</t>
  </si>
  <si>
    <t>Montage met steunplaat</t>
  </si>
  <si>
    <t>Montaža s podložko</t>
  </si>
  <si>
    <t>Montering med mellanlägg</t>
  </si>
  <si>
    <t>Montering med underlagsplade</t>
  </si>
  <si>
    <t>Montering med underlagsplate</t>
  </si>
  <si>
    <t>Montaža s osnovnom pločom</t>
  </si>
  <si>
    <t>Montage ohne Unterlagsplatte</t>
  </si>
  <si>
    <t>installation without base plate</t>
  </si>
  <si>
    <t>pose sans plaque de support</t>
  </si>
  <si>
    <t>Montaggio senza sottopiastra</t>
  </si>
  <si>
    <t>provedení bez montážní podložky</t>
  </si>
  <si>
    <t>Mocowanie bez płyty podkładowej</t>
  </si>
  <si>
    <t>szerelés alátétlemez nélkül</t>
  </si>
  <si>
    <t>montáž bez spevňovacej podložky</t>
  </si>
  <si>
    <t>Montage zonder steunplaat</t>
  </si>
  <si>
    <t>Montaža brez podložke</t>
  </si>
  <si>
    <t>Montering utan mellanlägg</t>
  </si>
  <si>
    <t>Montering uden underlagsplade</t>
  </si>
  <si>
    <t>Montering uten underlagsplate</t>
  </si>
  <si>
    <t>Montaža bez osnovne ploče</t>
  </si>
  <si>
    <t>Montagevariante Nieten (zusätzliches Kleben nicht erforderlich)</t>
  </si>
  <si>
    <t>Rivet mounting options
(additional bonding not required)</t>
  </si>
  <si>
    <t>variante de montage — rivetage (aucun collage requis)</t>
  </si>
  <si>
    <t>Variante di montaggio con rivetti (incollaggio aggiuntivo non necessario)</t>
  </si>
  <si>
    <t>Montážní varianta "Nýtování" (s podtěsněním)</t>
  </si>
  <si>
    <t>Wariant montażowy z nitami (dodatkowe klejenie niewymagane)</t>
  </si>
  <si>
    <t>szegecses szerelési változat (további ragasztás nem szükséges)</t>
  </si>
  <si>
    <t>variant montáže nitovanie (dodatočné lepenie nie je potrebné)</t>
  </si>
  <si>
    <t>Montagevariant klinknagels (extra verlijming niet nodig)</t>
  </si>
  <si>
    <t>Varianta montaže kovice (dodatno lepljenje ni potrebno)</t>
  </si>
  <si>
    <t>Monteringsvariant med nitar (extra limning krävs ej)</t>
  </si>
  <si>
    <t>Monteringsvarianter nitter (ekstra klæbning er ikke påkrævet)</t>
  </si>
  <si>
    <t>Monteringsvariant med fastspikring (ekstra liming er ikke nødvendig)</t>
  </si>
  <si>
    <t>Varijanta montaže zakivanje (dodatno lijepljenje nije potrebno)</t>
  </si>
  <si>
    <t>Montagehilfe für Sturmsicherungsclip (für Materialstärke von 1,0 mm)</t>
  </si>
  <si>
    <t>storm-proof clip mounting aid 1,0 mm</t>
  </si>
  <si>
    <t>cale d’espacement pour clip tempête (épaisseur du matériau : 1,0 mm)</t>
  </si>
  <si>
    <t>montážní pomůcka pro clipsy 1,0 mm</t>
  </si>
  <si>
    <t>Przyrząd montażowy klipsu przeciwburzowego 1,0 mm</t>
  </si>
  <si>
    <t>viharkapocs rögzítőelem 1,0mm</t>
  </si>
  <si>
    <t>montážna pomôcka pre antivibračnú svorku 1,0 mm</t>
  </si>
  <si>
    <t>montagehulp stormborgingsclip voor materiaaldikte 1,0 mm</t>
  </si>
  <si>
    <t>Pomoč za montažo za varnostne sponke (za debelino materiala 1,0 mm)</t>
  </si>
  <si>
    <t>monteringshjälp stormsäkringsclips för materialtjocklek 1,0 mm</t>
  </si>
  <si>
    <t>monteringshjælp stormsikringsklips til materialetykkelse 1,0 mm</t>
  </si>
  <si>
    <t>monteringshjelp stormsikringsklips for materialtykkelse 1,0 mm</t>
  </si>
  <si>
    <t>Pomoć kod montaže Sigurnosni clip držač kod nevremena za debljinu materijala 1,0mm</t>
  </si>
  <si>
    <t>Montagehilfe für Sturmsicherungsclip (für Materialstärke von 1,2 mm)</t>
  </si>
  <si>
    <t>storm-proof clip mounting aid 1,2 mm</t>
  </si>
  <si>
    <t>cale d’espacement pour clip tempête (épaisseur du matériau : 1,2 mm)</t>
  </si>
  <si>
    <t>montážní pomůcka pro clipsy 1,2 mm</t>
  </si>
  <si>
    <t>Przyrząd montażowy klipsu przeciwburzowego 1,2 mm</t>
  </si>
  <si>
    <t>viharkapocs rögzítőelem 1,2mm</t>
  </si>
  <si>
    <t>montážna pomôcka pre antivibračnú svorku 1,2 mm</t>
  </si>
  <si>
    <t>montagehulp stormborgingsclip voor materiaaldikte 1,2 mm</t>
  </si>
  <si>
    <t>Pomoč za montažo za varnostne sponke (za debelino materiala 1,2 mm)</t>
  </si>
  <si>
    <t>monteringshjälp stormsäkringsclips för materialtjocklek 1,2 mm</t>
  </si>
  <si>
    <t>monteringshjælp stormsikringsklips til materialetykkelse 1,2mm</t>
  </si>
  <si>
    <t>monteringshjelp stormsikringsklips for materialtykkelse 1,2mm</t>
  </si>
  <si>
    <t>Pomoć kod montaže Sigurnosni clip držač kod nevremena za debljinu materijala 1,2mm</t>
  </si>
  <si>
    <t>Montagelochabdeckung (⌀ 30 mm)</t>
  </si>
  <si>
    <t>mounting hole cover Ø 30 mm</t>
  </si>
  <si>
    <t>cache-trou (⌀ 30 mm)</t>
  </si>
  <si>
    <t>montážní krytka Ø 30 mm</t>
  </si>
  <si>
    <t>Zaślepka ø 30 mm</t>
  </si>
  <si>
    <t>lyuktakaró ø 30 mm</t>
  </si>
  <si>
    <t>montážna krytka  Ø 30 mm</t>
  </si>
  <si>
    <t>montagegatafdekking Ø 30 mm</t>
  </si>
  <si>
    <t>Pokrov montažne luknje (⌀ 30 mm)</t>
  </si>
  <si>
    <t>monteringshålkåpa Ø 30 mm</t>
  </si>
  <si>
    <t>monteringshulafdækning Ø 30 mm</t>
  </si>
  <si>
    <t>monteringshulldeksel Ø 30 mm</t>
  </si>
  <si>
    <t>Pokrov montažne rupe Ø 30 mm</t>
  </si>
  <si>
    <t>Montagevariante Kleben (Klebebereich; zusätzliches Nieten nicht erforderlich)</t>
  </si>
  <si>
    <t>Bonding mounting options
bonding area
(additional riveting not required)</t>
  </si>
  <si>
    <t>variante de montage — collage (surface de collage ; aucun rivetage requis)</t>
  </si>
  <si>
    <t>Variante di montaggio con incollaggio (area adesiva; rivettatura aggiuntiva non necessaria)</t>
  </si>
  <si>
    <t>Montážní varianta "Lepení" (dodatečné nýtování není nutné)</t>
  </si>
  <si>
    <t>Wariant montażowy z klejeniem (obszar klejenia; dodatkowe nitowanie niewymagane)</t>
  </si>
  <si>
    <t>ragasztásos szerelési változat (ragasztott felület, további szegecselés nem szükséges)</t>
  </si>
  <si>
    <t>variant montáže lepenie (lepená oblasť; dodatočné nitovanie nie je potrebné)</t>
  </si>
  <si>
    <t>Montagevariant lijmen (lijmvlak; extra klinknagels niet nodig)</t>
  </si>
  <si>
    <t>Varianta montaže lepljenje (območje lepljenja; dodatno zakovičenje ni potrebno)</t>
  </si>
  <si>
    <t>Monteringsvariant limning (limyta; extra nitar krävs ej)</t>
  </si>
  <si>
    <t>Monteringsvarianter limning (ekstra nitter er ikke påkrævet)</t>
  </si>
  <si>
    <t>Monteringsvariant med liming (ekstra fastspikring er ikke nødvendig)</t>
  </si>
  <si>
    <t>Varijanta montaže lijepljenje (područje lijepljenja; dodatno zakivanje nije potrebno)</t>
  </si>
  <si>
    <t>Moosgrün/Hellgrau</t>
  </si>
  <si>
    <t>moss green/light grey</t>
  </si>
  <si>
    <t>vert mousse/gris souris</t>
  </si>
  <si>
    <t>verde muschio/grigio chiaro</t>
  </si>
  <si>
    <t>mechově zelená/světle šedá</t>
  </si>
  <si>
    <t>zieleń mchu / jasnoszary</t>
  </si>
  <si>
    <t>mohazöld/világosszürke</t>
  </si>
  <si>
    <t>machovozelená/svetlošedá</t>
  </si>
  <si>
    <t>mosgroen/lichtgrijs</t>
  </si>
  <si>
    <t>mahovo zelena/svetlo siva</t>
  </si>
  <si>
    <t>mossgrön/ljusgrå</t>
  </si>
  <si>
    <t>mosgrøn/lys grå</t>
  </si>
  <si>
    <t>mosegrønn/lys grå</t>
  </si>
  <si>
    <t>Boja zelene mahovine/svijetlo siva boja</t>
  </si>
  <si>
    <t>Nachstehend finden Sie einen kurzen Auszug aus der ÖNORM B 4119:2018.</t>
  </si>
  <si>
    <t>Below is a short extract from standard ÖNORM B 4119:2018</t>
  </si>
  <si>
    <t>Vous trouverez ci-dessous un bref extrait de la norme autrichienne ÖNORM B 4119:2018.</t>
  </si>
  <si>
    <t>Di seguito trovi un breve estratto dalla norma ÖNORM B 4119:2018.</t>
  </si>
  <si>
    <t>Níže je uveden krátký výňatek z normy ÖNORM B 4119:2018</t>
  </si>
  <si>
    <t>Poniżej zamieszczamy krótki wyciąg z normy ÖNORM B 4119:2018.</t>
  </si>
  <si>
    <t>Az alábbiakban az ÖNORM B 4119:2018 rövid kivonatát találja.</t>
  </si>
  <si>
    <t>V nasledujúcej časti nájdete krátky výťah z normy ÖNORM B 4119:2018.</t>
  </si>
  <si>
    <t>Hieronder vindt u een kort uittreksel van ÖNORM B 4119:2018.</t>
  </si>
  <si>
    <t>Spodaj boste našli kratek izvleček iz standarda ÖNORM B 4119:2018.</t>
  </si>
  <si>
    <t>Nedan hittar du ett kort utdrag ur ÖNORM B 4119:2018.</t>
  </si>
  <si>
    <t>Nedenfor finder du et kort uddrag fra ÖNORM B 4119:2018.</t>
  </si>
  <si>
    <t>Nedenfor finner du et kort utdrag fra ÖNORM B 4119:2018.</t>
  </si>
  <si>
    <t>U nastavku možete pronaći kratki izvod iz ÖNORM B 4119:2018.</t>
  </si>
  <si>
    <t>Nägel für Bull Tack Power Nagler</t>
  </si>
  <si>
    <t>Nails for Bull Tack Power nail gun</t>
  </si>
  <si>
    <t>clous pour cloueuse Bull Tack Power</t>
  </si>
  <si>
    <t>Chiodi per sparachiodi Bull Tack Power</t>
  </si>
  <si>
    <t>Hřebíky do Bull Tack Power hřebíkovačky</t>
  </si>
  <si>
    <t>Gwoździe do gwoździarki Bull Tack Power.</t>
  </si>
  <si>
    <t>Bordásszeg Bull Tack szögbelövőhöz</t>
  </si>
  <si>
    <t>Klince do Bull Tack Power klincovačky</t>
  </si>
  <si>
    <t>Spijkers voor Bull Tack Power spijkerpistool</t>
  </si>
  <si>
    <t>Žičniki za Bull Tack pištolo</t>
  </si>
  <si>
    <t>Spikar för Bull Tack Power-häftmaskin</t>
  </si>
  <si>
    <t>Søm til Bull Tack Power sømpistol</t>
  </si>
  <si>
    <t>Spiker for Bull Tack Power-spikerpistol</t>
  </si>
  <si>
    <t>Čavli za Bull Tack Power uređaj</t>
  </si>
  <si>
    <t>Nageldichtband (≤ 35°)</t>
  </si>
  <si>
    <t xml:space="preserve">nail sealing tape (≤ 35°) </t>
  </si>
  <si>
    <t>bande d’étanchéité pour clous (≤ 35°)</t>
  </si>
  <si>
    <t>těsnicí páska pod kontralatě ( ≤35°)</t>
  </si>
  <si>
    <t>Taśma uszczelniająca do gwoździ (≤ 35°)</t>
  </si>
  <si>
    <t>szegtömítő szalag (≤ 35°)</t>
  </si>
  <si>
    <t>páska pod kontralatu (≤ 35°)</t>
  </si>
  <si>
    <t>Nagelafdichtingsband (≤ 35°)</t>
  </si>
  <si>
    <t>Tesnilni trak za žeblje (≤ 35°)</t>
  </si>
  <si>
    <t>spikband (≤ 35°)</t>
  </si>
  <si>
    <t>Sømlistetape (≤ 35°)</t>
  </si>
  <si>
    <t>Tetningsbånd for spiker (≤35°)</t>
  </si>
  <si>
    <t>Traka za brtvljenje čavli (≤ 35°)</t>
  </si>
  <si>
    <t>Nähte sind geschweißt und nicht verschliffen.</t>
  </si>
  <si>
    <t>The seams must be welded and unfinished.</t>
  </si>
  <si>
    <t>Les joints sont soudés et non poncés.</t>
  </si>
  <si>
    <t>Le giunture sono saldate e non rettificate.</t>
  </si>
  <si>
    <t>Spoje jsou svařené a nezabroušené.</t>
  </si>
  <si>
    <t>Łączenia są spawane i nie są szlifowane.</t>
  </si>
  <si>
    <t>A varratok hegesztve vannak, csiszolva nincsenek.</t>
  </si>
  <si>
    <t>Švy sú zvárané a nie brúsené.</t>
  </si>
  <si>
    <t>De naden zijn gelast en niet geslepen.</t>
  </si>
  <si>
    <t>Šivi so varjeni in nebrušeni.</t>
  </si>
  <si>
    <t>Sömmarna är svetsade och inte slipade.</t>
  </si>
  <si>
    <t>Sømme er svejset og ikke slebet.</t>
  </si>
  <si>
    <t>Sømmer er sveiset og ikke slipt.</t>
  </si>
  <si>
    <t>Šavovi su zavareni i nisu brušeni.</t>
  </si>
  <si>
    <t>Name:</t>
  </si>
  <si>
    <t>Nom :</t>
  </si>
  <si>
    <t>Nome:</t>
  </si>
  <si>
    <t>Jméno:</t>
  </si>
  <si>
    <t>Nazwa:</t>
  </si>
  <si>
    <t>Név:</t>
  </si>
  <si>
    <t>Meno:</t>
  </si>
  <si>
    <t>Naam:</t>
  </si>
  <si>
    <t>ime</t>
  </si>
  <si>
    <t>Namn:</t>
  </si>
  <si>
    <t>Navn:</t>
  </si>
  <si>
    <t>Ime:</t>
  </si>
  <si>
    <t>Neigung der Kehle: mind. 10°</t>
  </si>
  <si>
    <t>valley inclination: min. 10°</t>
  </si>
  <si>
    <t>Pente de la noue : au moins 10°</t>
  </si>
  <si>
    <t>Pendenza del compluvio: almeno 10°</t>
  </si>
  <si>
    <t>sklon úžlabí min. 10°</t>
  </si>
  <si>
    <t>Nachylenie kosza: min. 10°</t>
  </si>
  <si>
    <t>Vápa lejtése: min. 10°</t>
  </si>
  <si>
    <t>Sklon úžľabia: min. 10°</t>
  </si>
  <si>
    <t>Helling van de goot: min. 10°</t>
  </si>
  <si>
    <t>naklon žlote: najm. 10°</t>
  </si>
  <si>
    <t>Kilens lutning: min. 10°</t>
  </si>
  <si>
    <t>Kilens hældning: mind. 10°</t>
  </si>
  <si>
    <t>Helling på vinkelrenne: min. 10°</t>
  </si>
  <si>
    <t>Nagib uvale: min. 10°</t>
  </si>
  <si>
    <t>Neigung über 30° (58 %)</t>
  </si>
  <si>
    <t>roof pitch over 30° (58%)</t>
  </si>
  <si>
    <t>Pente de toit : supérieure à 30° (soit 58 %)</t>
  </si>
  <si>
    <t>Pendenza superiore a 30° (58%)</t>
  </si>
  <si>
    <t>sklon nad 30° (58%)</t>
  </si>
  <si>
    <t>Nachylenie powyżej 30° (58%)</t>
  </si>
  <si>
    <t>30° feletti lejtés (58 %)</t>
  </si>
  <si>
    <t>sklon viac ako 30° (58 %)</t>
  </si>
  <si>
    <t>Helling boven 30° (58 %)</t>
  </si>
  <si>
    <t>Naklon nad 30°(58 %)</t>
  </si>
  <si>
    <t>lutning över 30° (58 %)</t>
  </si>
  <si>
    <t>Hældning over 30° (58 %)</t>
  </si>
  <si>
    <t>Helling over 30° (58 %)</t>
  </si>
  <si>
    <t>Nagib preko 30° (58 %)</t>
  </si>
  <si>
    <t>nein</t>
  </si>
  <si>
    <t>no</t>
  </si>
  <si>
    <t>non</t>
  </si>
  <si>
    <t>Ne</t>
  </si>
  <si>
    <t>nie</t>
  </si>
  <si>
    <t>nem</t>
  </si>
  <si>
    <t>Nie</t>
  </si>
  <si>
    <t>nee</t>
  </si>
  <si>
    <t>ne</t>
  </si>
  <si>
    <t>Nej</t>
  </si>
  <si>
    <t>nej</t>
  </si>
  <si>
    <t>nei</t>
  </si>
  <si>
    <t>neues, vorbereitetes Siding einsetzen</t>
  </si>
  <si>
    <t>insert the new siding</t>
  </si>
  <si>
    <t>mettre en place le nouveau Siding que vous avez préparé</t>
  </si>
  <si>
    <t>Inserire la nuova Doga preparata</t>
  </si>
  <si>
    <t>Nasadit nový, připravený Siding</t>
  </si>
  <si>
    <t>új, előkészített Siding beillesztése</t>
  </si>
  <si>
    <t>vložiť nový, pripravený Siding</t>
  </si>
  <si>
    <t>plaats nieuwe, voorbereide siding</t>
  </si>
  <si>
    <t>uporabite nov, pripravljen Siding</t>
  </si>
  <si>
    <t>sätt in ny, förberedd siding</t>
  </si>
  <si>
    <t>monter ny og forberedt siding</t>
  </si>
  <si>
    <t>Sett inn ny, klargjort Siding</t>
  </si>
  <si>
    <t>koristiti novu, pripremljenu fasadnu kazetu</t>
  </si>
  <si>
    <t>Niro-Hosenhaft</t>
  </si>
  <si>
    <t>stainless steel fish tailed fixed clip</t>
  </si>
  <si>
    <t>patte inox fixe en V</t>
  </si>
  <si>
    <t>Graffetta a V, fissa, in acciaio inox</t>
  </si>
  <si>
    <t>Kalhotková příponka pevná, nerez</t>
  </si>
  <si>
    <t>NIRO Zaczep spodniowy ze stali nierdzewnej</t>
  </si>
  <si>
    <t>NIRO nadrághafter</t>
  </si>
  <si>
    <t>NIRO nohavicová pevná príponka</t>
  </si>
  <si>
    <t>NIRO V-klem</t>
  </si>
  <si>
    <t>hlačno sidro iz nerjavečega jekla</t>
  </si>
  <si>
    <t>NIRO gaffelfäste</t>
  </si>
  <si>
    <t>NIRO buksespænde</t>
  </si>
  <si>
    <t>RUSTFRITT STÅL gaffelfeste</t>
  </si>
  <si>
    <t>Nehrđajući V učvršćivač</t>
  </si>
  <si>
    <t>Niro-Hosenschiebehaft</t>
  </si>
  <si>
    <t>stainless steel fish tailed sliding clip</t>
  </si>
  <si>
    <t>patte inox coulissante en V</t>
  </si>
  <si>
    <t>Graffetta a V, scorrevole, in acciaio inox</t>
  </si>
  <si>
    <t>Kalhotková příponka posuvná, nerez</t>
  </si>
  <si>
    <t>NIRO Zaczep spodniowy przesuwny ze stali nierdzewnej</t>
  </si>
  <si>
    <t>NIRO csúszó nadrághafter</t>
  </si>
  <si>
    <t>NIRO nohavicová posuvná príponka</t>
  </si>
  <si>
    <t>NIRO V-schuifklem</t>
  </si>
  <si>
    <t>pomično hlačno sidro iz nerjavečega jekla</t>
  </si>
  <si>
    <t>NIRO glidgaffelfäste</t>
  </si>
  <si>
    <t>NIRO bukseskydespænde</t>
  </si>
  <si>
    <t>RUSTFRITT STÅL gaffelformet glidefeste</t>
  </si>
  <si>
    <t>Nehrđajući klizni V učvršćivač</t>
  </si>
  <si>
    <t>Niro-Winkellangschiebehaft (Scharenlänge bis 15 m)</t>
  </si>
  <si>
    <t>stainless steel preformed long sliding clip; tray length up to 15 m</t>
  </si>
  <si>
    <t>patte longue coulissante inox (jusqu’à une longueur de bac de 15 m)</t>
  </si>
  <si>
    <t>Graffetta scorrevole maggiorata, in acciaio inox, llunghezza lastre fino a 15m</t>
  </si>
  <si>
    <t>Posuvná příponka úhlová dlouhá do 15 m, nerez</t>
  </si>
  <si>
    <t>NIRO Zaczep kątowy przesuwny o zwiększonym zakresie ze stali nierdzewnej do 15 m</t>
  </si>
  <si>
    <t>NIRO hosszított csúszóhafter 15 m sarnihosszig</t>
  </si>
  <si>
    <t>NIRO uhlová posuvná dlhá príponka do 15 m</t>
  </si>
  <si>
    <t>Niro hoeklangsschuifhechting, schaarlengte tot 15 m</t>
  </si>
  <si>
    <t>pomično sidro (dolžina trakov do 15 m)</t>
  </si>
  <si>
    <t>NIRO glidfäste för lång stående vinkelfals, plåtlängd upp till 15 m</t>
  </si>
  <si>
    <t>Niro vinklet langt skydespænde skærlængde op til 15 m</t>
  </si>
  <si>
    <t>rustfritt stål langt vinkelformet glidefeste båndlengde inntil 15 m</t>
  </si>
  <si>
    <t>Nehrđajući kutni dugi klizi učvršćivač (duljina do 15 m)</t>
  </si>
  <si>
    <t>Niro-Winkelschiebehaft (Scharenlänge bis 12 m)</t>
  </si>
  <si>
    <t>stainless steel preformed sliding clips; tray length up to 12 m</t>
  </si>
  <si>
    <t>patte longue coulissante inox (jusqu’à une longueur de bac de 12 m)</t>
  </si>
  <si>
    <t>Graffetta scorrevole, in acciaio inox, lunghezza lastre fino a 12 m</t>
  </si>
  <si>
    <t>Posuvná příponka úhlová do 12 m, nerez</t>
  </si>
  <si>
    <t>NIRO Zaczep kątowy przesuwny ze stali nierdzewnej do 12 m</t>
  </si>
  <si>
    <t>NIRO csúszó hafter max. 12 m sarnihosszig</t>
  </si>
  <si>
    <t>NIRO uhlová posuvná dlhá príponka do 12 m</t>
  </si>
  <si>
    <t>Niro hoekschuifhechting, schaarlengte tot 12 m</t>
  </si>
  <si>
    <t>pomično sidro (dolžina trakov do 12 m)</t>
  </si>
  <si>
    <t>NIRO glidfäste för stående vinkelfals, plåtlängd upp till 12 m</t>
  </si>
  <si>
    <t>Niro vinklet skydespænde skærlængde op til 12 m</t>
  </si>
  <si>
    <t>rustfritt stål vinkelformet glidefeste båndlengde inntil 12 m</t>
  </si>
  <si>
    <t>Nehrđajući kutni klizi učvršćivač (duljina do 12 m)</t>
  </si>
  <si>
    <t>Niro-Winkelstehfalzhaft</t>
  </si>
  <si>
    <t>stainless steel preformed fixed clip</t>
  </si>
  <si>
    <t>patte inox fixe</t>
  </si>
  <si>
    <t>Graffetta fissa in acciaio inox</t>
  </si>
  <si>
    <t>Pevná příponka úhlová, nerez</t>
  </si>
  <si>
    <t>NIRO Zaczep kątowy stały ze stali nierdzewnej</t>
  </si>
  <si>
    <t>NIRO derékszögű állóhafter</t>
  </si>
  <si>
    <t>NIRO uhlová pevná príponka</t>
  </si>
  <si>
    <t>NIRO staande felshoekhechting</t>
  </si>
  <si>
    <t>fiksno sidro</t>
  </si>
  <si>
    <t>NIRO fäste för stående vinkelfals</t>
  </si>
  <si>
    <t>NIRO spænde til vinklet stående fals</t>
  </si>
  <si>
    <t>RUSTFRITT STÅL feste for vinkelstående fals</t>
  </si>
  <si>
    <t>Nehrđajući kutni stojeći učvršćivač</t>
  </si>
  <si>
    <t>Niro-Schraube mit Dichtscheibe (4,5 × 25 mm; ohne Bohrspitze)</t>
  </si>
  <si>
    <t>Stainless steel screw with sealing washer 4,5 x 25 mm without drill point</t>
  </si>
  <si>
    <t>vis inox avec rondelle d’étanchéité (4,5 × 25 mm ; sans vis autoperceuse)</t>
  </si>
  <si>
    <t>Vite in acciaio inox 4,5x25mm con rondella di tenuta. Punta non autoforante</t>
  </si>
  <si>
    <t>Nerezový vrut s těsnicí podložkou (4,5 × 25 mm; s předvrtáním)</t>
  </si>
  <si>
    <t>Śruba ze stali nierdzewnej z podkładką uszczelniającą (4,5 × 25 mm; bez wiertła)</t>
  </si>
  <si>
    <t>rozsdamentes csavar tömítő alátéttel (4,5 × 25 mm; fúróhegy nélkül)</t>
  </si>
  <si>
    <t>skrutka z nehrdzavejúcej ocele s tesniacim krúžkom (4,5 × 25 mm; bez vrtného hrotu)</t>
  </si>
  <si>
    <t>Roestvrijstalen schroef met afdichtring (4,5 × 25 mm; zonder boorpunt)</t>
  </si>
  <si>
    <t>Nerjavni vijak s tesnilno podložko (4,5 × 25 mm; brez svedra)</t>
  </si>
  <si>
    <t>Rostfri skruv med tätningsbricka (4,5 × 25 mm; utan borr)</t>
  </si>
  <si>
    <t>Niro-skrue med tætningsskive (4,5 × 25 mm; uden borespids)</t>
  </si>
  <si>
    <t>Niro-skrue med tetningsskive (4,5 × 25 mm; uten borespiss)</t>
  </si>
  <si>
    <t>Nehrđajući vijak s brtvenom podlogom (4,5 × 25 mm; bez oštrog vrha)</t>
  </si>
  <si>
    <t>Niro-Schraube mit Dichtscheibe (für Grat- und Firstreiter)</t>
  </si>
  <si>
    <t>stainless steel screw and sealing washer for hip and ridge cap</t>
  </si>
  <si>
    <t>vis inox et rondelle d’étanchéité (pour faîtières et arêtiers)</t>
  </si>
  <si>
    <t>Vite inox con rondella di tenuta per copricolmo/displuvio</t>
  </si>
  <si>
    <t>Nerezový vrut s těsnící podložkou pro malý hřebenáč</t>
  </si>
  <si>
    <t xml:space="preserve">wkręt ze stali nierdzewnej z uszczelnieniem do gąsiora dachowego </t>
  </si>
  <si>
    <t>Rozsdamentes acél csavar tömítő alátéttel él- és taréjgerinc elemhez</t>
  </si>
  <si>
    <t>Skrutky z nehrdzavejúcej ocele s tesniacim krúžkom pre hrebeň resp. nárožie</t>
  </si>
  <si>
    <t>Niro-schroef met afdichtingschijf voor graat-/vorstafdekking</t>
  </si>
  <si>
    <t>Kleparski nerjaveči vijaki s podložko za grebenske slemenjake</t>
  </si>
  <si>
    <t>Niro-skruv med tätningsbricka för nockpanna</t>
  </si>
  <si>
    <t>Niro-skrue med tætningsskive til rygnings-/mønningsrytter</t>
  </si>
  <si>
    <t>Skrue i rustfritt stål med tetningsskive for mønestein</t>
  </si>
  <si>
    <t>Nehrđajući vijak s brtvenom podlogom (za bridnu i sljemenu kapu)</t>
  </si>
  <si>
    <t>Niro-Schraube mit Dichtscheibe (für Jet-Lüfter)</t>
  </si>
  <si>
    <t>stainless steel screw and sealing washer for ridge vent</t>
  </si>
  <si>
    <t>vis inox et rondelle d’étanchéité (pour faîtières ventilées)</t>
  </si>
  <si>
    <t>Vite inox con rondella di tenuta per copricolmo ventilato</t>
  </si>
  <si>
    <t>Nerezový vrut s těsnící podložkou pr Jet-Lüfter</t>
  </si>
  <si>
    <t>wkręt ze stali nierdzewnej z uszczelnieniem do gąsiora wentylowanego.</t>
  </si>
  <si>
    <t>Rozsdamentes acél csavar tömítő alátéttel szellőző gerincelemhez</t>
  </si>
  <si>
    <t>Skrutky z nehrdzavejúcej ocele s tesniacim krúžkom pre Jet-Lüfter</t>
  </si>
  <si>
    <t>Niro-schroef met afdichtingschijf voor jetventilator</t>
  </si>
  <si>
    <t>Kleparski nerjaveči vijaki s podložko za jet-zračne slemenjake</t>
  </si>
  <si>
    <t>Niro-skruv med tätningsbricka för Jet-ventilation</t>
  </si>
  <si>
    <t>Niro-skrue med tætningsskive til jet-ventilator</t>
  </si>
  <si>
    <t>Skrue i rustfritt stål med tetningsskive for kanalventilasjon</t>
  </si>
  <si>
    <t>Nehrđajući vijak s brtvenom podlogom (za jet-odzračnik)</t>
  </si>
  <si>
    <t>normal</t>
  </si>
  <si>
    <t>normale</t>
  </si>
  <si>
    <t>normální</t>
  </si>
  <si>
    <t>normalny</t>
  </si>
  <si>
    <t>normál</t>
  </si>
  <si>
    <t>normálne</t>
  </si>
  <si>
    <t>normaal</t>
  </si>
  <si>
    <t>normalna</t>
  </si>
  <si>
    <t>normalno</t>
  </si>
  <si>
    <t>Nur mit Endabkantung und Schattenfuge möglich.</t>
  </si>
  <si>
    <t>Only feasible with edge downstand and shadow gap</t>
  </si>
  <si>
    <t>Réalisable uniquement avec pliure de rebord et joint creux.</t>
  </si>
  <si>
    <t>Disponibile solo con bordi ripiegati e fuga</t>
  </si>
  <si>
    <t>Možné pouze s ohraněním a spárou</t>
  </si>
  <si>
    <t>możliwe tylko z podgięciem końcowym i fugą</t>
  </si>
  <si>
    <t>Csak véglezárással és árnyékfugával rendelhető</t>
  </si>
  <si>
    <t>Je možné len s koncovým ohybom a škárou</t>
  </si>
  <si>
    <t>Alleen met eindafkanting en schaduwvoeg mogelijk</t>
  </si>
  <si>
    <t>Možno le z zaključno obrobo in senčno fugo.</t>
  </si>
  <si>
    <t>Endast möjligt med ändavkantning och skuggfog</t>
  </si>
  <si>
    <t>Kun muligt med endekant og skyggefuge</t>
  </si>
  <si>
    <t>Kun mulig med endefals og skyggefuge</t>
  </si>
  <si>
    <t>Moguće samo sa završnim kantiranjem i naglašenom fugom</t>
  </si>
  <si>
    <t>⌀</t>
  </si>
  <si>
    <t>Ø</t>
  </si>
  <si>
    <t>Oberfläche:</t>
  </si>
  <si>
    <t>Surface:</t>
  </si>
  <si>
    <t>Finition :</t>
  </si>
  <si>
    <t>Finitura superficiale:</t>
  </si>
  <si>
    <t>Povrchová úprava:</t>
  </si>
  <si>
    <t>Powierzchna:</t>
  </si>
  <si>
    <t>Felület:</t>
  </si>
  <si>
    <t>Oppervlak:</t>
  </si>
  <si>
    <t>površinska obdelava</t>
  </si>
  <si>
    <t>Ytbeläggning:</t>
  </si>
  <si>
    <t>Overflade:</t>
  </si>
  <si>
    <t>Overflate:</t>
  </si>
  <si>
    <t>Površina:</t>
  </si>
  <si>
    <t>ODER E-MAIL:</t>
  </si>
  <si>
    <t>OR EMAIL:</t>
  </si>
  <si>
    <t>OU PAR COURRIEL :</t>
  </si>
  <si>
    <t>O PER EMAIL:</t>
  </si>
  <si>
    <t>nebo e-mailem</t>
  </si>
  <si>
    <t>Adres EMAIL:</t>
  </si>
  <si>
    <t>VÁLASZ-EMAIL:</t>
  </si>
  <si>
    <t>ALEBO EMAILOM:</t>
  </si>
  <si>
    <t>OF E-MAIL:</t>
  </si>
  <si>
    <t>ali email</t>
  </si>
  <si>
    <t>ELLER E-POST:</t>
  </si>
  <si>
    <t>ELLER E-MAIL:</t>
  </si>
  <si>
    <t>ILI MAIL:</t>
  </si>
  <si>
    <t>OHNE Wärmedämmung</t>
  </si>
  <si>
    <t>WITHOUT thermal insulation</t>
  </si>
  <si>
    <t>SANS isolation thermique</t>
  </si>
  <si>
    <t>SENZA isolante termico</t>
  </si>
  <si>
    <t>Bez zateplení</t>
  </si>
  <si>
    <t xml:space="preserve">BEZ izolacji termicznej </t>
  </si>
  <si>
    <t>hőszigetelés nélkül</t>
  </si>
  <si>
    <t>bez zateplenia</t>
  </si>
  <si>
    <t>ZONDER isolatie</t>
  </si>
  <si>
    <t>BREZ toplotne izolacije</t>
  </si>
  <si>
    <t>UTAN värmeisolering</t>
  </si>
  <si>
    <t>UDEN varmeisolering</t>
  </si>
  <si>
    <t>UTEN varmeisolasjon</t>
  </si>
  <si>
    <t>BEZ toplinske izolacije</t>
  </si>
  <si>
    <t>Ort:</t>
  </si>
  <si>
    <t>City:</t>
  </si>
  <si>
    <t>Ville :</t>
  </si>
  <si>
    <t>Località:</t>
  </si>
  <si>
    <t>Obec:</t>
  </si>
  <si>
    <t>Miasto:</t>
  </si>
  <si>
    <t>Heység:</t>
  </si>
  <si>
    <t>Plaats:</t>
  </si>
  <si>
    <t>kraj</t>
  </si>
  <si>
    <t>Sted:</t>
  </si>
  <si>
    <t>Mjesto:</t>
  </si>
  <si>
    <t>Ortgangausbildung mit Giebelstreifen</t>
  </si>
  <si>
    <t>roof verge construction with verge flashing</t>
  </si>
  <si>
    <t>réalisation d’une rive avec pose d’une bande de rive</t>
  </si>
  <si>
    <t>Štítové lemování se závětrnou lištou</t>
  </si>
  <si>
    <t>Konstrukcja krawędzi z listwą szczytową</t>
  </si>
  <si>
    <t>oromszegélyképzés oromfalszegéllyel</t>
  </si>
  <si>
    <t>vytvorenie štítového ukončenia pomocou záveternej lišty</t>
  </si>
  <si>
    <t>Bermvorming met gevelstrip</t>
  </si>
  <si>
    <t>Oblikovanje čelnega napušča s trakom za zatrep</t>
  </si>
  <si>
    <t>kantutformning med gavelremsor</t>
  </si>
  <si>
    <t>Tagkantdesign med gavllister</t>
  </si>
  <si>
    <t>Vindskioppbygging med gavllister</t>
  </si>
  <si>
    <t>Konstrukcija zabata sa zabatnom trakom</t>
  </si>
  <si>
    <t>Ortgangausbildung mit Stirnbrett</t>
  </si>
  <si>
    <t>roof verge construction with bargeboard</t>
  </si>
  <si>
    <t>réalisation d’une rive avec pose d’une bordure de rive</t>
  </si>
  <si>
    <t>Štítové lemování s čelním prknem</t>
  </si>
  <si>
    <t>Konstrukcja krawędzi z deską czołową</t>
  </si>
  <si>
    <t>oromszegélyképzés homlokléccel</t>
  </si>
  <si>
    <t>vytvorenie štítového ukončenia pomocou čelnej dosky</t>
  </si>
  <si>
    <t>Bermvorming met boeiboord</t>
  </si>
  <si>
    <t>Oblikovanje čelnega napušča s čelno ploščo</t>
  </si>
  <si>
    <t>kantutformning med frontbräda</t>
  </si>
  <si>
    <t>Tagkantdesign med vindskede</t>
  </si>
  <si>
    <t>Vindskioppbygging med bakbrett</t>
  </si>
  <si>
    <t>Konstrukcija zabata s čeonom daskom</t>
  </si>
  <si>
    <t>Ortgangausbildung vertieft</t>
  </si>
  <si>
    <t>roof verge construction with recess</t>
  </si>
  <si>
    <t>réalisation d’une rive encaissée</t>
  </si>
  <si>
    <t>štítové lemování zapuštěné</t>
  </si>
  <si>
    <t>Konstrukcja krawędzi pogłębiona</t>
  </si>
  <si>
    <t>oromszegélyképzés, mélyített</t>
  </si>
  <si>
    <t>vytvorenie štítového ukončenia zapusteného</t>
  </si>
  <si>
    <t>Bermvorming verdiept</t>
  </si>
  <si>
    <t>Oblikovanje čelnega napušča poglobljeno</t>
  </si>
  <si>
    <t>fördjupad kantutformning</t>
  </si>
  <si>
    <t>Tagkantdesign forsænket</t>
  </si>
  <si>
    <t>Vindskioppbygging, fordypet</t>
  </si>
  <si>
    <t>Udubljena konstrukcija zabata</t>
  </si>
  <si>
    <t>Ortgangausbildungen (Varianten 1, 2, 3)</t>
  </si>
  <si>
    <t>roof verge constructions; variants 1, 2, 3</t>
  </si>
  <si>
    <t>réalisation de rives (variantes 1, 2 et 3)</t>
  </si>
  <si>
    <t>Štítové lemování - varianta 1,2,3</t>
  </si>
  <si>
    <t>Konstrukcje krawędzi (warianty 1, 2, 3)</t>
  </si>
  <si>
    <t>oromszegélyképzés (1., 2., 3. változat)</t>
  </si>
  <si>
    <t>vytvorenie štítových ukončení (variant 1, 2, 3)</t>
  </si>
  <si>
    <t>Bermvorming (varianten 1, 2, 3)</t>
  </si>
  <si>
    <t>Oblikovanja čelnega napušča (različice 1, 2, 3)</t>
  </si>
  <si>
    <t>kantutformningar (variant 1, 2, 3)</t>
  </si>
  <si>
    <t>Tagkantdesign (varianter 1, 2, 3)</t>
  </si>
  <si>
    <t>Vindskioppbygginger (variant 1, 2, 3)</t>
  </si>
  <si>
    <t>Konstrukcije zabata (varijante 1, 2, 3)</t>
  </si>
  <si>
    <t>Ortgangstreifen</t>
  </si>
  <si>
    <t>Mantovana</t>
  </si>
  <si>
    <t>Listwy do wykończenia krawędzi</t>
  </si>
  <si>
    <t>oromszegély</t>
  </si>
  <si>
    <t>záveterná lišta</t>
  </si>
  <si>
    <t>Bermvormingsstrips</t>
  </si>
  <si>
    <t>Trak za čelni napušč</t>
  </si>
  <si>
    <t>kantremsor</t>
  </si>
  <si>
    <t>Tagkantlister</t>
  </si>
  <si>
    <t>Vindskibeslag</t>
  </si>
  <si>
    <t>Ortgangstreifen (95 × 2.000 × 0,70 mm)</t>
  </si>
  <si>
    <t>verge flashing (95 × 2,000 × 0.70 mm)</t>
  </si>
  <si>
    <t>bande de rive (95 × 2 000 × 0,70 mm)</t>
  </si>
  <si>
    <t>Mantovana (95 x 2.000 x 0,70 mm)</t>
  </si>
  <si>
    <t>Závětrná lišta (95 x 2.000 x 0,70 mm)</t>
  </si>
  <si>
    <t>wiatrownica (95 × 2,000 × 0.70 mm)</t>
  </si>
  <si>
    <t>oromszegély (95 x 2.000 x 0,70 mm)</t>
  </si>
  <si>
    <t>záveternácia lišta (95 x 2.000 x 0,70 mm)</t>
  </si>
  <si>
    <t>oversteekstroken (95 x 2000 x 0,70 mm)</t>
  </si>
  <si>
    <t>čelna obroba (95x2.000 x 0,7 mm)</t>
  </si>
  <si>
    <t>gavelremsa (95 x 2.000 x 0,70 mm)</t>
  </si>
  <si>
    <t>gavludhængsstrimmel (95 x 2.000 x 0,70 mm)</t>
  </si>
  <si>
    <t>vindskibeslag (95 x 2000 x 0,70 mm)</t>
  </si>
  <si>
    <t>Zabatna traka (95 × 2.000 × 0,70 mm)</t>
  </si>
  <si>
    <t>Passend für Entwässerungsprodukte.</t>
  </si>
  <si>
    <t>Suitable for drainage products.</t>
  </si>
  <si>
    <t>Compatible avec les produits d’évacuation des eaux de pluie.</t>
  </si>
  <si>
    <t>Adatto per prodotti per smaltimento acque.</t>
  </si>
  <si>
    <t>Vhodné pro odvodňovací produkty.</t>
  </si>
  <si>
    <t>Pasuje do produktów do odprowadzania wody.</t>
  </si>
  <si>
    <t>vízelvezető termékekhez alkalmas.</t>
  </si>
  <si>
    <t>Vhodná pre odvodňovacie produkty.</t>
  </si>
  <si>
    <t>Geschikt voor afvoerproducten.</t>
  </si>
  <si>
    <t>Primerno za drenažne izdelke.</t>
  </si>
  <si>
    <t>Lämplig för dräneringsprodukter.</t>
  </si>
  <si>
    <t>Velegnet til drænprodukter.</t>
  </si>
  <si>
    <t>Egnet til dreneringsprodukter.</t>
  </si>
  <si>
    <t>Prikladno za drenažne proizvode.</t>
  </si>
  <si>
    <t>Passschindel DS.19</t>
  </si>
  <si>
    <t>fitting shingle DS.19</t>
  </si>
  <si>
    <t>bardeau de raccord DS.19</t>
  </si>
  <si>
    <t>Scandola di adattamento DS.19</t>
  </si>
  <si>
    <t>Falcovaný šindel DS.19</t>
  </si>
  <si>
    <t>Dachówka uzupełniająca DS.19</t>
  </si>
  <si>
    <t>DS.19 illesztőzsindely</t>
  </si>
  <si>
    <t>pásový šindeľ DS.19</t>
  </si>
  <si>
    <t>Montage daklei DS.19</t>
  </si>
  <si>
    <t>Skodla DS.19</t>
  </si>
  <si>
    <t>monteringsshingel DS.19</t>
  </si>
  <si>
    <t>Tagspån DS.19</t>
  </si>
  <si>
    <t>Takshingel DS.19</t>
  </si>
  <si>
    <t>Šindra za prilagodbu DS.19</t>
  </si>
  <si>
    <t>Passschindel für Anschlüsse (840 × 240 mm)</t>
  </si>
  <si>
    <t>fitting shingle for connections (840 × 240 mm)</t>
  </si>
  <si>
    <t>bardeau de raccord (840 × 240 mm)</t>
  </si>
  <si>
    <t>Scandola XL per raccordi (840 x 240 mm)</t>
  </si>
  <si>
    <t>Falcovaný šindel pro napojení (840 x 240 mm)</t>
  </si>
  <si>
    <t>Dachówka Łupkowa długa do połączeń (840 × 240 mm)</t>
  </si>
  <si>
    <t>illesztőzsindely csatlakozások kialakításához (840 x 240 mm)</t>
  </si>
  <si>
    <t>pásový šindeľ pre spoje (840 x 240 mm)</t>
  </si>
  <si>
    <t>passchindel voor aansluitingen (840 × 240 mm)</t>
  </si>
  <si>
    <t>skodla za zaključke (840 x 240 mm)</t>
  </si>
  <si>
    <t>passhingel för anslutningar (840 × 240 mm)</t>
  </si>
  <si>
    <t>passpån til tilslutninger (840 × 240 mm)</t>
  </si>
  <si>
    <t>monteringsshingel for sammenføyninger (840 × 240 mm)</t>
  </si>
  <si>
    <t>Šindra za prilagodbu za spojeve (840 × 240 mm)</t>
  </si>
  <si>
    <t>Patenthaft</t>
  </si>
  <si>
    <t>patent clip</t>
  </si>
  <si>
    <t>patte brevetée</t>
  </si>
  <si>
    <t>Graffetta brevettata</t>
  </si>
  <si>
    <t>patentová příponka</t>
  </si>
  <si>
    <t>Zaczep do dachówek klasycznych i łupkowych</t>
  </si>
  <si>
    <t>patenthafter</t>
  </si>
  <si>
    <t>patentovaná príponka</t>
  </si>
  <si>
    <t>Gepatenteerd</t>
  </si>
  <si>
    <t>Patentno sidro</t>
  </si>
  <si>
    <t>patenterbart</t>
  </si>
  <si>
    <t>Patentclips</t>
  </si>
  <si>
    <t>Patentert</t>
  </si>
  <si>
    <t>Patentni učvršćivač</t>
  </si>
  <si>
    <t>Patenthaft für Dachplatte und Dachschindel</t>
  </si>
  <si>
    <t>patent clip for roof tile and shingle</t>
  </si>
  <si>
    <t>patte brevetée pour tuiles et et bardeaux</t>
  </si>
  <si>
    <t>Graffetta per Tegole e Scandole</t>
  </si>
  <si>
    <t>Patentovaná příponka pro falcované tašky a šindele</t>
  </si>
  <si>
    <t xml:space="preserve">zaczep do dachówek klasycznych i łupkowych </t>
  </si>
  <si>
    <t>rögzítő hafter Classic és Zsindely elemhez</t>
  </si>
  <si>
    <t>patentovaná príponka na falcované škridle a šindle</t>
  </si>
  <si>
    <t>gepatenteerd hechtmiddel voor dakplaat en dakschindel</t>
  </si>
  <si>
    <t>patentno sidro za strešne plošče in skodle</t>
  </si>
  <si>
    <t>patenthäftare för takplattor och takshingel</t>
  </si>
  <si>
    <t>patentspænde til tagplade og tagspån</t>
  </si>
  <si>
    <t>patentert festebrakett for takplate og takshingel</t>
  </si>
  <si>
    <t>Patentni učvršćivač za krovnu ploču i šindru</t>
  </si>
  <si>
    <t>Patenthafte</t>
  </si>
  <si>
    <t>patent clips</t>
  </si>
  <si>
    <t>pattes brevetées</t>
  </si>
  <si>
    <t>Graffette brevettate</t>
  </si>
  <si>
    <t>patentové příponky</t>
  </si>
  <si>
    <t>Zaczepy do dachówek klasycznych i łupkowych</t>
  </si>
  <si>
    <t>patentované príponky</t>
  </si>
  <si>
    <t>Patenterte</t>
  </si>
  <si>
    <t>Patentni učvršćivači</t>
  </si>
  <si>
    <t>Patentniete</t>
  </si>
  <si>
    <t>patent rivet</t>
  </si>
  <si>
    <t>rivet breveté</t>
  </si>
  <si>
    <t>Rivetti</t>
  </si>
  <si>
    <t>Trhací nýt</t>
  </si>
  <si>
    <t>Nit patentowy</t>
  </si>
  <si>
    <t>patentszegecs</t>
  </si>
  <si>
    <t>trhací nit</t>
  </si>
  <si>
    <t>gepatenteerde klinknagels</t>
  </si>
  <si>
    <t>patentne kovice</t>
  </si>
  <si>
    <t>patenterade nitar</t>
  </si>
  <si>
    <t>patentnitte</t>
  </si>
  <si>
    <t>patentert nagle</t>
  </si>
  <si>
    <t>Patentna zakovica</t>
  </si>
  <si>
    <t>Patentnieten (4 × 10 mm)</t>
  </si>
  <si>
    <t>patent rivets 4 × 10 mm</t>
  </si>
  <si>
    <t>rivets brevetés (4 × 10 mm)</t>
  </si>
  <si>
    <t>rivetti 4 × 10 mm</t>
  </si>
  <si>
    <t>trhací nýt 4 x 10 mm</t>
  </si>
  <si>
    <t>Nit fasadowy 4x10 mm</t>
  </si>
  <si>
    <t>patentszegecs 4 10 mm</t>
  </si>
  <si>
    <t>trhací nit 4 x 10 mm</t>
  </si>
  <si>
    <t>gepatenteerde klinknagels 4 x 10 mm</t>
  </si>
  <si>
    <t>Patentne kovice (4 × 10 mm)</t>
  </si>
  <si>
    <t>patenterade nitar 4 x 10 mm</t>
  </si>
  <si>
    <t>patentnitte 4 x 10 mm</t>
  </si>
  <si>
    <t>patenterte nagler 4 x 10 mm</t>
  </si>
  <si>
    <t>Zakovice 4 x 10 mm</t>
  </si>
  <si>
    <t>Patentsaumstreifen</t>
  </si>
  <si>
    <t>patent edge cleat strip</t>
  </si>
  <si>
    <t>bande de départ brevetée</t>
  </si>
  <si>
    <t>Grondalina brevettata</t>
  </si>
  <si>
    <t>patentní zatahovací pás</t>
  </si>
  <si>
    <t>Pasy okapowe</t>
  </si>
  <si>
    <t>patentszegély</t>
  </si>
  <si>
    <t>patentovaný podkladový pás</t>
  </si>
  <si>
    <t>Patent dakrandstroken</t>
  </si>
  <si>
    <t>Patentni začetni trak</t>
  </si>
  <si>
    <t>patentsömremsor</t>
  </si>
  <si>
    <t>Patentkantlister</t>
  </si>
  <si>
    <t>Patentfalslister</t>
  </si>
  <si>
    <t>Patentna početna traka</t>
  </si>
  <si>
    <t>Patentsaumstreifen (Traufstreifen)</t>
  </si>
  <si>
    <t>bande départ brevetée</t>
  </si>
  <si>
    <t>Grondalina brevettata (striscia di gronda)</t>
  </si>
  <si>
    <t>patentní / zatahovací pás</t>
  </si>
  <si>
    <t>Pasy okapowe (Listwy okapowe)</t>
  </si>
  <si>
    <t>patentszegély (ereszszegély)</t>
  </si>
  <si>
    <t>patentovaný podkladový pás (odkvapový pás)</t>
  </si>
  <si>
    <t>Patent dakrandstroken (dakrandstroken)</t>
  </si>
  <si>
    <t>Patentni začetni trak (trak za napušč)</t>
  </si>
  <si>
    <t>patentsömremsor (takfotsremsor)</t>
  </si>
  <si>
    <t>Patentkantlister (tagudhængslister)</t>
  </si>
  <si>
    <t>Patentfalslister (takfotlister)</t>
  </si>
  <si>
    <t>Patentna početna traka (traka za strehu)</t>
  </si>
  <si>
    <t>Pkt</t>
  </si>
  <si>
    <t>package</t>
  </si>
  <si>
    <t>paquet</t>
  </si>
  <si>
    <t>CF</t>
  </si>
  <si>
    <t>Balení</t>
  </si>
  <si>
    <t>csomag</t>
  </si>
  <si>
    <t>Balenie</t>
  </si>
  <si>
    <t>pakiranje</t>
  </si>
  <si>
    <t>paket</t>
  </si>
  <si>
    <t>Pkt.</t>
  </si>
  <si>
    <t>Pakke</t>
  </si>
  <si>
    <t>Paket</t>
  </si>
  <si>
    <t>PLZ + Ort:</t>
  </si>
  <si>
    <t>Town, postcode:</t>
  </si>
  <si>
    <t>Code postal + ville :</t>
  </si>
  <si>
    <t>CAP + città</t>
  </si>
  <si>
    <t>PSČ + Obec:</t>
  </si>
  <si>
    <t>Kod pocztowy + miejscowość</t>
  </si>
  <si>
    <t>IRSZ + helység</t>
  </si>
  <si>
    <t>PSČ + Obec</t>
  </si>
  <si>
    <t>Postcode + plaats:</t>
  </si>
  <si>
    <t>Poštna številka + kraj:</t>
  </si>
  <si>
    <t>Postnummer/ort:</t>
  </si>
  <si>
    <t>Postnr. + by:</t>
  </si>
  <si>
    <t>Postnr./-sted:</t>
  </si>
  <si>
    <t xml:space="preserve">Poštanski broj + Mjesto </t>
  </si>
  <si>
    <t>Pos.</t>
  </si>
  <si>
    <t>Item</t>
  </si>
  <si>
    <t>Voce</t>
  </si>
  <si>
    <t>Pozice</t>
  </si>
  <si>
    <t>pozycja</t>
  </si>
  <si>
    <t>Ssz</t>
  </si>
  <si>
    <t>Pozícia</t>
  </si>
  <si>
    <t>Poz.</t>
  </si>
  <si>
    <t>Pos</t>
  </si>
  <si>
    <t>Poz</t>
  </si>
  <si>
    <t>Pos. 1</t>
  </si>
  <si>
    <t>Item 1</t>
  </si>
  <si>
    <t>nº 1</t>
  </si>
  <si>
    <t>Poz. 1</t>
  </si>
  <si>
    <t>Tétel 1</t>
  </si>
  <si>
    <t>Pol. 1</t>
  </si>
  <si>
    <t>Pos. 2</t>
  </si>
  <si>
    <t>Item 2</t>
  </si>
  <si>
    <t>nº 2</t>
  </si>
  <si>
    <t>Poz. 2</t>
  </si>
  <si>
    <t>Tétel 2</t>
  </si>
  <si>
    <t>Pol. 2</t>
  </si>
  <si>
    <t>Pos. 3</t>
  </si>
  <si>
    <t>Item 3</t>
  </si>
  <si>
    <t>nº 3</t>
  </si>
  <si>
    <t>Poz. 3</t>
  </si>
  <si>
    <t>Tétel 3</t>
  </si>
  <si>
    <t>Pol. 3</t>
  </si>
  <si>
    <t>Pos. 4</t>
  </si>
  <si>
    <t>Item 4</t>
  </si>
  <si>
    <t>nº 4</t>
  </si>
  <si>
    <t>Poz. 4</t>
  </si>
  <si>
    <t>Tétel 4</t>
  </si>
  <si>
    <t>Pol. 4</t>
  </si>
  <si>
    <t>Sicherheitskehle</t>
  </si>
  <si>
    <t>safety valley</t>
  </si>
  <si>
    <t>noue de sécurité</t>
  </si>
  <si>
    <t>Compluvio con ripiega di sicurezza</t>
  </si>
  <si>
    <t>bezpečnostní úžlabí</t>
  </si>
  <si>
    <t>Kosz zabezpieczający</t>
  </si>
  <si>
    <t>biztonsági vápa</t>
  </si>
  <si>
    <t>bezpečnostné úžľabie</t>
  </si>
  <si>
    <t>Veiligheidsgoot</t>
  </si>
  <si>
    <t>Varnostna žlota</t>
  </si>
  <si>
    <t>säkerhetskil</t>
  </si>
  <si>
    <t>Sikkerhedskile</t>
  </si>
  <si>
    <t>Sikkerhetsvinkelrenne</t>
  </si>
  <si>
    <t>Sigurnosna uvala</t>
  </si>
  <si>
    <t>PREFALZ</t>
  </si>
  <si>
    <t>Prefalz</t>
  </si>
  <si>
    <t>prefalz</t>
  </si>
  <si>
    <t>PREFALZ Doppelstehfalzdeckung</t>
  </si>
  <si>
    <t xml:space="preserve">Prefalz (double-lock standing seam) </t>
  </si>
  <si>
    <t>couverture PREFALZ à joint debout à double agrafe</t>
  </si>
  <si>
    <t>Copertura con doppia aggraffatura PREFALZ</t>
  </si>
  <si>
    <t>PREFALZ krytí na dvojitou stojatou drážku</t>
  </si>
  <si>
    <t>Pokrycie na podwójny rąbek stojący PREFALZ</t>
  </si>
  <si>
    <t>PREFALZ kettős állókorcos fedés</t>
  </si>
  <si>
    <t>PREFALZ krytina na dvojitú stojatú drážku</t>
  </si>
  <si>
    <t>PREFALZ dubbele naaddakbedekking</t>
  </si>
  <si>
    <t>Kritina z dvojnim stoječim zgibom PREFALZ</t>
  </si>
  <si>
    <t>PREFALZ dubbel stående fals</t>
  </si>
  <si>
    <t>PREFALZ dobbeltstående falsafdækning</t>
  </si>
  <si>
    <t>PREFALZ-kledning med stående dobbelfals</t>
  </si>
  <si>
    <t>PREFALZ pokrov s dvostrukim stojećim falcom</t>
  </si>
  <si>
    <t>PREFALZ Ergänzungsband</t>
  </si>
  <si>
    <t>PREFALZ flashing strip</t>
  </si>
  <si>
    <t>bande complémentaire PREFALZ</t>
  </si>
  <si>
    <t>PREFALZ Nastro di complemento</t>
  </si>
  <si>
    <t>PREFALZ Doplňkový svitek</t>
  </si>
  <si>
    <t>PREFALZ Taśma maskująca</t>
  </si>
  <si>
    <t>PREFALZ kiegészítő szalag</t>
  </si>
  <si>
    <t>PREFALZ zvitkový hliníkový plech</t>
  </si>
  <si>
    <t>PREFALZ aanvullingsband</t>
  </si>
  <si>
    <t>dopolnilni trak</t>
  </si>
  <si>
    <t>PREFALZ extrabeslag</t>
  </si>
  <si>
    <t>PREFALZ suppleringsbånd</t>
  </si>
  <si>
    <t>PREFALZ dopunska traka</t>
  </si>
  <si>
    <t>PREFALZ Ergänzungsband; 0,7 × 1.000 mm (für Zusatzverblechungen)</t>
  </si>
  <si>
    <t>Prefalz flashing strip 0.7 × 1,000 mm (for additional flashings)</t>
  </si>
  <si>
    <t>bande complémentaire PREFALZ ; 0,7 × 1 000 mm (pour raccordements complémentaires)</t>
  </si>
  <si>
    <t>PREFALZ Nastro di complemento 0,7x1.000 mm (per lattonerie)</t>
  </si>
  <si>
    <t>PREFALZ Doplňkový plech 0,7x1.000 mm (na výrobu oplechování)</t>
  </si>
  <si>
    <t>Prefalz listwa 0.7 × 1,000 mm (do wykończeń)</t>
  </si>
  <si>
    <t>PREFALZ kiegészítő szalag 0,7x1.000 mm (kiegészítő bádogos szerkezetekhez)</t>
  </si>
  <si>
    <t>PREFALZ doplnkový pás 0,7 x 1.000 mm (na výrobu oplechovania)</t>
  </si>
  <si>
    <t>PREFALZ aanvullingsband 0,7 x 1000 mm (voor aanvullend plaatwerk)</t>
  </si>
  <si>
    <t>PREFALZ dopolnilna pločevina 0,7 x 1.000 mm (za dopolnjevanje)</t>
  </si>
  <si>
    <t>PREFALZ extrabeslag 0,7 x 1.000 mm (för kompletterande plåtarbeten)</t>
  </si>
  <si>
    <t>PREFALZ suppleringsbånd 0,7x1.000 mm (til ekstra inddækning)</t>
  </si>
  <si>
    <t>PREFALZ suppleringsbånd 0,7x1000 mm (for tilleggsbeslag)</t>
  </si>
  <si>
    <t>PREFALZ dopunska traka; 0,7 × 1.000 mm (za dodatne limove)</t>
  </si>
  <si>
    <t>PREFALZ Ergänzungsband; 1,0 × 1.000 mm (nur für Saumstreifen)</t>
  </si>
  <si>
    <t>Prefalz flashing strip 1.0 × 1,000 mm (for edge cleat strips only)</t>
  </si>
  <si>
    <t>bande complémentaire PREFALZ ; 1,0 × 1 000 mm (uniquement pour bandes de départ)</t>
  </si>
  <si>
    <t>PREFALZ Nastro di complemento 1,0x1.000 mm (solo per scossaline)</t>
  </si>
  <si>
    <t>PREFALZ Doplňkový plech 1,0x1.000 mm (pouze na okapnice)</t>
  </si>
  <si>
    <t>Prefalz listwa 1.0 × 1,000 mm (do wykończeń krawędziowych)</t>
  </si>
  <si>
    <t>PREFALZ kiegészítő szalag 1,0x1.000 mm (csak rögzítőszegélyhez)</t>
  </si>
  <si>
    <t>PREFALZ doplkový pás 1,0 x 1.000 mm (len pre odkvapový pás)</t>
  </si>
  <si>
    <t>PREFALZ aanvullingsband 1,0 x 1000 mm (alleen voor randstroken)</t>
  </si>
  <si>
    <t>PREFALZ dopolnilna pločevina 1,0 x 1.000 mm (le za začetne trakove)</t>
  </si>
  <si>
    <t>PREFALZ extrabeslag 1,0 x 1.000 mm (endast för kantremsor)</t>
  </si>
  <si>
    <t>PREFALZ suppleringsbånd 1,0x1.000 mm (kun til kantstrimmel)</t>
  </si>
  <si>
    <t>PREFALZ suppleringsbånd 1,0x1000 mm (kun for skjøteplate)</t>
  </si>
  <si>
    <t>PREFALZ dopunska traka (1,0 × 1.000 mm; samo za početne trake)</t>
  </si>
  <si>
    <t>PREFALZ Farbaluminiumband; 0,7 × 1.000 mm</t>
  </si>
  <si>
    <t>Prefalz colour aluminium strip 0.7 × 1,000 mm</t>
  </si>
  <si>
    <t>bande d’aluminium coloré PREFALZ ; 0,7 × 1 000 mm</t>
  </si>
  <si>
    <t>PREFALZ Nastro in alluminio preverniciato 0,7x1.000 mm</t>
  </si>
  <si>
    <t>PREFALZ barevný plech 0,7x1.000 mm</t>
  </si>
  <si>
    <t>Prefalz aluminiowa blacha powlekana 0,7 × 1.000 mm</t>
  </si>
  <si>
    <t>PREFALZ bevonatos alumínium szalag 0,7x1.000 mm</t>
  </si>
  <si>
    <t>PREFALZ farebné hliníkové zvitky 0,7x1.000 mm</t>
  </si>
  <si>
    <t>Prefalz gekleurde aluminium band 0,7 × 1000 mm</t>
  </si>
  <si>
    <t>PREFALZ barvani aluminijasti trak 0,7 x 1.000 mm</t>
  </si>
  <si>
    <t>Prefalz färgytbehandlat aluminiumband 0,7 × 1.000 mm</t>
  </si>
  <si>
    <t>Prefalz farvealuminiumsbånd 0,7 × 1.000 mm</t>
  </si>
  <si>
    <t>Prefalz fargealuminiumsbånd 0,7 × 1000 mm</t>
  </si>
  <si>
    <t>PREFALZ aluminijska traka u boji; 0,7 × 1.000 mm</t>
  </si>
  <si>
    <t>PREFALZ Farbaluminiumband; 0,7 × 1.000 mm (für Zusatzverblechungen)</t>
  </si>
  <si>
    <t>Prefalz colour aluminium strip 0.7 × 1,000 mm (for additional flashings)</t>
  </si>
  <si>
    <t>bande d’aluminium coloré PREFALZ ; 0,7 × 1 000 mm (pour raccordements complémentaires)</t>
  </si>
  <si>
    <t>PREFALZ Nastro in alluminio preverniciato 0,7x1.000 mm (per esecuzione converse e lattonerie)</t>
  </si>
  <si>
    <t>PREFALZ barevný plech 0,7x1.000 mm (na klempířskou výrobu)</t>
  </si>
  <si>
    <t>Prefalz aluminiowa blacha powlekana 0,7 × 1.000 mm (für Zusatzverblechungen)</t>
  </si>
  <si>
    <t>PREFALZ bevonatos alumínium szalag 0,7x1.000 mm (kiegészítő bádogos szerkezetekhez)</t>
  </si>
  <si>
    <t>PREFALZ farebné hliníkové zvitky 0,7x1.000 mm ( pre oplechovania a lemovky )</t>
  </si>
  <si>
    <t>Prefalz gekleurde aluminium band 0,7 × 1000 mm (voor aanvullend plaatwerk)</t>
  </si>
  <si>
    <t>PREFALZ barvani aluminijasti trak 0,7 x 1.000 mm (za dopolnjevanje)</t>
  </si>
  <si>
    <t>Prefalz färgytbehandlat aluminiumband 0,7 × 1.000 mm (för kompletterande plåtarbeten)</t>
  </si>
  <si>
    <t>Prefalz farvealuminiumsbånd 0,7 × 1.000 mm (til ekstra inddækning)</t>
  </si>
  <si>
    <t>Prefalz fargealuminiumsbånd 0,7 × 1000 mm (for tilleggsbeslag)</t>
  </si>
  <si>
    <t>PREFALZ aluminijska traka u boji; 0,7 × 1.000 mm (za dodatne limove)</t>
  </si>
  <si>
    <t>bande d’aluminium coloré PREFALZ ; 0,7 × 500 mm</t>
  </si>
  <si>
    <t>PREFALZ Farbaluminiumband; 0,7 × 650 mm</t>
  </si>
  <si>
    <t>Prefalz colour aluminium strip 0.7 × 650 mm</t>
  </si>
  <si>
    <t>bande d’aluminium coloré PREFALZ ; 0,7 × 650 mm</t>
  </si>
  <si>
    <t>PREFALZ Nastro in allluminio preverniciato 0,7x650 mm</t>
  </si>
  <si>
    <t>PREFALZ barevný plech 0,7x650 mm</t>
  </si>
  <si>
    <t>Prefalz aluminiowa blacha powlekana 0,7 × 650 mm</t>
  </si>
  <si>
    <t>PREFALZ bevonatos alumínium szalag 0,7x650 mm</t>
  </si>
  <si>
    <t>PREFALZ farebné hliníkové zvitky 0,7x650 mm</t>
  </si>
  <si>
    <t>Prefalz gekleurde aluminium band 0,7 × 650 mm</t>
  </si>
  <si>
    <t>PREFALZ barvani aluminijasti trak 0,7 x 650 mm</t>
  </si>
  <si>
    <t>Prefalz färgytbehandlat aluminiumband 0,7 × 650 mm</t>
  </si>
  <si>
    <t>Prefalz farvealuminiumsbånd 0,7 × 650 mm</t>
  </si>
  <si>
    <t>Prefalz fargealuminiumsbånd 0,7 × 650 mm</t>
  </si>
  <si>
    <t>PREFALZ aluminijska traka u boji; 0,7 × 650 mm</t>
  </si>
  <si>
    <t>PREFALZ Fassade (horizontal)</t>
  </si>
  <si>
    <t>PREFALZ façade (horizontal)</t>
  </si>
  <si>
    <t>façade PREFALZ (horizontal)</t>
  </si>
  <si>
    <t>Facciata PREFALZ (orizzontale)</t>
  </si>
  <si>
    <t>Fasáda PREFALZ (horizontálně)</t>
  </si>
  <si>
    <t>Elewacja PREFALZ (pozioma)</t>
  </si>
  <si>
    <t>PREFALZ homlokzat (vízszintes)</t>
  </si>
  <si>
    <t>PREFALZ fasáda (horizontálna)</t>
  </si>
  <si>
    <t>PREFALZ-gevel (horizontaal)</t>
  </si>
  <si>
    <t>Fasada PREFALZ (vodoravna)</t>
  </si>
  <si>
    <t>PREFALZ fasad (horisontell)</t>
  </si>
  <si>
    <t>PREFALZ facade (horisontal)</t>
  </si>
  <si>
    <t>PREFALZ-fasade (horisontal)</t>
  </si>
  <si>
    <t>PREFALZ fasada (vodoravno)</t>
  </si>
  <si>
    <t>PREFALZ Fassade (vertikal)</t>
  </si>
  <si>
    <t>PREFALZ façade (vertical)</t>
  </si>
  <si>
    <t>façade PREFALZ (verticale)</t>
  </si>
  <si>
    <t>Facciata PREFALZ (verticale)</t>
  </si>
  <si>
    <t>Fasáda PREFALZ (vertikálně)</t>
  </si>
  <si>
    <t>Elewacja PREFALZ (pionowa)</t>
  </si>
  <si>
    <t>PREFALZ homlokzat (függőleges)</t>
  </si>
  <si>
    <t>PREFALZ fasáda (vertikálna)</t>
  </si>
  <si>
    <t>PREFALZ-gevel (verticaal)</t>
  </si>
  <si>
    <t>Fasada PREFALZ (navpična)</t>
  </si>
  <si>
    <t>PREFALZ fasad (vertikal)</t>
  </si>
  <si>
    <t>PREFALZ facade (vertikal)</t>
  </si>
  <si>
    <t>PREFALZ-fasade (vertikal)</t>
  </si>
  <si>
    <t>PREFALZ fasada (okomito)</t>
  </si>
  <si>
    <t>Klebeeinfassung (mit Spezialkleber)</t>
  </si>
  <si>
    <t>Prefalz adhesive flashing strip with special adhesive</t>
  </si>
  <si>
    <t>raccordement de ventilation à coller (avec kit d’assemblage)</t>
  </si>
  <si>
    <t>Conversa per torretta di aerazione da incollare (con adesivo speciale)</t>
  </si>
  <si>
    <t>PREFALZ nalepovací prostup + speciální lepidlo</t>
  </si>
  <si>
    <t>Klejona oprawa (z klejem specjalnym)</t>
  </si>
  <si>
    <t>ragasztható kivezető elem (speciális ragasztóval)</t>
  </si>
  <si>
    <t>nalepovací prestupový prvok (so špeciálnym lepidlom)</t>
  </si>
  <si>
    <t>Zelfklevende randen (met speciale lijm)</t>
  </si>
  <si>
    <t>Obroba za lepljenje (s posebnim lepilom)</t>
  </si>
  <si>
    <t>Självhäftande kant (med speciallim)</t>
  </si>
  <si>
    <t>Limindfalsning (med speciallim)</t>
  </si>
  <si>
    <t>Limfeste (med spesiallim)</t>
  </si>
  <si>
    <t>Lijepljena podloga (s posebnim ljepilom)</t>
  </si>
  <si>
    <t>PREFALZ Winkelstehfalzfassade (horizontal)</t>
  </si>
  <si>
    <t>PREFALZ single-lock standing seam façade (horizontal)</t>
  </si>
  <si>
    <t>façade PREFALZ à joints angulaires (horizontale)</t>
  </si>
  <si>
    <t>Facciata con aggraffatura angolare PREFALZ (orizzontale)</t>
  </si>
  <si>
    <t>Fasáda PREFALZ s úhlovou stojatou drážkou (horizontálně)</t>
  </si>
  <si>
    <t>Elewacja PREFALZ na stojący rąbek kątowy (pozioma)</t>
  </si>
  <si>
    <t>PREFALZ derékszögű állókorcos homlokzat (vízszintes)</t>
  </si>
  <si>
    <t>PREFALZ fasáda na uhlovú stojatú drážku (horizontálna)</t>
  </si>
  <si>
    <t>PREFALZ-hoeknaadgevel (horizontaal)</t>
  </si>
  <si>
    <t>Fasada z enojnim stoječim vzgibom PREFALZ (vodoravna)</t>
  </si>
  <si>
    <t>PREFALZ vinklad stående sömfasad (horisontell)</t>
  </si>
  <si>
    <t>PREFALZ vinkelstående falsfacade (horisontal)</t>
  </si>
  <si>
    <t>PREFALZ-fasade med vinklet stående fals (horisontal)</t>
  </si>
  <si>
    <t>PREFALZ fasada s kutnim stojećim falcom (vodoravno)</t>
  </si>
  <si>
    <t>PREFALZ Winkelstehfalzfassade (vertikal)</t>
  </si>
  <si>
    <t>PREFALZ single-lock standing seam façade (vertical)</t>
  </si>
  <si>
    <t>façade PREFALZ à joints angulaires (verticale)</t>
  </si>
  <si>
    <t>Facciata con aggraffatura angolare PREFALZ (verticale)</t>
  </si>
  <si>
    <t>Fasáda PREFALZ s úhlovou stojatou drážkou (vertikálně)</t>
  </si>
  <si>
    <t>Elewacja PREFALZ na stojący rąbek kątowy (pionowa)</t>
  </si>
  <si>
    <t>PREFALZ derékszögű állókorcos homlokzat (függőleges)</t>
  </si>
  <si>
    <t>PREFALZ fasáda na uhlovú stojatú drážku (vertikálna)</t>
  </si>
  <si>
    <t>PREFALZ-hoeknaadgevel(verticaal)</t>
  </si>
  <si>
    <t>Fasada z enojnim stoječim vzgibom PREFALZ (navpična)</t>
  </si>
  <si>
    <t>PREFALZ vinklad stående sömfasad (vertikal)</t>
  </si>
  <si>
    <t>PREFALZ vinkelstående falsfacade (vertikal)</t>
  </si>
  <si>
    <t>PREFALZ-fasade med vinklet stående fals (vertikal)</t>
  </si>
  <si>
    <t>PREFALZ fasada s kutnim stojećim falcom (okomito)</t>
  </si>
  <si>
    <t>Prefaweiß/Prefaweiß</t>
  </si>
  <si>
    <t>prefa white/prefa white</t>
  </si>
  <si>
    <t>blanc PREFA/blanc PREFA</t>
  </si>
  <si>
    <t>bianco prefa/bianco prefa</t>
  </si>
  <si>
    <t>prefabílá/prefa bílá</t>
  </si>
  <si>
    <t>biały PREFA</t>
  </si>
  <si>
    <t>prefafehér/prefafehér</t>
  </si>
  <si>
    <t>prefa biela/prefa biela</t>
  </si>
  <si>
    <t>prefawit/prefawit</t>
  </si>
  <si>
    <t>prefa bela/prefa bela</t>
  </si>
  <si>
    <t>prefavit/prefavit</t>
  </si>
  <si>
    <t>prefahvid/prefahvid</t>
  </si>
  <si>
    <t>prefahvit/prefahvit</t>
  </si>
  <si>
    <t>Prefa bijela boja / Prefa bijela boja</t>
  </si>
  <si>
    <t>Preisanfrage</t>
  </si>
  <si>
    <t>Quote enquiry</t>
  </si>
  <si>
    <t>demande de prix</t>
  </si>
  <si>
    <t>Richiesta di prezzo</t>
  </si>
  <si>
    <t>Cenová poptávka</t>
  </si>
  <si>
    <t>Zapytanie ofertowe</t>
  </si>
  <si>
    <t>árajánlatkérés</t>
  </si>
  <si>
    <t>cenový dopyt</t>
  </si>
  <si>
    <t>Prijsaanvraag</t>
  </si>
  <si>
    <t>Povpraševanje o ceni</t>
  </si>
  <si>
    <t>Prisförfrågan</t>
  </si>
  <si>
    <t>Prisforespørgsel</t>
  </si>
  <si>
    <t>Prisforespørsel</t>
  </si>
  <si>
    <t>Upit o cijeni</t>
  </si>
  <si>
    <t>Produktübersicht</t>
  </si>
  <si>
    <t>Panoramica dei prodotti</t>
  </si>
  <si>
    <t>Přehled produktů</t>
  </si>
  <si>
    <t>Przegląd produktów</t>
  </si>
  <si>
    <t>termékek áttekintése</t>
  </si>
  <si>
    <t>prehľad produktov</t>
  </si>
  <si>
    <t>Productoverzicht</t>
  </si>
  <si>
    <t>Pregled izdelkov</t>
  </si>
  <si>
    <t>Produktöversikt</t>
  </si>
  <si>
    <t>Produktoversigt</t>
  </si>
  <si>
    <t>Produktoversikt</t>
  </si>
  <si>
    <t>Pregled proizvoda</t>
  </si>
  <si>
    <t>Profilwelle 10/47/2,0</t>
  </si>
  <si>
    <t>ripple profile 10/47/2.0 (PREFA)</t>
  </si>
  <si>
    <t>profil sinus 10/47/2,0</t>
  </si>
  <si>
    <t>Profilo ondulato 10/47/2,0</t>
  </si>
  <si>
    <t>Profil s vlnou 10/47/2,0</t>
  </si>
  <si>
    <t>Profil falisty 10/47/2,0</t>
  </si>
  <si>
    <t>profilhullám 10/47/2,0</t>
  </si>
  <si>
    <t>vlnitý profil 10/47/2,0</t>
  </si>
  <si>
    <t>Golfplaat 10/47/2,0</t>
  </si>
  <si>
    <t>Valoviti profil 10/47/2,0</t>
  </si>
  <si>
    <t>vågprofil 10/47/2,0</t>
  </si>
  <si>
    <t>Profilbølge 10/47/2,0</t>
  </si>
  <si>
    <t>Bølgeprofil 10/47/2,0</t>
  </si>
  <si>
    <t>Profilwelle 10/47/2,0 (horizontal)</t>
  </si>
  <si>
    <t>ripple profile 10/47/2.0 (horizontal)</t>
  </si>
  <si>
    <t>profil sinus 10/47/2,0 (horizontal)</t>
  </si>
  <si>
    <t>Profilo ondulato 10/47/2,0 (orizzontale)</t>
  </si>
  <si>
    <t>Profil s vlnou 10/47/2,0 (horizontální)</t>
  </si>
  <si>
    <t>Profil falisty 10/47/2,0 (poziomy)</t>
  </si>
  <si>
    <t>profilhullám 10/47/2,0 (vízszintes)</t>
  </si>
  <si>
    <t>vlnitý profil 10/47/2,0 (horizontálny)</t>
  </si>
  <si>
    <t>Golfplaat 10/47/2,0 (horizontaal)</t>
  </si>
  <si>
    <t>Valoviti profil 10/47/2,0 (vodoraven)</t>
  </si>
  <si>
    <t>vågprofil 10/47/2.0 (horisontell)</t>
  </si>
  <si>
    <t>Profilbølge 10/47/2,0 (horisontal)</t>
  </si>
  <si>
    <t>Bølgeprofil 10/47/2,0 (horisontal)</t>
  </si>
  <si>
    <t>Valoviti profil 10/47/2,0 (vodoravni)</t>
  </si>
  <si>
    <t>Profilwelle 10/47/2,0 (vertikal)</t>
  </si>
  <si>
    <t>ripple profile 10/47/2.0 (vertical)</t>
  </si>
  <si>
    <t>profil sinus 10/47/2,0 (vertical)</t>
  </si>
  <si>
    <t>Profilo ondulato 10/47/2,0 (verticale)</t>
  </si>
  <si>
    <t>Profil s vlnou 10/47/2,0 (vertikální)</t>
  </si>
  <si>
    <t>Profil falisty 10/47/2,0 (pionowy)</t>
  </si>
  <si>
    <t>profilhullám 10/47/2,0 (függőleges)</t>
  </si>
  <si>
    <t>vlnitý profil 10/47/2,0 (vertikálny)</t>
  </si>
  <si>
    <t>Golfplaat 10/47/2,0 (verticaal)</t>
  </si>
  <si>
    <t>Valoviti profil 10/47/2,0 (navpičen)</t>
  </si>
  <si>
    <t>vågprofil 10/47/2.0 (vertikal)</t>
  </si>
  <si>
    <t>Profilbølge 10/47/2,0 (vertikal)</t>
  </si>
  <si>
    <t>Bølgeprofil 10/47/2,0 (vertikal)</t>
  </si>
  <si>
    <t>Valoviti profil 10/47/2,0 (okomiti)</t>
  </si>
  <si>
    <t>Pultdachabschluss</t>
  </si>
  <si>
    <t>end of mono-pitched roof</t>
  </si>
  <si>
    <t>raccord de faîtage de toit monopente</t>
  </si>
  <si>
    <t>Rivestimento semicolmo</t>
  </si>
  <si>
    <t>Zakończenie dachu jednospadowego</t>
  </si>
  <si>
    <t>félnyeregtetővég</t>
  </si>
  <si>
    <t>ukončenie pultovej strechy</t>
  </si>
  <si>
    <t>Lessenaarsdakafsluiting</t>
  </si>
  <si>
    <t>Zaključna obdelava enokapne strehe</t>
  </si>
  <si>
    <t>avslutning pulpettak</t>
  </si>
  <si>
    <t>Pulttagafslutning</t>
  </si>
  <si>
    <t>Pulttakavslutning</t>
  </si>
  <si>
    <t>Završetak jednostrešnog krova</t>
  </si>
  <si>
    <t>Pultdachabschluss mit Hinterlüftung</t>
  </si>
  <si>
    <t>mono-pitched-roof end with ventilation gap</t>
  </si>
  <si>
    <t>raccord de faîtage pour toit monopente (avec lame d’air ventilée)</t>
  </si>
  <si>
    <t>Rivestimento semicolmo con retroventilazione</t>
  </si>
  <si>
    <t>Hřeben pultové střechy s odvětráním</t>
  </si>
  <si>
    <t>Zakończenie dachu jednospadowego z wentylowaną pustką powietrzną</t>
  </si>
  <si>
    <t>félnyeregtetővég átszellőztetéssel</t>
  </si>
  <si>
    <t>ukončenie pultovej strechy s prevetrávanou medzerou</t>
  </si>
  <si>
    <t>Lessenaarsdakafsluiting met ventilatie achteraan</t>
  </si>
  <si>
    <t>Zaključna obdelava enokapne strehe s prezračevanjem</t>
  </si>
  <si>
    <t>avslutning pulpettak med bakventilation</t>
  </si>
  <si>
    <t>Pulttagafslutning med ventilation</t>
  </si>
  <si>
    <t>Pulttakavslutning med baklufting</t>
  </si>
  <si>
    <t>Završetak jednostrešnog krova sa stražnjom ventilacijom</t>
  </si>
  <si>
    <t>Pultdachabschluss (Variante)</t>
  </si>
  <si>
    <t>mono-pitched-roof end (variant)</t>
  </si>
  <si>
    <t>raccord de faîtage pour toit monopente (variante)</t>
  </si>
  <si>
    <t>Rivestimento semicolmo (variante)</t>
  </si>
  <si>
    <t>Hřeben pultové střechy - Varianta</t>
  </si>
  <si>
    <t>Zakończenie dachu jednospadowego (wariant)</t>
  </si>
  <si>
    <t>félnyeregtetővég (változat)</t>
  </si>
  <si>
    <t>ukončenie pultovej strechy (variant)</t>
  </si>
  <si>
    <t>Lessenaarsdakafsluiting(variant)</t>
  </si>
  <si>
    <t>Zaključna obdelava enokapne strehe (različica)</t>
  </si>
  <si>
    <t>avslutning pulpettak (variant)</t>
  </si>
  <si>
    <t>Pulttagafslutning (variant)</t>
  </si>
  <si>
    <t>Pulttakavslutning (variant)</t>
  </si>
  <si>
    <t>Završetak jednostrešnog krova (varijanta)</t>
  </si>
  <si>
    <t>pulverbeschichtet</t>
  </si>
  <si>
    <t>powder-coated</t>
  </si>
  <si>
    <t>thermolaqué</t>
  </si>
  <si>
    <t>Verniciato a polvere</t>
  </si>
  <si>
    <t xml:space="preserve">práškově lakovaný </t>
  </si>
  <si>
    <t>malowanie proszkowe</t>
  </si>
  <si>
    <t>porszórt</t>
  </si>
  <si>
    <t>farbenie práškovaním</t>
  </si>
  <si>
    <t>geëpoxeerd</t>
  </si>
  <si>
    <t>prašno barvano</t>
  </si>
  <si>
    <t>pulverlackerade</t>
  </si>
  <si>
    <t>pulverbelagt</t>
  </si>
  <si>
    <t>pulverlakkert</t>
  </si>
  <si>
    <t>praškasta presvlaka</t>
  </si>
  <si>
    <t>Putz</t>
  </si>
  <si>
    <t>plaster</t>
  </si>
  <si>
    <t>enduit</t>
  </si>
  <si>
    <t>Intonaco</t>
  </si>
  <si>
    <t>omítka</t>
  </si>
  <si>
    <t>Tynk</t>
  </si>
  <si>
    <t>vakolat</t>
  </si>
  <si>
    <t>omietka</t>
  </si>
  <si>
    <t>Gips</t>
  </si>
  <si>
    <t>Omet</t>
  </si>
  <si>
    <t>puts</t>
  </si>
  <si>
    <t>Puds</t>
  </si>
  <si>
    <t>Gipspuss</t>
  </si>
  <si>
    <t>Žbuka</t>
  </si>
  <si>
    <t>QUADRATROHR – SONDERWASSERFANGKASTEN</t>
  </si>
  <si>
    <t>SQUARE DOWNPIPE – BESPOKE</t>
  </si>
  <si>
    <t>TUYAU DE DESCENTE CARRÉ — BOÎTE À EAU RÉALISÉE SUR COMMANDE</t>
  </si>
  <si>
    <t>HRANATÝ SVOD – SPECIÁLNÍ SBĚRNÝ KOTLÍK</t>
  </si>
  <si>
    <t>RURA KWADRATOWA – KOSZ ZLEWISKOWY</t>
  </si>
  <si>
    <t>SZÖGLETES LEFOLYÓCSŐ – SPECIÁLIS VÍZGYŰJTŐ ÜST</t>
  </si>
  <si>
    <t>ŠTVORCOVÝ ZVOD – ŠPECIÁLNY ZBERNÝ KOTLÍK</t>
  </si>
  <si>
    <t>VIERKANTE BUIS - SPECIALE WATEROPVANGBAK</t>
  </si>
  <si>
    <t>KVADRATNA CEV – POSEBNI ZBIRALNIK VODE</t>
  </si>
  <si>
    <t>FYRKANTSRÖR – SPECIAL VATTENUPPSAMLINGSLÅDA</t>
  </si>
  <si>
    <t>KVADRATRØR – SPECIALVANDOPSAMLINGSKASSE</t>
  </si>
  <si>
    <t>FIRKANTRØR – SPESIELL VANNDRENERING</t>
  </si>
  <si>
    <t>KVADRATNA CIJEV – POSEBNA KUTIJA ZA PRIHVAT VODE</t>
  </si>
  <si>
    <t>Quadratrohr</t>
  </si>
  <si>
    <t>square downpipe</t>
  </si>
  <si>
    <t>tuyau de descente carré</t>
  </si>
  <si>
    <t>Pluviale quadro</t>
  </si>
  <si>
    <t>Hranatý svod</t>
  </si>
  <si>
    <t>Kwadratowa rura spustowa</t>
  </si>
  <si>
    <t>szögletes lefolyó</t>
  </si>
  <si>
    <t>štvorcový zvod</t>
  </si>
  <si>
    <t>vierkante buis</t>
  </si>
  <si>
    <t>pravokotna cev</t>
  </si>
  <si>
    <t>kvadratrör</t>
  </si>
  <si>
    <t>kvadratrør</t>
  </si>
  <si>
    <t>firkantrør</t>
  </si>
  <si>
    <t>Kvadratna cijev</t>
  </si>
  <si>
    <t>QUADRATROHR</t>
  </si>
  <si>
    <t>SQUARE DOWNPIPE</t>
  </si>
  <si>
    <t>TUYAU DE DESCENTE CARRÉ</t>
  </si>
  <si>
    <t>RURY KWADRATOWE</t>
  </si>
  <si>
    <t>SZÖGLETES LEFOLYÓ</t>
  </si>
  <si>
    <t>ŠTVORCOVÝ ZVOD</t>
  </si>
  <si>
    <t>VIERKANTE BUIS</t>
  </si>
  <si>
    <t>KVADRATRÖR</t>
  </si>
  <si>
    <t>KVADRATRØR</t>
  </si>
  <si>
    <t>FIRKANTRØR</t>
  </si>
  <si>
    <t>KVADRATNA CIJEV</t>
  </si>
  <si>
    <t>Quadratrohr mit Reinigungsöffnung</t>
  </si>
  <si>
    <t>square downpipe with access pipe</t>
  </si>
  <si>
    <t>tuyau de descente carré avec ouverture de nettoyage</t>
  </si>
  <si>
    <t>Pluviale quadro con ispezione</t>
  </si>
  <si>
    <t>Hranatý svod s čistícím otvorem</t>
  </si>
  <si>
    <t>Rura kwadratowa z otworem rewizyjnym</t>
  </si>
  <si>
    <t>szögletes lefolyó tisztítónyílással</t>
  </si>
  <si>
    <t>štvorcový zvod s čistiacim otvoromQuadratrohr mit Reinigungsöffnung</t>
  </si>
  <si>
    <t>vierkante buis met reinigingsopening</t>
  </si>
  <si>
    <t>pravokotna cev z odprtino</t>
  </si>
  <si>
    <t>kvadratrör med rengöringslucka</t>
  </si>
  <si>
    <t>kvadratrør med rengøringsåbning</t>
  </si>
  <si>
    <t>firkantrør med rengjøringsåpning</t>
  </si>
  <si>
    <t>Kvadratna cijev s revizionim otvorom</t>
  </si>
  <si>
    <t>Quadratrohrbogen 72° (kurz)</t>
  </si>
  <si>
    <t>square downpipe elbow 72° (short)</t>
  </si>
  <si>
    <t>coude de tuyau carré 72° (court)</t>
  </si>
  <si>
    <t>Gomito per pluviale quadro, 72°, corto</t>
  </si>
  <si>
    <t>Koleno hranatého svodu 72° krátké</t>
  </si>
  <si>
    <t>Kolano 72° do rury kwadratowej krótkie</t>
  </si>
  <si>
    <t>szögletes lefolyó könyök 72° rövid</t>
  </si>
  <si>
    <t>štvorcové koleno 72° krátke</t>
  </si>
  <si>
    <t>vierkante buisbocht 72° kort</t>
  </si>
  <si>
    <t>koleno 72o - pravokotno kratko</t>
  </si>
  <si>
    <t>kvadratrörsvinkel 72° kort</t>
  </si>
  <si>
    <t>kvadratrørbue 72° kort</t>
  </si>
  <si>
    <t>firkantrørbend 72° kort</t>
  </si>
  <si>
    <t>Koljeno kvadratne cijevi 72° (kratko)</t>
  </si>
  <si>
    <t>Quadratrohrbogen 72° (lang)</t>
  </si>
  <si>
    <t>square downpipe elbow 72° (long)</t>
  </si>
  <si>
    <t>coude de tuyau carré 72° (long)</t>
  </si>
  <si>
    <t>Gomito per pluviale quadro, 72° lungo</t>
  </si>
  <si>
    <t>Koleno hranatého svodu 72° dlouhé</t>
  </si>
  <si>
    <t>Kolano 72° do rury kwadratowej długie</t>
  </si>
  <si>
    <t>szögletes lefolyó 72° hosszú</t>
  </si>
  <si>
    <t>štvorcové koleno 72° dlhé</t>
  </si>
  <si>
    <t>vierkante buisbocht 72° lang</t>
  </si>
  <si>
    <t>koleno 72o - pravokotno dolgo</t>
  </si>
  <si>
    <t>kvadratrörsvinkel 72° lång</t>
  </si>
  <si>
    <t>kvadratrørbue 72° lang</t>
  </si>
  <si>
    <t>firkantrørbend 72° langt</t>
  </si>
  <si>
    <t>Koljeno kvadratne cijevi 72° (dugo)</t>
  </si>
  <si>
    <t>Quadratrohrkessel für Kastenrinne</t>
  </si>
  <si>
    <t>square downpipe outlet for box gutter</t>
  </si>
  <si>
    <t>naissance pour tuyau carré (gouttières carrées)</t>
  </si>
  <si>
    <t>Wylot rynny do rury kwadratowej</t>
  </si>
  <si>
    <t xml:space="preserve">szögletes betorkoló elem </t>
  </si>
  <si>
    <t>hranatý kotlík pre hranatý žľab</t>
  </si>
  <si>
    <t>vierkante buis-vangbak voor bakgoot</t>
  </si>
  <si>
    <t>žlebni izpust pravokotni</t>
  </si>
  <si>
    <t>kvadratrörskupa för lådränna</t>
  </si>
  <si>
    <t>kvadratrørsfordybning til kasserende</t>
  </si>
  <si>
    <t>firkantrørtappstykke for firkantrenne</t>
  </si>
  <si>
    <t>Odvod kvadratne cijevi za sandučasti žlijeb</t>
  </si>
  <si>
    <t>Quadratrohrmuffe</t>
  </si>
  <si>
    <t>square downpipe coupling</t>
  </si>
  <si>
    <t>manchon de jonction pour tuyau carré</t>
  </si>
  <si>
    <t>Riduzione pluviale quadro-scarico HT/KG</t>
  </si>
  <si>
    <t>Hranaté zaústění do kruhového odpadu</t>
  </si>
  <si>
    <t>Mufa do rury kwadratowej</t>
  </si>
  <si>
    <t>szögletes lefolyó átvezető elem</t>
  </si>
  <si>
    <t>prechodka štvorcového zvodu na kruhový zvod</t>
  </si>
  <si>
    <t>vierkante buis-mof</t>
  </si>
  <si>
    <t>povezovalec pravokotnih cevi</t>
  </si>
  <si>
    <t>kvadratrörsmuff</t>
  </si>
  <si>
    <t>kvadratrørsmuffe</t>
  </si>
  <si>
    <t>firkantrør-muffe</t>
  </si>
  <si>
    <t>Kolčak kvadratne cijevi</t>
  </si>
  <si>
    <t>Quadratrohr-Speiereinmündung</t>
  </si>
  <si>
    <t>parapet outlet square downpipe connector</t>
  </si>
  <si>
    <t>embranchement d’évacuation carré pour toits plats</t>
  </si>
  <si>
    <t>Bocchettone da incasso per pluviale quadro</t>
  </si>
  <si>
    <t>Hranatý fasádní kotlík se zaústěním</t>
  </si>
  <si>
    <t>Wylot zlewiskowy do rury kwadratowej</t>
  </si>
  <si>
    <t>szögletes attikafal betorkoló elem</t>
  </si>
  <si>
    <t>fasádny kotlík štvorcového zvodu so zaústením pre strešný chrlič</t>
  </si>
  <si>
    <t>vierkante buis-spuwinmonding</t>
  </si>
  <si>
    <t>nastavek za izliv - pravokotni</t>
  </si>
  <si>
    <t>vägganslutning för kvadratrör</t>
  </si>
  <si>
    <t>kvadratrørstagrendetilslutning</t>
  </si>
  <si>
    <t>firkantrør-nedløpsåpning</t>
  </si>
  <si>
    <t>Kvadratna cijev - bočni utok</t>
  </si>
  <si>
    <t>Quadratrohr-Wasserfangkasten 220/220/330</t>
  </si>
  <si>
    <t>square downpipe leader head 220/220/330</t>
  </si>
  <si>
    <t>boîte à eau pour tuyau de descente carré 220/220/330</t>
  </si>
  <si>
    <t>Cassetta di raccolta per pluviale quadro 220/220/330h</t>
  </si>
  <si>
    <t>Sběrný kotlík hranatý s hranatým vyústěním 220/220/330</t>
  </si>
  <si>
    <t>Kosz zlewiskowy do rury kwadratowej 220/220/330</t>
  </si>
  <si>
    <t>vízgyűjtő üst szögletes lefolyóhoz 220/220/336</t>
  </si>
  <si>
    <t>zberný kotlík na vodu štvorcového zvodu 220/220/330</t>
  </si>
  <si>
    <t>vierkante buis-watervangbak 220/220/330</t>
  </si>
  <si>
    <t>kotliček - pravokotni</t>
  </si>
  <si>
    <t>Kvadratrörsvattenuppsamlare 220/220/330</t>
  </si>
  <si>
    <t>kvadratrørsvandopsamlingskasse 220/220/330</t>
  </si>
  <si>
    <t>firkantrør-vannoppsamler 220/220/330</t>
  </si>
  <si>
    <t>Kvadratna cijev - kutija za prihvat vode 220/220/330</t>
  </si>
  <si>
    <t>Querfalzausbildung</t>
  </si>
  <si>
    <t>Forming transverse seams</t>
  </si>
  <si>
    <t>réalisation d’une agrafure transversale</t>
  </si>
  <si>
    <t>Raccordo dell'aggraffatura diagonale</t>
  </si>
  <si>
    <t>Provedení příčného napojení</t>
  </si>
  <si>
    <t>Konstrukcja z pojedynczą zakładką</t>
  </si>
  <si>
    <t>keresztkorcos kialakítás</t>
  </si>
  <si>
    <t>vytvorenie priečnej drážky</t>
  </si>
  <si>
    <t>Ontwerp met dwarsnaad</t>
  </si>
  <si>
    <t>Oblikovanje prečnega zgiba</t>
  </si>
  <si>
    <t>korsveckutformning</t>
  </si>
  <si>
    <t>Tværfalsdesign</t>
  </si>
  <si>
    <t>Tverrfalsoppbygging</t>
  </si>
  <si>
    <t>Konstrukcija križnog falca</t>
  </si>
  <si>
    <t>Regenklappe</t>
  </si>
  <si>
    <t>downpipe cleanout</t>
  </si>
  <si>
    <t>récupérateur d’eau</t>
  </si>
  <si>
    <t>Deviatore con ispezione</t>
  </si>
  <si>
    <t>Dešťová klapka</t>
  </si>
  <si>
    <t>Rewizja rury spustowej</t>
  </si>
  <si>
    <t>vízlopó</t>
  </si>
  <si>
    <t>klapka zberača vody</t>
  </si>
  <si>
    <t>regenklep</t>
  </si>
  <si>
    <t>lovilec vode z loputo</t>
  </si>
  <si>
    <t>fällbar utkastare</t>
  </si>
  <si>
    <t>regnklap</t>
  </si>
  <si>
    <t>fellbart utkast</t>
  </si>
  <si>
    <t>Kišna klapna</t>
  </si>
  <si>
    <t>Retourhaft</t>
  </si>
  <si>
    <t>double-lock clip</t>
  </si>
  <si>
    <t>patte de maintien</t>
  </si>
  <si>
    <t>Graffetta di ritorno</t>
  </si>
  <si>
    <t>zpětná (věžová) příponka</t>
  </si>
  <si>
    <t>Łącznik kątowy</t>
  </si>
  <si>
    <t>retúrhafter</t>
  </si>
  <si>
    <t>spätná príponka</t>
  </si>
  <si>
    <t>Povratna pritrditev</t>
  </si>
  <si>
    <t>retur</t>
  </si>
  <si>
    <t>Returheft</t>
  </si>
  <si>
    <t>Savijeni učvršćivač</t>
  </si>
  <si>
    <t>RETOURNIERUNG PER FAX:</t>
  </si>
  <si>
    <t>RETURN BY FAX:</t>
  </si>
  <si>
    <t>À RENVOYER PAR FAX :</t>
  </si>
  <si>
    <t>Zaslat zpět Faxem</t>
  </si>
  <si>
    <t>Nr zwrotny FAX:</t>
  </si>
  <si>
    <t>VÁLASZFAX:</t>
  </si>
  <si>
    <t>ODOSLAŤ SPÄŤ FAXOM:</t>
  </si>
  <si>
    <t>TERUGZENDEN PER FAX:</t>
  </si>
  <si>
    <t>potrdilo na fax</t>
  </si>
  <si>
    <t>RETURNERING VIA FAX:</t>
  </si>
  <si>
    <t>RETURNERING PR. FAX:</t>
  </si>
  <si>
    <t>RETUR PER FAKS:</t>
  </si>
  <si>
    <t>POVRAT PUTEM FAKSA:</t>
  </si>
  <si>
    <t>Rilleneisen</t>
  </si>
  <si>
    <t>rib tool</t>
  </si>
  <si>
    <t>outil de façonnage des sillons</t>
  </si>
  <si>
    <t>Scanalatrice</t>
  </si>
  <si>
    <t>narzędzie formujące</t>
  </si>
  <si>
    <t>falc hajlító vas</t>
  </si>
  <si>
    <t>ryhovací nástroj</t>
  </si>
  <si>
    <t>groefijzer</t>
  </si>
  <si>
    <t>nakovalo za strešne plošče</t>
  </si>
  <si>
    <t>spårjärn</t>
  </si>
  <si>
    <t>rillejern</t>
  </si>
  <si>
    <t>Željezo s utorima</t>
  </si>
  <si>
    <t>Rillennagel (Niro)</t>
  </si>
  <si>
    <t>stainless steel ring nails</t>
  </si>
  <si>
    <t>clou annelé (inox)</t>
  </si>
  <si>
    <t>Chiodo zigrinato in acciaio inox</t>
  </si>
  <si>
    <t>Vroubkované hřebíky, nerez</t>
  </si>
  <si>
    <t>NIRO Gwóźdź nierdzewny</t>
  </si>
  <si>
    <t>NIRO bordás szeg</t>
  </si>
  <si>
    <t>NIRO ryhované klince</t>
  </si>
  <si>
    <t>groefspijker NIRO</t>
  </si>
  <si>
    <t>narebreni žičniki iz nerjavečega jekla</t>
  </si>
  <si>
    <t>räfflad spik NIRO</t>
  </si>
  <si>
    <t>rillesøm NIRO</t>
  </si>
  <si>
    <t>riflet spiker RUSTFRITT STÅL</t>
  </si>
  <si>
    <t>Čavao s utorima (nehrđajući)</t>
  </si>
  <si>
    <t>Rillennagel (verzinkt)</t>
  </si>
  <si>
    <t>ring nails, galvanised</t>
  </si>
  <si>
    <t>clou annelé (galvanisé)</t>
  </si>
  <si>
    <t>Chiodo zigrinato zincato</t>
  </si>
  <si>
    <t>vroubkované hřebíky, pozinkované</t>
  </si>
  <si>
    <t>Gwoździe, galwanizowane</t>
  </si>
  <si>
    <t>bordásszeg horganyzott</t>
  </si>
  <si>
    <t>ryhované klince, pozinkované</t>
  </si>
  <si>
    <t>groefspijker gegalvaniseerd</t>
  </si>
  <si>
    <t>žičniki pocinkani</t>
  </si>
  <si>
    <t>räfflad spik förzinkad</t>
  </si>
  <si>
    <t>rillesøm galvaniseret</t>
  </si>
  <si>
    <t>riflet spiker galvanisert</t>
  </si>
  <si>
    <t>Čavao s utorima (pocinčani)</t>
  </si>
  <si>
    <t>Rinne (Uginox)</t>
  </si>
  <si>
    <t>gutter (Uginox)</t>
  </si>
  <si>
    <t>gouttière (Uginox)</t>
  </si>
  <si>
    <t>Grondaia (Uginox)</t>
  </si>
  <si>
    <t>žlab (Uginox)</t>
  </si>
  <si>
    <t>Rynna (Uginox)</t>
  </si>
  <si>
    <t>csatorna (Uginox)</t>
  </si>
  <si>
    <t>žľab (Uginox)</t>
  </si>
  <si>
    <t>Goot (Uginox)</t>
  </si>
  <si>
    <t>Žleb (Uginox)</t>
  </si>
  <si>
    <t>ränna (Uginox)</t>
  </si>
  <si>
    <t>Rende (Uginox)</t>
  </si>
  <si>
    <t>Renne (Uginox)</t>
  </si>
  <si>
    <t>Žlijeb (Uginox)</t>
  </si>
  <si>
    <t>Rinnendimension:</t>
  </si>
  <si>
    <t>Gutter dimensions:</t>
  </si>
  <si>
    <t>Développement :</t>
  </si>
  <si>
    <t>Sviluppo canale</t>
  </si>
  <si>
    <t>Rozměr žlabu</t>
  </si>
  <si>
    <t>Rozmiar rynny:</t>
  </si>
  <si>
    <t>Ereszcsatorna méretek:</t>
  </si>
  <si>
    <t>rozmery zľabov:</t>
  </si>
  <si>
    <t>Gootdimensie:</t>
  </si>
  <si>
    <t>Dimenzije žleba</t>
  </si>
  <si>
    <t>Ränndimension:</t>
  </si>
  <si>
    <t>Rendedimension:</t>
  </si>
  <si>
    <t>Takrennedimensjon:</t>
  </si>
  <si>
    <t>Dimenzije žlijeba:</t>
  </si>
  <si>
    <t>Rinnenendboden</t>
  </si>
  <si>
    <t>gutter end cap</t>
  </si>
  <si>
    <t>fond de gouttière</t>
  </si>
  <si>
    <t>Testata per canale di gronda</t>
  </si>
  <si>
    <t>Čelo žlabu</t>
  </si>
  <si>
    <t>ereszcsatorna végelem</t>
  </si>
  <si>
    <t>čelo žľabu</t>
  </si>
  <si>
    <t>gooteindebodem</t>
  </si>
  <si>
    <t xml:space="preserve">žlebna zapora </t>
  </si>
  <si>
    <t>rännändgavel</t>
  </si>
  <si>
    <t>rendeendebund</t>
  </si>
  <si>
    <t>endebunn</t>
  </si>
  <si>
    <t>Čelo žlijeba</t>
  </si>
  <si>
    <t>Rinnenhaken</t>
  </si>
  <si>
    <t>gutter bracket</t>
  </si>
  <si>
    <t>crochet de gouttière</t>
  </si>
  <si>
    <t>žlabový hák</t>
  </si>
  <si>
    <t>Uchwyt do montażu rynny</t>
  </si>
  <si>
    <t>csatornatartó elem</t>
  </si>
  <si>
    <t>hák polkruhového žľabu</t>
  </si>
  <si>
    <t>Goothaak</t>
  </si>
  <si>
    <t>Kavelj za žleb</t>
  </si>
  <si>
    <t>rännkrok</t>
  </si>
  <si>
    <t>Rendejern</t>
  </si>
  <si>
    <t>Rennekroker</t>
  </si>
  <si>
    <t>Kuka žlijeba</t>
  </si>
  <si>
    <t>Rinnenhaken hochkant (gedreht)</t>
  </si>
  <si>
    <t>upright gutter bracket</t>
  </si>
  <si>
    <t>crochet de chant (chantourné)</t>
  </si>
  <si>
    <t>žlabový hák zpevněný přetočený</t>
  </si>
  <si>
    <t>Uchwyt do montażu rynny w pozycji pionowej (obrócony)</t>
  </si>
  <si>
    <t>csatornatartó elem, élére hajlított (elforgatva)</t>
  </si>
  <si>
    <t>spevnený hák polkruhového žľabu (otočený)</t>
  </si>
  <si>
    <t>Goothaak rechtop (gedraaid)</t>
  </si>
  <si>
    <t>Kavelj za žleb pokončen (zasukan)</t>
  </si>
  <si>
    <t>rännkrok upprätt (vänd)</t>
  </si>
  <si>
    <t>Rendejern højkant (drejet)</t>
  </si>
  <si>
    <t>Rennekroker med høy kant (dreid)</t>
  </si>
  <si>
    <t>Kuka žlijeba, na kant (okrenuta)</t>
  </si>
  <si>
    <t>Rinnenhaken für Kastenrinne</t>
  </si>
  <si>
    <t>bracket for box gutter</t>
  </si>
  <si>
    <t>crochet pour gouttière carrée</t>
  </si>
  <si>
    <t>Žlabový hák pro hranaté žlaby</t>
  </si>
  <si>
    <t>Hak rynnowy połaciowy do rynny kwadratowej</t>
  </si>
  <si>
    <t>négyszögszelvényű ereszcsatorna tartó</t>
  </si>
  <si>
    <t>hák hranatého žľabu</t>
  </si>
  <si>
    <t>goothaak voor bakgoot</t>
  </si>
  <si>
    <t>žlebna kljuka za pravokotni žleb</t>
  </si>
  <si>
    <t>rännkrok för lådränna</t>
  </si>
  <si>
    <t>rendekrog til kasserende</t>
  </si>
  <si>
    <t>takrennefester for firkantrenne</t>
  </si>
  <si>
    <t>Kuka sandučastog žlijeba</t>
  </si>
  <si>
    <t>Rinnenhaken hochkant</t>
  </si>
  <si>
    <t>crochet de chant</t>
  </si>
  <si>
    <t>Žlabový hák zpevněný</t>
  </si>
  <si>
    <t>Hak wzmocniony do krokwiowy</t>
  </si>
  <si>
    <t>ereszcsatorna tartó elem élére hajlított</t>
  </si>
  <si>
    <t>hák polkruhového žľabu spevnený</t>
  </si>
  <si>
    <t>goothaak op de korte kant</t>
  </si>
  <si>
    <t>žlebna kljuka stranska</t>
  </si>
  <si>
    <t>rännkrok högkant</t>
  </si>
  <si>
    <t>rendekrog højkant</t>
  </si>
  <si>
    <t>takrennefester høykant</t>
  </si>
  <si>
    <t>Kuka žlijeba, na kant</t>
  </si>
  <si>
    <t>Rinnenhaken Schweiz</t>
  </si>
  <si>
    <t>gutter bracket (Switzerland)</t>
  </si>
  <si>
    <t>crochet de gouttière suisse</t>
  </si>
  <si>
    <t>Horský hák přetočený</t>
  </si>
  <si>
    <t>Hak rynnowy wzmocniony nakrokwiowy</t>
  </si>
  <si>
    <t>ereszcsatorna tartó elem svájci</t>
  </si>
  <si>
    <t>hák polkruhového žľabu Švajčiarsko</t>
  </si>
  <si>
    <t>goothaak Zwitserland</t>
  </si>
  <si>
    <t>žlebna kljuka stranska CH</t>
  </si>
  <si>
    <t>rännkrok Schweiz</t>
  </si>
  <si>
    <t>rendekrog Schweiz</t>
  </si>
  <si>
    <t>takrennefester Sveits</t>
  </si>
  <si>
    <t>Kuka žlijeba, Švicarska</t>
  </si>
  <si>
    <t>Rinnenhakennagel (5,0 × 80)</t>
  </si>
  <si>
    <t>gutter bracket nail 5.0 × 80</t>
  </si>
  <si>
    <t>clou pour crochet de gouttière (5,0 × 80)</t>
  </si>
  <si>
    <t>Chiodi per staffe portacanale 5,0 x 80</t>
  </si>
  <si>
    <t>Hřebíky pro žlabové háky 5,0 x 80</t>
  </si>
  <si>
    <t>Gwóźdź do haków rynnowych 5,0 × 80</t>
  </si>
  <si>
    <t>csatornatartó-szeg 5,0 x 86</t>
  </si>
  <si>
    <t>klinec pre žľabový hák 5,0 x 80</t>
  </si>
  <si>
    <t>goothaakspijker 5,0 × 80</t>
  </si>
  <si>
    <t>žičniki za žlebne kljuke 5,0 x 80</t>
  </si>
  <si>
    <t>rännkroksspik 5,0 × 80</t>
  </si>
  <si>
    <t>rendekrogsøm 5,0 × 80</t>
  </si>
  <si>
    <t>nagler for takrennefester 5,0 × 80</t>
  </si>
  <si>
    <t>Čavao za kuku žlijeba (5,0 × 80)</t>
  </si>
  <si>
    <t>Rinnenheizung</t>
  </si>
  <si>
    <t>gutter heating</t>
  </si>
  <si>
    <t>système de chauffage de gouttière</t>
  </si>
  <si>
    <t>Riscaldamento grondaia</t>
  </si>
  <si>
    <t>žlabové vytápění</t>
  </si>
  <si>
    <t>Podgrzewanie rynny</t>
  </si>
  <si>
    <t>csatornafűtés</t>
  </si>
  <si>
    <t>vyhrievanie žľabu</t>
  </si>
  <si>
    <t>Gootverwarming</t>
  </si>
  <si>
    <t>Ogrevanje žleba</t>
  </si>
  <si>
    <t>rännuppvärmning</t>
  </si>
  <si>
    <t>Tagrendeopvarmning</t>
  </si>
  <si>
    <t>Rennevarme</t>
  </si>
  <si>
    <t>Grijanje žlijeba</t>
  </si>
  <si>
    <t>Rinnenkessel</t>
  </si>
  <si>
    <t>gutter outlet</t>
  </si>
  <si>
    <t>naissance</t>
  </si>
  <si>
    <t>Bocchetta svizzera</t>
  </si>
  <si>
    <t>Kulatý kotlík</t>
  </si>
  <si>
    <t>Wylot rynny</t>
  </si>
  <si>
    <t>betorkoló elem</t>
  </si>
  <si>
    <t>kotlík polkruhového žľabu</t>
  </si>
  <si>
    <t>vergaarbak</t>
  </si>
  <si>
    <t>žlebni izpust</t>
  </si>
  <si>
    <t>omvikningskupa</t>
  </si>
  <si>
    <t>rendefordybning</t>
  </si>
  <si>
    <t>tappstykke</t>
  </si>
  <si>
    <t>Odvod žlijeba</t>
  </si>
  <si>
    <t>Rinnenlänge wählen:</t>
  </si>
  <si>
    <t>Select gutter length:</t>
  </si>
  <si>
    <t>Sélectionner la longueur de la gouttière :</t>
  </si>
  <si>
    <t>Zvolit délku žlabu</t>
  </si>
  <si>
    <t>Wybierz długość rynny:</t>
  </si>
  <si>
    <t>Ereszcsatorna hossza:</t>
  </si>
  <si>
    <t>voľba dĺžky zľabov:</t>
  </si>
  <si>
    <t>Gootlengte kiezen:</t>
  </si>
  <si>
    <t>Izbira dolžine žičnikov</t>
  </si>
  <si>
    <t>Välj rännlängd:</t>
  </si>
  <si>
    <t>Vælg rendelængde:</t>
  </si>
  <si>
    <t>Velg takrennelengde:</t>
  </si>
  <si>
    <t>Odabir duljine žlijeba:</t>
  </si>
  <si>
    <t>Rinnenstutzen</t>
  </si>
  <si>
    <t>naissance de gouttière</t>
  </si>
  <si>
    <t>žlabové hrdlo</t>
  </si>
  <si>
    <t>Przyłącze rynny</t>
  </si>
  <si>
    <t>csatornacsonk</t>
  </si>
  <si>
    <t>hrdlo polkruhového žľabu</t>
  </si>
  <si>
    <t>Gootaansluiting</t>
  </si>
  <si>
    <t>Nacevnik za žleb</t>
  </si>
  <si>
    <t>rännstöd</t>
  </si>
  <si>
    <t>Tagrendeudløb</t>
  </si>
  <si>
    <t>Rennestøtter</t>
  </si>
  <si>
    <t>Rinnenwinkel 90° (außen)</t>
  </si>
  <si>
    <t>external gutter mitre 90°</t>
  </si>
  <si>
    <t>équerre de gouttière 90° (angle sortant)</t>
  </si>
  <si>
    <t>Angolo esterno 90° per canale di gronda</t>
  </si>
  <si>
    <t>Roh žlabu vnější 90°</t>
  </si>
  <si>
    <t>Narożnik 90° zew.</t>
  </si>
  <si>
    <t>ereszcsatorna szeglet külső 90°</t>
  </si>
  <si>
    <t>roh polkruhového zľabu vonkajší 90°</t>
  </si>
  <si>
    <t>goothoek buiten 90°</t>
  </si>
  <si>
    <t>vogalnik za polokrogli žleb, zunanji 90o</t>
  </si>
  <si>
    <t>ränna utvändig vinkel 90°</t>
  </si>
  <si>
    <t>rendevinkel udvendig 90°</t>
  </si>
  <si>
    <t>rennevinkel utvendig 90°</t>
  </si>
  <si>
    <t>Kutni element žlijeba 90° (vanjski)</t>
  </si>
  <si>
    <t>Rinnenwinkel 90° (innen)</t>
  </si>
  <si>
    <t>internal gutter mitre 90°</t>
  </si>
  <si>
    <t>équerre de gouttière 90° (angle rentrant)</t>
  </si>
  <si>
    <t>Angolo interno 90° per canale di gronda</t>
  </si>
  <si>
    <t>Roh žlabu vnitřní 90°</t>
  </si>
  <si>
    <t>Narożnik 90° wew.</t>
  </si>
  <si>
    <t>ereszcsatorna szeglet belső 90°</t>
  </si>
  <si>
    <t>roh polkruhového zľabu vnútorný 90°</t>
  </si>
  <si>
    <t>goothoek binnen 90°</t>
  </si>
  <si>
    <t>vogalnik za polokrogli žleb, notranji 90o</t>
  </si>
  <si>
    <t>ränna invändig vinkel 90°</t>
  </si>
  <si>
    <t>rendevinkel indvendig 90°</t>
  </si>
  <si>
    <t>rennevinkel innvendig 90°</t>
  </si>
  <si>
    <t>Kutni element žlijeba 90° (unutarnji)</t>
  </si>
  <si>
    <t>Rinnenwulstöffner</t>
  </si>
  <si>
    <t>gutter bead opener</t>
  </si>
  <si>
    <t>ouvre-boudin</t>
  </si>
  <si>
    <t>Apriricciolo</t>
  </si>
  <si>
    <t>Otevírač žlabových návalek</t>
  </si>
  <si>
    <t>Przyrząd do rozkręcania rynien</t>
  </si>
  <si>
    <t>ereszcsatorna vulcni nyitó</t>
  </si>
  <si>
    <t>otvárač návalkov</t>
  </si>
  <si>
    <t>Gootkraalopener</t>
  </si>
  <si>
    <t>Odpirač zaobljenega roba žleba</t>
  </si>
  <si>
    <t>öppnare rännfals</t>
  </si>
  <si>
    <t>Tagrendevulståbner</t>
  </si>
  <si>
    <t>Rennekantåpner</t>
  </si>
  <si>
    <t>Otvarač za žlijeb</t>
  </si>
  <si>
    <t>Rohr</t>
  </si>
  <si>
    <t>pipe</t>
  </si>
  <si>
    <t>tuyau</t>
  </si>
  <si>
    <t>Tubo</t>
  </si>
  <si>
    <t>trubka</t>
  </si>
  <si>
    <t>Rura</t>
  </si>
  <si>
    <t>cső</t>
  </si>
  <si>
    <t>rúra</t>
  </si>
  <si>
    <t>Pijp</t>
  </si>
  <si>
    <t>Cev</t>
  </si>
  <si>
    <t>rör</t>
  </si>
  <si>
    <t>Rør</t>
  </si>
  <si>
    <t>Cijev</t>
  </si>
  <si>
    <t>Rohr (28 × 2 × 3.000 mm; inkl. Muffe)</t>
  </si>
  <si>
    <t>pipe 28 × 2 × 3.000 mm, including coupling</t>
  </si>
  <si>
    <t>tube (28 × 2 × 3 000 mm ; avec manchon de jonction)</t>
  </si>
  <si>
    <t>Tubo 28 x 2 x 3.000 mm incluso giunto da 100mm</t>
  </si>
  <si>
    <t>Trubka sněhové zábrany včetně spojky 28 x 2 x 3.000 mm</t>
  </si>
  <si>
    <t>Rura bariery śniegowej 28 × 2 × 3.000 mm, z mufą</t>
  </si>
  <si>
    <t>hófogócső 28 x 2 x 3.000 mmtoldóelemmel</t>
  </si>
  <si>
    <t>rúrka snehového zachytávača 28 x 2 x 3.000 mm vrátane spojky</t>
  </si>
  <si>
    <t>buis 28 × 2 × 3000 mm, incl. mof</t>
  </si>
  <si>
    <t>cev za snegolov 28 x 2 x 3.000 mm vklj. S spojno pušo</t>
  </si>
  <si>
    <t>rör 28 × 2 × 3.000 mm, inkl. muff</t>
  </si>
  <si>
    <t>rør 28 × 2 × 3.000 mm, inkl. muffe</t>
  </si>
  <si>
    <t>rør 28 × 2 × 3000 mm, inkl. muffe</t>
  </si>
  <si>
    <t>Cijev (28 × 2 × 3.000 mm; uklj. kolčak)</t>
  </si>
  <si>
    <t>Rohrbogen</t>
  </si>
  <si>
    <t>downpipe elbow</t>
  </si>
  <si>
    <t>coude</t>
  </si>
  <si>
    <t>Curva per tubo</t>
  </si>
  <si>
    <t>koleno</t>
  </si>
  <si>
    <t>Kolanko</t>
  </si>
  <si>
    <t>csőkönyök</t>
  </si>
  <si>
    <t>Pijpbocht</t>
  </si>
  <si>
    <t>Cevno koleno</t>
  </si>
  <si>
    <t>rörböj</t>
  </si>
  <si>
    <t>Rørvinkel</t>
  </si>
  <si>
    <t>Rørknær</t>
  </si>
  <si>
    <t>Koljeno</t>
  </si>
  <si>
    <t>Rohrbogen 40°</t>
  </si>
  <si>
    <t>downpipe elbow 40°</t>
  </si>
  <si>
    <t>coude 40°</t>
  </si>
  <si>
    <t>Gomito 40°</t>
  </si>
  <si>
    <t>Koleno 40°</t>
  </si>
  <si>
    <t>Kolano 40°</t>
  </si>
  <si>
    <t>lefolyócső-ív 40°</t>
  </si>
  <si>
    <t>koleno kruhového zvodu 40°</t>
  </si>
  <si>
    <t>kniestuk 40°</t>
  </si>
  <si>
    <t>cevno koleno 40o</t>
  </si>
  <si>
    <t>rörvinkel 40°</t>
  </si>
  <si>
    <t>rørbøjning 40°</t>
  </si>
  <si>
    <t>bend 40°</t>
  </si>
  <si>
    <t>Koljeno 40°</t>
  </si>
  <si>
    <t>Rohrbogen 72°</t>
  </si>
  <si>
    <t>downpipe elbow 72°</t>
  </si>
  <si>
    <t>coude 72°</t>
  </si>
  <si>
    <t>Gomito 72°</t>
  </si>
  <si>
    <t>Koleno 72°</t>
  </si>
  <si>
    <t>Kolano 72°</t>
  </si>
  <si>
    <t>lefolyócső-ív 72°</t>
  </si>
  <si>
    <t>koleno kruhového zvodu 72°</t>
  </si>
  <si>
    <t>kniestuk 72°</t>
  </si>
  <si>
    <t>Prefa cevno koleno 72o</t>
  </si>
  <si>
    <t>rörvinkel 72°</t>
  </si>
  <si>
    <t>rørbøjning 72°</t>
  </si>
  <si>
    <t>bend 72°</t>
  </si>
  <si>
    <t>Koljeno 72°</t>
  </si>
  <si>
    <t>Rohrbogen 85°</t>
  </si>
  <si>
    <t>downpipe elbow 85°</t>
  </si>
  <si>
    <t>coude 85°</t>
  </si>
  <si>
    <t>Gomito 85°</t>
  </si>
  <si>
    <t>Koleno 85°</t>
  </si>
  <si>
    <t>Kolano 85°</t>
  </si>
  <si>
    <t>lefolyócső-ív 85°</t>
  </si>
  <si>
    <t>koleno kruhového zvodu 85°</t>
  </si>
  <si>
    <t>kniestuk 85°</t>
  </si>
  <si>
    <t>Prefa cevno koleno 85o</t>
  </si>
  <si>
    <t>rörvinkel 85°</t>
  </si>
  <si>
    <t>rørbøjning 85°</t>
  </si>
  <si>
    <t>bend 85°</t>
  </si>
  <si>
    <t>Koljeno 85°</t>
  </si>
  <si>
    <t>QUADRATROHRBOGEN</t>
  </si>
  <si>
    <t>SQUARE DOWNPIPE ELBOW</t>
  </si>
  <si>
    <t>COUDE DE TUYAU CARRÉ</t>
  </si>
  <si>
    <t>KOLENO HRANATÉHO SVODU</t>
  </si>
  <si>
    <t>Kolanko kwadratowe</t>
  </si>
  <si>
    <t>SZÖGLETES LEFOLYÓCSŐ</t>
  </si>
  <si>
    <t>KOLENO ŠTVORCOVÉHO ZVODU</t>
  </si>
  <si>
    <t>VIERKANTE PIJPBOCHT</t>
  </si>
  <si>
    <t>KOLENO KVADRATNE CEVI</t>
  </si>
  <si>
    <t>FYRKANTIG RÖRBÖJ</t>
  </si>
  <si>
    <t>KVARDRATRØRS BØJNING</t>
  </si>
  <si>
    <t>FIRKANTET RØRKNE</t>
  </si>
  <si>
    <t>KOLJENO KVADRATNE CIJEVI</t>
  </si>
  <si>
    <t>Rohreinbindung</t>
  </si>
  <si>
    <t>pipe connection</t>
  </si>
  <si>
    <t>raccordement de tuyaux</t>
  </si>
  <si>
    <t>Integrazione tubo</t>
  </si>
  <si>
    <t xml:space="preserve">Trubní prostup </t>
  </si>
  <si>
    <t>Łącznik do rur</t>
  </si>
  <si>
    <t>csőbekötés</t>
  </si>
  <si>
    <t>napojenie rúry</t>
  </si>
  <si>
    <t>PIJPINRICHTING</t>
  </si>
  <si>
    <t>Vdelava cevi</t>
  </si>
  <si>
    <t>röranslutning</t>
  </si>
  <si>
    <t>Rørmuffe</t>
  </si>
  <si>
    <t>Rørforbindelse</t>
  </si>
  <si>
    <t>Priključak cijevi</t>
  </si>
  <si>
    <t>Rohreinmündung</t>
  </si>
  <si>
    <t>downpipe branch</t>
  </si>
  <si>
    <t>embranchement</t>
  </si>
  <si>
    <t>Braga</t>
  </si>
  <si>
    <t>Odbočka kruhového svodu</t>
  </si>
  <si>
    <t>Trójnik</t>
  </si>
  <si>
    <t>csőbecsatlakozás</t>
  </si>
  <si>
    <t>odbočka kruhového zvodu</t>
  </si>
  <si>
    <t>buisinmonding</t>
  </si>
  <si>
    <t>cevni priključek</t>
  </si>
  <si>
    <t>grenrör</t>
  </si>
  <si>
    <t>rørudmunding</t>
  </si>
  <si>
    <t>grenrør</t>
  </si>
  <si>
    <t>Cijevni utok</t>
  </si>
  <si>
    <t>Rohreinmündung konisch</t>
  </si>
  <si>
    <t>tapered downpipe branch</t>
  </si>
  <si>
    <t>embranchement conique</t>
  </si>
  <si>
    <t>Braga con innesto conico</t>
  </si>
  <si>
    <t>Odbočka kruhového svodu kónická</t>
  </si>
  <si>
    <t>Trójnik stożkowy</t>
  </si>
  <si>
    <t>kónikus csőbecsatlakozás</t>
  </si>
  <si>
    <t>odbočka kruhového zvodu kónická</t>
  </si>
  <si>
    <t>buisinmonding conisch</t>
  </si>
  <si>
    <t>konični cevni priključek</t>
  </si>
  <si>
    <t>grenrör koniskt</t>
  </si>
  <si>
    <t>rørudmunding konisk</t>
  </si>
  <si>
    <t>konisk grenrør</t>
  </si>
  <si>
    <t>Konusni cijevni utok</t>
  </si>
  <si>
    <t>ROHREINMÜNDUNG (quadratisch; zweifach)</t>
  </si>
  <si>
    <t>DUAL SQUARE DOWNPIPE BRANCH</t>
  </si>
  <si>
    <t>EMBRANCHEMENT (carré ; double)</t>
  </si>
  <si>
    <t>ODBOČKA SVODU (hranatá; dvojitá)</t>
  </si>
  <si>
    <t>RURA Z ODGAŁĘZIENIEM (przekrój kwadratowy; podwójna)</t>
  </si>
  <si>
    <t>CSŐBECSATLAKOZÁS (négyszögletes, kétszeres)</t>
  </si>
  <si>
    <t>ZVODOVÁ ODBOČKA (štvorcová; dvojitá)</t>
  </si>
  <si>
    <t>PIJPINRICHTING (vierkant; dubbel)</t>
  </si>
  <si>
    <t>CEVNI PRIKLJUČEK (kvadraten; dvakratni)</t>
  </si>
  <si>
    <t>RÖRANSLUTNING (fyrkantig; dubbel)</t>
  </si>
  <si>
    <t>RØRTILSLUTNING (firkantet; dobbelt)</t>
  </si>
  <si>
    <t>GRENRØR (firkantet, dobbel)</t>
  </si>
  <si>
    <t>CIJEVNI UTOK (kvadratan, dvostruki)</t>
  </si>
  <si>
    <t>ROHREINMÜNDUNG (quadratisch; einfach)</t>
  </si>
  <si>
    <t>SINGLE SQUARE DOWNPIPE BRANCH</t>
  </si>
  <si>
    <t>EMBRANCHEMENT (carré ; simple)</t>
  </si>
  <si>
    <t>ODBOČKA SVODU (hranatá; jednoduchá)</t>
  </si>
  <si>
    <t>RURA Z ODGAŁĘZIENIEM (przekrój kwadratowy; pojedyncza)</t>
  </si>
  <si>
    <t>CSŐBECSATLAKOZÁS (négyszögletes, egyszeres)</t>
  </si>
  <si>
    <t>ZVODOVÁ ODBOČKA (štvorcová; jednoduchá)</t>
  </si>
  <si>
    <t>PIJPINRICHTING (vierkant; enkel)</t>
  </si>
  <si>
    <t>CEVNI PRIKLJUČEK (kvadraten; enkratni)</t>
  </si>
  <si>
    <t>RÖRANSLUTNING (fyrkantig; enkel)</t>
  </si>
  <si>
    <t>RØRTILSLUTNING (firkantet; enkelt)</t>
  </si>
  <si>
    <t>GRENRØR (firkantet, enkel)</t>
  </si>
  <si>
    <t>CIJEVNI UTOK (kvadratan, jednostruki)</t>
  </si>
  <si>
    <t>ROHREINMÜNDUNG (rund; einfach)</t>
  </si>
  <si>
    <t>SINGLE DOWNPIPE BRANCH ROUND</t>
  </si>
  <si>
    <t>EMBRANCHEMENT (rond ; simple)</t>
  </si>
  <si>
    <t>ODBOČKA SVODU (kulatá; jednoduchá)</t>
  </si>
  <si>
    <t>RURA Z ODGAŁĘZIENIEM (przekrój okrągły; pojedyncza)</t>
  </si>
  <si>
    <t>CSŐBECSATLAKOZÁS (kerek, egyszeres)</t>
  </si>
  <si>
    <t>ZVODOVÁ ODBOČKA (kruhová; jednoduchá)</t>
  </si>
  <si>
    <t>PIJPINRICHTING (rond; enkel)</t>
  </si>
  <si>
    <t>CEVNI PRIKLJUČEK (okrogel; enkratni)</t>
  </si>
  <si>
    <t>RÖRANSLUTNING (rund; enkel)</t>
  </si>
  <si>
    <t>RØRTILSLUTNING (rund; enkel)</t>
  </si>
  <si>
    <t>GRENRØR (rund, enkel)</t>
  </si>
  <si>
    <t>CIJEVNI UTOK (okrugli, jednostruki)</t>
  </si>
  <si>
    <t>ROHREINMÜNDUNG (rund; zweifach)</t>
  </si>
  <si>
    <t>DUAL DOWNPIPE BRANCH ROUND</t>
  </si>
  <si>
    <t>EMBRANCHEMENT (rond ; double)</t>
  </si>
  <si>
    <t>ODBOČKA SVODU (kulatá; dvojitá)</t>
  </si>
  <si>
    <t>RURA Z ODGAŁĘZIENIEM (przekrój okrągły; podwójna)</t>
  </si>
  <si>
    <t>CSŐBECSATLAKOZÁS (kerek, kétszeres)</t>
  </si>
  <si>
    <t>ZVODOVÁ ODBOČKA (kruhová; dvojitá)</t>
  </si>
  <si>
    <t>PIJPVERBINDING (rond; dubbel)</t>
  </si>
  <si>
    <t>CEVNI PRIKLJUČEK (okrogel; dvakratni)</t>
  </si>
  <si>
    <t>RÖRANSLUTNING (rund; dubbel)</t>
  </si>
  <si>
    <t>RØRTILSLUTNING (rund; dobbelt)</t>
  </si>
  <si>
    <t>GRENRØR (rund, dobbel)</t>
  </si>
  <si>
    <t>CIJEVNI UTOK (okrugli, dvostruki)</t>
  </si>
  <si>
    <t>Rohrkappe</t>
  </si>
  <si>
    <t>pipe cap</t>
  </si>
  <si>
    <t>collerette</t>
  </si>
  <si>
    <t>Copribicchiere</t>
  </si>
  <si>
    <t>přechodka</t>
  </si>
  <si>
    <t>Zaślepka do rur</t>
  </si>
  <si>
    <t>csőfedél</t>
  </si>
  <si>
    <t>prechodka dažďového zvodu</t>
  </si>
  <si>
    <t>PIJPKAP</t>
  </si>
  <si>
    <t>Pokrovček cevi</t>
  </si>
  <si>
    <t>rörlock</t>
  </si>
  <si>
    <t>Rørkappe</t>
  </si>
  <si>
    <t>Rørhette</t>
  </si>
  <si>
    <t>Kapa za cijev</t>
  </si>
  <si>
    <t>Rohrlänge wählen:</t>
  </si>
  <si>
    <t>Select downpipe length:</t>
  </si>
  <si>
    <t>Sélectionner la longueur du tuyau de descente :</t>
  </si>
  <si>
    <t>Selezionare lunghezza pluviale</t>
  </si>
  <si>
    <t>Zvolit délku svodu</t>
  </si>
  <si>
    <t>Wybierz długość rury:</t>
  </si>
  <si>
    <t>Lefolyócső hossza:</t>
  </si>
  <si>
    <t>voľba dĺžky zvodov:</t>
  </si>
  <si>
    <t>Buislengte kiezen:</t>
  </si>
  <si>
    <t>Izbira dolžine cevi</t>
  </si>
  <si>
    <t>Välj rörlängd:</t>
  </si>
  <si>
    <t>Vælg rørlængde:</t>
  </si>
  <si>
    <t>Velg rørlengde:</t>
  </si>
  <si>
    <t>Odaberite duljinu cijevi:</t>
  </si>
  <si>
    <t>Rohrmanschette</t>
  </si>
  <si>
    <t>pipe collar</t>
  </si>
  <si>
    <t>manchon</t>
  </si>
  <si>
    <t>Guarnizione per tubo</t>
  </si>
  <si>
    <t>manžeta</t>
  </si>
  <si>
    <t>Kołnierz rurowy</t>
  </si>
  <si>
    <t>csőkarmantyú</t>
  </si>
  <si>
    <t>rúrová manžeta</t>
  </si>
  <si>
    <t>Pijpkraag</t>
  </si>
  <si>
    <t>Manšeta cevi</t>
  </si>
  <si>
    <t>rörkrage</t>
  </si>
  <si>
    <t>Rørmanchet</t>
  </si>
  <si>
    <t>Rørmansjett</t>
  </si>
  <si>
    <t>Manšeta za cijev</t>
  </si>
  <si>
    <t>Rohrschelle für Standrohr</t>
  </si>
  <si>
    <t>pipe bracket for straight downpipes</t>
  </si>
  <si>
    <t>collier pour dauphin</t>
  </si>
  <si>
    <t>Collare per terminali</t>
  </si>
  <si>
    <t>Přechodka na zaústění svodu</t>
  </si>
  <si>
    <t>Obejma do rur stojakowych</t>
  </si>
  <si>
    <t>lefolyócsőbilincs állványcsőhöz</t>
  </si>
  <si>
    <t>objímka pre zaústenie na ležatú kanalizáciu</t>
  </si>
  <si>
    <t>klembeugel voor staande buizen</t>
  </si>
  <si>
    <t>objemka za izlivno cev</t>
  </si>
  <si>
    <t>rörsvep för stuprör</t>
  </si>
  <si>
    <t>rørbøjle til standrør</t>
  </si>
  <si>
    <t>rørklemme for nedløpsrør</t>
  </si>
  <si>
    <t>Obujmica za stojeću cijev</t>
  </si>
  <si>
    <t>Rohrschelle (mit M10 Gewinde; ohne Dorn)</t>
  </si>
  <si>
    <t>pipe bracket – with M10 thread without pin</t>
  </si>
  <si>
    <t>collier (filetage M10 ; sans goujon)</t>
  </si>
  <si>
    <t>Collare con filetto M10 senza chiodo</t>
  </si>
  <si>
    <t>Objímka se závitem M10 bez trnu</t>
  </si>
  <si>
    <t>Obejma rury z gwintem M10 bez trzpienia</t>
  </si>
  <si>
    <t>csőbilincs M10 menettel szár nélkül</t>
  </si>
  <si>
    <t>objímka zvodu so závitom M10 bez tŕňa</t>
  </si>
  <si>
    <t>klembeugel met M10-schroefdraad zonder doorn</t>
  </si>
  <si>
    <t>objemka za iztočno cev z matico z navojem M10</t>
  </si>
  <si>
    <t>rörsvep med M10-gänga utan dorn</t>
  </si>
  <si>
    <t>rørbøjle med M10 gevind uden dorn</t>
  </si>
  <si>
    <t>rørklemme med M10 gjenger uten stift</t>
  </si>
  <si>
    <t>Obujmica za cijev (s M10 navojem, bez trna)</t>
  </si>
  <si>
    <t>Rohrschellendorn</t>
  </si>
  <si>
    <t>pipe bracket pin</t>
  </si>
  <si>
    <t>goujon de collier</t>
  </si>
  <si>
    <t>Chiodo per collare</t>
  </si>
  <si>
    <t>Trn k objímce</t>
  </si>
  <si>
    <t>Trzpień wbijany</t>
  </si>
  <si>
    <t>csőbilincs tartó csavar</t>
  </si>
  <si>
    <t>oceľový tŕň zvodu s krytom</t>
  </si>
  <si>
    <t>klembeugeldoorn</t>
  </si>
  <si>
    <t xml:space="preserve">konica za zabijanje </t>
  </si>
  <si>
    <t>rörsvepsdorn</t>
  </si>
  <si>
    <t>rørbøjledorn</t>
  </si>
  <si>
    <t>stift for rørklemme</t>
  </si>
  <si>
    <t>Trn cijevne obujmice</t>
  </si>
  <si>
    <t>Rohrschellendorn für WDVS-Rohrschellendübel ⌀ 10</t>
  </si>
  <si>
    <t>pipe bracket for ETICS pipe bracket plug Ø 10</t>
  </si>
  <si>
    <t>goujon de collier pour cheville d’isolation ⌀ 10 pour collier (ITE)</t>
  </si>
  <si>
    <t>Chiodo per collare per facciate retroventilate - Tassello Ø 10</t>
  </si>
  <si>
    <t>Trn k objímce pro hmoždinku pro prostup tepelnou izolací ⌀ 10</t>
  </si>
  <si>
    <t>Trzpień zaciskowy do kotwy zaciskowej ETICS ⌀ 10</t>
  </si>
  <si>
    <t>csőbilincs szár homlokzati hőszigetelésen keresztül történő rögzítéshez való dübelhez ∅ 10</t>
  </si>
  <si>
    <t>tŕň s krytkou pre hmoždinky do kontaktného zatepľovacieho systému ⌀ 10</t>
  </si>
  <si>
    <t>Buisdoorn voor ETICS-buisanker ⌀ 10</t>
  </si>
  <si>
    <t>Konica za zabijanje z navojem za vložek za fasade iz EPS ⌀ 10</t>
  </si>
  <si>
    <t>Rörklämdorn för WDVS-rörklämdubb ⌀ 10</t>
  </si>
  <si>
    <t>Rørbøjledorn til WDVS-rørbøjledyvel ⌀ 10</t>
  </si>
  <si>
    <t>Takrenneskrue til EIFS-takrenneplugg ⌀ 10</t>
  </si>
  <si>
    <t>Trn cijevne obujmice za WDVS tiplu ⌀ 10</t>
  </si>
  <si>
    <t>WDVS-Rohrschellendübel ⌀ 10</t>
  </si>
  <si>
    <t>pipe bracket dowel with pin (for ETICS)</t>
  </si>
  <si>
    <t>cheville d’isolation ⌀ 10 pour collier (ITE)</t>
  </si>
  <si>
    <t>Tassello per taglio termico con chiodo</t>
  </si>
  <si>
    <t>Hmoždinka pro prostup tepelnou izolací</t>
  </si>
  <si>
    <t>Element mocujący obejmy dla pełnej izolacji cieplnej z trzpieniem</t>
  </si>
  <si>
    <t>lefolyócsőbilincs-szár dübellel passzívházhoz</t>
  </si>
  <si>
    <t>oceľová hmoždinka s tŕňom do zatepľovacieho systému</t>
  </si>
  <si>
    <t>klembeugelplug met doorn (voor WDVS)</t>
  </si>
  <si>
    <t>konica za zabijanje s pokrivno kapo za EPS</t>
  </si>
  <si>
    <t>rörsvepsdymling med dorn (för enstegstätad fasad)</t>
  </si>
  <si>
    <t>rørbøjledybel med dorn (til WDVS)</t>
  </si>
  <si>
    <t>plugg for rørklemme med stift (for WDVS)</t>
  </si>
  <si>
    <t>WDVS tipla ⌀ 10</t>
  </si>
  <si>
    <t>Rohrschellenhalter für WDVS</t>
  </si>
  <si>
    <t>pipe bracket support (for ETICS)</t>
  </si>
  <si>
    <t>console pour collier (ITE)</t>
  </si>
  <si>
    <t>Piastra per taglio termico</t>
  </si>
  <si>
    <t>Držák hmoždinky pro zateplovací systémy</t>
  </si>
  <si>
    <t>Element mocujący obejmy dla pełnej izolacji cieplnej</t>
  </si>
  <si>
    <t>lefolyócső tartó bilincs passzívházhoz</t>
  </si>
  <si>
    <t>držiak objímky pre zatepľovacie systémy</t>
  </si>
  <si>
    <t>klembeugelhouder (voor WDVS)</t>
  </si>
  <si>
    <t>pritrdilo za fasade iz EPS</t>
  </si>
  <si>
    <t>rörssvepsfäste (för enstegstätad fasad)</t>
  </si>
  <si>
    <t>rørbøjleholder (til WDVS)</t>
  </si>
  <si>
    <t>feste for rørklemme (for WDVS)</t>
  </si>
  <si>
    <t>Držač za WDVS</t>
  </si>
  <si>
    <t>Rohrverbinder</t>
  </si>
  <si>
    <t>downpipe connector</t>
  </si>
  <si>
    <t>réduction de tuyau</t>
  </si>
  <si>
    <t>Bicchiere per pluviale</t>
  </si>
  <si>
    <t>Hrdlový spoj</t>
  </si>
  <si>
    <t>Złącze rury</t>
  </si>
  <si>
    <t>csőtoldó</t>
  </si>
  <si>
    <t>spojka zvodu</t>
  </si>
  <si>
    <t>buisverbinding</t>
  </si>
  <si>
    <t>povezovalec cevi</t>
  </si>
  <si>
    <t>rørforbinder</t>
  </si>
  <si>
    <t>rørkobling</t>
  </si>
  <si>
    <t>Spojni element cijevi</t>
  </si>
  <si>
    <t>Rolle</t>
  </si>
  <si>
    <t>roll</t>
  </si>
  <si>
    <t>bobine</t>
  </si>
  <si>
    <t>Rotolo</t>
  </si>
  <si>
    <t>Svitek</t>
  </si>
  <si>
    <t>rolka</t>
  </si>
  <si>
    <t>tekercs</t>
  </si>
  <si>
    <t>Zvitok</t>
  </si>
  <si>
    <t>Rol</t>
  </si>
  <si>
    <t>kolut</t>
  </si>
  <si>
    <t>rulle</t>
  </si>
  <si>
    <t>Rulle</t>
  </si>
  <si>
    <t>Rull</t>
  </si>
  <si>
    <t>Kolut</t>
  </si>
  <si>
    <t>Rollen</t>
  </si>
  <si>
    <t>rolls</t>
  </si>
  <si>
    <t>bobines</t>
  </si>
  <si>
    <t>Rotoli</t>
  </si>
  <si>
    <t>Svitky</t>
  </si>
  <si>
    <t>rolki</t>
  </si>
  <si>
    <t>tekercsek</t>
  </si>
  <si>
    <t>Zvitky</t>
  </si>
  <si>
    <t>koluti</t>
  </si>
  <si>
    <t>rullar</t>
  </si>
  <si>
    <t>Ruller</t>
  </si>
  <si>
    <t>Koluti</t>
  </si>
  <si>
    <t>Rundholz (Ø 140 mm)</t>
  </si>
  <si>
    <t>log (diameter 140 mm)</t>
  </si>
  <si>
    <t>rondin (⌀ 140 mm)</t>
  </si>
  <si>
    <t>Legno tondo (Ø 140 mm)</t>
  </si>
  <si>
    <t>dřevěná kulatina Ø 140 mm</t>
  </si>
  <si>
    <t>Okrągły element drewniany (Ø 140 mm)</t>
  </si>
  <si>
    <t>rönkfa (Ø 140 mm)</t>
  </si>
  <si>
    <t>guľatina (Ø 140 mm)</t>
  </si>
  <si>
    <t>Rond gat (Ø 140 mm)</t>
  </si>
  <si>
    <t>Okrogli les (Ø 140 mm)</t>
  </si>
  <si>
    <t>Rundträ (Ø 140 mm)</t>
  </si>
  <si>
    <t>Rundtræ (Ø 140 mm)</t>
  </si>
  <si>
    <t>Rundt trevirke (Ø 140 mm)</t>
  </si>
  <si>
    <t>Oblo drvo (Ø 140 mm)</t>
  </si>
  <si>
    <t>Rundlochung</t>
  </si>
  <si>
    <t>round perforations</t>
  </si>
  <si>
    <t>perforations circulaires</t>
  </si>
  <si>
    <t>Foro rotondo</t>
  </si>
  <si>
    <t>kruhové děrování</t>
  </si>
  <si>
    <t>Perforacja okrągła</t>
  </si>
  <si>
    <t>kör profilú lyukasztás</t>
  </si>
  <si>
    <t>kruhový otvor</t>
  </si>
  <si>
    <t>Ronde perforatie</t>
  </si>
  <si>
    <t>Okrogla perforacija</t>
  </si>
  <si>
    <t>rundperforering</t>
  </si>
  <si>
    <t>Runde huller</t>
  </si>
  <si>
    <t>Runde perforeringer</t>
  </si>
  <si>
    <t>Okrugla rupa</t>
  </si>
  <si>
    <t>Rundstäbe (Ø 15 mm)</t>
  </si>
  <si>
    <t>pipes (diameter 15 mm)</t>
  </si>
  <si>
    <t>tubes (⌀ 15 mm)</t>
  </si>
  <si>
    <t>Barre rotonde (Ø 15 mm)</t>
  </si>
  <si>
    <t>kulatina Ø 15 mm</t>
  </si>
  <si>
    <t>Pręty okrągłe (Ø 15 mm)</t>
  </si>
  <si>
    <t>körrudak (Ø 15 mm)</t>
  </si>
  <si>
    <t>kruhové tyče (Ø 15 mm)</t>
  </si>
  <si>
    <t>Ronde staven (Ø 15 mm)</t>
  </si>
  <si>
    <t>Okrogle palice (Ø 15 mm)</t>
  </si>
  <si>
    <t>runda stavar (Ø 15 mm)</t>
  </si>
  <si>
    <t>Rundstav (Ø 15 mm)</t>
  </si>
  <si>
    <t>Runde staver (Ø 15 mm)</t>
  </si>
  <si>
    <t>Okrugli štapovi (Ø 15 mm)</t>
  </si>
  <si>
    <t>Rundstange (⌀ 15 × 3.000 mm; für Schneerechenhaken)</t>
  </si>
  <si>
    <t>pipe (Ø 15 × 3,000 mm) for pipe-style snow guard brackets</t>
  </si>
  <si>
    <t>tube pare-neige (⌀ 15 × 3 000 mm ; pour les crochets de tubes pare-neige)</t>
  </si>
  <si>
    <t>Tubo fermaneve (Ø15 x 3.000 mm) per Staffa fermaneve</t>
  </si>
  <si>
    <t>Tyč sněhové zábrany (15 Ø x 3.000 mm) pro držák sněhové zábrany</t>
  </si>
  <si>
    <t>pręt okrągły (Ø 15 × 3,000 mm) do wspornika bariery śniegowej prętowej</t>
  </si>
  <si>
    <t>hófogórúd 15 Ø x 3.000 mm)</t>
  </si>
  <si>
    <t>rúrka zachytávača snehu (15 Ø x 3.000 mm) do rúrkových zachytávačov snehu</t>
  </si>
  <si>
    <t>ronde stang (15 Ø x 3000 mm) voor sneeuwharkhaak</t>
  </si>
  <si>
    <t>cev (15Ø x 3.000 mm), za snegolov</t>
  </si>
  <si>
    <t>rundstång (15 Ø x 3.000 mm) för konsol för snöräcke</t>
  </si>
  <si>
    <t>rundstang (15 Ø x 3.000 mm) til snegitterkrog</t>
  </si>
  <si>
    <t>rund stang (15 Ø x 3000 mm) for snøfangerfester</t>
  </si>
  <si>
    <t>Okrugla šipka (⌀ 15 × 3.000 mm; za kuku za rešetkasti snjegobran)</t>
  </si>
  <si>
    <t>Sailerklemme (doppelt)</t>
  </si>
  <si>
    <t>two-pipe seam clamp</t>
  </si>
  <si>
    <t>bride double</t>
  </si>
  <si>
    <t>Piastra fermaneve a doppio tubo</t>
  </si>
  <si>
    <t>Svěrka trubky sněhové zábrany dvojitá</t>
  </si>
  <si>
    <t>Mocowanie podwójne do bariery śniegowej</t>
  </si>
  <si>
    <t>kétcsöves hófogótartó</t>
  </si>
  <si>
    <t>dvojitá svorka rúrky zachytávača snehu</t>
  </si>
  <si>
    <t>Sailerklem dubbel</t>
  </si>
  <si>
    <t>dvojno držalo</t>
  </si>
  <si>
    <t>sailer-klämma dubbel</t>
  </si>
  <si>
    <t>sailer-klemme dobbelt</t>
  </si>
  <si>
    <t>dobbel falseklemme</t>
  </si>
  <si>
    <t>Obujmica (dvostruka)</t>
  </si>
  <si>
    <t>Sailerklemme (doppelt; mit Eisfänger)</t>
  </si>
  <si>
    <t>two-pipe seam clamp with ice stopper</t>
  </si>
  <si>
    <t>bride double (avec crochet à glace)</t>
  </si>
  <si>
    <t>Piastra fermaneve (a doppio tubo, con rompighiaccio)</t>
  </si>
  <si>
    <t>Svěrka trubky sněholamu dvojitá se zachytávačem ledu</t>
  </si>
  <si>
    <t>Zacisk do bariery śniegowej (podwójny; z elementem zbierającym lód)</t>
  </si>
  <si>
    <t>hófogótartó (kétcsöves, jégkarommal)</t>
  </si>
  <si>
    <t>svorka rúrky zachytávača snehu (dvojitá; so zachytávačom ľadu)</t>
  </si>
  <si>
    <t>Zeilklem (dubbel; met ijsvanger)</t>
  </si>
  <si>
    <t>Držalo za cevi (dvojno; lovilec ledu)</t>
  </si>
  <si>
    <t>seglarklämma (dubbel; med isfångare)</t>
  </si>
  <si>
    <t>Sailerklemme (dobbelt; med isstopper)</t>
  </si>
  <si>
    <t>Falseklemme (dobbel; med isfanger)</t>
  </si>
  <si>
    <t>Obujmica (dvostruka, s hvatačem leda)</t>
  </si>
  <si>
    <t>Sailerklemme (einfach)</t>
  </si>
  <si>
    <t>one-pipe seam clamp</t>
  </si>
  <si>
    <t>bride simple</t>
  </si>
  <si>
    <t>Piastra fermaneve a tubo singolo</t>
  </si>
  <si>
    <t>Svěrka trubky sněhové zábrany jednoduchá</t>
  </si>
  <si>
    <t>Mocowanie pojedyncze do bariery śniegowej</t>
  </si>
  <si>
    <t>egycsöves hófogótartó</t>
  </si>
  <si>
    <t>jednoduchá svorka rúrky zachytávača snehu</t>
  </si>
  <si>
    <t>Sailerklem enkel</t>
  </si>
  <si>
    <t>enojno držalo</t>
  </si>
  <si>
    <t>sailer-klämma enkel</t>
  </si>
  <si>
    <t>sailer-klemme enkelt</t>
  </si>
  <si>
    <t>enkel falseklemme</t>
  </si>
  <si>
    <t>Obujmica (jednostruka)</t>
  </si>
  <si>
    <t>Sailerklemme (einfach; mit Eisfänger)</t>
  </si>
  <si>
    <t>one-pipe seam clamp with ice stopper</t>
  </si>
  <si>
    <t>bride simple (avec crochet à glace)</t>
  </si>
  <si>
    <t>Piastra fermaneve (a tubo singolo, con rompighiaccio)</t>
  </si>
  <si>
    <t>Svěrka trubky sněholamu jednoduchá se zachytávačem ledu</t>
  </si>
  <si>
    <t>Zacisk do bariery śniegowej (pojedynczy; z elementem zbierającym lód)</t>
  </si>
  <si>
    <t>hófogótartó (egycsöves, jégkarommal)</t>
  </si>
  <si>
    <t>svorka rúrky zachytávača snehu (jednoduchá; so zachytávačom ľadu)</t>
  </si>
  <si>
    <t>Zeilklem (enkel; met ijsvanger)</t>
  </si>
  <si>
    <t>Držalo za cevi (enojno; lovilec ledu)</t>
  </si>
  <si>
    <t>seglarklämma (enkel; med isfångare)</t>
  </si>
  <si>
    <t>Sailerklemme (enkelt; med isstopper)</t>
  </si>
  <si>
    <t>Falseklemme (enkel; med isfanger)</t>
  </si>
  <si>
    <t>Obujmica (jednostruka, s hvatačem leda)</t>
  </si>
  <si>
    <t>Sailerklemme (für Schrägfalze)</t>
  </si>
  <si>
    <t>seam clamp for diagonal seams</t>
  </si>
  <si>
    <t>bride de maintien (pour agrafes en biais)</t>
  </si>
  <si>
    <t>Svěrka trubky sněhové zábrany pro šikmý falc</t>
  </si>
  <si>
    <t>Mocowanie pojedyncze z otworem podłużnym</t>
  </si>
  <si>
    <t>hófogótartó ovális lyukkal srégfalchoz</t>
  </si>
  <si>
    <t>svorka rúrky zachytávača snehu s predĺženým otvorom na šikmé drážky</t>
  </si>
  <si>
    <t>Sailerklem voor schuine felsen</t>
  </si>
  <si>
    <t>držalo z ovalno luknjo</t>
  </si>
  <si>
    <t>sailer-klämma för snedfals</t>
  </si>
  <si>
    <t>sailer-klemme til skråfalse</t>
  </si>
  <si>
    <t>falseklemme for skråfals</t>
  </si>
  <si>
    <t>Obujmica (za kose falce)</t>
  </si>
  <si>
    <t>Sailerklemmen</t>
  </si>
  <si>
    <t>seam clamps</t>
  </si>
  <si>
    <t>brides de maintien</t>
  </si>
  <si>
    <t>Piastre fermaneve</t>
  </si>
  <si>
    <t>Svěrky trubek sněholamu</t>
  </si>
  <si>
    <t>Zaciski do bariery śniegowej</t>
  </si>
  <si>
    <t>hófogórúd-tartók</t>
  </si>
  <si>
    <t>svorka rúrky zachytávača snehu</t>
  </si>
  <si>
    <t>Zeilklemmen</t>
  </si>
  <si>
    <t>Držalo za cevi</t>
  </si>
  <si>
    <t>segelklämmor</t>
  </si>
  <si>
    <t>Sailerklemmer</t>
  </si>
  <si>
    <t>Falseklemmer</t>
  </si>
  <si>
    <t>Obujmice</t>
  </si>
  <si>
    <t>Saumblech</t>
  </si>
  <si>
    <t>edge flashing</t>
  </si>
  <si>
    <t>spodní oplechování</t>
  </si>
  <si>
    <t>Okapnik</t>
  </si>
  <si>
    <t>alátétlemez</t>
  </si>
  <si>
    <t>nástrešný plech</t>
  </si>
  <si>
    <t>Randplaat</t>
  </si>
  <si>
    <t>Začetna pločevina</t>
  </si>
  <si>
    <t>sömplåt</t>
  </si>
  <si>
    <t>Drypplade</t>
  </si>
  <si>
    <t>Falsplate</t>
  </si>
  <si>
    <t>Ležeći lim</t>
  </si>
  <si>
    <t>Saumbrett (Traufbohle)</t>
  </si>
  <si>
    <t>edge board</t>
  </si>
  <si>
    <t>chanlatte</t>
  </si>
  <si>
    <t>prkno okapní hrany</t>
  </si>
  <si>
    <t>Deska szczytowa (Deska okapowa)</t>
  </si>
  <si>
    <t>alátétléc (ereszdeszka)</t>
  </si>
  <si>
    <t>nástrešná doska (odkvapová fošňa)</t>
  </si>
  <si>
    <t>Randplank (dakrandplank)</t>
  </si>
  <si>
    <t>Kapna deska (deska za konec strehe)</t>
  </si>
  <si>
    <t>sömbräda (takbräda)</t>
  </si>
  <si>
    <t>Kantbræt</t>
  </si>
  <si>
    <t>Falsbrett (kantbrett)</t>
  </si>
  <si>
    <t>Ležeći lim (greda za strehu)</t>
  </si>
  <si>
    <t>Saumrinne</t>
  </si>
  <si>
    <t>on-roof gutter</t>
  </si>
  <si>
    <t>gouttière havraise</t>
  </si>
  <si>
    <t>Grondaia cornicione</t>
  </si>
  <si>
    <t>nástřešní žlab</t>
  </si>
  <si>
    <t>Rynna leżąca</t>
  </si>
  <si>
    <t>fekvő ereszcsatorna</t>
  </si>
  <si>
    <t>nástrešný žľab</t>
  </si>
  <si>
    <t>Ležeči žleb</t>
  </si>
  <si>
    <t>sömränna</t>
  </si>
  <si>
    <t>Fodrende</t>
  </si>
  <si>
    <t>Falsrenne</t>
  </si>
  <si>
    <t>Ležeći žlijeb</t>
  </si>
  <si>
    <t>Saumrinne (mit Schutzfolie außen)</t>
  </si>
  <si>
    <t>on-roof gutter with protective film on the outside</t>
  </si>
  <si>
    <t>gouttière havraise (avec film de protection sur face extérieure)</t>
  </si>
  <si>
    <t>Grondaia cornicione con pellicola protettiva esterna</t>
  </si>
  <si>
    <t>Nástřešní žlab s ochrannou folií</t>
  </si>
  <si>
    <t>Rynna leżąca z folią ochronną na zewnątrz</t>
  </si>
  <si>
    <t>fekvő ereszcsatorna külső oldali védőfóliával</t>
  </si>
  <si>
    <t>nástrešný žľab s ochrannou fóliou na vonkajšej strane</t>
  </si>
  <si>
    <t>randgoot met beschermfolie buiten</t>
  </si>
  <si>
    <t>ležeči žleb z zaščitno folijo na zun. Strani</t>
  </si>
  <si>
    <t>kantränna med utvändig skyddsfolie</t>
  </si>
  <si>
    <t>kantrende med beskyttelsesfolie udvendigt</t>
  </si>
  <si>
    <t>fotrenne med utvendig beskyttelsesfolie</t>
  </si>
  <si>
    <t>Ležeći žlijeb (s vanjskom zaštitnom folijom)</t>
  </si>
  <si>
    <t>Saumrinnenendboden</t>
  </si>
  <si>
    <t>on-roof gutter end cap</t>
  </si>
  <si>
    <t>fond de gouttière havraise</t>
  </si>
  <si>
    <t>Testata per grondaia cornicione</t>
  </si>
  <si>
    <t>Čelo nástřešního žlabu</t>
  </si>
  <si>
    <t>Końcówka do rynny leżącej</t>
  </si>
  <si>
    <t>fekvő ereszcsatorna végelem</t>
  </si>
  <si>
    <t>čelo nástrešného žľabu</t>
  </si>
  <si>
    <t>randgoot-eindbodem</t>
  </si>
  <si>
    <t>zapora za ležeči žleb</t>
  </si>
  <si>
    <t>kantrännändgavel</t>
  </si>
  <si>
    <t>kantrendeendebund</t>
  </si>
  <si>
    <t>endebunn for fotrenne</t>
  </si>
  <si>
    <t>Čelo ležećeg žlijeba</t>
  </si>
  <si>
    <t>Saumrinnenhaken</t>
  </si>
  <si>
    <t>on-roof gutter bracket</t>
  </si>
  <si>
    <t>crochet de gouttière havraise</t>
  </si>
  <si>
    <t>Gancio per grondaia cornicione</t>
  </si>
  <si>
    <t>hák nástřešního žlabu</t>
  </si>
  <si>
    <t>Uchwyty do montażu rynny leżącej</t>
  </si>
  <si>
    <t>fekvő ereszcsatorna tartóelem</t>
  </si>
  <si>
    <t>hák nástrešného žľabu</t>
  </si>
  <si>
    <t>Dakgoothaak</t>
  </si>
  <si>
    <t>Kavelj za ležeči žleb</t>
  </si>
  <si>
    <t>sömrännkrok</t>
  </si>
  <si>
    <t>Fodrende rendejern</t>
  </si>
  <si>
    <t>Falsrennekroker</t>
  </si>
  <si>
    <t>Kuka ležećeg žlijeba</t>
  </si>
  <si>
    <t>Saumrinnenstutzen</t>
  </si>
  <si>
    <t>outlet</t>
  </si>
  <si>
    <t>naissance de gouttière havraise</t>
  </si>
  <si>
    <t>Scarico per grondaia cornicione</t>
  </si>
  <si>
    <t>Vyústění nástřešního žlabu</t>
  </si>
  <si>
    <t>Wylot</t>
  </si>
  <si>
    <t>fekvő ereszcsatorna betorkoló elem</t>
  </si>
  <si>
    <t>hrdlo</t>
  </si>
  <si>
    <t>randgootsteunen</t>
  </si>
  <si>
    <t>povezovalec</t>
  </si>
  <si>
    <t>kantrännestötta</t>
  </si>
  <si>
    <t>kantrendestuds</t>
  </si>
  <si>
    <t>stuss for fotrenne</t>
  </si>
  <si>
    <t>Odvod ležećeg žlijeba</t>
  </si>
  <si>
    <t>Saumstreifen</t>
  </si>
  <si>
    <t>edge cleat strip</t>
  </si>
  <si>
    <t>bande de départ</t>
  </si>
  <si>
    <t>Grondalina</t>
  </si>
  <si>
    <t>podkladní pás</t>
  </si>
  <si>
    <t>Listwy okapowe</t>
  </si>
  <si>
    <t>párkányelem</t>
  </si>
  <si>
    <t>podkladový pás</t>
  </si>
  <si>
    <t>Dakgootstrips</t>
  </si>
  <si>
    <t>Začetni trak</t>
  </si>
  <si>
    <t>sömremsa</t>
  </si>
  <si>
    <t>Fodlister</t>
  </si>
  <si>
    <t>Falslister</t>
  </si>
  <si>
    <t>Početna traka</t>
  </si>
  <si>
    <t>Saumstreifen (1.800 × 158 × 1,00 mm)</t>
  </si>
  <si>
    <t>edge cleat strip (1,800 × 158 × 1.00 mm)</t>
  </si>
  <si>
    <t>bande de départ (1 800 × 158 × 1,00 mm)</t>
  </si>
  <si>
    <t>Grondalina di partenza (1.800 x 158 x 1.00 mm)_IT</t>
  </si>
  <si>
    <t>Podkladní pás pro falcované šablony, šindele a panely FX.12 a R.16 (1.800 x 158 x 1.00 mm)</t>
  </si>
  <si>
    <t>Pas okapowy dla dachówek łupkowych rombów (1.800 × 158 × 1,00 mm)</t>
  </si>
  <si>
    <t>párkányelem (1.800 x 158 x 1.00 mm)</t>
  </si>
  <si>
    <t>okrajový podkladový pás (1.800 x 158 x 1.00 mm)</t>
  </si>
  <si>
    <t>randstroken (1800 × 158 × 1,00 mm)</t>
  </si>
  <si>
    <t>začetni trak (1.800 x 158 x 1.00 mm)</t>
  </si>
  <si>
    <t>kantremsa (1.800 × 158 × 1,00 mm)</t>
  </si>
  <si>
    <t>kantstrimmel (1.800 × 158 × 1,00 mm)</t>
  </si>
  <si>
    <t>skjøteplate (1800 × 158 × 1,00 mm)</t>
  </si>
  <si>
    <t>Početna traka (1.800 × 158 × 1,00 mm)</t>
  </si>
  <si>
    <t>Saumstreifen (Traufstreifen)</t>
  </si>
  <si>
    <t>Grondalina (striscia di gronda)</t>
  </si>
  <si>
    <t>párkányelem (ereszszegély)</t>
  </si>
  <si>
    <t>podkladový pás (odkvapový pás)</t>
  </si>
  <si>
    <t>Dakgootstrips (dakrandstrips)</t>
  </si>
  <si>
    <t>Začetni trak (trak za napušč)</t>
  </si>
  <si>
    <t>sömremsor (takfotsremsor)</t>
  </si>
  <si>
    <t>Fodlister (tagudhængslister)</t>
  </si>
  <si>
    <t>Falslister (takfotlister)</t>
  </si>
  <si>
    <t>Početna traka (traka za strehu)</t>
  </si>
  <si>
    <t>Saumstreifen (braun; vorgelocht; 1.806 × 150 × 1,20 mm)</t>
  </si>
  <si>
    <t>edge cleat strip, brown, pre-drilled (1,806 × 150 × 1.20 mm)</t>
  </si>
  <si>
    <t>bande de départ (couleur : brun ; préperforée ; 1 806 × 150 × 1,20 mm)</t>
  </si>
  <si>
    <t>Grondalina di partenza, marrone, preforata (1.806x150x1,20 mm)</t>
  </si>
  <si>
    <t>Podkladní pás pro falcované tašky, hnědý, předvrtané otvory(1.806x150x1,20 mm)</t>
  </si>
  <si>
    <t>pas okapowy, brązowy, przewiercony (1,806 × 150 × 1.20 mm)</t>
  </si>
  <si>
    <t>párkányelem barna, előlyukasztott (1.806x150x1,20 mm)</t>
  </si>
  <si>
    <t>odkvapový podkladový pás k falcovaným škridliam, hnedý, predvŕtané otvory (1.806 x 150 x 1,20 mm)</t>
  </si>
  <si>
    <t>randstroken bruin, geperforeerd (1806 x 150 x 1,20 mm)</t>
  </si>
  <si>
    <t>začetni trak, anodik rjava, predhodno perforiran (1.806x150x1,20mm)</t>
  </si>
  <si>
    <t>kantremsa brun, förperforerad (1,806x150x1,20 mm)</t>
  </si>
  <si>
    <t>kantstrimmel, brun, forhullet (1.806x150x1,20 mm)</t>
  </si>
  <si>
    <t>skjøteplate brun, forboret (1806x150x1,20 mm)</t>
  </si>
  <si>
    <t>Početna traka (smeđa; s rupama; 1.806 × 150 × 1,20 mm)</t>
  </si>
  <si>
    <t>Saumstreifen für Dachpaneel FX.12</t>
  </si>
  <si>
    <t>edge cleat strip for FX.12 roof panel</t>
  </si>
  <si>
    <t>bande de départ pour panneaux de toiture FX.12</t>
  </si>
  <si>
    <t>Grondalina per pannello per tetto FX.12</t>
  </si>
  <si>
    <t>podkladní pás pro STŘEŠNÍ PANEL FX.12</t>
  </si>
  <si>
    <t>Pas okapowy do panelu dachowego FX.12</t>
  </si>
  <si>
    <t>párkányelem FX.12 tetőfedő panelhez</t>
  </si>
  <si>
    <t>podkladový pás pre strešný panel FX.12</t>
  </si>
  <si>
    <t>Dakgootstrips voor dakpaneel FX.12</t>
  </si>
  <si>
    <t>Začetni trak za strešni panel FX.12</t>
  </si>
  <si>
    <t>sömremsor för takpanel FX.12</t>
  </si>
  <si>
    <t>Fodlister til tagpanel FX.12</t>
  </si>
  <si>
    <t>Falslister til takpanel FX.12</t>
  </si>
  <si>
    <t>Početna traka za krovni panel FX.12</t>
  </si>
  <si>
    <t>Saumstreifen für Dachplatte</t>
  </si>
  <si>
    <t xml:space="preserve">edge cleat strip for roof tile </t>
  </si>
  <si>
    <t>bande de départ pour tuile</t>
  </si>
  <si>
    <t>Grondalina per tegola</t>
  </si>
  <si>
    <t>podkladní pás pro FALCOVANOU TAŠKU</t>
  </si>
  <si>
    <t>Pas okapowy do dachówki klasycznej</t>
  </si>
  <si>
    <t>párkányelem Classic elemhez</t>
  </si>
  <si>
    <t>podkladový pás pre falcovanú škridlu</t>
  </si>
  <si>
    <t>Dakgootstrips voor dakpaneel</t>
  </si>
  <si>
    <t>Začetni trak za strešno ploščo</t>
  </si>
  <si>
    <t>sömremsor för takpanel</t>
  </si>
  <si>
    <t>Fodlister til tagplade</t>
  </si>
  <si>
    <t>Falslister til takplate</t>
  </si>
  <si>
    <t>Početna traka za krovnu ploču</t>
  </si>
  <si>
    <t>Saumstreifen für Dachplatte R.16</t>
  </si>
  <si>
    <t>edge cleat strip for R.16 roof tile</t>
  </si>
  <si>
    <t>bande de départ pour R.16</t>
  </si>
  <si>
    <t>Grondalina per tegola R,16</t>
  </si>
  <si>
    <t>podkladní pás pro STŘEŠNÍ PANEL R.16</t>
  </si>
  <si>
    <t>Pas okapowy do dachówki R.16</t>
  </si>
  <si>
    <t>párkányelem R.16 Classic elemhez</t>
  </si>
  <si>
    <t>podkladový pás pre falcovanú škridlu R.16</t>
  </si>
  <si>
    <t>Dakgootstrips voor dakpaneel R.16</t>
  </si>
  <si>
    <t>Začetni trak za strešno ploščo R.16</t>
  </si>
  <si>
    <t>sömremsor för takpanel R.16</t>
  </si>
  <si>
    <t>Fodlister til tagplade R.16</t>
  </si>
  <si>
    <t>Falslister til takplate R.16</t>
  </si>
  <si>
    <t>Početna traka za krovnu ploču R.16</t>
  </si>
  <si>
    <t>Saumstreifen für Dachraute 29 × 29</t>
  </si>
  <si>
    <t>edge cleat strip for rhomboid roof tile 29 × 29</t>
  </si>
  <si>
    <t>bande de départ pour losange de toiture 29 × 29</t>
  </si>
  <si>
    <t>Grondalina per scaglia 29 × 29</t>
  </si>
  <si>
    <t>podkladní pás pro FALCOVANOU ŠABLONU 29x29</t>
  </si>
  <si>
    <t>Pas okapowy do dachówki romb 29 × 29</t>
  </si>
  <si>
    <t>párkányelem 29 × 29-es tetőfedő rombuszhoz</t>
  </si>
  <si>
    <t>podkladový pás pre strešnú šablónu 29 × 29</t>
  </si>
  <si>
    <t>Dakgootstrips voor daklosange 29 × 29</t>
  </si>
  <si>
    <t>Začetni trak za strešni romb 29 × 29</t>
  </si>
  <si>
    <t>sömremsor för takdiamant 29 × 29</t>
  </si>
  <si>
    <t>Fodlister til tagrombe 29 × 29</t>
  </si>
  <si>
    <t>Falslister til takrombe 29 × 29</t>
  </si>
  <si>
    <t>Početna traka za krovni romb 29 × 29</t>
  </si>
  <si>
    <t>Saumstreifen für Dachraute 44 × 44</t>
  </si>
  <si>
    <t>edge cleat strip for rhomboid roof tile 44 × 44</t>
  </si>
  <si>
    <t>bande de départ pour losange de toiture 44 × 44</t>
  </si>
  <si>
    <t>Grondalina per scaglia 44 × 44</t>
  </si>
  <si>
    <t>podkladní pás pro STŘEŠNÍ ŠABLONU 44x44</t>
  </si>
  <si>
    <t>Pas okapowy do dachówki romb 44 × 44</t>
  </si>
  <si>
    <t>párkányelem 44 × 44-es tetőfedő rombuszhoz</t>
  </si>
  <si>
    <t>podkladový pás pre strešnú šablónu 44 × 44</t>
  </si>
  <si>
    <t>Dakgootstrips voor daklosange 44 × 44</t>
  </si>
  <si>
    <t>Začetni trak za strešni romb 44 × 44</t>
  </si>
  <si>
    <t>sömremsor för takdiamant 44 × 44</t>
  </si>
  <si>
    <t>Fodlister til tagrombe 44 × 44</t>
  </si>
  <si>
    <t>Falslister til takrombe 44 × 44</t>
  </si>
  <si>
    <t>Početna traka za krovni romb 44 × 44</t>
  </si>
  <si>
    <t>Saumstreifen für Dachschindel</t>
  </si>
  <si>
    <t xml:space="preserve">edge cleat strip for shingle </t>
  </si>
  <si>
    <t>bande de départ pour bardeau</t>
  </si>
  <si>
    <t>Grondalina per scandola</t>
  </si>
  <si>
    <t>podkladní pás pro FALCOVANÝ ŠINDEL</t>
  </si>
  <si>
    <t>Pas okapowy do dachówki łupkowej</t>
  </si>
  <si>
    <t>párkányelem tetőfedő zsindelyhez</t>
  </si>
  <si>
    <t>podkladový pás pre strešný šindeľ</t>
  </si>
  <si>
    <t>Dakgootstrips voor daklei</t>
  </si>
  <si>
    <t>Začetni trak za strešno skodlo</t>
  </si>
  <si>
    <t>sömremsor för takshingel</t>
  </si>
  <si>
    <t>Fodlister til tagspån</t>
  </si>
  <si>
    <t>Falslister til takshingel</t>
  </si>
  <si>
    <t>Početna traka za krovnu šindru</t>
  </si>
  <si>
    <t>Saumstreifen für FX.12</t>
  </si>
  <si>
    <t>starter strip for FX.12 (PREFA)</t>
  </si>
  <si>
    <t>bande de départ pour panneau FX.12</t>
  </si>
  <si>
    <t>Grondalina per FX.12</t>
  </si>
  <si>
    <t>Podkladní pás pro FX.12</t>
  </si>
  <si>
    <t>Listwy okapowe do FX.12</t>
  </si>
  <si>
    <t>párkányelem FX.12-höz</t>
  </si>
  <si>
    <t>podkladový pás pre FX.12</t>
  </si>
  <si>
    <t>Dakgootstrips voor FX.12</t>
  </si>
  <si>
    <t>Začetni trak za FX.12</t>
  </si>
  <si>
    <t>sömremsor för FX.12</t>
  </si>
  <si>
    <t>Fodlister til FX.12</t>
  </si>
  <si>
    <t>Falslister til FX.12</t>
  </si>
  <si>
    <t>Početna traka za FX.12</t>
  </si>
  <si>
    <t>Saumstreifen für Wandraute</t>
  </si>
  <si>
    <t>starter strip for rhomboid façade tile (PREFA)</t>
  </si>
  <si>
    <t>bande de départ pour losanges de façade</t>
  </si>
  <si>
    <t>Grondalina per scaglia</t>
  </si>
  <si>
    <t>Podkladní pás pro fasádní šablonu</t>
  </si>
  <si>
    <t>Listwy okapowe do rombu ściennego</t>
  </si>
  <si>
    <t>párkányelem homlokzatburkoló rombuszhoz</t>
  </si>
  <si>
    <t>podkladový pás pre fasádnu šablónu</t>
  </si>
  <si>
    <t>Dakgootstrips voor muur ruit</t>
  </si>
  <si>
    <t>Robni trak za stenski romb</t>
  </si>
  <si>
    <t>sömremsor för väggdiamant</t>
  </si>
  <si>
    <t>Fodlister til vægrombe</t>
  </si>
  <si>
    <t>Falslister til veggrombe</t>
  </si>
  <si>
    <t>Početna traka za zidni romb</t>
  </si>
  <si>
    <t>Saumstreifen gerillt (für Abtreppung; 600 × 150 mm)</t>
  </si>
  <si>
    <t>edge cleat strip, grooved (for step work; 600 × 150 mm)</t>
  </si>
  <si>
    <t>bande de départ rainurée (pour décrochements ; 600 × 150 mm)</t>
  </si>
  <si>
    <t>Grondalina di ripartenza, con scanalatura (per terrazzamenti, 600 x 150 mm)</t>
  </si>
  <si>
    <t>Podkladní pás pro falcované tašky-krátký 600 x 150 mm)</t>
  </si>
  <si>
    <t>pas okapowy, żłobkowany  (600 × 150 mm)</t>
  </si>
  <si>
    <t>toldó elem (lépcsős eresz kialakításhoz 600 x 150 mm)</t>
  </si>
  <si>
    <t>odkvapový podkladový pás k falcovaným škridliam, krátký, tvarovaný (600 x 150 mm)</t>
  </si>
  <si>
    <t>randstroken gerild (voor trappen 600 x 150 mm)</t>
  </si>
  <si>
    <t>začetni trak, žlebasti, za stopničaste presledke (600 x 150 mm)</t>
  </si>
  <si>
    <t>kantremsa räfflad (för stegning 600 x 150 mm)</t>
  </si>
  <si>
    <t>kantstrimmel, rillet (til aftrapning 600 x 150 mm)</t>
  </si>
  <si>
    <t>skjøteplate med spor (for avtrapping 600 x 150 mm)</t>
  </si>
  <si>
    <t>Početna traka, užlijebljena (za stepenasti prijelaz; 600 × 150 mm)</t>
  </si>
  <si>
    <t>Saumstutzen</t>
  </si>
  <si>
    <t>eaves outlet fitting</t>
  </si>
  <si>
    <t>moignon</t>
  </si>
  <si>
    <t>průchodka</t>
  </si>
  <si>
    <t>Zabezpieczenie okapu</t>
  </si>
  <si>
    <t>párkánycsonk</t>
  </si>
  <si>
    <t>nástrešné hrdlo</t>
  </si>
  <si>
    <t>Dakgootstukken</t>
  </si>
  <si>
    <t>Robni nacevnik</t>
  </si>
  <si>
    <t>sömkant</t>
  </si>
  <si>
    <t>Kantbeslag</t>
  </si>
  <si>
    <t>Falsstøtter</t>
  </si>
  <si>
    <t>Ležeći odvod</t>
  </si>
  <si>
    <t>Schäden an den Dacheindeckungsmaterialien (z. B. durch Sturm, Hagel oder Schneedruck)</t>
  </si>
  <si>
    <t>damage to roof covering materials (e.g. caused by a storm, hail, snow pressure)</t>
  </si>
  <si>
    <t>dommages subis par les matériaux de la couverture (dommages dus par exemple à la tempête, à la grêle ou à la pression exercée par le poids de la neige)</t>
  </si>
  <si>
    <t>Danni ai materiali della copertura (per esempio a causa di vento forte, grandine o pressione della neve)</t>
  </si>
  <si>
    <t>Boční napojení na stěnu</t>
  </si>
  <si>
    <t>Uszkodzenia pokrycia dachowego (np. wskutek wichury, gradu lub nacisku śniegu)</t>
  </si>
  <si>
    <t>tetőfedő anyagok sérülései (pl. vihar, jégeső vagy hónyomás miatt)</t>
  </si>
  <si>
    <t>Škody na materiáloch strešnej krytiny (napr. v dôsledku víchrice, ľadovca alebo tlaku snehu)</t>
  </si>
  <si>
    <t>Schade aan dakbedekkingsmateriaal (bijv. door storm, hagel of sneeuwdruk)</t>
  </si>
  <si>
    <t>Poškodbe strešnega materiala (npr. zaradi neurja, toče ali snežnega pritiska)</t>
  </si>
  <si>
    <t>Skador på takbeläggningsmaterial (t.ex. på grund av storm, hagel eller snötryck)</t>
  </si>
  <si>
    <t>Skader på tagdækningsmaterialerne (f.eks. på grund af storm, hagl eller sne)</t>
  </si>
  <si>
    <t>Skader på taktekkingsmaterialene (f.eks. på grunn av storm, hagl eller snøbelastning)</t>
  </si>
  <si>
    <t>Oštećenja materijala za pokrivanje krova (npr. zbog oluje, tuče ili pritiska snijega)</t>
  </si>
  <si>
    <t>Schalungsbrett</t>
  </si>
  <si>
    <t>sheathing board</t>
  </si>
  <si>
    <t>volige</t>
  </si>
  <si>
    <t>Asse del tavolato</t>
  </si>
  <si>
    <t>Boční napojení na stěnu s napojovacím profilem</t>
  </si>
  <si>
    <t>Deska szalunkowa</t>
  </si>
  <si>
    <t>zsalutábla</t>
  </si>
  <si>
    <t>doska debnenia</t>
  </si>
  <si>
    <t>Bekistingsbord</t>
  </si>
  <si>
    <t>Opažna deska</t>
  </si>
  <si>
    <t>formsättningsbräda</t>
  </si>
  <si>
    <t>Forskallingsplade</t>
  </si>
  <si>
    <t>Forskalingsbrett</t>
  </si>
  <si>
    <t>Daska za oplatu</t>
  </si>
  <si>
    <t>Schattenfuge (Breite: 15 mm; Tiefe: 7 mm)</t>
  </si>
  <si>
    <t>shadow gap (width: 15 mm; depth: 7 mm)</t>
  </si>
  <si>
    <t>joint creux (largeur : 15 mm ; profondeur : 7 mm)</t>
  </si>
  <si>
    <t>Fuga (larghezza: 15 mm; profondità: 7 mm)</t>
  </si>
  <si>
    <t>Spára (šířka: 15 mm; hloubka: 7 mm)</t>
  </si>
  <si>
    <t>Fuga cieniowa (szerokość: 15 mm; głębokość: 7 mm)</t>
  </si>
  <si>
    <t>árnyékfuga (szélesség: 15 mm; mélység: 7 mm)</t>
  </si>
  <si>
    <t>Schaduwvoeg (breedte: 15 mm; diepte: 7 mm)</t>
  </si>
  <si>
    <t>Senčna fuga (širina: 15 mm; globina: 7 mm)</t>
  </si>
  <si>
    <t>skuggfog (bredd: 15 mm; djup: 7 mm)</t>
  </si>
  <si>
    <t>Skyggefuge (bredde: 15 mm; dybde: 7 mm)</t>
  </si>
  <si>
    <t>Skyggespalte (bredde: 15 mm; dybde: 7 mm)</t>
  </si>
  <si>
    <t>Fuga (širina: 15 mm; dubina: 7 mm)</t>
  </si>
  <si>
    <t>Schattenfuge (Breite: 15 mm; Tiefe: 7 mm)</t>
  </si>
  <si>
    <t>Shadow gap (15 mm wide, 7 mm deep):</t>
  </si>
  <si>
    <t>larghezza della fuga15 mm, profondità 7 mm:</t>
  </si>
  <si>
    <t>Spára 15 mm šířka, 7 mm hloubka:</t>
  </si>
  <si>
    <t>Fuga podłużna szerokość 15 mm, głębokość 7 mm:</t>
  </si>
  <si>
    <t>Árnyékfuga 15 mm széles, 7 mm mély</t>
  </si>
  <si>
    <t>Tieňová škára - šírka 15 mm, hĺbka 7 mm:</t>
  </si>
  <si>
    <t>Schaduwvoeg breedte 15 mm, diepte 7 mm:</t>
  </si>
  <si>
    <t>Skuggfog 15 mm bred, 7 mm djup:</t>
  </si>
  <si>
    <t>Skyggefuge 15 mm bred, 7 mm dyb:</t>
  </si>
  <si>
    <t>Skyggefuge 15 mm bred, 7 mm dyp:</t>
  </si>
  <si>
    <t>Naglašena fuga 15 mm široka, 7 mm  duboka</t>
  </si>
  <si>
    <t>Schattenfuge:</t>
  </si>
  <si>
    <t>Shadow gap:</t>
  </si>
  <si>
    <t>Joint creux :</t>
  </si>
  <si>
    <t xml:space="preserve">Spára: </t>
  </si>
  <si>
    <t>Fuga podłużna:</t>
  </si>
  <si>
    <t>Áryékfuga:</t>
  </si>
  <si>
    <t>Tieňová škára:</t>
  </si>
  <si>
    <t>Schaduwvoeg:</t>
  </si>
  <si>
    <t>Senčna fuga:</t>
  </si>
  <si>
    <t>Skuggfog:</t>
  </si>
  <si>
    <t>Skyggefuge:</t>
  </si>
  <si>
    <t>Naglašena fuga:</t>
  </si>
  <si>
    <t>Schaumstoffkeil (selbstklebend)</t>
  </si>
  <si>
    <t>self-adhesive foam wedge</t>
  </si>
  <si>
    <t>cale en mousse autoadhésive</t>
  </si>
  <si>
    <t>Cuneo in schiuma (autoadesivo)</t>
  </si>
  <si>
    <t>Boční napojení na stěnu s omítkovou krycí lištou</t>
  </si>
  <si>
    <t>Klin piankowy (samoprzylepny)</t>
  </si>
  <si>
    <t>habszivacs ék (öntapadós)</t>
  </si>
  <si>
    <t>penový klin (samolepiaci)</t>
  </si>
  <si>
    <t>Schuimrubberen spie (zelfklevend)</t>
  </si>
  <si>
    <t>Penasti klin (samolepilni)</t>
  </si>
  <si>
    <t>skumkil (självhäftande)</t>
  </si>
  <si>
    <t>Skumkile (selvklæbende)</t>
  </si>
  <si>
    <t>Skumstoffkile (selvklebende)</t>
  </si>
  <si>
    <t>Mekani klin (samoljepljiv)</t>
  </si>
  <si>
    <t>Schenkellänge</t>
  </si>
  <si>
    <t>Leg length</t>
  </si>
  <si>
    <t>longueur de chacun des côtés</t>
  </si>
  <si>
    <t>Lunghezza del lato</t>
  </si>
  <si>
    <t>Délka ramena</t>
  </si>
  <si>
    <t>Długość boku kątownika</t>
  </si>
  <si>
    <t>szárhossz</t>
  </si>
  <si>
    <t>dĺžka ramena</t>
  </si>
  <si>
    <t>Beenlengte</t>
  </si>
  <si>
    <t>Dolžina noge</t>
  </si>
  <si>
    <t>benlängd</t>
  </si>
  <si>
    <t>Sidelængde</t>
  </si>
  <si>
    <t>Sidelengde</t>
  </si>
  <si>
    <t>Duljina strane</t>
  </si>
  <si>
    <t>Schiebemuffe</t>
  </si>
  <si>
    <t>sliding sleeve</t>
  </si>
  <si>
    <t>manchon coulissant</t>
  </si>
  <si>
    <t>Manicotto scorrevole</t>
  </si>
  <si>
    <t>Posuvná spojka</t>
  </si>
  <si>
    <t>Mufa przesuwna</t>
  </si>
  <si>
    <t>csúszó átvezető elem</t>
  </si>
  <si>
    <t>posuvná spojka</t>
  </si>
  <si>
    <t>Schuifmof</t>
  </si>
  <si>
    <t>Drsna obojka</t>
  </si>
  <si>
    <t>glidhylsa</t>
  </si>
  <si>
    <t>Skydemuffe</t>
  </si>
  <si>
    <t>Skyvemuffe</t>
  </si>
  <si>
    <t>Klizni kolčak</t>
  </si>
  <si>
    <t>Schneerechenhaken</t>
  </si>
  <si>
    <t>pipe-style snow guard bracket</t>
  </si>
  <si>
    <t>crochet pour tubes pare-neige</t>
  </si>
  <si>
    <t>Staffa fermaneve</t>
  </si>
  <si>
    <t>Držák sněhové zábrany</t>
  </si>
  <si>
    <t>wspornik bariery śniegowej prętowej</t>
  </si>
  <si>
    <t>hófogótartó</t>
  </si>
  <si>
    <t>držiak rúrkového zachytávača snehu</t>
  </si>
  <si>
    <t>sneeuwharkhaken</t>
  </si>
  <si>
    <t>sistem za linijski snegolov</t>
  </si>
  <si>
    <t>konsol för snöräcke</t>
  </si>
  <si>
    <t>snegitterkrog</t>
  </si>
  <si>
    <t>snøfangerfester</t>
  </si>
  <si>
    <t>Kuka za rešetkasti snjegobran</t>
  </si>
  <si>
    <t>Schneerechensystem (205 × 66 × 303 mm)</t>
  </si>
  <si>
    <t>pipe-style snow guard system (205 × 66 × 303 mm)</t>
  </si>
  <si>
    <t>système pare-neige (205 × 66 × 303 mm)</t>
  </si>
  <si>
    <t>Staffa fermaneve a triplo tubolare esagonale (205 x 66 x 303 mm)</t>
  </si>
  <si>
    <t>Držák sněhové zábrany profilované trubky (205 x 66 x 303 mm)</t>
  </si>
  <si>
    <t>rurowy system ochrony przed śniegiem (205 × 66 × 303 mm)</t>
  </si>
  <si>
    <t>hófogórendszer (205 x 66 x 303 mm)</t>
  </si>
  <si>
    <t>systémový rúrkový zachytávač snehu pre profilované rúrky (205 x 66 x 303 mm)</t>
  </si>
  <si>
    <t>sneeuwharksysteem (205 x 66 x 303 mm)</t>
  </si>
  <si>
    <t>sistem za linijski snegolov (205x66x303 mm)</t>
  </si>
  <si>
    <t>snöräckessystem (205 x 66 x 303 mm)</t>
  </si>
  <si>
    <t>snegittersystem (205 x 66 x 303 mm)</t>
  </si>
  <si>
    <t>snøfangersystem (205 x 66 x 303 mm)</t>
  </si>
  <si>
    <t>Sustav rešetkastog snjegobrana (205 × 66 × 303 mm)</t>
  </si>
  <si>
    <t>Abschluss für Schneerechensystem</t>
  </si>
  <si>
    <t>end piece for pipe-style snow guard system</t>
  </si>
  <si>
    <t>embout pour système pare-neige</t>
  </si>
  <si>
    <t>Testata per tubolare fermaneve</t>
  </si>
  <si>
    <t>Ukončení zábrany profilované trubky</t>
  </si>
  <si>
    <t xml:space="preserve">element wykończeniowy do barier śniegowych </t>
  </si>
  <si>
    <t>hófogórúd rendszer záróelem</t>
  </si>
  <si>
    <t>ukončovací prvok zachytávača snehu pre profilované rúrky</t>
  </si>
  <si>
    <t>sneeuwharksysteem afsluiting</t>
  </si>
  <si>
    <t>snöräckessystem slutstycke</t>
  </si>
  <si>
    <t>snegittersystem afslutning</t>
  </si>
  <si>
    <t>snøfangersystem endestykke</t>
  </si>
  <si>
    <t>Završetak za sustav rešetkastog snjegobrana</t>
  </si>
  <si>
    <t>Einlegeprofil</t>
  </si>
  <si>
    <t>removable pipe for pipe-style snow guard system</t>
  </si>
  <si>
    <t>barre pare-neige</t>
  </si>
  <si>
    <t>Tubolare a sezione esagonale</t>
  </si>
  <si>
    <t>vkládaný profil sněhové zábrany</t>
  </si>
  <si>
    <t>Profil wsuwany</t>
  </si>
  <si>
    <t>hófogóprofil</t>
  </si>
  <si>
    <t>profilovaná rúrka zachytávača snehu</t>
  </si>
  <si>
    <t>Invoegprofiel</t>
  </si>
  <si>
    <t>Vstavitveni profil</t>
  </si>
  <si>
    <t>insättningsprofil</t>
  </si>
  <si>
    <t>Monteringsprofil</t>
  </si>
  <si>
    <t>Innleggsprofil</t>
  </si>
  <si>
    <t>Unutarnji profil</t>
  </si>
  <si>
    <t>Einlegeprofil (3.000 mm)</t>
  </si>
  <si>
    <t>removable pipe for pipe-style snow guard system (3,000 mm)</t>
  </si>
  <si>
    <t>barre pare-neige (3.000 mm)</t>
  </si>
  <si>
    <t>Tubolare fermaneve a sezione esagonale (3.000 mm)</t>
  </si>
  <si>
    <t>Profilovaná trubka sněhové zábrany (3.000 mm)</t>
  </si>
  <si>
    <t>wyjmowana rura dla rurowego systemu ochrony przed śniegiem (3,000 mm)</t>
  </si>
  <si>
    <t>hófogórúd hófogórendszerhez (3.000 mm)</t>
  </si>
  <si>
    <t>profilovaná rúrka zachytávača snehu (3.000 mm)</t>
  </si>
  <si>
    <t>sneeuwharksysteem inlegprofiel (3000 mm)</t>
  </si>
  <si>
    <t>palice za snegolovni sistem (3.000 mmm)</t>
  </si>
  <si>
    <t>snöräckessystem inläggningsprofil (3.000 mm)</t>
  </si>
  <si>
    <t>snegittersystem ilægningsprofil (3.000 mm)</t>
  </si>
  <si>
    <t>snøfangersystem innleggingsprofil (3000 mm)</t>
  </si>
  <si>
    <t>Unutarnji profil (3.000 mm)</t>
  </si>
  <si>
    <t>Eiskralle</t>
  </si>
  <si>
    <t>ice-retention bracket for pipe-style snow guard system</t>
  </si>
  <si>
    <t>arrêt-glace</t>
  </si>
  <si>
    <t>Artigio rompighiaggio per tubolare fermaneve</t>
  </si>
  <si>
    <t>Držák ledu</t>
  </si>
  <si>
    <t xml:space="preserve">łamacz lodu do prętowych barier przeciw śniegowych </t>
  </si>
  <si>
    <t>hófogórúd rendszer jégkarom</t>
  </si>
  <si>
    <t>sneeuwharksysteem ijsklauw</t>
  </si>
  <si>
    <t>snöräckessystem isklo</t>
  </si>
  <si>
    <t>snegittersystem isklo</t>
  </si>
  <si>
    <t>snøfangersystem isklo</t>
  </si>
  <si>
    <t>Kuka za led</t>
  </si>
  <si>
    <t>Schneestopper für Dachpaneel FX.12</t>
  </si>
  <si>
    <t>snow guard for FX.12 roof panel</t>
  </si>
  <si>
    <t>arrêts de neige pour panneau de toiture FX.12</t>
  </si>
  <si>
    <t>sněhový hák pro STŘEŠNÍPANEL FX.12</t>
  </si>
  <si>
    <t>Stoper śniegowy do panelu dachowego FX.12</t>
  </si>
  <si>
    <t>hófogó FX.12 tetőfedő panelhez</t>
  </si>
  <si>
    <t>zachytávač snehu pre strešný panel FX.12</t>
  </si>
  <si>
    <t>Sneeuwstopper voor dakpaneel FX.12</t>
  </si>
  <si>
    <t>Snegolov za strešni panel FX.12</t>
  </si>
  <si>
    <t>snöstopp för takpanel FX.12</t>
  </si>
  <si>
    <t>Snestopper til tagpanel FX.12</t>
  </si>
  <si>
    <t>Snøstopper til takpanel FX-12</t>
  </si>
  <si>
    <t>Točkasti snjegobran za krovni panel FX.12</t>
  </si>
  <si>
    <t>Schneestopper für Dachplatte</t>
  </si>
  <si>
    <t xml:space="preserve">snow guard for roof tile </t>
  </si>
  <si>
    <t>arrêt de neige pour tuiles</t>
  </si>
  <si>
    <t>Naso fermaneve per tegola</t>
  </si>
  <si>
    <t>sněhový hák pro FALCOVANOU TAŠKU</t>
  </si>
  <si>
    <t>Stoper śniegowy do płyty dachowej</t>
  </si>
  <si>
    <t>hófogó Classic elemhez</t>
  </si>
  <si>
    <t>zachytávač snehu pre falcovanú škridlu</t>
  </si>
  <si>
    <t>Sneeuwstopper voor dakpaneel</t>
  </si>
  <si>
    <t>Snegolov za strešno ploščo</t>
  </si>
  <si>
    <t>snöstopp för takpanel</t>
  </si>
  <si>
    <t>Snestopper til tagplade</t>
  </si>
  <si>
    <t>Snøstopper til takplate</t>
  </si>
  <si>
    <t>Točkasti snjegobran za krovnu ploču</t>
  </si>
  <si>
    <t>Schneestopper für Dachplatte R.16</t>
  </si>
  <si>
    <t>snow guard for R.16 roof tile</t>
  </si>
  <si>
    <t>arrêts de neige pour R.16</t>
  </si>
  <si>
    <t>Naso fermaneve per tegola R.16</t>
  </si>
  <si>
    <t>sněhový hák pro STŘEŠNÍ PANEL R.16</t>
  </si>
  <si>
    <t>Stoper śniegowy do dachówki R.16</t>
  </si>
  <si>
    <t>hófogó R.16 Classic elemhez</t>
  </si>
  <si>
    <t>zachytávač snehu pre strešný panel R.16</t>
  </si>
  <si>
    <t>Sneeuwstopper voor dakpaneel R.16</t>
  </si>
  <si>
    <t>Snegolov za strešno ploščo R.16</t>
  </si>
  <si>
    <t>snöstopp för takpanel R.16</t>
  </si>
  <si>
    <t>Snestopper til tagplade R.16</t>
  </si>
  <si>
    <t>Snøstopper til takplate R.16</t>
  </si>
  <si>
    <t>Točkasti snjegobran za krovnu ploču R.16</t>
  </si>
  <si>
    <t>Schneestopper für Dachplatte und Dachraute 29 × 29</t>
  </si>
  <si>
    <t>snow guard for roof tile and rhomboid roof tile 29 × 29</t>
  </si>
  <si>
    <t>arrêt de neige pour tuile et losange de toiture 29 × 29</t>
  </si>
  <si>
    <t>Nasi fermaneve per Tegola e Scaglia 29</t>
  </si>
  <si>
    <t>Sněhový hák pro falcované tašky a šablony 29x29</t>
  </si>
  <si>
    <t>bariera śniegowa do dachówki klasycznej i romb 29 x 29</t>
  </si>
  <si>
    <t>hóvágó Classic és Rombusz elemhez 29x29</t>
  </si>
  <si>
    <t>zachytávač snehu na falcované škridle a šablóny 29x29</t>
  </si>
  <si>
    <t>sneeuwstopper voor dakplaat en DAKLOSANGE 29 × 29</t>
  </si>
  <si>
    <t>snegolov za strešne plošče in strešne rombe 29x29</t>
  </si>
  <si>
    <t>snöstoppare för takplatta och TAKROMB 29 x 29</t>
  </si>
  <si>
    <t>snestopper til tagplade og RUDEFORMET TAGPLADE 29 × 29</t>
  </si>
  <si>
    <t>snøstopper for takplate og TAKSTEIN 29 × 29</t>
  </si>
  <si>
    <t>Točkasti snjegobran za krovnu ploču i krovni romb 29 × 29</t>
  </si>
  <si>
    <t>Schneestopper für Dachraute 29 × 29</t>
  </si>
  <si>
    <t>snow guard for rhomboid roof tile 29 × 29</t>
  </si>
  <si>
    <t>arrêts de neige pour losange de toiture 29 × 29</t>
  </si>
  <si>
    <t>Naso fermaneve per Scaglia 29</t>
  </si>
  <si>
    <t>Sněhový hák pro falcované šablony 29x29</t>
  </si>
  <si>
    <t>Bariera śniegowa Dachówka romb 29 × 29</t>
  </si>
  <si>
    <t>hóvágó 29x29 tetőfedő rombuszhoz</t>
  </si>
  <si>
    <t>zachytávač snehu na šablónu 29x29</t>
  </si>
  <si>
    <t>sneeuwstopper voor daklosange 29 × 29</t>
  </si>
  <si>
    <t>snegolov za strešni romb 29x29</t>
  </si>
  <si>
    <t>snöstoppare för takromb 29 × 29</t>
  </si>
  <si>
    <t>snestopper til rudeformet tagplade 29 × 29</t>
  </si>
  <si>
    <t>snøstopper for takstein 29 × 29</t>
  </si>
  <si>
    <t>Točkasti snjegobran za krovni romb 29 × 29</t>
  </si>
  <si>
    <t>snow guard for rhomboid roof tile 29 × 29</t>
  </si>
  <si>
    <t>sněhový hák pro FALCOVANOU ŠABLONU 29x29</t>
  </si>
  <si>
    <t>Stoper śniegowy do dachówki romb 29 × 29</t>
  </si>
  <si>
    <t>hófogó 29 × 29-es tetőfedő rombuszhoz</t>
  </si>
  <si>
    <t>zachytávač snehu pre strešnú šablónu 29 × 29</t>
  </si>
  <si>
    <t>Sneeuwstopper voor daklosange 29 × 29</t>
  </si>
  <si>
    <t>Snegolov za strešni romb 29 × 29</t>
  </si>
  <si>
    <t>snöstopp för takdiamant 29 × 29</t>
  </si>
  <si>
    <t>Snestopper til tagrombe 29 × 29</t>
  </si>
  <si>
    <t>Snøstopper til takrombe 29 × 29</t>
  </si>
  <si>
    <t>Schneestopper für Dachraute 44 × 44</t>
  </si>
  <si>
    <t>snow guard for rhomboid roof tile 44 × 44</t>
  </si>
  <si>
    <t>arrêts de neige pour losange de toiture 44 × 44</t>
  </si>
  <si>
    <t>Naso fermaneve per Scaglia 44</t>
  </si>
  <si>
    <t>Sněhový hák  44x44</t>
  </si>
  <si>
    <t>Bariera śniegowa Dachówka romb 44 × 44</t>
  </si>
  <si>
    <t>hóvágó 44x44 tetőfedő rombuszhoz</t>
  </si>
  <si>
    <t>zachytávač snehu na šablónu 44x44</t>
  </si>
  <si>
    <t>sneeuwstopper voor daklosange 44 × 44</t>
  </si>
  <si>
    <t>snegolov za strešni romb 44x44</t>
  </si>
  <si>
    <t>snöstoppare för takromb 44 × 44</t>
  </si>
  <si>
    <t>snestopper til rudeformet tagplade 44 × 44</t>
  </si>
  <si>
    <t>snøstopper for takstein 44 × 44</t>
  </si>
  <si>
    <t>Točkasti snjegobran za krovni romb 44 × 44</t>
  </si>
  <si>
    <t>snow guard for rhomboid roof tile 44 × 44</t>
  </si>
  <si>
    <t>sněhový hák pro Střešní šablonu 44x44</t>
  </si>
  <si>
    <t>Bariera śniegowa do dachówki romb 44 × 44</t>
  </si>
  <si>
    <t>hófogó 44 × 44-es tetőfedő rombuszhoz</t>
  </si>
  <si>
    <t>zachytávač snehu pre strešnú šablónu 44 × 44</t>
  </si>
  <si>
    <t>Sneeuwstopper voor daklosange 44 × 44</t>
  </si>
  <si>
    <t>Snegolov za strešni romb 44 × 44</t>
  </si>
  <si>
    <t>snöstopp för takdiamant 44 × 44</t>
  </si>
  <si>
    <t>Snestopper til tagrombe 44 × 44</t>
  </si>
  <si>
    <t>Snøstopper til takrombe 44 × 44</t>
  </si>
  <si>
    <t>sněhový hák pro STŘEŠNÍ ŠABLONU 44x44</t>
  </si>
  <si>
    <t>Stoper śniegowy do dachówki romb 44 × 44</t>
  </si>
  <si>
    <t>Schneestopper für Dachschindel</t>
  </si>
  <si>
    <t>snow guard for shingle</t>
  </si>
  <si>
    <t>arrêt de neige pour bardeaux</t>
  </si>
  <si>
    <t>Naso fermaneve per Scandola</t>
  </si>
  <si>
    <t>Sněhový hák pro panely R.16 und FX.12</t>
  </si>
  <si>
    <t>Bariera śniegowa Dachówka łupkowa</t>
  </si>
  <si>
    <t>hóvágó tetőfedő zsindelyhez</t>
  </si>
  <si>
    <t>zachytávač snehu na šindeľ</t>
  </si>
  <si>
    <t>sneeuwstopper voor dakschindel</t>
  </si>
  <si>
    <t>snegolov za strešno skodlo</t>
  </si>
  <si>
    <t>snöstoppare för takshingel</t>
  </si>
  <si>
    <t>snestopper til tagspån</t>
  </si>
  <si>
    <t>snøstopper for takshingel</t>
  </si>
  <si>
    <t>Točkasti snjegobran za krovnu šindru</t>
  </si>
  <si>
    <t xml:space="preserve">snow guard for shingle </t>
  </si>
  <si>
    <t>sněhový hák pro FALCOVANÝ ŠINDEL</t>
  </si>
  <si>
    <t>Stoper śniegowy do gontu dachowego</t>
  </si>
  <si>
    <t>hófogó tetőfedő zsindelyhez</t>
  </si>
  <si>
    <t>zachytávač snehu pre strešný šindeľ</t>
  </si>
  <si>
    <t>Sneeuwstopper voor daklei</t>
  </si>
  <si>
    <t>Snegolov za strešno skodlo</t>
  </si>
  <si>
    <t>Snöstopp för takshingel</t>
  </si>
  <si>
    <t>Snestopper til tagspån</t>
  </si>
  <si>
    <t>Snøstopper til takshingel</t>
  </si>
  <si>
    <t>Schneestopper – Verlegeschema</t>
  </si>
  <si>
    <t>Snow guards — installation diagram</t>
  </si>
  <si>
    <t>arrêt de neige — schéma de pose</t>
  </si>
  <si>
    <t>Naso fermaneve - Schema di posa</t>
  </si>
  <si>
    <t>Boční napojení na stěnu s zásuvnou krycí lištou</t>
  </si>
  <si>
    <t>Stoper śniegowy – schemat montażowy</t>
  </si>
  <si>
    <t>hófogó – fektetési séma</t>
  </si>
  <si>
    <t>zachytávač snehu – schéma montáže</t>
  </si>
  <si>
    <t>Sneeuwstopper - installatieschema</t>
  </si>
  <si>
    <t>Snegolov – shema polaganja</t>
  </si>
  <si>
    <t>snöstopp - installationsschema</t>
  </si>
  <si>
    <t>Snestopper – læggediagram</t>
  </si>
  <si>
    <t>Snøstopper – leggeskjema</t>
  </si>
  <si>
    <t>Točkasti snjegobran – shema postavljanja</t>
  </si>
  <si>
    <t>Schnitt – Attika- und Mauerabdeckung</t>
  </si>
  <si>
    <t>cross-section – wall flashing and roof parapet</t>
  </si>
  <si>
    <t>section — couverture d’acrotère</t>
  </si>
  <si>
    <t>Řez – Oplechování atiky a zdi</t>
  </si>
  <si>
    <t>Cięcie – obróbka attyki i murów</t>
  </si>
  <si>
    <t>metszet – attika- és falburkolat</t>
  </si>
  <si>
    <t>rez – oplechovanie atiky a muriva</t>
  </si>
  <si>
    <t>Sectie - Attika- en wandbekleding</t>
  </si>
  <si>
    <t>Rez – pokrov za atiko in zid</t>
  </si>
  <si>
    <t>Sektion – parapet och murbeklädnad</t>
  </si>
  <si>
    <t>Snit – Attika- og murafdækning</t>
  </si>
  <si>
    <t>Tegning – lofts- og veggbekledning</t>
  </si>
  <si>
    <t>Presjek – Obloga parapeta i zidova</t>
  </si>
  <si>
    <t>Schnittlochblende</t>
  </si>
  <si>
    <t>perforated plate (PREFA)</t>
  </si>
  <si>
    <t>cache de départ perforé</t>
  </si>
  <si>
    <t>Canaletta di ventilazione</t>
  </si>
  <si>
    <t>Ukončovací profil perforovaný</t>
  </si>
  <si>
    <t>Płyta maskująca</t>
  </si>
  <si>
    <t>szellőző profil</t>
  </si>
  <si>
    <t>perforovaná krycia lišta</t>
  </si>
  <si>
    <t>Gesneden diafragma</t>
  </si>
  <si>
    <t>Perforirana zaslonka</t>
  </si>
  <si>
    <t>skärhålsmembran</t>
  </si>
  <si>
    <t>Hullrenne</t>
  </si>
  <si>
    <t>Perforirana blenda</t>
  </si>
  <si>
    <t>cache de départ perforé (longueur : 2 500 mm)</t>
  </si>
  <si>
    <t>Schraffierten Bereich bei Montage abdichten.</t>
  </si>
  <si>
    <t>seal off shaded area during installation</t>
  </si>
  <si>
    <t>Lors de la pose, réaliser un joint étanche au niveau de la partie en grisé.</t>
  </si>
  <si>
    <t>Sigillare l'area tratteggiata durante l'installazione.</t>
  </si>
  <si>
    <t xml:space="preserve">Boční napojení PREFALZ na stěnu </t>
  </si>
  <si>
    <t>Podczas montażu uszczelnić zakreskowany obszar.</t>
  </si>
  <si>
    <t>csíkozott terület szigetelése szerelés során.</t>
  </si>
  <si>
    <t>Šrafovanú oblasť pri montáži utesniť.</t>
  </si>
  <si>
    <t>Dicht het gearceerde gebied af tijdens de montage.</t>
  </si>
  <si>
    <t>Med montažo zatesnite senčeno območje.</t>
  </si>
  <si>
    <t>Försegla det streckade området under monteringen.</t>
  </si>
  <si>
    <t>Det skraverede område skal tætnes under montering.</t>
  </si>
  <si>
    <t>Skravert område skal tettes ved montering.</t>
  </si>
  <si>
    <t>Zabrtvite šrafirano područje tijekom montaže.</t>
  </si>
  <si>
    <t>Schrägmaß*</t>
  </si>
  <si>
    <t>Diagonal dimensions*</t>
  </si>
  <si>
    <t>longueur de la diagonale*</t>
  </si>
  <si>
    <t>Dimensione dello smusso*</t>
  </si>
  <si>
    <t>Zkosení*</t>
  </si>
  <si>
    <t>Wymiar fazowania*</t>
  </si>
  <si>
    <t>ferde méret*</t>
  </si>
  <si>
    <t>šikmý rozmer*</t>
  </si>
  <si>
    <t>Afmeting afschuining*</t>
  </si>
  <si>
    <t>Poševna mera*</t>
  </si>
  <si>
    <t>lutningsmått*</t>
  </si>
  <si>
    <t>Smigvinkel*</t>
  </si>
  <si>
    <t>Vinkelmåler*</t>
  </si>
  <si>
    <t>Kutomjer*</t>
  </si>
  <si>
    <t>Schrägmaß* [mm]</t>
  </si>
  <si>
    <t>Diagonal dimensions* [mm]</t>
  </si>
  <si>
    <t>longueur de la diagonale* [mm]</t>
  </si>
  <si>
    <t>Dimensione dello smusso* [mm]</t>
  </si>
  <si>
    <t>Zkosení* [mm]</t>
  </si>
  <si>
    <t>Wymiar fazowania* [mm]</t>
  </si>
  <si>
    <t>ferde méret* [mm]</t>
  </si>
  <si>
    <t>šikmý rozmer* [mm]</t>
  </si>
  <si>
    <t>Afmeting afschuining* [mm]</t>
  </si>
  <si>
    <t>Poševna mera* [mm]</t>
  </si>
  <si>
    <t>Smigvinkel* [mm]</t>
  </si>
  <si>
    <t>Vinkelmåler* [mm]</t>
  </si>
  <si>
    <t>Kutomjer* [mm]</t>
  </si>
  <si>
    <t>Schrägstutzen</t>
  </si>
  <si>
    <t>diagonal outlet</t>
  </si>
  <si>
    <t>naissance inclinée</t>
  </si>
  <si>
    <t>Bocchetta di scarico con innesto inclinato</t>
  </si>
  <si>
    <t>Šikmé vyústění žlabu</t>
  </si>
  <si>
    <t>Wylot rynny boczny</t>
  </si>
  <si>
    <t xml:space="preserve">ferde betorkoló </t>
  </si>
  <si>
    <t>šikmé hrdlo</t>
  </si>
  <si>
    <t>schuine steunen</t>
  </si>
  <si>
    <t>stranski izpust</t>
  </si>
  <si>
    <t>vinkelbar omvikningskupa</t>
  </si>
  <si>
    <t>skråstuds</t>
  </si>
  <si>
    <t>skråstuss</t>
  </si>
  <si>
    <t>Kosi odvod</t>
  </si>
  <si>
    <t>seitlicher Wandanschluss</t>
  </si>
  <si>
    <t>lateral wall connection</t>
  </si>
  <si>
    <t>raccordement de couloir latéral</t>
  </si>
  <si>
    <t>Raccordo a parete laterale</t>
  </si>
  <si>
    <t>škody na materiálu střešní krytiny (např. po kroupách, vichřici, tlaku sněhu)</t>
  </si>
  <si>
    <t>połączenie ściany bocznej</t>
  </si>
  <si>
    <t>oldalsó falcsatlakozás</t>
  </si>
  <si>
    <t>bočné napojenie na stenu</t>
  </si>
  <si>
    <t>zijdelingse wandaansluiting</t>
  </si>
  <si>
    <t>stranski stenski priključek</t>
  </si>
  <si>
    <t>sidoväggsanslutning</t>
  </si>
  <si>
    <t>vægtilslutning i siden</t>
  </si>
  <si>
    <t>Sideveis veggavslutning</t>
  </si>
  <si>
    <t>bočni zidni spoj</t>
  </si>
  <si>
    <t>seitlicher Wandanschluss mit Blechanschlussprofil</t>
  </si>
  <si>
    <t>lateral wall connection with metal sheet connection profile</t>
  </si>
  <si>
    <t>raccordement de couloir latéral avec bande de solin métallique</t>
  </si>
  <si>
    <t>Raccordo a parete laterale con profilo di raccordo in lamiera</t>
  </si>
  <si>
    <t>połączenie ściany bocznej z blaszanym profilem łączącym</t>
  </si>
  <si>
    <t>oldalsó falcsatlakozás lemezcsatlakozó profil</t>
  </si>
  <si>
    <t>bočné napojenie na stenu pomocou plechového pripojovacieho profilu</t>
  </si>
  <si>
    <t>Zijdelingse wandaansluiting met plaataansluitprofiel</t>
  </si>
  <si>
    <t>stranski stenski priključek s pločevinastim priključnim profilom</t>
  </si>
  <si>
    <t>sidoväggsanslutning med anslutningsprofil i plåt</t>
  </si>
  <si>
    <t>vægtilslutning i siden med tilslutningsprofil for metalplade</t>
  </si>
  <si>
    <t>Sideveis veggavslutning med koblingsprofil i metall</t>
  </si>
  <si>
    <t>bočni zidni spoj s priključnim profilom od lima</t>
  </si>
  <si>
    <t>seitlicher Wandanschluss mit Kittputzleiste</t>
  </si>
  <si>
    <t>lateral wall connection with plaster sealing strip</t>
  </si>
  <si>
    <t>raccordement de couloir latéral avec bande de solin fixée par joint mastic et enduit de parement</t>
  </si>
  <si>
    <t>Raccordo a parete laterale con coprifuga</t>
  </si>
  <si>
    <t>połączenie ściany bocznej listwą mocowaną na kit lub tynk</t>
  </si>
  <si>
    <t>oldalsó falcsatlakozás vakolattömítő szalaggal</t>
  </si>
  <si>
    <t>bočné napojenie na stenu pomocou tmelovej omietkovej lišty</t>
  </si>
  <si>
    <t>Zijdelingse wandaansluiting met plamuurstrip</t>
  </si>
  <si>
    <t>stranski stenski priključek z zaključno letvico</t>
  </si>
  <si>
    <t>sidoväggsanslutning med kittputslist</t>
  </si>
  <si>
    <t>vægtilslutning i siden med pudseliste</t>
  </si>
  <si>
    <t>Sideveis veggavslutning med kittgipslist</t>
  </si>
  <si>
    <t>bočni zidni spoj s gipsanom brtvenom lajsnom</t>
  </si>
  <si>
    <t>seitlicher Wandanschluss mit Steckputzleiste</t>
  </si>
  <si>
    <t>lateral wall connection with insertable sealing strip</t>
  </si>
  <si>
    <t>raccordement de couloir latéral avec profil de jonction fixé par enduit de parement</t>
  </si>
  <si>
    <t>Raccordo a parete laterale con striscia di stucco</t>
  </si>
  <si>
    <t>połączenie ściany bocznej listwą mocowaną na tynku</t>
  </si>
  <si>
    <t>oldalsó falcsatlakozás betétléccel</t>
  </si>
  <si>
    <t>bočné napojenie na stenu pomocou zásuvnej omietkovej lišty</t>
  </si>
  <si>
    <t>Zijdelingse wandaansluiting met plug-in pleisterlijst</t>
  </si>
  <si>
    <t>stranski stenski priključek z vtično letvico</t>
  </si>
  <si>
    <t>sidoväggsanslutning med insticksgipslist</t>
  </si>
  <si>
    <t>vægtilslutning i siden med indsætningspudseliste</t>
  </si>
  <si>
    <t>Sideveis veggavslutning med gipslist til innstikk</t>
  </si>
  <si>
    <t>bočni zidni spoj s utičnom brtvenom lajsnom</t>
  </si>
  <si>
    <t>seitlicher Wandanschluss bei PREFALZ</t>
  </si>
  <si>
    <t>Prefalz lateral wall connection with Prefalz</t>
  </si>
  <si>
    <t>raccordement de couloir latéral pour couvertures PREFALZ</t>
  </si>
  <si>
    <t>Raccordo a parete laterale con PREFALZ</t>
  </si>
  <si>
    <t>šrafovanou oblast při montáži těsnit</t>
  </si>
  <si>
    <t>połączenie ze ścianą boczną PREFALZ</t>
  </si>
  <si>
    <t>oldalsó falcsatlakozás PREFALZ esetén</t>
  </si>
  <si>
    <t>bočné napojenie na stenu pri PREFALZ-i</t>
  </si>
  <si>
    <t>zijdelingse wandaansluiting bij PREFALZ</t>
  </si>
  <si>
    <t>stranski stenski priključek pri PREFALZ</t>
  </si>
  <si>
    <t>sidoväggsanslutning med PREFALZ</t>
  </si>
  <si>
    <t>vægtilslutning i siden med PREFALZ</t>
  </si>
  <si>
    <t>Sideveis veggavslutning med PREFALZ</t>
  </si>
  <si>
    <t>bočni zidni spoj kod PREFALZ-a</t>
  </si>
  <si>
    <t>Service:</t>
  </si>
  <si>
    <t>Service :</t>
  </si>
  <si>
    <t>Servizio richiesto:</t>
  </si>
  <si>
    <t>Serwis:</t>
  </si>
  <si>
    <t>szolgáltatás:</t>
  </si>
  <si>
    <t>Servis:</t>
  </si>
  <si>
    <t>servis</t>
  </si>
  <si>
    <t>Usluga:</t>
  </si>
  <si>
    <t>Set</t>
  </si>
  <si>
    <t>kit</t>
  </si>
  <si>
    <t>Kit</t>
  </si>
  <si>
    <t>Sada</t>
  </si>
  <si>
    <t>set</t>
  </si>
  <si>
    <t>sats</t>
  </si>
  <si>
    <t>Sæt</t>
  </si>
  <si>
    <t>Sett</t>
  </si>
  <si>
    <t>Sicherheitsdachhaken</t>
  </si>
  <si>
    <t>roof anchor hook</t>
  </si>
  <si>
    <t>crochet de sécurité</t>
  </si>
  <si>
    <t>Staffa di sicurezza anticaduta</t>
  </si>
  <si>
    <t>bezpečnostní hák</t>
  </si>
  <si>
    <t>Zabezpieczające haki dachowe</t>
  </si>
  <si>
    <t>tetőbiztonsági kampó</t>
  </si>
  <si>
    <t>bezpečnostný strešný hák</t>
  </si>
  <si>
    <t>Veiligheidsdakhaak</t>
  </si>
  <si>
    <t>Varnostni strešni kavelj</t>
  </si>
  <si>
    <t>säkerhetstakkrok</t>
  </si>
  <si>
    <t>Sikkerhedstagkrog</t>
  </si>
  <si>
    <t>Sikkerhetstakkroker</t>
  </si>
  <si>
    <t>Sigurnosna krovna kuka</t>
  </si>
  <si>
    <t>Sicherheitskehle (stucco; Länge: 3.000 mm)</t>
  </si>
  <si>
    <t>safety valley, stucco (length: 3,000 mm)</t>
  </si>
  <si>
    <t>noue de sécurité (stucco ; longueur : 3 000 mm)</t>
  </si>
  <si>
    <t>Compluvio con ripiega di sicurezza, goffrato (l= 3.000 mm)</t>
  </si>
  <si>
    <t>Bezpečnostní úžlabí stucco (3.000 mm délka)_CZ</t>
  </si>
  <si>
    <t>rynna koszowa stucco (Długość: 3,000 mm)</t>
  </si>
  <si>
    <t>biztonsági vápa stukkó (3.000 mm hossz)</t>
  </si>
  <si>
    <t>bezpečnostné úžľabie stucco (dĺžka 3.000 mm)</t>
  </si>
  <si>
    <t>veiligheidskiel stucco (lengte 3000 mm)</t>
  </si>
  <si>
    <t>varnostna žlota, stucco (3.000 mm dolžine)</t>
  </si>
  <si>
    <t>säkerhetskäl stuckatur (3.000 mm lång)</t>
  </si>
  <si>
    <t>sikkerhedskel stucco (3.000 mm lang)</t>
  </si>
  <si>
    <t>vinkelrenne stucco (3000 mm lang)</t>
  </si>
  <si>
    <t>Sigurnosna uvala (stucco; duljina: 3.000 mm)</t>
  </si>
  <si>
    <t>Sicherheitsrinne geflämmt (oder EDPM-Folie)</t>
  </si>
  <si>
    <t>flame-scarfed overflow gutter (or with EPDM coating)</t>
  </si>
  <si>
    <t>gouttière de sécurité soudée (ou film EPDM)</t>
  </si>
  <si>
    <t>Canale di sicurezza fiammato (o lamina EDPM)</t>
  </si>
  <si>
    <t>Pojistný žlab lepený plamenem ( nebo EPDM fólie)</t>
  </si>
  <si>
    <t>Rynna zabezpieczająca, zgrzewana (lub folia EDPM)</t>
  </si>
  <si>
    <t>biztonsági eresz, hegesztett (vagy EDPM-fólia)</t>
  </si>
  <si>
    <t>poistný žľab zváraný (alebo EPDM fólia)</t>
  </si>
  <si>
    <t>Veiligheidsgoot gevlamd (of EDPM-folie)</t>
  </si>
  <si>
    <t>Varnostni žleb plamensko čiščen (ali folija EDPM)</t>
  </si>
  <si>
    <t>flammad säkerhetskanal (eller EDPM-folie)</t>
  </si>
  <si>
    <t>Sikkerhedsrende skærebrænder (eller EDPM-folie)</t>
  </si>
  <si>
    <t>Sikkerhetsrenne, flammet (eller EDPM-folie)</t>
  </si>
  <si>
    <t>Sigurnosni žlijeb, obrađen vatrom (ili EDPM folija)</t>
  </si>
  <si>
    <t>Sicherungsmutter (M10)</t>
  </si>
  <si>
    <t>lock nut M10</t>
  </si>
  <si>
    <t>contre-écrou M10 (écrou de blocage)</t>
  </si>
  <si>
    <t>Dado di bloccaggio (M10)</t>
  </si>
  <si>
    <t>samojistná matka M10</t>
  </si>
  <si>
    <t>Nakrętka zabezpieczająca (M10)</t>
  </si>
  <si>
    <t>rögzítőanya (M10)</t>
  </si>
  <si>
    <t>poistná matica (M10)</t>
  </si>
  <si>
    <t>Veiligheidsmoer (M10)</t>
  </si>
  <si>
    <t>Varnostna matica (M10)</t>
  </si>
  <si>
    <t>låsmutter (M10)</t>
  </si>
  <si>
    <t>Sikringsmøtrik (M10)</t>
  </si>
  <si>
    <t>Sikringsmutter (M10)</t>
  </si>
  <si>
    <t>Sigurnosna matica (M10)</t>
  </si>
  <si>
    <t>Sichtschalung</t>
  </si>
  <si>
    <t xml:space="preserve">visible sheathing </t>
  </si>
  <si>
    <t>finition visible type lambris</t>
  </si>
  <si>
    <t>Tavolato a vista</t>
  </si>
  <si>
    <t>pohledové bednění</t>
  </si>
  <si>
    <t>Odsłonięte deskowanie</t>
  </si>
  <si>
    <t>látható zsaluzat</t>
  </si>
  <si>
    <t>pohľadové debnenie</t>
  </si>
  <si>
    <t>Zichtbare bekisting</t>
  </si>
  <si>
    <t>Vidni opaž</t>
  </si>
  <si>
    <t>exponerad formning</t>
  </si>
  <si>
    <t>Forskalling</t>
  </si>
  <si>
    <t>Eksponert forskaling</t>
  </si>
  <si>
    <t>Vidljiva oplata</t>
  </si>
  <si>
    <t>SIDING</t>
  </si>
  <si>
    <t>SIDINGS</t>
  </si>
  <si>
    <t>Fasadpanel</t>
  </si>
  <si>
    <t>KLEDNING</t>
  </si>
  <si>
    <t xml:space="preserve">SIDING </t>
  </si>
  <si>
    <t>Siding (horizontal)</t>
  </si>
  <si>
    <t>siding (horizontal) – PREFA</t>
  </si>
  <si>
    <t>Doga (orizzontale)</t>
  </si>
  <si>
    <t>Siding (horizontální)</t>
  </si>
  <si>
    <t>Siding (poziomy)</t>
  </si>
  <si>
    <t>Siding (vízszintes)</t>
  </si>
  <si>
    <t>Siding (horizontálny)</t>
  </si>
  <si>
    <t>Siding (horizontaal)</t>
  </si>
  <si>
    <t>Siding (vodoraven)</t>
  </si>
  <si>
    <t>siding (horisontell)</t>
  </si>
  <si>
    <t>Siding (horisontal)</t>
  </si>
  <si>
    <t>Fasadna kazeta (vodoravna)</t>
  </si>
  <si>
    <t>Siding (horizontal; auf Aluminium-Unterkonstruktion)</t>
  </si>
  <si>
    <t>siding (horizontal; on aluminium substructure) – PREFA</t>
  </si>
  <si>
    <t>Siding (horizontal ; sur sous-construction en aluminium)</t>
  </si>
  <si>
    <t>Doga (orizzontale; su sottostruttura in alluminio)</t>
  </si>
  <si>
    <t>Siding (horizontální; na hliníkové spodní konstrukci)</t>
  </si>
  <si>
    <t>Siding (poziomy; na aluminiowej konstrukcji nośnej)</t>
  </si>
  <si>
    <t>Siding (vízszintes, alumínium alátétszerkezeten)</t>
  </si>
  <si>
    <t>Siding (horizontálny; na hliníkovom nosnom rošte)</t>
  </si>
  <si>
    <t>Siding (horizontaal; op aluminium onderconstructie)</t>
  </si>
  <si>
    <t>Siding (vodoraven; na aluminijasti podkonstrukciji)</t>
  </si>
  <si>
    <t>siding (horisontell); på en aluminiumunderkonstruktion</t>
  </si>
  <si>
    <t>Siding (horisontal; af aluminium-underkonstruktion)</t>
  </si>
  <si>
    <t>Siding (horisontal, på underkonstruksjon i aluminium)</t>
  </si>
  <si>
    <t>Fasadna kazeta (vodoravna; na aluminijskoj potkonstrukciji)</t>
  </si>
  <si>
    <t>Siding – Produktübersicht</t>
  </si>
  <si>
    <t>Siding — Product overview</t>
  </si>
  <si>
    <t>Siding — Aperçu du produit</t>
  </si>
  <si>
    <t>Doga - Panoramica dei prodotti</t>
  </si>
  <si>
    <t>Siding – Přehled produktů</t>
  </si>
  <si>
    <t>Siding – przegląd produktów</t>
  </si>
  <si>
    <t>Siding – termékek áttekintése</t>
  </si>
  <si>
    <t>Siding – prehľad produktov</t>
  </si>
  <si>
    <t>Siding - productoverzicht</t>
  </si>
  <si>
    <t>Siding – Pregled izdelkov</t>
  </si>
  <si>
    <t>siding – produktöversikt</t>
  </si>
  <si>
    <t>Siding – produktoversigt</t>
  </si>
  <si>
    <t>Siding – produktoversikt</t>
  </si>
  <si>
    <t>Fasadna kazeta – Pregled proizvoda</t>
  </si>
  <si>
    <t>Siding (vertikal)</t>
  </si>
  <si>
    <t>siding (vertical) – PREFA</t>
  </si>
  <si>
    <t>Siding (vertical)</t>
  </si>
  <si>
    <t>Doga (verticale)</t>
  </si>
  <si>
    <t>Siding (vertikální)</t>
  </si>
  <si>
    <t>Siding (pionowy)</t>
  </si>
  <si>
    <t>Siding (függőleges)</t>
  </si>
  <si>
    <t>Siding (vertikálny)</t>
  </si>
  <si>
    <t>Siding (verticaal)</t>
  </si>
  <si>
    <t>Siding (navpičen)</t>
  </si>
  <si>
    <t>siding (vertikal)</t>
  </si>
  <si>
    <t>Fasadna kazeta (okomita)</t>
  </si>
  <si>
    <t>Siding (vertikal; auf Aluminium-Unterkonstruktion)</t>
  </si>
  <si>
    <t>siding (vertical; on aluminium substructure) – PREFA</t>
  </si>
  <si>
    <t>Siding (vertical ; sur sous-construction en aluminium)</t>
  </si>
  <si>
    <t>Doga (verticale; su sottostruttura in alluminio)</t>
  </si>
  <si>
    <t>Siding (vertikální; na hliníkové spodní konstrukci)</t>
  </si>
  <si>
    <t>Siding (pionowy; na aluminiowej konstrukcji nośnej)</t>
  </si>
  <si>
    <t>Siding (függőleges, alumínium alátétszerkezeten)</t>
  </si>
  <si>
    <t>Siding (vertikálny; na hliníkovom nosnom rošte)</t>
  </si>
  <si>
    <t>Siding (verticaal; op aluminium onderconstructie)</t>
  </si>
  <si>
    <t>Siding (navpičen; na aluminijasti podkonstrukciji)</t>
  </si>
  <si>
    <t>siding (vertikal; på aluminiumunderkonstruktion)</t>
  </si>
  <si>
    <t>Siding (vertikal; af aluminium-underkonstruktion)</t>
  </si>
  <si>
    <t>Siding (vertikal, på underkonstruksjon i aluminium)</t>
  </si>
  <si>
    <t>Fasadna kazeta (okomita; na aluminijskoj potkonstrukciji)</t>
  </si>
  <si>
    <t>SIDING – ZUBEHÖR</t>
  </si>
  <si>
    <t>SIDING ACCESSORIES</t>
  </si>
  <si>
    <t>ACCESSOIRES POUR SIDINGS</t>
  </si>
  <si>
    <t>SIDING doplňky</t>
  </si>
  <si>
    <t>Akcesoria SIDING</t>
  </si>
  <si>
    <t>SIDING KIEGÉSZÍTŐK</t>
  </si>
  <si>
    <t>SIDINGS doplnky</t>
  </si>
  <si>
    <t>SIDING TOEBEHOREN</t>
  </si>
  <si>
    <t>SIDING – DODATKI</t>
  </si>
  <si>
    <t>Fasadpanel - tillbehör</t>
  </si>
  <si>
    <t>SIDING TILBEHØR</t>
  </si>
  <si>
    <t>KLEDNINGSTILBEHØR</t>
  </si>
  <si>
    <t>SIDING PRIBOR</t>
  </si>
  <si>
    <t>Siding.X</t>
  </si>
  <si>
    <t>Doga.X</t>
  </si>
  <si>
    <t>Siding X</t>
  </si>
  <si>
    <t>Fasadpanel.X</t>
  </si>
  <si>
    <t>Kledning.X</t>
  </si>
  <si>
    <t>Spezialsilikon</t>
  </si>
  <si>
    <t>silicone cartridge</t>
  </si>
  <si>
    <t>silicone spécial</t>
  </si>
  <si>
    <t>Cartuccia silicone</t>
  </si>
  <si>
    <t>Silikon kartuše</t>
  </si>
  <si>
    <t>kartusz silikonu</t>
  </si>
  <si>
    <t>szilikon tubus</t>
  </si>
  <si>
    <t>silikón, kartuša</t>
  </si>
  <si>
    <t>siliconen cartouche</t>
  </si>
  <si>
    <t>silikonska kartuša</t>
  </si>
  <si>
    <t>silikonpatron</t>
  </si>
  <si>
    <t>silikonepatron</t>
  </si>
  <si>
    <t>silikontube</t>
  </si>
  <si>
    <t>Posebni silikon</t>
  </si>
  <si>
    <t>Sockelknie (Ausladung: 60 mm)</t>
  </si>
  <si>
    <t>swan neck, 60 mm projection</t>
  </si>
  <si>
    <t>coude étage (projection : 60 mm)</t>
  </si>
  <si>
    <t>Spostamento, disassamento 60mm</t>
  </si>
  <si>
    <t>Soklové koleno, přesah 60mm</t>
  </si>
  <si>
    <t>Kolano podwójne 60 mm</t>
  </si>
  <si>
    <t>lábazati elem 60mm előállással</t>
  </si>
  <si>
    <t>soklové koleno, vybočenie 60 mm</t>
  </si>
  <si>
    <t>sokkelknie 60 mm reikwijdte</t>
  </si>
  <si>
    <t>izogibno koleno 60 mm grlo</t>
  </si>
  <si>
    <t>sockelknä 60 mm utladdning</t>
  </si>
  <si>
    <t>sokkelknæ 60 mm udhæng</t>
  </si>
  <si>
    <t>sokkelkne 60 mm radius</t>
  </si>
  <si>
    <t>Cijev s koljenom (izbočina: 60 mm)</t>
  </si>
  <si>
    <t>SOCKELKNIE (quadratisch)</t>
  </si>
  <si>
    <t>SWAN NECK square downpipe</t>
  </si>
  <si>
    <t>COUDE ÉTAGE (carré)</t>
  </si>
  <si>
    <t>SOKLOVÉ KOLENO (hranaté)</t>
  </si>
  <si>
    <t>LÁBAZATI ELEM (négyszögletes)</t>
  </si>
  <si>
    <t>SOKLOVÉ KOLENO (štvorcové)</t>
  </si>
  <si>
    <t>KNIESCHOT (vierkant)</t>
  </si>
  <si>
    <t>KOLENO ZA PODZIDEK (kvadratno)</t>
  </si>
  <si>
    <t>SOCKELKNÄ (fyrkantigt)</t>
  </si>
  <si>
    <t>SOKKELKNÆ (kvadratisk)</t>
  </si>
  <si>
    <t>SOKKELKNE (firkantet)</t>
  </si>
  <si>
    <t>CIJEV S KOLJENOM (kvadratna)</t>
  </si>
  <si>
    <t>SOCKELKNIE (rund)</t>
  </si>
  <si>
    <t>SWAN NECK round downpipe</t>
  </si>
  <si>
    <t>COUDE ÉTAGE (rond)</t>
  </si>
  <si>
    <t>SOKLOVÉ KOLENO (kulaté)</t>
  </si>
  <si>
    <t>Kolano podwójne (przekrój kwadratowy)</t>
  </si>
  <si>
    <t>LÁBAZATI ELEM (kerek)</t>
  </si>
  <si>
    <t>SOKLOVÉ KOLENO (okrúhly)</t>
  </si>
  <si>
    <t>KNIESCHOT (rond)</t>
  </si>
  <si>
    <t>KOLENO ZA PODZIDEK (okroglo)</t>
  </si>
  <si>
    <t>SOCKELKNÄ (runt)</t>
  </si>
  <si>
    <t>SOKKELKNÆ (rund)</t>
  </si>
  <si>
    <t>SOKKELKNE (rund)</t>
  </si>
  <si>
    <t>CIJEV S KOLJENOM (okrugla)</t>
  </si>
  <si>
    <t>profil de soubassement (longueur : 2 500 mm)</t>
  </si>
  <si>
    <t>Solarhalter Vario (oder Fix)</t>
  </si>
  <si>
    <t>Vario (or Fix) solar bracket</t>
  </si>
  <si>
    <t>support solaire Vario (ou Fix)</t>
  </si>
  <si>
    <t>Staffa per pannelli solari Vario (o Fix)</t>
  </si>
  <si>
    <t>Solární držák Vario (nebo Fix)</t>
  </si>
  <si>
    <t>Uchwyt paneli fotowoltaicznych Vario (lub Fix)</t>
  </si>
  <si>
    <t>Vario (vagy Fix) napelemtartó</t>
  </si>
  <si>
    <t>solárny držiak Vario (alebo Fix)</t>
  </si>
  <si>
    <t>Solarhouder Vario (of Fix)</t>
  </si>
  <si>
    <t>Držalo za solarni panel Vario (ali Fix)</t>
  </si>
  <si>
    <t>solhållare Vario (eller Fix)</t>
  </si>
  <si>
    <t>Solcelleholder Vario (eller Fix)</t>
  </si>
  <si>
    <t>Holder for solcellepanel, variabel (eller fast)</t>
  </si>
  <si>
    <t>Solar držač Vario (ili Fix)</t>
  </si>
  <si>
    <t>Solarluke</t>
  </si>
  <si>
    <t>roof conduit without protective sleeve
with protective sleeve: max. diameter 35 mm/10 mm</t>
  </si>
  <si>
    <t>chatière pour panneaux solaires</t>
  </si>
  <si>
    <t>Bocchetta Solar</t>
  </si>
  <si>
    <t>Solar haubna bez ochranných průchodek, průchodky max Ø 35mm/10mm</t>
  </si>
  <si>
    <t>Solar kábelátvezető elem</t>
  </si>
  <si>
    <t>prestupový prvok solárnych vedení</t>
  </si>
  <si>
    <t>Solarluik</t>
  </si>
  <si>
    <t>Solarna lina</t>
  </si>
  <si>
    <t>sollucka</t>
  </si>
  <si>
    <t>Solcelleluke</t>
  </si>
  <si>
    <t>Solar uvodnica</t>
  </si>
  <si>
    <t>Sonderfarbe</t>
  </si>
  <si>
    <t>Bespoke color</t>
  </si>
  <si>
    <t>couleur spéciale</t>
  </si>
  <si>
    <t>Colore speciale</t>
  </si>
  <si>
    <t>Speciální barva</t>
  </si>
  <si>
    <t>Kolor specjalny</t>
  </si>
  <si>
    <t>egyedi szín</t>
  </si>
  <si>
    <t>špeciálna farba</t>
  </si>
  <si>
    <t>Speciale kleur</t>
  </si>
  <si>
    <t>Posebna barva</t>
  </si>
  <si>
    <t>specialfärg</t>
  </si>
  <si>
    <t>Specialfarve</t>
  </si>
  <si>
    <t>Spesialfarge</t>
  </si>
  <si>
    <t>Posebna boja</t>
  </si>
  <si>
    <t>SONDERRINNENWINKEL – 2D</t>
  </si>
  <si>
    <t>CUSTOM MADE GUTTER CORNER – 2D</t>
  </si>
  <si>
    <t>ÉQUERRE DE GOUTTIÈRE RÉALISÉE SUR COMMANDE (2D)</t>
  </si>
  <si>
    <t>SPECIÁLNÍ ROH ŽLABU – 2D</t>
  </si>
  <si>
    <t>SPECJALNY NAROŻNIK RYNNY – 2D</t>
  </si>
  <si>
    <t>SPECIÁLIS ERESZIDOM - 2D</t>
  </si>
  <si>
    <t>ŠPECIÁLNY ROH POLKRUHOVÉHO ŽĽABU – 2D</t>
  </si>
  <si>
    <t>SPECIALE BINNENHOEK - 2D</t>
  </si>
  <si>
    <t>POSEBNI VOGALNIK ŽLEBA – 2D</t>
  </si>
  <si>
    <t>SPECIAL RÄNNVINKEL – 2D</t>
  </si>
  <si>
    <t>SPECIALRENDEVINKEL – 2D</t>
  </si>
  <si>
    <t>SPESIALRENNEVINKEL – 2D</t>
  </si>
  <si>
    <t>POSEBAN KUT ŽLIJEBA – 2D</t>
  </si>
  <si>
    <t>SONDERWASSERFANGKASTEN</t>
  </si>
  <si>
    <t>CUSTOM MADE LEADER HEAD</t>
  </si>
  <si>
    <t>BOÎTE À EAU RÉALISÉE SUR COMMANDE</t>
  </si>
  <si>
    <t>SPECIÁLNÍ SBĚRNÝ KOTLÍK</t>
  </si>
  <si>
    <t>SPECJALNY KOSZ ZLEWISKOWY</t>
  </si>
  <si>
    <t>SPECIÁLIS VÍZGYŰJTŐ ÜST</t>
  </si>
  <si>
    <t>ŠPECIÁLNY ZBERNÝ KOTLÍK</t>
  </si>
  <si>
    <t>SPECIALE WATEROPVANGBAK</t>
  </si>
  <si>
    <t>POSEBNI ZBIRALNIK VODE</t>
  </si>
  <si>
    <t>SPECIAL VATTENUPPSAMLINGSLÅDA</t>
  </si>
  <si>
    <t>SPECIALVANDOPSAMLINGSKASSE</t>
  </si>
  <si>
    <t>SPESIELL VANNDRENERING</t>
  </si>
  <si>
    <t>POSEBNA KUTIJA ZA PRIHVAT VODE</t>
  </si>
  <si>
    <t>Sparren</t>
  </si>
  <si>
    <t>rafter</t>
  </si>
  <si>
    <t>chevron</t>
  </si>
  <si>
    <t>Krokwie</t>
  </si>
  <si>
    <t>szarufa</t>
  </si>
  <si>
    <t>Spanten</t>
  </si>
  <si>
    <t>Špirovci</t>
  </si>
  <si>
    <t>Spær</t>
  </si>
  <si>
    <t>Sperrer</t>
  </si>
  <si>
    <t>Roženice</t>
  </si>
  <si>
    <t>Sparrenabdeckung</t>
  </si>
  <si>
    <t>rafter cover</t>
  </si>
  <si>
    <t>tôle de protection pour chevron</t>
  </si>
  <si>
    <t>zakrytí krokve</t>
  </si>
  <si>
    <t>Pokrycie krokwi</t>
  </si>
  <si>
    <t>szarufaburkolat</t>
  </si>
  <si>
    <t>krycí profil krokvy</t>
  </si>
  <si>
    <t>Spantafdekking</t>
  </si>
  <si>
    <t>Prevleka za špirovce</t>
  </si>
  <si>
    <t>takstolsbeklädnad</t>
  </si>
  <si>
    <t>Spærafdækning</t>
  </si>
  <si>
    <t>Sperrekledning</t>
  </si>
  <si>
    <t>Pokrov roženica</t>
  </si>
  <si>
    <t>Speiereinmündung</t>
  </si>
  <si>
    <t>parapet outlet downpipe connector</t>
  </si>
  <si>
    <t>embranchement d’évacuation rond pour toits plats</t>
  </si>
  <si>
    <t>Bocchettone da incasso troncoconico</t>
  </si>
  <si>
    <t>Fasádní kotlík se zaústěním</t>
  </si>
  <si>
    <t>Wylot zlewiskowy</t>
  </si>
  <si>
    <t>attikafal vízgyűjtő üst</t>
  </si>
  <si>
    <t>fasádny kotlík so zaústením pre strešný chrlič</t>
  </si>
  <si>
    <t>spuwinmonding</t>
  </si>
  <si>
    <t xml:space="preserve">Nastavek za izliv </t>
  </si>
  <si>
    <t>vägganslutning</t>
  </si>
  <si>
    <t>tagrendetilslutning</t>
  </si>
  <si>
    <t>nedløpsåpning</t>
  </si>
  <si>
    <t>Bočni uljev</t>
  </si>
  <si>
    <t>Spezialkleber</t>
  </si>
  <si>
    <t>special adhesive</t>
  </si>
  <si>
    <t>colle spéciale</t>
  </si>
  <si>
    <t>Adesivo speciale</t>
  </si>
  <si>
    <t>speciální lepidlo</t>
  </si>
  <si>
    <t>Klej specjalny</t>
  </si>
  <si>
    <t>speciális ragasztó</t>
  </si>
  <si>
    <t>špeciálne lepidlo</t>
  </si>
  <si>
    <t>Speciale lijm</t>
  </si>
  <si>
    <t>Posebno lepilo</t>
  </si>
  <si>
    <t>speciallim</t>
  </si>
  <si>
    <t>Speciallim</t>
  </si>
  <si>
    <t>Spesiallim</t>
  </si>
  <si>
    <t>Posebno ljepilo</t>
  </si>
  <si>
    <t>Spezialkleberset</t>
  </si>
  <si>
    <t>special adhesive kit</t>
  </si>
  <si>
    <t>kit d’assemblage</t>
  </si>
  <si>
    <t>Set di colla speciale</t>
  </si>
  <si>
    <t>Speziální lepící sada</t>
  </si>
  <si>
    <t>specjalny zestaw klejący</t>
  </si>
  <si>
    <t>speciális ragasztó készlet</t>
  </si>
  <si>
    <t>špeciálna lepiaca súprava</t>
  </si>
  <si>
    <t>speciale lijmset</t>
  </si>
  <si>
    <t>specialni lepilni set</t>
  </si>
  <si>
    <t>speciallimsats</t>
  </si>
  <si>
    <t>specialklæbersæt</t>
  </si>
  <si>
    <t>spesiallimsett</t>
  </si>
  <si>
    <t>Set posebnog ljepila</t>
  </si>
  <si>
    <t>Sprache</t>
  </si>
  <si>
    <t>Language</t>
  </si>
  <si>
    <t>langue</t>
  </si>
  <si>
    <t>Lingua</t>
  </si>
  <si>
    <t>jazyk</t>
  </si>
  <si>
    <t>Polski</t>
  </si>
  <si>
    <t>Nyelv</t>
  </si>
  <si>
    <t>Jazyk</t>
  </si>
  <si>
    <t>Taal</t>
  </si>
  <si>
    <t>jezik</t>
  </si>
  <si>
    <t>Språk</t>
  </si>
  <si>
    <t>Sprog</t>
  </si>
  <si>
    <t>Jezik</t>
  </si>
  <si>
    <t>Spreizring</t>
  </si>
  <si>
    <t>expander ring</t>
  </si>
  <si>
    <t>anneau d’écartement (circlip)</t>
  </si>
  <si>
    <t>Anello di diffusione</t>
  </si>
  <si>
    <t>rozpěrný kruh</t>
  </si>
  <si>
    <t>Pierścień rozprężny</t>
  </si>
  <si>
    <t>feszítőgyűrű</t>
  </si>
  <si>
    <t>rozperný krúžok</t>
  </si>
  <si>
    <t>Spreidring</t>
  </si>
  <si>
    <t>Razširitveni obroč</t>
  </si>
  <si>
    <t>spridarring</t>
  </si>
  <si>
    <t>Låsering</t>
  </si>
  <si>
    <t>Ekspansjonsring</t>
  </si>
  <si>
    <t>Klipni prsten</t>
  </si>
  <si>
    <t>Stahlblech (verzinkt; Stärke: 0,8 mm)</t>
  </si>
  <si>
    <t>galvanised steel sheet (s = 0,8 mm)</t>
  </si>
  <si>
    <t>tôle en acier galvanisée (épaisseur : 0,8 mm)</t>
  </si>
  <si>
    <t>Lamiera di acciaio (zincata; spessore: 0,8 mm)</t>
  </si>
  <si>
    <t>Ocelový plech (pozinkovaný, tloušťka: 0,8 mm)</t>
  </si>
  <si>
    <t>Blacha stalowa (ocynkowana; grubość: 0,8 mm)</t>
  </si>
  <si>
    <t>acéllemez (horganyzott; vastagság: 0,8 mm)</t>
  </si>
  <si>
    <t>Oceľový plech (pozinkovaný; hrúbka: 0,8 mm)</t>
  </si>
  <si>
    <t>Plaatstaal (gegalvaniseerd; dikte: 0,8 mm)</t>
  </si>
  <si>
    <t>Jeklena pločevina (pocinkana; debelina: 0,8 mm)</t>
  </si>
  <si>
    <t>stålplåt (galvaniserad; tjocklek: 0,8 mm)</t>
  </si>
  <si>
    <t>Stålplade (forzinket; tykkelse: 0,8 mm)</t>
  </si>
  <si>
    <t>Stålplate (forsinket; tykkelse: 0,8 mm)</t>
  </si>
  <si>
    <t>Čelični lim (pocinčani; debljina: 0,8 mm)</t>
  </si>
  <si>
    <t>Stand:</t>
  </si>
  <si>
    <t>Version:</t>
  </si>
  <si>
    <t>Version :</t>
  </si>
  <si>
    <t>Aggiornato:</t>
  </si>
  <si>
    <t>Stav:</t>
  </si>
  <si>
    <t>Wersja:</t>
  </si>
  <si>
    <t>Állapot:</t>
  </si>
  <si>
    <t>Versie:</t>
  </si>
  <si>
    <t>Različica:</t>
  </si>
  <si>
    <t>Uppdaterad:</t>
  </si>
  <si>
    <t>Stanje:</t>
  </si>
  <si>
    <t>STAND:</t>
  </si>
  <si>
    <t>VERSION:</t>
  </si>
  <si>
    <t>VERSION :</t>
  </si>
  <si>
    <t>STAV:</t>
  </si>
  <si>
    <t>STAN:</t>
  </si>
  <si>
    <t>ÁLLAPOT:</t>
  </si>
  <si>
    <t>POSITIE:</t>
  </si>
  <si>
    <t>STÄLLNING:</t>
  </si>
  <si>
    <t>VERZIJA:</t>
  </si>
  <si>
    <t>Stand:_SW</t>
  </si>
  <si>
    <t>stand:</t>
  </si>
  <si>
    <t>Verzija:</t>
  </si>
  <si>
    <t>Standardfarbe</t>
  </si>
  <si>
    <t>standard color</t>
  </si>
  <si>
    <t>couleur standard</t>
  </si>
  <si>
    <t>colore standard</t>
  </si>
  <si>
    <t>Standardní barva</t>
  </si>
  <si>
    <t>standardowym kolorem</t>
  </si>
  <si>
    <t>standard szín</t>
  </si>
  <si>
    <t>Štandardná farba</t>
  </si>
  <si>
    <t>Standaardkleur</t>
  </si>
  <si>
    <t>Standardna barva</t>
  </si>
  <si>
    <t>Standardfärg</t>
  </si>
  <si>
    <t>Standardfarve</t>
  </si>
  <si>
    <t>Standardfarge</t>
  </si>
  <si>
    <t>Standardna boja</t>
  </si>
  <si>
    <t>Standrohr mit Reinigungsöffnung</t>
  </si>
  <si>
    <t>straight downpipe with access pipe</t>
  </si>
  <si>
    <t>dauphin avec porte de nettoyage</t>
  </si>
  <si>
    <t>Terminale con apertura di ispezione</t>
  </si>
  <si>
    <t>Zaústění svodu do kanalizace s otvorem na čištění</t>
  </si>
  <si>
    <t>Rura stojakowa z otworem rewizyjnym</t>
  </si>
  <si>
    <t>állványcső tisztítónyílással</t>
  </si>
  <si>
    <t>zvod s čistiacim otvorom</t>
  </si>
  <si>
    <t>staande buis met reinigingsopening</t>
  </si>
  <si>
    <t>jeklena izlivna cev z odprtino za čiščenje</t>
  </si>
  <si>
    <t>stuprör med rengöringslucka</t>
  </si>
  <si>
    <t>standrør med rengøringsåbning</t>
  </si>
  <si>
    <t>nedløpsrør med rengjøringsåpning</t>
  </si>
  <si>
    <t>Stojeća cijev s revizionim otvorom</t>
  </si>
  <si>
    <t>Standrohrkappe</t>
  </si>
  <si>
    <t>standpipe cap</t>
  </si>
  <si>
    <t>Copribicchiere per terminale</t>
  </si>
  <si>
    <t>Rozeta</t>
  </si>
  <si>
    <t>állványcső-csőkarika</t>
  </si>
  <si>
    <t>zvodová prechodka</t>
  </si>
  <si>
    <t>staande buiskap</t>
  </si>
  <si>
    <t>rozeta s svitkom</t>
  </si>
  <si>
    <t>krage till brunnsutkastare</t>
  </si>
  <si>
    <t>standrørkappe</t>
  </si>
  <si>
    <t>krage til nedløpsrør</t>
  </si>
  <si>
    <t>Kapa stojeće cijevi</t>
  </si>
  <si>
    <t>Startplatte (1,48 Stk./m; 40 Stk./Karton)</t>
  </si>
  <si>
    <t>leading plate (1.48 pc./m, 40 pc./box)</t>
  </si>
  <si>
    <t>demi-losange de départ (1,48 par mètre ; 40 par carton)</t>
  </si>
  <si>
    <t>Scaglia 44 di partenza (1,48 pz./m, 40 pz./cf.)</t>
  </si>
  <si>
    <t>Startovací šablona (1,48 ks./bm, 40 ks./balení)</t>
  </si>
  <si>
    <t>Dachówka początkowa (1,48 szt./mb, 40 szt./opak.)</t>
  </si>
  <si>
    <t>indítóelem (1,48 db./fm, 40 db/doboz)</t>
  </si>
  <si>
    <t>štartovacia šablóna (1,48 ks/bm, 40 ks/kart.)</t>
  </si>
  <si>
    <t>beginplaat (1,48 stks./m1, 40 stks./doos)</t>
  </si>
  <si>
    <t>začetna plošča (1,48 kos/tm, 40 kos/škatlo)</t>
  </si>
  <si>
    <t>startplatta (1,48 st./lpm, 40 st./kart.)</t>
  </si>
  <si>
    <t>startplade (1,48 stk./lbm, 40 stk./kart.)</t>
  </si>
  <si>
    <t>startplate (1,48 stk./lm, 40 stk./kart.)</t>
  </si>
  <si>
    <t>Početna ploča (1,48 kom./m; 40 kom./kutija)</t>
  </si>
  <si>
    <t>Startplatte (2,2 Stk./m; 100 Stk./Karton)</t>
  </si>
  <si>
    <t>leading plate (2.2 pc./m, 100 pc./box)</t>
  </si>
  <si>
    <t>demi-losange de départ (2,2 par mètre ; 100 par carton)</t>
  </si>
  <si>
    <t>Scaglia 29 di partenza (2,2 pz./m, 100 pz./cf.)</t>
  </si>
  <si>
    <t>Startovací šablona (2,2 ks./bm, 100 ks./balení)</t>
  </si>
  <si>
    <t>Dachówka początkowa (2,2 szt./mb, 100 szt./opak.)</t>
  </si>
  <si>
    <t>indítóelem (2,2 db./fm, 100 db/doboz)</t>
  </si>
  <si>
    <t>štartovacia šablóna (2,2 ks/bm, 100 ks/kart.)</t>
  </si>
  <si>
    <t>beginplaat (2,2 stks./m1, 100 stks./doos)</t>
  </si>
  <si>
    <t>začetna plošča (2,2 kos/tm, 100 kos/škatlo)</t>
  </si>
  <si>
    <t>startplatta (2,2 st./lpm, 100 st./kart.)</t>
  </si>
  <si>
    <t>startplade (2,2 stk./lbm, 100 stk./kart.)</t>
  </si>
  <si>
    <t>startplate (2,2 stk./lm, 100 stk./kart.)</t>
  </si>
  <si>
    <t>Početna ploča (2,2 kom./m; 100 kom./kutija)</t>
  </si>
  <si>
    <t>Startplatte für Dachraute</t>
  </si>
  <si>
    <t>leading plate for rhomboid roof tile</t>
  </si>
  <si>
    <t>demi-losange de départ</t>
  </si>
  <si>
    <t>Scaglia di partenza per scaglia</t>
  </si>
  <si>
    <t>startovací šablona</t>
  </si>
  <si>
    <t>Dachówka początkowa dla dachówki romb</t>
  </si>
  <si>
    <t>indítóelem tetőfedő rombuszhoz</t>
  </si>
  <si>
    <t>štartovacia šablóna pre strešnú šablónu</t>
  </si>
  <si>
    <t>Startplaat voor daklosange</t>
  </si>
  <si>
    <t>Začetna plošča za strešni romb</t>
  </si>
  <si>
    <t>startplåt för takdiamant</t>
  </si>
  <si>
    <t>Startplade til tagrombe</t>
  </si>
  <si>
    <t>Startplate for takrombe</t>
  </si>
  <si>
    <t>Početna ploča za krovni romb</t>
  </si>
  <si>
    <t>Startplatte für Dachraute 29 × 29</t>
  </si>
  <si>
    <t>leading plate for rhomboid roof tile 29 × 29</t>
  </si>
  <si>
    <t>demi-losange de départ 29 × 29</t>
  </si>
  <si>
    <t>startovací šablona 29x29</t>
  </si>
  <si>
    <t>Dachówka początkowa dla dachówki romb 29 × 29</t>
  </si>
  <si>
    <t>indítóelem 29 × 29-es tetőfedő rombuszhoz</t>
  </si>
  <si>
    <t>štartovacia šablóna pre strešnú šablónu 29 × 29</t>
  </si>
  <si>
    <t>Startplaat voor daklosange 29 x 29</t>
  </si>
  <si>
    <t>Začetna plošča za strešni romb 29 × 29</t>
  </si>
  <si>
    <t>startplåt för takdiamant 29 × 29</t>
  </si>
  <si>
    <t>Startplade til tagrombe 29 × 29</t>
  </si>
  <si>
    <t>Startplate for takrombe 29 × 29</t>
  </si>
  <si>
    <t>Početna ploča za krovni romb 29 × 29</t>
  </si>
  <si>
    <t>Startplatte für Dachraute 44 × 44</t>
  </si>
  <si>
    <t>leading plate for rhomboid roof tile 44 × 44</t>
  </si>
  <si>
    <t>demi-losange de départ 44 × 44</t>
  </si>
  <si>
    <t>startovací šablona 44x44</t>
  </si>
  <si>
    <t>Dachówka początkowa dla dachówki romb 44 × 44</t>
  </si>
  <si>
    <t>indítóelem 44 × 44-es tetőfedő rombuszhoz</t>
  </si>
  <si>
    <t>štartovacia šablóna pre strešnú šablónu 44 × 44</t>
  </si>
  <si>
    <t>Startplaat voor daklosange 44 x 44</t>
  </si>
  <si>
    <t>Začetna plošča za strešni romb 44 × 44</t>
  </si>
  <si>
    <t>startplåt för takdiamant 44 × 44</t>
  </si>
  <si>
    <t>Startplade til tagrombe 44 × 44</t>
  </si>
  <si>
    <t>Startplate for takrombe 44 × 44</t>
  </si>
  <si>
    <t>Početna ploča za krovni romb 44 × 44</t>
  </si>
  <si>
    <t>Startplatte für Wandraute</t>
  </si>
  <si>
    <t>leading plate for rhomboid façade tile (PREFA)</t>
  </si>
  <si>
    <t>demi-losange de départ (façade)</t>
  </si>
  <si>
    <t>Startovací fasádní šablona</t>
  </si>
  <si>
    <t>Dachówka początkowa dla rombu ściennego</t>
  </si>
  <si>
    <t>indítóelem homlokzatburkoló rombuszhoz</t>
  </si>
  <si>
    <t>štartovacia šablóna pre fasádnu šablónu</t>
  </si>
  <si>
    <t>Startplaat voor wandspant</t>
  </si>
  <si>
    <t>Začetna plošča za stenski romb</t>
  </si>
  <si>
    <t>startplåt för väggdiamant</t>
  </si>
  <si>
    <t>Startplade til vægrombe</t>
  </si>
  <si>
    <t>Startplate for veggrombe</t>
  </si>
  <si>
    <t>Početna ploča za zidni romb</t>
  </si>
  <si>
    <t>Startprofil für Profilwelle</t>
  </si>
  <si>
    <t>starter profile for ripple profile (PREFA)</t>
  </si>
  <si>
    <t>profil de départ pour profil sinus</t>
  </si>
  <si>
    <t>Profilo di partenza per profilo ondulato</t>
  </si>
  <si>
    <t>Startovací profil pro profil s vlnou</t>
  </si>
  <si>
    <t>Profil początkowy do profilu falistego</t>
  </si>
  <si>
    <t>Indítóprofil profilhullámhoz</t>
  </si>
  <si>
    <t>štartovací profil pre vlnitý profil</t>
  </si>
  <si>
    <t>Startprofiel voor golfplaat</t>
  </si>
  <si>
    <t>Začetni profil za valoviti profil</t>
  </si>
  <si>
    <t>startprofil för vågprofil</t>
  </si>
  <si>
    <t>Startprofil til profilbølge</t>
  </si>
  <si>
    <t>Startprofil for bølgeprofil</t>
  </si>
  <si>
    <t>Početni profil za valoviti profil</t>
  </si>
  <si>
    <t>Startprofil für Zackenprofil</t>
  </si>
  <si>
    <t>starter profile for serrated profile (PREFA)</t>
  </si>
  <si>
    <t>profil de départ pour profil triangle</t>
  </si>
  <si>
    <t>Profilo di partenza per profilo a zeta</t>
  </si>
  <si>
    <t>Startovací profil pro pilový profil</t>
  </si>
  <si>
    <t>Profil początkowy do profilu trójkątnego</t>
  </si>
  <si>
    <t>Indítóprofil fogazott profilhoz</t>
  </si>
  <si>
    <t>štartovací profil pre prelamovaný profil</t>
  </si>
  <si>
    <t>Startprofiel voor gekarteld profiel</t>
  </si>
  <si>
    <t>Začetni profil za zobčast profil</t>
  </si>
  <si>
    <t>startprofil för spikprofil</t>
  </si>
  <si>
    <t>Startprofil til takket profil</t>
  </si>
  <si>
    <t>Startprofil for sikksakkprofil</t>
  </si>
  <si>
    <t>Početni profil za zupčasti profil</t>
  </si>
  <si>
    <t>Startprofil (Länge: 2.000 mm)</t>
  </si>
  <si>
    <t>starter profile; L = 2,000 mm</t>
  </si>
  <si>
    <t>profil de départ (longueur : 2 000 mm)</t>
  </si>
  <si>
    <t>startovací profil, délka 2000 mm</t>
  </si>
  <si>
    <t>Profil początkowy L=2000 mm</t>
  </si>
  <si>
    <t>indítóprofil H = 2.000 mm</t>
  </si>
  <si>
    <t>štartovací, vonkajší profil, dĺžka 2000 mm</t>
  </si>
  <si>
    <t>beginprofiel L = 2000 mm</t>
  </si>
  <si>
    <t>Začetni profil (dolžina: 2.000 mm)</t>
  </si>
  <si>
    <t>startprofil L = 2.000 mm</t>
  </si>
  <si>
    <t>startprofil L = 2000 mm</t>
  </si>
  <si>
    <t>Početni profil L = 2.000 mm</t>
  </si>
  <si>
    <t>Steckleiste</t>
  </si>
  <si>
    <t>profil de jonction</t>
  </si>
  <si>
    <t>Profilo a inserto</t>
  </si>
  <si>
    <t>Zásuvná lišta</t>
  </si>
  <si>
    <t>Listwa przyłączeniowa</t>
  </si>
  <si>
    <t>csatlakozó léc</t>
  </si>
  <si>
    <t>násuvná lišta</t>
  </si>
  <si>
    <t>Aansluitstrip</t>
  </si>
  <si>
    <t>Vtična letev</t>
  </si>
  <si>
    <t>strömlist</t>
  </si>
  <si>
    <t>Stikliste</t>
  </si>
  <si>
    <t>Stikklist</t>
  </si>
  <si>
    <t>Utična lajsna</t>
  </si>
  <si>
    <t>Steckleiste (Länge: 2.000 mm)</t>
  </si>
  <si>
    <t>profil de jonction (longueur : 2 000 mm)</t>
  </si>
  <si>
    <t>příponka ostění, délka 2000 mm</t>
  </si>
  <si>
    <t>Listwa L=2000 mm</t>
  </si>
  <si>
    <t>csatlakozó léc H = 2.000 mm</t>
  </si>
  <si>
    <t>plech na ostenie, dĺžka 2000 mm</t>
  </si>
  <si>
    <t>steekframe L = 2000 mm</t>
  </si>
  <si>
    <t>Vtična letev (dolžina: 2.000 mm)</t>
  </si>
  <si>
    <t>instickslist L = 2.000 mm</t>
  </si>
  <si>
    <t>stikliste L = 2.000 mm</t>
  </si>
  <si>
    <t>innstikkslist L = 2000 mm</t>
  </si>
  <si>
    <t>Utična lajsna L = 2.000 mm</t>
  </si>
  <si>
    <t>Stiefelfalz</t>
  </si>
  <si>
    <t>Swiss seam</t>
  </si>
  <si>
    <t>agrafe grisonne</t>
  </si>
  <si>
    <t>Aggraffatura a gradini</t>
  </si>
  <si>
    <t>koutová drážka (kapsa)</t>
  </si>
  <si>
    <t>Rąbek przełamany</t>
  </si>
  <si>
    <t>csizmakorc</t>
  </si>
  <si>
    <t>Felsnaad</t>
  </si>
  <si>
    <t>Spojni zgib</t>
  </si>
  <si>
    <t>stövelfals</t>
  </si>
  <si>
    <t>Stiefel-fals</t>
  </si>
  <si>
    <t>Stående vinkelfals</t>
  </si>
  <si>
    <t>Podni falc</t>
  </si>
  <si>
    <t>Stirnbrett</t>
  </si>
  <si>
    <t>bargeboard</t>
  </si>
  <si>
    <t>bordure de rive</t>
  </si>
  <si>
    <t>Frontalino</t>
  </si>
  <si>
    <t>čelní prkno</t>
  </si>
  <si>
    <t>Deska czołowa</t>
  </si>
  <si>
    <t>homlokléc</t>
  </si>
  <si>
    <t>čelná doska</t>
  </si>
  <si>
    <t>Hoofdbord</t>
  </si>
  <si>
    <t>Čelna deska</t>
  </si>
  <si>
    <t>fasadbräda</t>
  </si>
  <si>
    <t>Vindskede</t>
  </si>
  <si>
    <t>Bakbrett</t>
  </si>
  <si>
    <t>Čeona daska</t>
  </si>
  <si>
    <t>Stirnbretthaken für Dachrinnen</t>
  </si>
  <si>
    <t>bargeboard bracket for gutters</t>
  </si>
  <si>
    <t>crochet de larmier pour gouttières</t>
  </si>
  <si>
    <t>Staffa portacanale per montaggio su frontalino</t>
  </si>
  <si>
    <t>Žlabový hák římsový</t>
  </si>
  <si>
    <t>Hak rynnowy doczołowy</t>
  </si>
  <si>
    <t>szár nélküli csatornatartó</t>
  </si>
  <si>
    <t>rímsový hák pre polkruhové zľaby</t>
  </si>
  <si>
    <t>kopplaathaak voor dakgoten</t>
  </si>
  <si>
    <t>žlebna kljuka za čelno desko</t>
  </si>
  <si>
    <t>PREFA-rännhake för takränna</t>
  </si>
  <si>
    <t>sternbrætkrog til tagrender</t>
  </si>
  <si>
    <t>vindski-fester for takrenner</t>
  </si>
  <si>
    <t>Kuka čeone daske za krovni žlijeb</t>
  </si>
  <si>
    <t>Stirnbretthaken für Kastenrinnen</t>
  </si>
  <si>
    <t>bargeboard bracket for box gutters</t>
  </si>
  <si>
    <t>crochet de larmier pour gouttières carrées</t>
  </si>
  <si>
    <t>Staffa portacanale quadro per fissaggio su frontalino</t>
  </si>
  <si>
    <t>Žlabový hák římsový pro hranaté žlaby</t>
  </si>
  <si>
    <t>Hak rynnowy połaciowy</t>
  </si>
  <si>
    <t>szár nélküli csatornatartó négyszögszelvényű csatornához</t>
  </si>
  <si>
    <t>rímsový hák pre hranaté zľaby</t>
  </si>
  <si>
    <t>kopplaathaak voor bakgoten</t>
  </si>
  <si>
    <t>kljuka pravokotna za čelno desko</t>
  </si>
  <si>
    <t>PREFA-rännhake för lådränna</t>
  </si>
  <si>
    <t>sternbrætkrog til kasserende</t>
  </si>
  <si>
    <t>vindski-fester for firkantrenne</t>
  </si>
  <si>
    <t>Kuka čeone daske za sandučasti žlijeb</t>
  </si>
  <si>
    <t>Stk.</t>
  </si>
  <si>
    <t>pc.</t>
  </si>
  <si>
    <t>Pz</t>
  </si>
  <si>
    <t>KS</t>
  </si>
  <si>
    <t>szt.</t>
  </si>
  <si>
    <t>db</t>
  </si>
  <si>
    <t>ks</t>
  </si>
  <si>
    <t>STKS</t>
  </si>
  <si>
    <t>kos</t>
  </si>
  <si>
    <t>st.</t>
  </si>
  <si>
    <t>STK.</t>
  </si>
  <si>
    <t>KOM</t>
  </si>
  <si>
    <t>Stockschraube M12 (350 mm)</t>
  </si>
  <si>
    <t>hanger bolt M12 × 350 mm</t>
  </si>
  <si>
    <t>vis M12 à double filetage (350 mm)</t>
  </si>
  <si>
    <t>Vite a doppia filettatura M12 (350 mm)</t>
  </si>
  <si>
    <t>vrutošroub M12x 350 mm</t>
  </si>
  <si>
    <t>Śruba dwugwintowa M12 (350 mm)</t>
  </si>
  <si>
    <t>tőcsavar M12 (350 mm)</t>
  </si>
  <si>
    <t>kombinovaná skrutka M12 (350 mm)</t>
  </si>
  <si>
    <t>Ophangbout M12 (350 mm)</t>
  </si>
  <si>
    <t>Lesni vijak M12 (350 mm)</t>
  </si>
  <si>
    <t>stockskruv M12 (350 mm)</t>
  </si>
  <si>
    <t>Bøjlebolt M12 (350 mm)</t>
  </si>
  <si>
    <t>Stokkskrue M12 (350 mm)</t>
  </si>
  <si>
    <t>Vijak s dva navoja M12 (350 mm)</t>
  </si>
  <si>
    <t>Stoßblech</t>
  </si>
  <si>
    <t>joint connection (PREFA)</t>
  </si>
  <si>
    <t>profil de raccord T</t>
  </si>
  <si>
    <t>Profilo di battuta</t>
  </si>
  <si>
    <t>Dělící profil</t>
  </si>
  <si>
    <t>Blacha dociskowa</t>
  </si>
  <si>
    <t>illesztő lemez</t>
  </si>
  <si>
    <t>stykový plech</t>
  </si>
  <si>
    <t>Duwplaat</t>
  </si>
  <si>
    <t>Spojna pločevina</t>
  </si>
  <si>
    <t>stötplåt</t>
  </si>
  <si>
    <t>Stødplade</t>
  </si>
  <si>
    <t>Støtplate</t>
  </si>
  <si>
    <t>Ploča za zaštitu od udaraca</t>
  </si>
  <si>
    <t>Stoßblech (Länge: 2.000 mm)</t>
  </si>
  <si>
    <t>joint connection; L = 2,000 mm</t>
  </si>
  <si>
    <t>profil de raccord T (longueur : 2 000 mm)</t>
  </si>
  <si>
    <t>profilo di battuta; L = 2000 mm</t>
  </si>
  <si>
    <t>dělící profil, délka 2000 mm</t>
  </si>
  <si>
    <t>Blacha stykowa L=2000 mm</t>
  </si>
  <si>
    <t>illesztőprofil H = 2.000 mm</t>
  </si>
  <si>
    <t>stykový plech, dĺžka 2000 mm</t>
  </si>
  <si>
    <t>stootplaat L = 2000 mm</t>
  </si>
  <si>
    <t>Spojna pločevina (dolžina: 2.000 mm)</t>
  </si>
  <si>
    <t>skarvplåt L = 2.000 mm</t>
  </si>
  <si>
    <t>stødplade L = 2.000 mm</t>
  </si>
  <si>
    <t>laskeplate L = 2000 mm</t>
  </si>
  <si>
    <t>Sudarni lim L = 2.000 mm</t>
  </si>
  <si>
    <t>Stoßverbinder</t>
  </si>
  <si>
    <t>joint connector</t>
  </si>
  <si>
    <t>profil de liaison</t>
  </si>
  <si>
    <t>Giunto per gocciolatoio</t>
  </si>
  <si>
    <t>Styková spojka</t>
  </si>
  <si>
    <t>Złącze czołowe</t>
  </si>
  <si>
    <t>hossztoldó elem</t>
  </si>
  <si>
    <t>panelová spojka</t>
  </si>
  <si>
    <t>Koppeling</t>
  </si>
  <si>
    <t>Konektor za spoj</t>
  </si>
  <si>
    <t>skarvdon</t>
  </si>
  <si>
    <t>Stik</t>
  </si>
  <si>
    <t>Butt skjøtkobling</t>
  </si>
  <si>
    <t>Čeoni konektor</t>
  </si>
  <si>
    <t>Stoßverbinder (Länge: 150 mm)</t>
  </si>
  <si>
    <t>joint connector; L = 150 mm</t>
  </si>
  <si>
    <t>profil de liaison (longueur : 150 mm)</t>
  </si>
  <si>
    <t>giunto per gocciolatoio; L = 150 mm</t>
  </si>
  <si>
    <t>spojka okapnic, délka 150 mm</t>
  </si>
  <si>
    <t>Łącznik czołowy do elementu fasady L=150 mm</t>
  </si>
  <si>
    <t>illesztőlemez H = 150 mm</t>
  </si>
  <si>
    <t>panelová spojka, dĺžka 150 mm</t>
  </si>
  <si>
    <t>stootverbinding L = 150 mm</t>
  </si>
  <si>
    <t>Konektor za spoj (dolžina: 150 mm)</t>
  </si>
  <si>
    <t>stötanslutning L = 150 mm</t>
  </si>
  <si>
    <t>stødforbinder L = 150 mm</t>
  </si>
  <si>
    <t>støtforbinder L = 150 mm</t>
  </si>
  <si>
    <t>Spojni element L=150mm</t>
  </si>
  <si>
    <t>Straße:</t>
  </si>
  <si>
    <t>Street:</t>
  </si>
  <si>
    <t>Adresse :</t>
  </si>
  <si>
    <t>Via:</t>
  </si>
  <si>
    <t>Ulice:</t>
  </si>
  <si>
    <t>Ulica:</t>
  </si>
  <si>
    <t>Utca:</t>
  </si>
  <si>
    <t>Straat:</t>
  </si>
  <si>
    <t>Ulica</t>
  </si>
  <si>
    <t>Gatuadress:</t>
  </si>
  <si>
    <t>Gade:</t>
  </si>
  <si>
    <t>Gate:</t>
  </si>
  <si>
    <t>Strukturmatte</t>
  </si>
  <si>
    <t>structural matting</t>
  </si>
  <si>
    <t>natte structurée</t>
  </si>
  <si>
    <t>strukturní rohož</t>
  </si>
  <si>
    <t>Mata strukturalna</t>
  </si>
  <si>
    <t>alátétszőnyeg</t>
  </si>
  <si>
    <t>štruktúrovaná rohož</t>
  </si>
  <si>
    <t>Structuurmat</t>
  </si>
  <si>
    <t>Strukturna blazina</t>
  </si>
  <si>
    <t>texturmatta</t>
  </si>
  <si>
    <t>Strukturmåtte</t>
  </si>
  <si>
    <t>Podloga s teksturom</t>
  </si>
  <si>
    <t>Stucco</t>
  </si>
  <si>
    <t>stucco</t>
  </si>
  <si>
    <t>goffrata</t>
  </si>
  <si>
    <t>stukkó</t>
  </si>
  <si>
    <t>stuckatur</t>
  </si>
  <si>
    <t>Stückliste – Siding</t>
  </si>
  <si>
    <t>Parts list – siding</t>
  </si>
  <si>
    <t>Nomenclature —Siding</t>
  </si>
  <si>
    <t>Elenco pezzi Doga</t>
  </si>
  <si>
    <t>Kusovník Stavební šířka</t>
  </si>
  <si>
    <t>Lista elementów szerokość</t>
  </si>
  <si>
    <t>Darablista szélességenként</t>
  </si>
  <si>
    <t>Kusovník podľa stavebnej šířky</t>
  </si>
  <si>
    <t>Stuklijst Siding</t>
  </si>
  <si>
    <t>Kosovni seznam – Siding</t>
  </si>
  <si>
    <t>Komponentlista fasadpanel</t>
  </si>
  <si>
    <t>stykliste siding</t>
  </si>
  <si>
    <t>Deleliste kledning</t>
  </si>
  <si>
    <t>Komadna lista Siding</t>
  </si>
  <si>
    <t>Sturmsicherung</t>
  </si>
  <si>
    <t>storm-proof clip</t>
  </si>
  <si>
    <t>clip tempête</t>
  </si>
  <si>
    <t>Protezione antivento</t>
  </si>
  <si>
    <t>Pojistka proti větru</t>
  </si>
  <si>
    <t>Instalacja odgromowa</t>
  </si>
  <si>
    <t>viharrögzítés</t>
  </si>
  <si>
    <t>kotvenie proti búrke</t>
  </si>
  <si>
    <t>Stormbescherming</t>
  </si>
  <si>
    <t>Varovalo pred nevihto</t>
  </si>
  <si>
    <t>stormsäkring</t>
  </si>
  <si>
    <t>Stormsikring</t>
  </si>
  <si>
    <t>Zaštita od oluja</t>
  </si>
  <si>
    <t>Sturmsicherungsclip</t>
  </si>
  <si>
    <t>clip antivento</t>
  </si>
  <si>
    <t>pojistný clips proti větru</t>
  </si>
  <si>
    <t>Klips przeciwburzowy</t>
  </si>
  <si>
    <t xml:space="preserve">viharkapocs   </t>
  </si>
  <si>
    <t>antivibračná svorka</t>
  </si>
  <si>
    <t>stormborgingsclip</t>
  </si>
  <si>
    <t>Varnostna sponka za nevihto</t>
  </si>
  <si>
    <t>stormsäkringsclips</t>
  </si>
  <si>
    <t>stormsikringsklips</t>
  </si>
  <si>
    <t>Sigurnosni clip držač kod nevremena</t>
  </si>
  <si>
    <t>Sturzprofil</t>
  </si>
  <si>
    <t>lintel profile</t>
  </si>
  <si>
    <t>profil de linteau</t>
  </si>
  <si>
    <t>Profilo di sostegno</t>
  </si>
  <si>
    <t>Nosný profil</t>
  </si>
  <si>
    <t>Profil nadproża</t>
  </si>
  <si>
    <t>ablakpárkány profil</t>
  </si>
  <si>
    <t>profil na ochranu proti pádu</t>
  </si>
  <si>
    <t>Lateiprofiel</t>
  </si>
  <si>
    <t>Previsni profil</t>
  </si>
  <si>
    <t>profil överstycke</t>
  </si>
  <si>
    <t>Topprofil</t>
  </si>
  <si>
    <t>Overliggerprofil</t>
  </si>
  <si>
    <t>Izbočeni profil</t>
  </si>
  <si>
    <t>Stutzen</t>
  </si>
  <si>
    <t>Staffa</t>
  </si>
  <si>
    <t>Króciec</t>
  </si>
  <si>
    <t>betorkolló csonk</t>
  </si>
  <si>
    <t>Aansluiting</t>
  </si>
  <si>
    <t>Nacevnik</t>
  </si>
  <si>
    <t>stöd</t>
  </si>
  <si>
    <t>Studs</t>
  </si>
  <si>
    <t>Støtter</t>
  </si>
  <si>
    <t>Stutzen mit Grundplatte</t>
  </si>
  <si>
    <t>outlet with base plate</t>
  </si>
  <si>
    <t>moignon avec bordure d’appui</t>
  </si>
  <si>
    <t>Staffa con piastra di base</t>
  </si>
  <si>
    <t>hrdlo s přírubou</t>
  </si>
  <si>
    <t>Króciec z płytą bazową</t>
  </si>
  <si>
    <t>betorkolló csonk alaplemezzel</t>
  </si>
  <si>
    <t>hrdlo so spodnou platňou</t>
  </si>
  <si>
    <t>Aansluiting met grondplaat</t>
  </si>
  <si>
    <t>Nacevnik z osnovno ploščo</t>
  </si>
  <si>
    <t>stöd med bottenplatta</t>
  </si>
  <si>
    <t>Studs med grundplade</t>
  </si>
  <si>
    <t>Støtter med grunnplate</t>
  </si>
  <si>
    <t>Odvod s osnovnom pločom</t>
  </si>
  <si>
    <t>Stutzen mit Klebeflansch (passend für Ablaufrohr ⌀ 60)</t>
  </si>
  <si>
    <t>Outlet with bonding flange, suitable for ∅ 60 downpipes</t>
  </si>
  <si>
    <t>moignon plat (pour tuyaux de descente ⌀ 60)</t>
  </si>
  <si>
    <t>Manicotto con flangia ad incollaggio per pluviale Ø 60</t>
  </si>
  <si>
    <t>Hrdlo s lepicí přírubou (vhodné pro svod 60)</t>
  </si>
  <si>
    <t>Króciec z kołnierzem przyklejanym (pasuje do rury spustowej ⌀ 60)</t>
  </si>
  <si>
    <t>betorkolló csonk ragasztható peremmel (⌀ 60 lefolyócsőhöz)</t>
  </si>
  <si>
    <t>hrdlo s lemom pre lepenie (vhodné pre dažďový zvod ⌀ 60)</t>
  </si>
  <si>
    <t>Aansluiting met zelfklevende flens (geschikt voor afvoerbuis ⌀ 60)</t>
  </si>
  <si>
    <t>Nacevnik z lepilno prirobnico (ustreza odtočni cevi ⌀ 60)</t>
  </si>
  <si>
    <t>stöd med självhäftande fläns (lämplig för avloppsrör ⌀ 60)</t>
  </si>
  <si>
    <t>Studs med klæbeflange (passende til afløbsrør ⌀ 60)</t>
  </si>
  <si>
    <t>Støtter med limflens (passer til nedløpsrør ⌀ 60)</t>
  </si>
  <si>
    <t>Odvod s ljepljivom prirubnicom (prikladno za odvodnu cijev ⌀ 60)</t>
  </si>
  <si>
    <t>Sunny</t>
  </si>
  <si>
    <t>T</t>
  </si>
  <si>
    <t>Tafelbreite (1.100 mm)</t>
  </si>
  <si>
    <t>panel width (1,100 mm)</t>
  </si>
  <si>
    <t>largeur de la feuille (1 100 mm)</t>
  </si>
  <si>
    <t>Larghezza dell'asse (1.100 mm)</t>
  </si>
  <si>
    <t>Šířka tabule (1100 mm)</t>
  </si>
  <si>
    <t>Szerokość arkusza (1100 mm)</t>
  </si>
  <si>
    <t>táblaszélesség (1100 mm)</t>
  </si>
  <si>
    <t>Šírka tabule: (1 100 mm)</t>
  </si>
  <si>
    <t>Paneelbreedte (1.100 mm)</t>
  </si>
  <si>
    <t>Širina panela (1.100 mm)</t>
  </si>
  <si>
    <t>panelbredd (1 100 mm)</t>
  </si>
  <si>
    <t>Pladebredde (1.100 mm)</t>
  </si>
  <si>
    <t>Tavlebredde (1100 mm)</t>
  </si>
  <si>
    <t>Taschenprofil</t>
  </si>
  <si>
    <t>channel profile</t>
  </si>
  <si>
    <t>profil replié</t>
  </si>
  <si>
    <t>Profilo ripiegato</t>
  </si>
  <si>
    <t>Ukončovací profil pro Siding</t>
  </si>
  <si>
    <t>Profil kieszeniowy</t>
  </si>
  <si>
    <t>zsebes profil</t>
  </si>
  <si>
    <t>kapsový profil</t>
  </si>
  <si>
    <t>Zakprofiel</t>
  </si>
  <si>
    <t>Žepni profil</t>
  </si>
  <si>
    <t>fickprofil</t>
  </si>
  <si>
    <t>Taskeprofil</t>
  </si>
  <si>
    <t>Lommeprofil</t>
  </si>
  <si>
    <t>C profil</t>
  </si>
  <si>
    <t>Taschenprofil gekantet</t>
  </si>
  <si>
    <t>channel profile (canted)</t>
  </si>
  <si>
    <t>Profilo ripiegato squadrato</t>
  </si>
  <si>
    <t>Ukončovací profil pro Siding hraněný</t>
  </si>
  <si>
    <t>Profil kieszeniowy z krawędzią</t>
  </si>
  <si>
    <t>zsebes profil, hajtott</t>
  </si>
  <si>
    <t>kapsový profil ohýbaný</t>
  </si>
  <si>
    <t>Zakprofiel gevoegd</t>
  </si>
  <si>
    <t>Žepni profil obrobljen</t>
  </si>
  <si>
    <t>kantad fickprofil</t>
  </si>
  <si>
    <t>Taskeprofil kantet</t>
  </si>
  <si>
    <t>Kantet lommeprofil</t>
  </si>
  <si>
    <t>C profil, kantiran</t>
  </si>
  <si>
    <t>profil replié (longueur : 2 500 mm)</t>
  </si>
  <si>
    <t>Technische Änderungen und Druckfehler vorbehalten.</t>
  </si>
  <si>
    <t>Subject to technical modifications and printing errors.</t>
  </si>
  <si>
    <t>Sous réserve de modifications techniques et d’erreurs d’impression.</t>
  </si>
  <si>
    <t>Con riserva di modifiche tecniche ed errori di stampa.</t>
  </si>
  <si>
    <t>Technické změny a tiskové chyby vyhrazeny!</t>
  </si>
  <si>
    <t>Zastrzegamy sobie prawo do zmian technicznych i błędów w druku.</t>
  </si>
  <si>
    <t>A műszaki változtatások és a nyomdahibák jogát fenntartjuk.</t>
  </si>
  <si>
    <t>Technické zmeny a tlačové chyby vyhradené.</t>
  </si>
  <si>
    <t>Onder voorbehoud van technische wijzigingen en tikfouten.</t>
  </si>
  <si>
    <t>Pridržujemo si pravico do tehničnih sprememb in tiskarskih napak.</t>
  </si>
  <si>
    <t>Med reservation för tekniska ändringar och tryckfel.</t>
  </si>
  <si>
    <t>Der tages forbehold for tekniske ændringer og trykfejl.</t>
  </si>
  <si>
    <t>Med forbehold om tekniske endringer og trykkfeil.</t>
  </si>
  <si>
    <t>Podložno tehničkim promjenama i tiskarskim pogreškama.</t>
  </si>
  <si>
    <t>Telefon:</t>
  </si>
  <si>
    <t>Phone:</t>
  </si>
  <si>
    <t>Téléphone :</t>
  </si>
  <si>
    <t>Telefono:</t>
  </si>
  <si>
    <t>Telefón:</t>
  </si>
  <si>
    <t>Telefoon:</t>
  </si>
  <si>
    <t>telefon</t>
  </si>
  <si>
    <t>Teleskoprohrbogen; längenverstellbar von 700 bis 1.000 mm; DN 100</t>
  </si>
  <si>
    <t>telescopic downpipe elbow, adjustable from 700 to 1,000 mm, nominal size 100</t>
  </si>
  <si>
    <t>coude télescopique ; longueur réglable : entre 700 et 1 000 mm ; DN 100</t>
  </si>
  <si>
    <t>Voluta allungabile da 700 a 1.000 mm DN 100</t>
  </si>
  <si>
    <t>Teleskop-koleno od 700 do 1.000 mm DN 100</t>
  </si>
  <si>
    <t>Teleskop 700 - 1.000 mm, DN 100</t>
  </si>
  <si>
    <t>teleszkópos hattyúnyak 700 - 1.000 mm DN 106</t>
  </si>
  <si>
    <t>teleskopické koleno nastaviteľná dĺžka od 700 do 1.000 mm DN 100</t>
  </si>
  <si>
    <t>telescopisch kniestuk, in lengte verstelbaar van 700 tot 1000 mm, DN 100</t>
  </si>
  <si>
    <t>teleskopsko koleno 72o od 700 do 1.000 mm DN 100</t>
  </si>
  <si>
    <t>teleskoprörvinkel, inställningsbar i längsled på mellan 700 och 1.000 mm, DN 100</t>
  </si>
  <si>
    <t>teleskoprørbøjning, længdejusterbar fra 700 til 1.000 mm, DN 100</t>
  </si>
  <si>
    <t>teleskopbend, justerbar lengde fra 700 til 1000 mm, DN 100</t>
  </si>
  <si>
    <t>Koljeno teleskopske cijevi, podesiva duljina od 700 do 1.000 mm; DN 100</t>
  </si>
  <si>
    <t>Total</t>
  </si>
  <si>
    <t>Totale</t>
  </si>
  <si>
    <t>Celkem</t>
  </si>
  <si>
    <t>Suma</t>
  </si>
  <si>
    <t>összesen</t>
  </si>
  <si>
    <t>Celkom</t>
  </si>
  <si>
    <t>Totaal</t>
  </si>
  <si>
    <t>skupaj</t>
  </si>
  <si>
    <t>Totalt</t>
  </si>
  <si>
    <t>I alt</t>
  </si>
  <si>
    <t>Ukupno</t>
  </si>
  <si>
    <t>tragender Untergrund</t>
  </si>
  <si>
    <t>supporting structure</t>
  </si>
  <si>
    <t>structure porteuse</t>
  </si>
  <si>
    <t>Substrato portante</t>
  </si>
  <si>
    <t>nosný podklad</t>
  </si>
  <si>
    <t>Podłoże nośne</t>
  </si>
  <si>
    <t>teherhordó falszerkezet</t>
  </si>
  <si>
    <t>dragende ondergrond</t>
  </si>
  <si>
    <t>nosilna podlaga</t>
  </si>
  <si>
    <t>stödjande undergrund</t>
  </si>
  <si>
    <t>bærende underlag</t>
  </si>
  <si>
    <t>Bærende undergrunn</t>
  </si>
  <si>
    <t>noseča podloga</t>
  </si>
  <si>
    <t>Tragprofil</t>
  </si>
  <si>
    <t>support profile</t>
  </si>
  <si>
    <t>profil porteur</t>
  </si>
  <si>
    <t>Profilo portante</t>
  </si>
  <si>
    <t>Profil nośny</t>
  </si>
  <si>
    <t>tartósín</t>
  </si>
  <si>
    <t>nosný profil</t>
  </si>
  <si>
    <t>Draagprofiel</t>
  </si>
  <si>
    <t>Nosilni profil</t>
  </si>
  <si>
    <t>supportprofil</t>
  </si>
  <si>
    <t>Bæreprofil</t>
  </si>
  <si>
    <t>Støtteprofil</t>
  </si>
  <si>
    <t>Nosivi profil</t>
  </si>
  <si>
    <t>Trapezleiste</t>
  </si>
  <si>
    <t>trapezoidal strip</t>
  </si>
  <si>
    <t>tasseau trapézoïdal</t>
  </si>
  <si>
    <t>Striscia a trapezio</t>
  </si>
  <si>
    <t>trapézová lať</t>
  </si>
  <si>
    <t>Belka trapezowa</t>
  </si>
  <si>
    <t>trapézléc</t>
  </si>
  <si>
    <t>trapézová lišta</t>
  </si>
  <si>
    <t>Trapezebalk</t>
  </si>
  <si>
    <t>Trapezna letev</t>
  </si>
  <si>
    <t>trapetslist</t>
  </si>
  <si>
    <t>Trapezliste</t>
  </si>
  <si>
    <t>Trapeslist</t>
  </si>
  <si>
    <t>Trapezna lajsna</t>
  </si>
  <si>
    <t>Traufenabschluss (gerade)</t>
  </si>
  <si>
    <t>straight eaves termination</t>
  </si>
  <si>
    <t>bordure de toit à angle droit</t>
  </si>
  <si>
    <t>Terminazione di gronda (dritta)</t>
  </si>
  <si>
    <t>Ukončení okapnice kolmé</t>
  </si>
  <si>
    <t>Zakończenie okapu (proste)</t>
  </si>
  <si>
    <t>ereszzáró (egyenes)</t>
  </si>
  <si>
    <t>ukončenie odkvapu (rovné)</t>
  </si>
  <si>
    <t>Afsluiting dakrand (recht)</t>
  </si>
  <si>
    <t>Zaključek napušča (raven)</t>
  </si>
  <si>
    <t>takfotsände (rak)</t>
  </si>
  <si>
    <t>Tagudhæng (lige)</t>
  </si>
  <si>
    <t>Takskjeggavslutning (rett)</t>
  </si>
  <si>
    <t>Završetak strehe (ravni)</t>
  </si>
  <si>
    <t>Traufenausbildung</t>
  </si>
  <si>
    <t>eaves construction</t>
  </si>
  <si>
    <t>réalisation d’un égout</t>
  </si>
  <si>
    <t>Raccordo alla gronda</t>
  </si>
  <si>
    <t>Detail okapní hrany</t>
  </si>
  <si>
    <t>Konstrukcja okapu</t>
  </si>
  <si>
    <t>ereszkialakítás</t>
  </si>
  <si>
    <t>vytvorenie odkvapu</t>
  </si>
  <si>
    <t>Dakrandvorming</t>
  </si>
  <si>
    <t>Oblikovanje napušča</t>
  </si>
  <si>
    <t>takfotsutformning</t>
  </si>
  <si>
    <t>Tagudhængsdesign</t>
  </si>
  <si>
    <t>Takskjeggoppbygging</t>
  </si>
  <si>
    <t>Konstrukcija strehe</t>
  </si>
  <si>
    <t>Traufenausbildung mit Kastenrinne</t>
  </si>
  <si>
    <t>eaves construction with box gutter</t>
  </si>
  <si>
    <t>réalisation d’un égout avec gouttière carrée</t>
  </si>
  <si>
    <t>Raccordo alla gronda con canale quadro</t>
  </si>
  <si>
    <t>Detail okapní hrany s hranatým žlabem</t>
  </si>
  <si>
    <t>Konstrukcja okapu z rynną skrzynkową</t>
  </si>
  <si>
    <t>ereszkialakítás négyszögszelvényű ereszcsatornával</t>
  </si>
  <si>
    <t>vytvorenie odkvapu pomocou hranatého žľabu</t>
  </si>
  <si>
    <t>Dakrandvorming met bakgoot</t>
  </si>
  <si>
    <t>Oblikovanje napušča s pravokotnim žlebom</t>
  </si>
  <si>
    <t>takfotsutformning med lådränna</t>
  </si>
  <si>
    <t>Tagudhængsdesign med kasserende</t>
  </si>
  <si>
    <t>Takskjeggoppbygging med firkantet renne</t>
  </si>
  <si>
    <t>Konstrukcija strehe sa sandučastim žlijebom</t>
  </si>
  <si>
    <t>Traufenausbildung mit Rinne</t>
  </si>
  <si>
    <t>eaves construction with gutter</t>
  </si>
  <si>
    <t>réalisation d’un égout avec gouttière</t>
  </si>
  <si>
    <t>Raccordo alla gronda con canale</t>
  </si>
  <si>
    <t>Detail okapní hrany s půlkulatým žlabem</t>
  </si>
  <si>
    <t>Konstrukcja okapu z rynną</t>
  </si>
  <si>
    <t>ereszkialakítás csatornával</t>
  </si>
  <si>
    <t>vytvorenie odkvapu pomocou polkruhového žľabu</t>
  </si>
  <si>
    <t>Dakrandvorming met goot</t>
  </si>
  <si>
    <t>Oblikovanje napušča z žlebom</t>
  </si>
  <si>
    <t>takfotsutformning med ränna</t>
  </si>
  <si>
    <t>Tagudhængsdesign med rende</t>
  </si>
  <si>
    <t>Takskjeggoppbygging med renne</t>
  </si>
  <si>
    <t>Konstrukcija strehe sa žlijebom</t>
  </si>
  <si>
    <t>Traufenausbildung mit Rinnenhaken hochkant (gedreht)</t>
  </si>
  <si>
    <t>eaves construction with upright gutter bracket</t>
  </si>
  <si>
    <t>réalisation d’un égout avec crochet de chant (chantourné)</t>
  </si>
  <si>
    <t>Detail okapní hrany se zpevněným hákem přetočeným</t>
  </si>
  <si>
    <t>Konstrukcja okapu z uchwytem do montażu rynny w pozycji pionowej (obróconym)</t>
  </si>
  <si>
    <t>ereszkialakítás függőleges csatornatartó elemmel (fordított)</t>
  </si>
  <si>
    <t>vytvorenie odkvapu pomocou spevneného háku polkruhového žľabu (stočeného)</t>
  </si>
  <si>
    <t>Dakrandvorming met goothaak aan de rand (gedraaid)</t>
  </si>
  <si>
    <t>Oblikovanje napušča s kavljem za žleb z visokim robom (obrnjen)</t>
  </si>
  <si>
    <t>takfotsutformning med rännkrokar högkant (vriden)</t>
  </si>
  <si>
    <t>Tagudhængsdesign med rendejern højkant (drejet)</t>
  </si>
  <si>
    <t>Takskjeggoppbygging med rennekroker med høy kant (dreid)</t>
  </si>
  <si>
    <t>Konstrukcija strehe s kukom žlijeba, na kant (okrenuta)</t>
  </si>
  <si>
    <t>Traufenausbildung mit Rinnenhaken hochkant (Variante 1)</t>
  </si>
  <si>
    <t>eaves construction with upright gutter bracket (variant 1)</t>
  </si>
  <si>
    <t>réalisation d’un égout avec crochet de chant (variante 1)</t>
  </si>
  <si>
    <t>Detail okapní hrany se zpevněným hákem Var.1</t>
  </si>
  <si>
    <t>Konstrukcja okapu z uchwytem do montażu rynny w pozycji pionowej (wariant 1)</t>
  </si>
  <si>
    <t>ereszkialakítás függőleges csatornatartó elemmel (1. változat)</t>
  </si>
  <si>
    <t>vytvorenie odkvapu pomocou spevneného háku polkruhového žľabu (variant 1)</t>
  </si>
  <si>
    <t>Dakrandvorming met goothaak aan de rand (variant 1)</t>
  </si>
  <si>
    <t>Oblikovanje napušča s kavljem za žleb z visokim robom (različica 1)</t>
  </si>
  <si>
    <t>takfotsutformning med rännkrokar högkant (variant 1)</t>
  </si>
  <si>
    <t>Tagudhængsdesign med rendejern højkant (variant 1)</t>
  </si>
  <si>
    <t>Takskjeggoppbygging med rennekroker med høy kant (variant 1)</t>
  </si>
  <si>
    <t>Konstrukcija strehe s kukom žlijeba, na kant (varijanta 1)</t>
  </si>
  <si>
    <t>Traufenausbildung mit Rinnenhaken hochkant (Variante 2)</t>
  </si>
  <si>
    <t>eaves construction with upright gutter bracket (variant 2)</t>
  </si>
  <si>
    <t>réalisation d’un égout avec crochet de chant (variante 2)</t>
  </si>
  <si>
    <t>Detail okapní hrany se zpevněným hákem Var.2</t>
  </si>
  <si>
    <t>Konstrukcja okapu z uchwytem do montażu rynny w pozycji pionowej (wariant 2)</t>
  </si>
  <si>
    <t>ereszkialakítás függőleges csatornatartó elemmel (2. változat)</t>
  </si>
  <si>
    <t>vytvorenie odkvapu pomocou spevneného háku polkruhového žľabu (variant 2)</t>
  </si>
  <si>
    <t>Dakrandvorming met goothaak aan de rand (variant 2)</t>
  </si>
  <si>
    <t>Oblikovanje napušča s kavljem za žleb z visokim robom (različica 2)</t>
  </si>
  <si>
    <t>takfotsutformning med rännkrokar högkant (variant 2)</t>
  </si>
  <si>
    <t>Tagudhængsdesign med rendejern højkant (variant 2)</t>
  </si>
  <si>
    <t>Takskjeggoppbygging med rennekroker med høy kant (variant 2)</t>
  </si>
  <si>
    <t>Konstrukcija strehe s kukom žlijeba, na kant (varijanta 2)</t>
  </si>
  <si>
    <t>Traufenausbildung mit Saumrinne</t>
  </si>
  <si>
    <t>eaves construction with on-roof gutter</t>
  </si>
  <si>
    <t>réalisation d’un égout avec gouttière havraise</t>
  </si>
  <si>
    <t>Raccordo alla gronda con grondaia cornicione</t>
  </si>
  <si>
    <t>Detail okapní hrany s nástřešním žlabem</t>
  </si>
  <si>
    <t>Konstrukcja okapu z rynną leżącą</t>
  </si>
  <si>
    <t>ereszkialakítás fekvő eresszel</t>
  </si>
  <si>
    <t>vytvorenie odkvapu pomocou nástrešného žľabu</t>
  </si>
  <si>
    <t>Dakrandvorming met dakgoot</t>
  </si>
  <si>
    <t>Oblikovanje napušča z robnim žlebom</t>
  </si>
  <si>
    <t>takfotsutformning med sömränna</t>
  </si>
  <si>
    <t>Tagudhængsdesign med fodrende</t>
  </si>
  <si>
    <t>Takskjeggoppbygging med falsrenne</t>
  </si>
  <si>
    <t>Konstrukcija strehe s ležećim žlijebom</t>
  </si>
  <si>
    <t>Traufenausbildung bei Saumrinne</t>
  </si>
  <si>
    <t>eaves construction — on-roof gutter</t>
  </si>
  <si>
    <t>réalisation d’un égout pour gouttière havraise</t>
  </si>
  <si>
    <t>Raccordo alla gronda per grondaia cornicione</t>
  </si>
  <si>
    <t>Konstrukcja okapu przy rynnie leżącej</t>
  </si>
  <si>
    <t>ereszkialakítás fekvő eresz esetén</t>
  </si>
  <si>
    <t>vytvorenie odkvapu pri nástrešnom žľabe</t>
  </si>
  <si>
    <t>Dakrandvorming bij dakgoot</t>
  </si>
  <si>
    <t>Oblikovanje napušča pri robnem žlebu</t>
  </si>
  <si>
    <t>takfotsutformning vid sömrännan</t>
  </si>
  <si>
    <t>Tagudhængsdesign ved fodrende</t>
  </si>
  <si>
    <t>Takskjeggoppbygging ved falsrenne</t>
  </si>
  <si>
    <t>Konstrukcija strehe kod ležećeg žlijeba</t>
  </si>
  <si>
    <t>Traufenausbildung bei Saumrinne (mit Hinterlüftung)</t>
  </si>
  <si>
    <t>eaves construction — on-roof gutter with ventilation gap</t>
  </si>
  <si>
    <t>réalisation d’un égout pour gouttière havraise (avec lame d’air ventilée)</t>
  </si>
  <si>
    <t>Raccordo alla gronda per grondaia cornicione (con retroventilazione)</t>
  </si>
  <si>
    <t>Detail okapní hrany s nástřešním žlabem s odvětráním</t>
  </si>
  <si>
    <t>Konstrukcja okapu przy rynnie leżącej (z wentylowaną pustką powietrzną)</t>
  </si>
  <si>
    <t>ereszkialakítás fekvő eresz esetén (átszellőztetéssel)</t>
  </si>
  <si>
    <t>vytvorenie odkvapu pri nástrešnom žľabe (s prevetrávanou medzerou)</t>
  </si>
  <si>
    <t>Dakrandvorming bij dakgoot (met ventilatie via achterkant)</t>
  </si>
  <si>
    <t>Oblikovanje napušča pri robnem žlebu (s prezračevanjem)</t>
  </si>
  <si>
    <t>takfotsutformning vid sömrännan (med bakventilation)</t>
  </si>
  <si>
    <t>Tagudhængsdesign ved fodrende (med ventilation)</t>
  </si>
  <si>
    <t>Takskjeggoppbygging ved falsrenne (med baklufting)</t>
  </si>
  <si>
    <t>Konstrukcija strehe kod ležećeg žlijeba (sa stražnjom ventilacijom)</t>
  </si>
  <si>
    <t>Traufenstreifen</t>
  </si>
  <si>
    <t>Listwa okapowa</t>
  </si>
  <si>
    <t>ereszszalag</t>
  </si>
  <si>
    <t>odkvapové pásy</t>
  </si>
  <si>
    <t>Dakrandstrips</t>
  </si>
  <si>
    <t>Napuščni trak</t>
  </si>
  <si>
    <t>takfotsrand</t>
  </si>
  <si>
    <t>Tagudhængsliste</t>
  </si>
  <si>
    <t>Takskjegglister</t>
  </si>
  <si>
    <t>Traka za strehe</t>
  </si>
  <si>
    <t>Traufstreifen</t>
  </si>
  <si>
    <t>Pas okapowy</t>
  </si>
  <si>
    <t>odkvapový pás</t>
  </si>
  <si>
    <t>Dakrandstrip</t>
  </si>
  <si>
    <t>takfotsremsa</t>
  </si>
  <si>
    <t>Takfotlister</t>
  </si>
  <si>
    <t>Traka za strehu</t>
  </si>
  <si>
    <t>Trennlage (bituminöse Unterdeckbahn)</t>
  </si>
  <si>
    <t>separating layer (bitumen roof underlay)</t>
  </si>
  <si>
    <t>couche de séparation (lé de sous-couverture bitumineux)</t>
  </si>
  <si>
    <t>Strato separatore (membrana sottomanto bituminosa)</t>
  </si>
  <si>
    <t>Warstwa rozdzielająca (bitumiczna membrana szalunkowa)</t>
  </si>
  <si>
    <t>elválasztóréteg (bitumenes tetőalátét)</t>
  </si>
  <si>
    <t>separačná vrstva (bitúmenový podkladový pás)</t>
  </si>
  <si>
    <t>Scheidingslaag (bitumineus schoorsteenmembraan)</t>
  </si>
  <si>
    <t>Ločilni sloj (bitumenski podstrešni trak)</t>
  </si>
  <si>
    <t>separationsskikt (bituminöst underlagsmembran)</t>
  </si>
  <si>
    <t>Skillelag (bituminøst undertag)</t>
  </si>
  <si>
    <t>Skillelag (underliggende dekklag i bitumenpapp)</t>
  </si>
  <si>
    <t>Razdvojni sloj (bitumenska podloga)</t>
  </si>
  <si>
    <t>Tropfblech</t>
  </si>
  <si>
    <t>drip flashing</t>
  </si>
  <si>
    <t>larmier</t>
  </si>
  <si>
    <t>Gocciolatoio</t>
  </si>
  <si>
    <t>okapnice</t>
  </si>
  <si>
    <t>Blacha ociekowa</t>
  </si>
  <si>
    <t>csepegtető lemez</t>
  </si>
  <si>
    <t>odkvapkávací plech</t>
  </si>
  <si>
    <t>Lekbak</t>
  </si>
  <si>
    <t>Odkapna pločevina</t>
  </si>
  <si>
    <t>droppbricka</t>
  </si>
  <si>
    <t>Drypplate</t>
  </si>
  <si>
    <t>Lim za zaustavljanje vode</t>
  </si>
  <si>
    <t>Überbügel</t>
  </si>
  <si>
    <t>reinforcement hanger</t>
  </si>
  <si>
    <t>bride de renfort</t>
  </si>
  <si>
    <t>Tirante</t>
  </si>
  <si>
    <t>Zpevňující prvek žlabu</t>
  </si>
  <si>
    <t>wieszak zbrojeniowy</t>
  </si>
  <si>
    <t>merevítő elem</t>
  </si>
  <si>
    <t>prípravok na vŕtanie</t>
  </si>
  <si>
    <t>bovenbeugel</t>
  </si>
  <si>
    <t>Vrhnji nosilec</t>
  </si>
  <si>
    <t>överbygel</t>
  </si>
  <si>
    <t>overbøjle</t>
  </si>
  <si>
    <t>stagbånd</t>
  </si>
  <si>
    <t>Prečka</t>
  </si>
  <si>
    <t>Übergangsverblechung</t>
  </si>
  <si>
    <t>transition flashing</t>
  </si>
  <si>
    <t>bande de recouvrement de la ligne de bris</t>
  </si>
  <si>
    <t>Conversa di raccordo</t>
  </si>
  <si>
    <t>přechodové oplechování</t>
  </si>
  <si>
    <t>Obudowa przejściowa</t>
  </si>
  <si>
    <t>átmeneti lemez</t>
  </si>
  <si>
    <t>prechodové oplechovanie</t>
  </si>
  <si>
    <t>Overgangsbeplating</t>
  </si>
  <si>
    <t>Opločevinjenje prehoda</t>
  </si>
  <si>
    <t>övergångsplåt</t>
  </si>
  <si>
    <t>Overgangsplade</t>
  </si>
  <si>
    <t>Overgangsplate</t>
  </si>
  <si>
    <t>Prijelazni lim</t>
  </si>
  <si>
    <t>Überlappung: 100 mm</t>
  </si>
  <si>
    <t>overlap: 100 mm</t>
  </si>
  <si>
    <t>chevauchement : 100 mm</t>
  </si>
  <si>
    <t>Sovrapposizione: 100 mm</t>
  </si>
  <si>
    <t>Přeložení 100 mm</t>
  </si>
  <si>
    <t>Nakładanie się: 100 mm</t>
  </si>
  <si>
    <t>átfedés: 100 mm</t>
  </si>
  <si>
    <t>Preloženie: 100 mm</t>
  </si>
  <si>
    <t>Overlapping: 100 mm</t>
  </si>
  <si>
    <t>Prekrivanje: 100 mm</t>
  </si>
  <si>
    <t>överlappning: 100 mm</t>
  </si>
  <si>
    <t>Overlapning: 100 mm</t>
  </si>
  <si>
    <t>Preklapanje: 100 mm</t>
  </si>
  <si>
    <t>Überschubteil mit Rohr zum First</t>
  </si>
  <si>
    <t>protective cap with pipe to ridge</t>
  </si>
  <si>
    <t>manchon de protection avec tuyau orienté vers le faîte</t>
  </si>
  <si>
    <t>Parte in sovrapposizione con il tubo fino al colmo</t>
  </si>
  <si>
    <t>kabelový kanál s vývodem ke hřebeni</t>
  </si>
  <si>
    <t>Kształtka dokręcana z rurą do kalenicy</t>
  </si>
  <si>
    <t>védősapka csővel a gerincre</t>
  </si>
  <si>
    <t>zásuvný diel s rúrou k hrebeňu</t>
  </si>
  <si>
    <t>Overlappend deel met pijp naar de nok</t>
  </si>
  <si>
    <t>Narivni del s cevjo na greben</t>
  </si>
  <si>
    <t>Överskjutande del med rör till nock</t>
  </si>
  <si>
    <t>Beskyttelsesdel med rør til rygning</t>
  </si>
  <si>
    <t>Overskyvningsdel med rør til mønet</t>
  </si>
  <si>
    <t>Poklopac s cijevi do sljemena</t>
  </si>
  <si>
    <t>Umbau und Sanierungsarbeiten an der Dacheindeckung</t>
  </si>
  <si>
    <t>renovation work on the roof covering</t>
  </si>
  <si>
    <t>modifications et travaux de rénovation de la couverture</t>
  </si>
  <si>
    <t>Lavori di conversione e ristrutturazione della copertura del tetto</t>
  </si>
  <si>
    <t>rekonstrukce nebo sanace střešní krytiny</t>
  </si>
  <si>
    <t>Prace związane z przebudową i renowacją pokrycia dachowego</t>
  </si>
  <si>
    <t>átalakítási és felújítási munkálatok a tetőfedésen</t>
  </si>
  <si>
    <t>prestavba a rekonštručné práce na strešnej krytine</t>
  </si>
  <si>
    <t>Verbouwings- en renovatiewerkzaamheden aan de dakbedekking</t>
  </si>
  <si>
    <t>Preureditev in sanacija strešne kritine</t>
  </si>
  <si>
    <t>Ombyggnad och renovering av takbeläggning</t>
  </si>
  <si>
    <t>Ombygnings- og renoveringsarbejder på tagdækningen</t>
  </si>
  <si>
    <t>Ombygging og renoveringsarbeid på takbelegget</t>
  </si>
  <si>
    <t>Radovi na prenamjeni i sanaciji krovnog pokrova</t>
  </si>
  <si>
    <t>Universaleinfassung (2-teilig); glatt; ⌀ 40–120 mm</t>
  </si>
  <si>
    <t>universal flashing, 2 parts, smooth, Ø 40–120 mm</t>
  </si>
  <si>
    <t>raccordement universel (deux éléments) ; lisse ; ⌀ 40-120 mm</t>
  </si>
  <si>
    <t>Conversa universale, 2pezzi, liscia, per tubi Ø 40 - 120 mm</t>
  </si>
  <si>
    <t>Univerzální prostup 2 dílný, hladký, Ø 40 - 120 mm</t>
  </si>
  <si>
    <t>element uniwersalny wentylacyjny dwuczęściowy, gładki, Ø 40–120 mm</t>
  </si>
  <si>
    <t>univerzális kivezető elem, 2-részes, sima, Ø 40 - 120 mm</t>
  </si>
  <si>
    <t>univerzálny prestupový prvok, 2 dielny, hladký, Ø 40 - 120 mm</t>
  </si>
  <si>
    <t>universele omlijsting 2-delig, glad, Ø 40 - 120 mm</t>
  </si>
  <si>
    <t>univerzalna dvodelna prehodna plošča, gladka premer 40 - 120 mm</t>
  </si>
  <si>
    <t>universalinfattning i två delar, slät, Ø 40-120 mm</t>
  </si>
  <si>
    <t>indfatningsplade todelt, glat, Ø 40 - 120 mm</t>
  </si>
  <si>
    <t>universalinnfatning 2-delt, glatt, Ø 40 - 120 mm</t>
  </si>
  <si>
    <t>Univerzalni opšav (2-dijelni); glatko; ⌀ 40–120 mm</t>
  </si>
  <si>
    <t>Ein Unterdach ist in folgenden Fällen erforderlich:</t>
  </si>
  <si>
    <t>At all events, underlay must be installed:</t>
  </si>
  <si>
    <t>Dans les cas suivants, la pose de lés de sous-couverture est requise :</t>
  </si>
  <si>
    <t>Un sottotetto è necessario nei seguenti casi:</t>
  </si>
  <si>
    <t>Pojistné hydroizolace se vždy navrhují</t>
  </si>
  <si>
    <t>Pokrycie więźby dachowej (krycie wstępne) jest wymagane w następujących przypadkach:</t>
  </si>
  <si>
    <t>a következő esetekben van szükség alsó tetősíkra:</t>
  </si>
  <si>
    <t>Podstrešie je potrebné v nasledujúcich prípadoch:</t>
  </si>
  <si>
    <t>Een onderdak is vereist in de volgende gevallen:</t>
  </si>
  <si>
    <t>Podstreha je potrebna v naslednjih primerih:</t>
  </si>
  <si>
    <t>Ett undertak krävs i följande fall:</t>
  </si>
  <si>
    <t>Et undertag er påkrævet i følgende tilfælde:</t>
  </si>
  <si>
    <t>Det kreves undertak i følgende tilfeller:</t>
  </si>
  <si>
    <t>Potkrov je potreban u sljedećim slučajevima:</t>
  </si>
  <si>
    <t>Unterdach-Traufenstreifen</t>
  </si>
  <si>
    <t>underlayment eaves apron strip</t>
  </si>
  <si>
    <t>bande de départ de lé de sous-couverture</t>
  </si>
  <si>
    <t>Scossalina sottotetto</t>
  </si>
  <si>
    <t>okapnička</t>
  </si>
  <si>
    <t>Listwa okapowa pokrycia więźby dachowej</t>
  </si>
  <si>
    <t>ereszszalag az alsó tetősíkhoz</t>
  </si>
  <si>
    <t>podstrešný odkvapový pás</t>
  </si>
  <si>
    <t>Onderdak-dakrandstrips</t>
  </si>
  <si>
    <t>Napuščni trak za podstreho</t>
  </si>
  <si>
    <t>takfotsremsa undertak</t>
  </si>
  <si>
    <t>Undertag- tagudhængsliste</t>
  </si>
  <si>
    <t>Takskjegglister undertak</t>
  </si>
  <si>
    <t>Potkrovna traka za strehu</t>
  </si>
  <si>
    <t>Unterdeckbahn</t>
  </si>
  <si>
    <t>roof underlay</t>
  </si>
  <si>
    <t>lé de sous-couverture</t>
  </si>
  <si>
    <t>Membrana sottomanto</t>
  </si>
  <si>
    <t>pojistná hydroizolace</t>
  </si>
  <si>
    <t>Membrana szalunkowa</t>
  </si>
  <si>
    <t>tetőalátét</t>
  </si>
  <si>
    <t>Schoorsteenmembraan</t>
  </si>
  <si>
    <t>Podstrešni trak</t>
  </si>
  <si>
    <t>underlagsmembran</t>
  </si>
  <si>
    <t>Undertag</t>
  </si>
  <si>
    <t>Underliggende dekklag</t>
  </si>
  <si>
    <t>Podloga</t>
  </si>
  <si>
    <t>Unterdeckbahn erhöht regensicher (mit BauderTOP UDS 3 NK)</t>
  </si>
  <si>
    <t>roof underlay with enhanced rain-proofing (with BauderTOP UDS 3 NK)</t>
  </si>
  <si>
    <t>lé de sous-couverture pour une résistance accrue à la pénétration d’eau (avec BauderTOP UDS 3 NK)</t>
  </si>
  <si>
    <t>Membrana sottomanto con aumento dell'impermeabilità alla pioggia (con BauderTOP UDS 3 NK)</t>
  </si>
  <si>
    <t>pojistná hydroizolace deštitěsná (BauderTOP UDS 3)</t>
  </si>
  <si>
    <t>Membrana szalunkowa o podwyższonej odporności na deszcz (z BauderTOP UDS 3 NK)</t>
  </si>
  <si>
    <t>tetőalátét fokozott esővédelemmel (BauderTOP UDS 3 NK-val)</t>
  </si>
  <si>
    <t>Podkladový pás zvyšuje ochranu proti dažďovej vode (s BauderTOP UDS 3 NSK)</t>
  </si>
  <si>
    <t>Schoorsteenmembraan verhoogt regendichtheid (met BauderTOP UDS 3 NK)</t>
  </si>
  <si>
    <t>Podstrešni trak poveča odpornost na dež (z BauderTOP UDS 3 NK)</t>
  </si>
  <si>
    <t>Extra regntätt underlagsmembran (med BauderTOP UDS 3 NK)</t>
  </si>
  <si>
    <t>Undertag øget regnsikkerhed (med BauderTOP UDS 3 NK)</t>
  </si>
  <si>
    <t>Et underliggende dekklag øker regnsikkerheten (med BauderTOP UDS 3 NK)</t>
  </si>
  <si>
    <t>Povišena podloga otporna na kišu (s BauderTOP UDS 3 NK)</t>
  </si>
  <si>
    <t>Unterdeckbahn (lt. Tabelle)</t>
  </si>
  <si>
    <t xml:space="preserve">roof underlay (according to table)  </t>
  </si>
  <si>
    <t>lé de sous-couverture (cf. tableau)</t>
  </si>
  <si>
    <t>Membrana sottomanto (secondo la tabella)</t>
  </si>
  <si>
    <t>pojistná hydroizolace dle tabulky</t>
  </si>
  <si>
    <t>Membrana szalunkowa (patrz tabela)</t>
  </si>
  <si>
    <t>tetőalátét (táblázat szerint)</t>
  </si>
  <si>
    <t>podkladový pás (podľa tabuľky)</t>
  </si>
  <si>
    <t>Schoorsteenmembraan (volgens tabel)</t>
  </si>
  <si>
    <t>Podstrešni trak (v skladu s tabelo)</t>
  </si>
  <si>
    <t>underlagsmembran (enl. tabell)</t>
  </si>
  <si>
    <t>Undertag (iht. tabel)</t>
  </si>
  <si>
    <t>Underliggende dekklag (iht. tabell)</t>
  </si>
  <si>
    <t>Podloga (prema tablici)</t>
  </si>
  <si>
    <t>Unterdeckbahn (lt. Tabelle; senkrecht zur Traufe verlegt)</t>
  </si>
  <si>
    <t>roof underlay (according to table; installed vertically to eaves)</t>
  </si>
  <si>
    <t>lé de sous-couverture (cf. tableau ; posé verticalement par rapport à l’égout)</t>
  </si>
  <si>
    <t>Membrana sottomanto (secondo la tabella; posata perpendicolarmente rispetto alla grondaia)</t>
  </si>
  <si>
    <t>pojistná hydroizolace dle tabulky (položená kolmo na okapní hranu)</t>
  </si>
  <si>
    <t>Membrana szalunkowa (patrz tabela; ułożona prostopadle do okapu)</t>
  </si>
  <si>
    <t>tetőalátét (táblázat szerint; az ereszre merőlegesen fektetve)</t>
  </si>
  <si>
    <t>podkladový pás (podľa tabuľka; položený kolmo k odkvapu)</t>
  </si>
  <si>
    <t>Schoorsteenmembraan (volgens tabel; loodrecht op de dakrand gelegd)</t>
  </si>
  <si>
    <t>Podstrešni trak (v skladu s tabelo; položena navpično proti napušču)</t>
  </si>
  <si>
    <t>underlagsmembran (enl. tabell; installerat vinkelrätt mot takfoten)</t>
  </si>
  <si>
    <t>Undertag (iht. tabel; monteret vinkelret på tagudhænget)</t>
  </si>
  <si>
    <t>Underliggende dekklag (iht. tabell; lagt vinkelrett mot takskjegget)</t>
  </si>
  <si>
    <t>Podloga (prema tablici, postavljena okomito na strehu)</t>
  </si>
  <si>
    <t>Unterlage für Laufroststützen</t>
  </si>
  <si>
    <t>underlay for walkway grating supports</t>
  </si>
  <si>
    <t>plaque de calage pour support de chemin de circulation</t>
  </si>
  <si>
    <t>Supporto per le staffe della griglia pedonabile</t>
  </si>
  <si>
    <t>podložka pod držák stoupací plošiny</t>
  </si>
  <si>
    <t>Podkład pod wspornik podestu</t>
  </si>
  <si>
    <t>járórácstartó elem alátéte</t>
  </si>
  <si>
    <t>podložka pre držiaky vodiaceho roštu</t>
  </si>
  <si>
    <t>Onderlaag voor looproosterdragers</t>
  </si>
  <si>
    <t>Podloga za opornike pohodne rešetke</t>
  </si>
  <si>
    <t>underlag för gallerdurkstöd</t>
  </si>
  <si>
    <t>Underlag til ristholder</t>
  </si>
  <si>
    <t>Underlag for stigriststøtter</t>
  </si>
  <si>
    <t>Podloga za nosače za rešetku za hodanje</t>
  </si>
  <si>
    <t>Unterlagsbahn</t>
  </si>
  <si>
    <t>underlay</t>
  </si>
  <si>
    <t>Membrana di supporto</t>
  </si>
  <si>
    <t>separační vrstva</t>
  </si>
  <si>
    <t>Podkład</t>
  </si>
  <si>
    <t>alátét</t>
  </si>
  <si>
    <t>Onderlaagmembraan</t>
  </si>
  <si>
    <t>Podložna membrana</t>
  </si>
  <si>
    <t>underlag</t>
  </si>
  <si>
    <t>Underlagsbane</t>
  </si>
  <si>
    <t>Osnovni sloj</t>
  </si>
  <si>
    <t>Unterlagsplatte</t>
  </si>
  <si>
    <t>base plate</t>
  </si>
  <si>
    <t>plaque de support</t>
  </si>
  <si>
    <t>Piastra di supporto</t>
  </si>
  <si>
    <t>Montážní podložka</t>
  </si>
  <si>
    <t>Blacha podkładowa</t>
  </si>
  <si>
    <t>spevňovacia podložka</t>
  </si>
  <si>
    <t>Steunplaat</t>
  </si>
  <si>
    <t>Podložna plošča</t>
  </si>
  <si>
    <t>underlagsplatta</t>
  </si>
  <si>
    <t>Underlagsplade</t>
  </si>
  <si>
    <t>Underlagsplate</t>
  </si>
  <si>
    <t>Osnovna ploča</t>
  </si>
  <si>
    <t>Unterlagsplatte (540 × 125 mm [Länge × Breite]; stucco)</t>
  </si>
  <si>
    <t>base plate (length = 540 × width = 125 mm), stucco</t>
  </si>
  <si>
    <t>plaque de support (540 × 125 mm [longueur × largeur] ; stucco)</t>
  </si>
  <si>
    <t>Sottopiastra L=540 x B=125 mm, goffrata</t>
  </si>
  <si>
    <t>Montážní podložka D=540 x Š=125 mm, stucco</t>
  </si>
  <si>
    <t>element podkładowy (długość = 540 × szerokość = 125 mm), stucco</t>
  </si>
  <si>
    <t>alátétlemez H=540 x SZ=125mm, stukkó</t>
  </si>
  <si>
    <t>montážna podložka D=540 x Š=125 mm, stucco</t>
  </si>
  <si>
    <t>steunplaat L=540 x B=125 mm, stucco</t>
  </si>
  <si>
    <t>podložna plošča L=540 x B=125 mm, stucco</t>
  </si>
  <si>
    <t>underlagsskiva L = 540 x B = 125 mm, stuckatur</t>
  </si>
  <si>
    <t>underlagsplade L=540 x B=125 mm, stucco</t>
  </si>
  <si>
    <t>underlagsplate L=540 x B=125 mm, stucco</t>
  </si>
  <si>
    <t>Osnovna ploča (540 × 125 mm [duljina × širina]; stucco)</t>
  </si>
  <si>
    <t>Unterlagsplatte (680 × 125 mm [Länge × Breite]; stucco)</t>
  </si>
  <si>
    <t>base plate (length = 680 × width = 125 mm), stucco</t>
  </si>
  <si>
    <t>plaque de support (680 × 125 mm [longueur × largeur] ; stucco)</t>
  </si>
  <si>
    <t>Sottopiastra L=680 x B=125 mm, goffrata</t>
  </si>
  <si>
    <t>Montážní podložka D=680 x Š=125 mm, stucco</t>
  </si>
  <si>
    <t>element podkładowy (długość = 680 × szerokość = 125 mm), stucco</t>
  </si>
  <si>
    <t>alátétlemez H=680 x SZ=125mm, stukkó</t>
  </si>
  <si>
    <t>montážna podložka D=680 x Š=125 mm, stucco</t>
  </si>
  <si>
    <t>steunplaat L=680 x B=125 mm, stucco</t>
  </si>
  <si>
    <t>podložna plošča L=680 x B=125 mm, stucco</t>
  </si>
  <si>
    <t>underlagsskiva L = 680 x B = 125 mm, stuckatur</t>
  </si>
  <si>
    <t>underlagsplade L=680 x B=125 mm, stucco</t>
  </si>
  <si>
    <t>underlagsplate L=680 x B=125 mm, stucco</t>
  </si>
  <si>
    <t>Osnovna ploča (680 × 125 mm [duljina × širina]; stucco)</t>
  </si>
  <si>
    <t>Unterschreitung der Regeldachneigung</t>
  </si>
  <si>
    <t>reference roof pitch is less than the recommended regulations</t>
  </si>
  <si>
    <t>pente de toit inférieure à l’inclinaison prescrite par les réglementations</t>
  </si>
  <si>
    <t>Superamento della pendenza standard del tetto</t>
  </si>
  <si>
    <t>nedodržení bezpečného sklonu střechy</t>
  </si>
  <si>
    <t>Spadek poniżej standardowego kąta nachylenia dachu</t>
  </si>
  <si>
    <t>szabványos tetőhajlásszög kisebb, mint az ajánlott érték</t>
  </si>
  <si>
    <t>nedosiahnutie predpísaného sklonu strechy</t>
  </si>
  <si>
    <t>Onder de standaard dakhelling</t>
  </si>
  <si>
    <t>Padec pod standardni naklon strehe</t>
  </si>
  <si>
    <t>underskridning standard taklutning</t>
  </si>
  <si>
    <t>Taghældning under standard</t>
  </si>
  <si>
    <t>Underskridelse av standard takhelling</t>
  </si>
  <si>
    <t>Ispod standardnog nagiba krova</t>
  </si>
  <si>
    <t>UZ-Profil</t>
  </si>
  <si>
    <t>UZ-profile</t>
  </si>
  <si>
    <t>profil UZ</t>
  </si>
  <si>
    <t>Profilo UZ</t>
  </si>
  <si>
    <t>Profil UZ</t>
  </si>
  <si>
    <t>UZ-profil</t>
  </si>
  <si>
    <t>UZ-profiel</t>
  </si>
  <si>
    <t>UZ profil</t>
  </si>
  <si>
    <t>Variante</t>
  </si>
  <si>
    <t>variant</t>
  </si>
  <si>
    <t>variante</t>
  </si>
  <si>
    <t>Varianta</t>
  </si>
  <si>
    <t>Wariant</t>
  </si>
  <si>
    <t>változat</t>
  </si>
  <si>
    <t>Varianten</t>
  </si>
  <si>
    <t>Različica</t>
  </si>
  <si>
    <t>Variant</t>
  </si>
  <si>
    <t>Varijanta</t>
  </si>
  <si>
    <t>Variante 1 – Fuge offen (Wärmedämmung sichtbar)</t>
  </si>
  <si>
    <t>variant 1 – open joint (thermal insulation is visible)</t>
  </si>
  <si>
    <t>variante 1 — joint creux ouvert (isolation thermique visible)</t>
  </si>
  <si>
    <t>Variante 1 - Fuga aperta (coibentazione visibile)</t>
  </si>
  <si>
    <t>Varianta 1 – otevřená spára (tepelná izolace je vidět)</t>
  </si>
  <si>
    <t>Wariant 1 – Spoina otwarta (widoczna izolacja termiczna)</t>
  </si>
  <si>
    <t>1. változat – nyitott fuga (látható hőszigetelés)</t>
  </si>
  <si>
    <t>variant 1 – škára otvorená (tepelná izolácia viditeľná)</t>
  </si>
  <si>
    <t>Variant 1 - voegen open (thermische isolatie zichtbaar)</t>
  </si>
  <si>
    <t>Različica 1 – odprta fuga (vidna toplotna izolacija)</t>
  </si>
  <si>
    <t>Variant 1 – öppen fog (synlig isolering )</t>
  </si>
  <si>
    <t>Variant 1 – åben fuge (isolering synlig)</t>
  </si>
  <si>
    <t>Variant 1 – åpen fuge (varmeisolasjon er synlig)</t>
  </si>
  <si>
    <t>Varijanta 1 – otvorena fuga (toplinska izolacija vidljiva)</t>
  </si>
  <si>
    <t>Variante 2</t>
  </si>
  <si>
    <t>variant 2</t>
  </si>
  <si>
    <t>variante 2</t>
  </si>
  <si>
    <t>Varianta 2</t>
  </si>
  <si>
    <t>Wariant 2</t>
  </si>
  <si>
    <t>2. változat</t>
  </si>
  <si>
    <t>Variant 2</t>
  </si>
  <si>
    <t>Različica 2</t>
  </si>
  <si>
    <t>Varijanta 2</t>
  </si>
  <si>
    <t>Variante 2 – Fugenabdeckung (genietet)</t>
  </si>
  <si>
    <t>variant 2 – joint cover (riveted)</t>
  </si>
  <si>
    <t>variante 2 — couvre-joint (riveté)</t>
  </si>
  <si>
    <t>Variante 2 - Copertura fughe (rivettata)</t>
  </si>
  <si>
    <t>Varianta 2 – zakrytí spáry (nýtované)</t>
  </si>
  <si>
    <t>Wariant 2 – Osłona na spoinę (nitowana)</t>
  </si>
  <si>
    <t>2. változat – fugatakaró (szegecselt)</t>
  </si>
  <si>
    <t>variant 2 – krycí profil škáry (nitovaný)</t>
  </si>
  <si>
    <t>Variant 2 - voegafdekking (geklonken)</t>
  </si>
  <si>
    <t>Različica 2 – pokrita fuga (zakovičena)</t>
  </si>
  <si>
    <t>Variant 2 – fogskydd (nitat)</t>
  </si>
  <si>
    <t>Variant 2 – fugeafdækning (nittet)</t>
  </si>
  <si>
    <t>Variant 2 – fugedekke (spikret)</t>
  </si>
  <si>
    <t>Varijanta 2 – pokrov za fuge (zakovan)</t>
  </si>
  <si>
    <t>Variante mit Doppelstehfalz:</t>
  </si>
  <si>
    <t>double-lock standing seam variant:</t>
  </si>
  <si>
    <t>variante avec joint debout à double agrafe :</t>
  </si>
  <si>
    <t>Variante con aggraffatura doppia:</t>
  </si>
  <si>
    <t>Varianta dvojitá stojatá drážka:</t>
  </si>
  <si>
    <t>Wariant ze stojącym rąbkiem podwójnym:</t>
  </si>
  <si>
    <t>kettős állókorcos változat:</t>
  </si>
  <si>
    <t>Variant s dvojitou stojatou drážkou:</t>
  </si>
  <si>
    <t>Variant met dubbele naad</t>
  </si>
  <si>
    <t>Različica z dvojnim stoječim zgibom:</t>
  </si>
  <si>
    <t>Variant med dubbel stående fals:</t>
  </si>
  <si>
    <t>Varianter med dobbeltstående fals:</t>
  </si>
  <si>
    <t>Variant med stående dobbelfals:</t>
  </si>
  <si>
    <t>Varijanta s dvostrukim stojećim falcom:</t>
  </si>
  <si>
    <t>Variante mit Kittputzleiste</t>
  </si>
  <si>
    <t>variant with plaster sealing strip</t>
  </si>
  <si>
    <t>variante avec bande de solin fixée par joint mastic et enduit de parement</t>
  </si>
  <si>
    <t>Variante con coprifuga</t>
  </si>
  <si>
    <t>Varianta s omítkovou krycí lištou</t>
  </si>
  <si>
    <t>Wariant z listwą mocowaną na kit lub tynk</t>
  </si>
  <si>
    <t>változat vakolattömítő szalaggal</t>
  </si>
  <si>
    <t>variant s tmelovou omietkovou lištou</t>
  </si>
  <si>
    <t>Variant met plamuurstrip</t>
  </si>
  <si>
    <t>Različica z zaključno letvico</t>
  </si>
  <si>
    <t>Variant med kittputslist</t>
  </si>
  <si>
    <t>Variant med pudseliste</t>
  </si>
  <si>
    <t>Variant med gipslist til kitt</t>
  </si>
  <si>
    <t>Varijanta s gipsanom brtvenom lajsnom</t>
  </si>
  <si>
    <t>Variante mit Kittsteckleiste</t>
  </si>
  <si>
    <t>variant with hemmed plaster sealing strip</t>
  </si>
  <si>
    <t>variante avec profil de jonction fixé par joint mastic</t>
  </si>
  <si>
    <t>Variante con profilo a inserto stuccato</t>
  </si>
  <si>
    <t>Varianta s zásuvnou krycí lištou</t>
  </si>
  <si>
    <t>Wariant z listwą nasadkową</t>
  </si>
  <si>
    <t>változat viharléccel</t>
  </si>
  <si>
    <t>variant s tmelovou násuvnou lištou</t>
  </si>
  <si>
    <t>Variant met plamuurstaaf</t>
  </si>
  <si>
    <t>Različica z vtično letvico</t>
  </si>
  <si>
    <t>Variant med spackellist</t>
  </si>
  <si>
    <t>Variant med hullet gipstætningsliste</t>
  </si>
  <si>
    <t>Variant med stikklist til kitt</t>
  </si>
  <si>
    <t>Varijanta s obrubljenom gipsanom brtvenom lajsnom</t>
  </si>
  <si>
    <t>Variante nur bei Aluminium blank möglich; Einfalzen mit Sicke; zusätzlich löten.</t>
  </si>
  <si>
    <t>variant only possible with uncoated aluminium
fold in with ridge
perform additional soldering</t>
  </si>
  <si>
    <t>Variante disponible uniquement pour aluminium naturel ; agrafage avec moulure ; brasage supplémentaire à effectuer.</t>
  </si>
  <si>
    <t>Variante possibile solo con alluminio grezzo; aggraffatura con nervatura; in aggiunta saldatura.</t>
  </si>
  <si>
    <t>Varianta možná pouze u přírodního hliníku, zadrážkování do obruby, dodatečné letování</t>
  </si>
  <si>
    <t>Wariant możliwy tylko z niepowlekanym aluminium; zakładanie z ożebrowaniem; dodatkowo lutowanie.</t>
  </si>
  <si>
    <t>A változat csak bevonat nélküli alumíniummal lehetséges; korcolás bordával; további forrasztás.</t>
  </si>
  <si>
    <t>Variant možný len pri prírodnom hliníku; napojenie drážkovaním s prelisom; dodatočne spájkovať.</t>
  </si>
  <si>
    <t>Variant alleen mogelijk met blank aluminium; sponning met kraal; bijkomend solderen.</t>
  </si>
  <si>
    <t>Različica možna samo z golim aluminijem; kleparsko zgibanje z zaobljenim robom; dodatno spajkanje.</t>
  </si>
  <si>
    <t>Variant endast möjlig med blankt aluminium; vikning med rännfals; ytterligare lödning.</t>
  </si>
  <si>
    <t>Variant kun mulig med blankt aluminium; indfalsning med flange; ekstra lodning.</t>
  </si>
  <si>
    <t>Variant kun mulig med blankt aluminium; innfalsing med fordypning; ekstra lodding.</t>
  </si>
  <si>
    <t>Varijanta moguća samo s golim aluminijem; falc s užljebljenjem; dodatno lemljenje.</t>
  </si>
  <si>
    <t>Variante mit Stoßausführung</t>
  </si>
  <si>
    <t>variant with joint</t>
  </si>
  <si>
    <t>variante avec jointure</t>
  </si>
  <si>
    <t>Variante con giunto di testa</t>
  </si>
  <si>
    <t>Varianta se stykovým provedením</t>
  </si>
  <si>
    <t>Wariant z pierścieniami</t>
  </si>
  <si>
    <t>illesztéses kivitel</t>
  </si>
  <si>
    <t>variant s vyhotovením styku</t>
  </si>
  <si>
    <t>Variant met stootvoeg</t>
  </si>
  <si>
    <t>Različica z izvedbo spoja</t>
  </si>
  <si>
    <t>Variant med stötutförande</t>
  </si>
  <si>
    <t>Variant med samling</t>
  </si>
  <si>
    <t>Variant med butt utførelse</t>
  </si>
  <si>
    <t>Varijanta sa zglobom</t>
  </si>
  <si>
    <t>Variante mit Überschubleiste:</t>
  </si>
  <si>
    <t>coulisseau variant:</t>
  </si>
  <si>
    <t>variante avec coulisseau :</t>
  </si>
  <si>
    <t>Variante con striscia di copertura:</t>
  </si>
  <si>
    <t>Varianta suvná lišta:</t>
  </si>
  <si>
    <t>Wariant z listwą maskującą:</t>
  </si>
  <si>
    <t>csúsztatható szalagos változat:</t>
  </si>
  <si>
    <t>Variant s násuvnou lištou:</t>
  </si>
  <si>
    <t>Variant met omslagstrook:</t>
  </si>
  <si>
    <t>Različica z narivno letvijo:</t>
  </si>
  <si>
    <t>Variant med överföringslist:</t>
  </si>
  <si>
    <t>Variant med overdækningsliste:</t>
  </si>
  <si>
    <t>Variant med overskyvningslist:</t>
  </si>
  <si>
    <t>Varijanta s kliznom lajsnom:</t>
  </si>
  <si>
    <t>Varianten mit Dehnungsausbildung bei Mauerabdeckungen</t>
  </si>
  <si>
    <t>expansion formation variants on wall flashings</t>
  </si>
  <si>
    <t>variantes avec mise en œuvre des jeux de dilatation pour la réalisation de couvertines [couronnements de murets]</t>
  </si>
  <si>
    <t>Varianti con raccordo ad espansione per le coperture dei muri</t>
  </si>
  <si>
    <t>Varianty dilatačních spojů krytí atik</t>
  </si>
  <si>
    <t>Warianty z konstrukcją rozprężną do osłon ściennych</t>
  </si>
  <si>
    <t>változatok tágulási kialakítással a falburkolatok esetében</t>
  </si>
  <si>
    <t>varianty s dilatačným vytvorením oplechovania muriva</t>
  </si>
  <si>
    <t>Varianten met expansievorming voor muurafdekkingen</t>
  </si>
  <si>
    <t>Različica s tvorbo raztezanja v stenskih pokrovih</t>
  </si>
  <si>
    <t>varianter med expansionsutformning i murbeklädnader</t>
  </si>
  <si>
    <t>Varianter med ekspansionsdannelse i murafdækninger</t>
  </si>
  <si>
    <t>Varianter med forlengelsesoppbygging for veggbekledning</t>
  </si>
  <si>
    <t>Varijante s ekspanzijskim dijelom u zidnim oblogama</t>
  </si>
  <si>
    <t>Varianten Design (Welle; 5 mm oder 9 mm)</t>
  </si>
  <si>
    <t>design variants:
(wave: 5 mm or 9 mm)</t>
  </si>
  <si>
    <t>variantes pour design (onde ; 5 mm ou 9 mm)</t>
  </si>
  <si>
    <t>Varianti di design (onda; 5 mm o 9 mm)</t>
  </si>
  <si>
    <t>Varianty Design: (vlna 5 mm nebo 9 mm)</t>
  </si>
  <si>
    <t>Warianty projektu (fala, 5 mm lub 9 mm)</t>
  </si>
  <si>
    <t>dizájnváltozatok (hullám; 5 mm vagy 9 mm)</t>
  </si>
  <si>
    <t>dizajnové varianty (vlna; 5 mm alebo 9 mm)</t>
  </si>
  <si>
    <t>Varianten design (plaat; 5 mm of 9 mm)</t>
  </si>
  <si>
    <t>Različica dizajn (valovito; 5 mm ali 9 mm)</t>
  </si>
  <si>
    <t>utformningsvariant (våg; 5 mm eller 9 mm)</t>
  </si>
  <si>
    <t>Varianter design (bølge; 5 mm eller 9 mm)</t>
  </si>
  <si>
    <t>Variant Design (bølge; 5 mm eller 9 mm)</t>
  </si>
  <si>
    <t>Dizajn varijante (val; 5 mm ili 9 mm)</t>
  </si>
  <si>
    <t>Varianten für First- und Gratausbildung</t>
  </si>
  <si>
    <t>Variants for hip and ridge construction</t>
  </si>
  <si>
    <t>variantes de réalisation pour faîtières et arêtiers</t>
  </si>
  <si>
    <t>Varianti per raccordo del colmo e della cresta</t>
  </si>
  <si>
    <t>Varianty detailu hřebene/nároží</t>
  </si>
  <si>
    <t>Warianty do konstrukcji kalenicy lub konstrukcji naroży</t>
  </si>
  <si>
    <t>gerinc és élkialakítás változatai</t>
  </si>
  <si>
    <t>varianty na vytvorenie hrebeňa a nárožia</t>
  </si>
  <si>
    <t>Varianten voor nok- en panvorming</t>
  </si>
  <si>
    <t>Različice za oblikovanje slemena in grebena</t>
  </si>
  <si>
    <t>varianter för nock- och valmningsutformning</t>
  </si>
  <si>
    <t>Varianter for rygnings- og gratdesign</t>
  </si>
  <si>
    <t>Varianter med møne- og gradoppbygging</t>
  </si>
  <si>
    <t>Varijante za konstrukcije sljemena i brida</t>
  </si>
  <si>
    <t>Varianten mit Stoßausbildung</t>
  </si>
  <si>
    <t>joint connection variants</t>
  </si>
  <si>
    <t>variantes avec réalisation des joints</t>
  </si>
  <si>
    <t>Varianti con giunto di testa</t>
  </si>
  <si>
    <t>Varianty provedení styku</t>
  </si>
  <si>
    <t>Warianty z formowaniem połączeń</t>
  </si>
  <si>
    <t>illesztéses változatok</t>
  </si>
  <si>
    <t>varianty s vytvorením styku</t>
  </si>
  <si>
    <t>Varianten met stootvoeg</t>
  </si>
  <si>
    <t>Različice z oblikovanjem spoja</t>
  </si>
  <si>
    <t>varianter med stötutformning</t>
  </si>
  <si>
    <t>Varianter med samling</t>
  </si>
  <si>
    <t>Varianter med falsoppbygging</t>
  </si>
  <si>
    <t>Varijante sa zglobnim spojem</t>
  </si>
  <si>
    <t>Verbinder (verzinkt; für Laufsteg)</t>
  </si>
  <si>
    <t>connector (galvanised); for walkways</t>
  </si>
  <si>
    <t>élément d’assemblage (galvanisé ; pour chemin de circulation)</t>
  </si>
  <si>
    <t>Giunto zincato per griglia pedonabile</t>
  </si>
  <si>
    <t>Spojka pro stoupací plošiny, pozinkovaná</t>
  </si>
  <si>
    <t>łącznik ław kominiarskich ze stali ocynkowanej</t>
  </si>
  <si>
    <t>járórács összekötő elem horganyzott</t>
  </si>
  <si>
    <t>spojka strešnej lávky, pozinkovaná</t>
  </si>
  <si>
    <t>verbindingsstuk gegalvaniseerd voor loopbrug</t>
  </si>
  <si>
    <t>povezovalec pohodnih rešetk, pocinkan</t>
  </si>
  <si>
    <t>anslutning förzinkat för plattform</t>
  </si>
  <si>
    <t>forbinder galvaniseret til løbebro</t>
  </si>
  <si>
    <t>tilkobling galvanisert for plattform</t>
  </si>
  <si>
    <t>Spojni element (pocinčani; za stubu)</t>
  </si>
  <si>
    <t>Verbinder (verzinkt; für Laufsteg; Breite: 250 mm)</t>
  </si>
  <si>
    <t>walkway connector - width of 250 mm</t>
  </si>
  <si>
    <t>élément d’assemblage (galvanisé ; pour chemin de circulation ; largeur : 250 mm)</t>
  </si>
  <si>
    <t>Giunto zincato per griglia pedonabile larghezza 250 mm</t>
  </si>
  <si>
    <t>Spojka pro stoupací plošiny (pozinkovaná, šířka: 250 mm)</t>
  </si>
  <si>
    <t>Łącznik (ocynkowany; do ławy kominiarskiej; szerokość: 250 mm)</t>
  </si>
  <si>
    <t>csatlakozó (horganyzott; járórács; szélesség: 250 mm)</t>
  </si>
  <si>
    <t>Spojka (pozinkovaná; pre strešnú lávku; šírka: 250 mm)</t>
  </si>
  <si>
    <t>Verbindingsstuk (gegalvaniseerd; voor loopbrug; breedte: 250 mm)</t>
  </si>
  <si>
    <t>Konektor (pocinkan; za pohodno brv; širina: 250 mm)</t>
  </si>
  <si>
    <t>förbindelse (galvaniserad; för gångbro; bredd: 250 mm)</t>
  </si>
  <si>
    <t>Forbinder (forzinket; til løbegang; bredde: 250 mm)</t>
  </si>
  <si>
    <t>Tilkobling (forsinket; til plattform; bredde: 250 mm)</t>
  </si>
  <si>
    <t>Spojni element (pocinčani; za stubu; širina: 250 mm)</t>
  </si>
  <si>
    <t>Verbinder (verzinkt; für Laufsteg; Breite: 360 mm)</t>
  </si>
  <si>
    <t>walkway connector - width of 360 mm</t>
  </si>
  <si>
    <t>élément d’assemblage (galvanisé ; pour chemin de circulation ; largeur : 360 mm)</t>
  </si>
  <si>
    <t>Giunto zincato per griglia pedonabile larghezza 360 mm</t>
  </si>
  <si>
    <t>Spojka pro stoupací plošiny (pozinkovaná, šířka: 360 mm)</t>
  </si>
  <si>
    <t>Łącznik (ocynkowany; do ławy kominiarskiej; szerokość: 360 mm)</t>
  </si>
  <si>
    <t>csatlakozó (horganyzott; járórács; szélesség: 360 mm)</t>
  </si>
  <si>
    <t>Spojka (pozinkovaná; pre strešnú lávku; šírka: 360 mm)</t>
  </si>
  <si>
    <t>Verbindingsstuk (gegalvaniseerd; voor loopbrug; breedte: 360 mm)</t>
  </si>
  <si>
    <t>Konektor (pocinkan; za pohodno brv; širina: 360 mm)</t>
  </si>
  <si>
    <t>förbindelse (galvaniserad; för gångbro; bredd: 360 mm)</t>
  </si>
  <si>
    <t>Forbinder (forzinket; til løbegang; bredde: 360 mm)</t>
  </si>
  <si>
    <t>Tilkobling (forsinket; til plattform; bredde: 360 mm)</t>
  </si>
  <si>
    <t>Spojni element (pocinčani; za stubu; širina: 360 mm)</t>
  </si>
  <si>
    <t>Verbindungsschraube</t>
  </si>
  <si>
    <t>connection screw</t>
  </si>
  <si>
    <t>vis de liaison</t>
  </si>
  <si>
    <t>Vite di collegamento</t>
  </si>
  <si>
    <t>Spojovací šroub</t>
  </si>
  <si>
    <t>Śruba łącząca</t>
  </si>
  <si>
    <t>összekötőcsavar</t>
  </si>
  <si>
    <t>spojovacia skrutka</t>
  </si>
  <si>
    <t>Verbindingsschroef</t>
  </si>
  <si>
    <t>Spojni vijak</t>
  </si>
  <si>
    <t>anslutningsskruv</t>
  </si>
  <si>
    <t>Forbindelsesskrue</t>
  </si>
  <si>
    <t>Tilkoblingsskrue</t>
  </si>
  <si>
    <t>Verlegebeispiel – PREFALZ Solar</t>
  </si>
  <si>
    <t>Prefalz Solar — Installation examples</t>
  </si>
  <si>
    <t>Exemple de pose des accessoires pour panneaux solaires sur couverture PREFALZ</t>
  </si>
  <si>
    <t>Esempi di posa - PREFALZ Solar</t>
  </si>
  <si>
    <t>Příklad krytí PREFALZ Solar</t>
  </si>
  <si>
    <t>Przykład instalacji – PREFALZ Solar</t>
  </si>
  <si>
    <t>fektetési példa – PREFALZ Solar</t>
  </si>
  <si>
    <t>Príklad montáže – PREFALZ Solar</t>
  </si>
  <si>
    <t>Installatievoorbeeld - PREFALZ Solar</t>
  </si>
  <si>
    <t>Primer polaganja – PREFALZ Solar</t>
  </si>
  <si>
    <t>Läggningsexempel – PREFALZ Solar</t>
  </si>
  <si>
    <t>Lægningseksempel – PREFALZ Solar</t>
  </si>
  <si>
    <t>Leggeeksempel – PREFALZ Solar</t>
  </si>
  <si>
    <t>Primjer postavljanja – PREFALZ Solar</t>
  </si>
  <si>
    <t>Verlegeschema</t>
  </si>
  <si>
    <t>scheme</t>
  </si>
  <si>
    <t>schema di posa</t>
  </si>
  <si>
    <t>systém</t>
  </si>
  <si>
    <t>schemat</t>
  </si>
  <si>
    <t>rendszer</t>
  </si>
  <si>
    <t>schema</t>
  </si>
  <si>
    <t>shema</t>
  </si>
  <si>
    <t>ordning</t>
  </si>
  <si>
    <t>ordningen</t>
  </si>
  <si>
    <t>Shema</t>
  </si>
  <si>
    <t>Verlegeschema P1 (2 Stk./m² – ersten beiden Reihen durchgehend)</t>
  </si>
  <si>
    <t>Installation diagram P1 (2  per m² — must be installed along the first two rows)</t>
  </si>
  <si>
    <t>Schéma de pose P1 (2 arrêts de neige par m² ; monter les arrêts de neige sans interruption sur toute la longueur des deux premières rangées)</t>
  </si>
  <si>
    <t>Schema di posa P1 (2 pz./m² - prime due file continue)</t>
  </si>
  <si>
    <r>
      <t>Schema rozmístění P1 (2 ks/m</t>
    </r>
    <r>
      <rPr>
        <vertAlign val="superscript"/>
        <sz val="11"/>
        <color indexed="8"/>
        <rFont val="Arial"/>
        <family val="2"/>
      </rPr>
      <t xml:space="preserve">2 </t>
    </r>
    <r>
      <rPr>
        <sz val="11"/>
        <color indexed="8"/>
        <rFont val="Arial"/>
        <family val="2"/>
      </rPr>
      <t>- první dvě řady průběžně)</t>
    </r>
  </si>
  <si>
    <t>Schemat montażowy P1 (2 szt./m² – pierwsze dwa rzędy ciągłe)</t>
  </si>
  <si>
    <t>fektetési séma P1 (2 db/m² – az első két sor folyamatos)</t>
  </si>
  <si>
    <t>Schéma montáže P1 (2 ks/m² – prvé dva rady kompletne)</t>
  </si>
  <si>
    <t>Installatieschema P1 (2 st./m² - eerste twee rijen doorlopend)</t>
  </si>
  <si>
    <t>Shema polaganja P1 (2 kos./m² – prvi dve vrsti neprekinjeno)</t>
  </si>
  <si>
    <t>Läggningsschema P1 (2 st/m² – första två raderna kontinuerliga)</t>
  </si>
  <si>
    <t>Læggediagram P1 (2 stk./m² - første to rækker gennemgående)</t>
  </si>
  <si>
    <t>Legge skjema P1 (2 stk./m² – to første rader fortløpende)</t>
  </si>
  <si>
    <t>Shema postavljanja P1 (2 kom./m² – prva dva reda neprekidno)</t>
  </si>
  <si>
    <t>Versatz</t>
  </si>
  <si>
    <t>Step</t>
  </si>
  <si>
    <t>décalage</t>
  </si>
  <si>
    <t>Sfalsatura</t>
  </si>
  <si>
    <t>Přesazení</t>
  </si>
  <si>
    <t>Przesunięcie</t>
  </si>
  <si>
    <t>eltolás</t>
  </si>
  <si>
    <t>zapustenie</t>
  </si>
  <si>
    <t>Correctie</t>
  </si>
  <si>
    <t>Zamik</t>
  </si>
  <si>
    <t>offset</t>
  </si>
  <si>
    <t>Forskydning</t>
  </si>
  <si>
    <t>Forskyvning</t>
  </si>
  <si>
    <t>Odstupanje</t>
  </si>
  <si>
    <t>décalage 60-2 500 mm</t>
  </si>
  <si>
    <t>vertiefte Kehle</t>
  </si>
  <si>
    <t>recessed valley</t>
  </si>
  <si>
    <t>noue encaissée</t>
  </si>
  <si>
    <t>Scossalina incassata</t>
  </si>
  <si>
    <t>Zapuštěné úžlabí</t>
  </si>
  <si>
    <t>Kosz pogłębiony</t>
  </si>
  <si>
    <t>mélyített vápa</t>
  </si>
  <si>
    <t>zapustené úžľabie</t>
  </si>
  <si>
    <t>verdiepte goot</t>
  </si>
  <si>
    <t>poglobljena žlota</t>
  </si>
  <si>
    <t>fördjupad kil</t>
  </si>
  <si>
    <t>forsænket kile</t>
  </si>
  <si>
    <t>Fordypet vinkelrenne</t>
  </si>
  <si>
    <t>udubljena uvala</t>
  </si>
  <si>
    <t>vertiefte Ortgangschalung</t>
  </si>
  <si>
    <t>recessed roof verge sheathing</t>
  </si>
  <si>
    <t>voligeage de rive en décrochement</t>
  </si>
  <si>
    <t>Tavolato su mantovana incassata</t>
  </si>
  <si>
    <t>zapuštěné štítové bednění</t>
  </si>
  <si>
    <t>Pogłębione szalunki okapowe</t>
  </si>
  <si>
    <t>mélyített oromszegély-zsaluzat</t>
  </si>
  <si>
    <t>zapustené štítové debnenie</t>
  </si>
  <si>
    <t>verdiepte bermbekisting</t>
  </si>
  <si>
    <t>poglobljen opaž čelnega napušča</t>
  </si>
  <si>
    <t>fördjupad kantformning</t>
  </si>
  <si>
    <t>forsænket tagkantforskalling</t>
  </si>
  <si>
    <t>Fordypet vindskiforskaling</t>
  </si>
  <si>
    <t>udubljena oplata zabata</t>
  </si>
  <si>
    <t>vertiefter Ortgang</t>
  </si>
  <si>
    <t>roof verge with recess</t>
  </si>
  <si>
    <t>rive encaissée</t>
  </si>
  <si>
    <t>Mantovana incassata</t>
  </si>
  <si>
    <t>zapuštěné štítové lemování</t>
  </si>
  <si>
    <t>Pogłębiona deska szczytowa</t>
  </si>
  <si>
    <t>mélyített oromszegély</t>
  </si>
  <si>
    <t>zapustený štít</t>
  </si>
  <si>
    <t>verdiepte berm</t>
  </si>
  <si>
    <t>poglobljen čelni napušč</t>
  </si>
  <si>
    <t>fördjupad kant</t>
  </si>
  <si>
    <t>forsænket tagkant</t>
  </si>
  <si>
    <t>Fordypet vindski</t>
  </si>
  <si>
    <t>udubljeni zabat</t>
  </si>
  <si>
    <t>Vertikalschnitt</t>
  </si>
  <si>
    <t>vertical cross-section</t>
  </si>
  <si>
    <t>section verticale</t>
  </si>
  <si>
    <t>Sezione verticale</t>
  </si>
  <si>
    <t>Vertikální řez</t>
  </si>
  <si>
    <t>Przekrój pionowy</t>
  </si>
  <si>
    <t>függőleges metszet</t>
  </si>
  <si>
    <t>vertikálny rez</t>
  </si>
  <si>
    <t>Verticale doorsnede</t>
  </si>
  <si>
    <t>Vertikalni rez</t>
  </si>
  <si>
    <t>Vertikal sektion</t>
  </si>
  <si>
    <t>Tværsnit</t>
  </si>
  <si>
    <t>Vertikalsnitt</t>
  </si>
  <si>
    <t>Okomiti presjek</t>
  </si>
  <si>
    <t>Vertikalschnitt – Attika</t>
  </si>
  <si>
    <t>vertical cross-section – roof parapet</t>
  </si>
  <si>
    <t>section verticale — acrotère</t>
  </si>
  <si>
    <t>Vertikální řez – Atika</t>
  </si>
  <si>
    <t>Przekrój pionowy – attyka</t>
  </si>
  <si>
    <t>függőleges metszet – attika</t>
  </si>
  <si>
    <t>vertikálny rez – atika</t>
  </si>
  <si>
    <t>Verticale doorsnede - atikka</t>
  </si>
  <si>
    <t>Vertikalni rez – atika</t>
  </si>
  <si>
    <t>Vertikal sektion – parapet</t>
  </si>
  <si>
    <t>Tværsnit – Attika</t>
  </si>
  <si>
    <t>Vertikalsnitt – loft</t>
  </si>
  <si>
    <t>Okomiti presjek – krovni parapet</t>
  </si>
  <si>
    <t>Vertikalschnitt – Attikadetail</t>
  </si>
  <si>
    <t>vertical cross-section – roof parapet detail</t>
  </si>
  <si>
    <t>section verticale — détail d’acrotère</t>
  </si>
  <si>
    <t>Vertikální řez – Detail atiky</t>
  </si>
  <si>
    <t>Przekrój pionowy – szczegół attyki</t>
  </si>
  <si>
    <t>függőleges metszet – attikarészlet</t>
  </si>
  <si>
    <t>vertikálny rez – detail atiky</t>
  </si>
  <si>
    <t>Verticale doorsnede - atikkadetail</t>
  </si>
  <si>
    <t>Vertikalni rez – atika detajl</t>
  </si>
  <si>
    <t>Vertikal sektion – parapetdetalj</t>
  </si>
  <si>
    <t>Tværsnit – Attikadetalje</t>
  </si>
  <si>
    <t>Vertikalsnitt – loftsdetalj</t>
  </si>
  <si>
    <t>Okomiti presjek – detalj krovnog parapeta</t>
  </si>
  <si>
    <t>Vertikalschnitt – Fensterbank</t>
  </si>
  <si>
    <t>vertical cross-section – window ledge</t>
  </si>
  <si>
    <t>section verticale — tablette (appui)</t>
  </si>
  <si>
    <t>Sezione verticale - Davanzale</t>
  </si>
  <si>
    <t>Vertikální řez – Okenní parapet</t>
  </si>
  <si>
    <t>Przekrój pionowy – parapet okienny</t>
  </si>
  <si>
    <t>függőleges metszet – ablakpárkány</t>
  </si>
  <si>
    <t>vertikálny rez – parapet</t>
  </si>
  <si>
    <t>Verticale doorsnede - vensterbank</t>
  </si>
  <si>
    <t>Vertikalni rez – okenska polica</t>
  </si>
  <si>
    <t>Vertikal sektion – fönsterbräda</t>
  </si>
  <si>
    <t>Tværsnit – vindueskarm</t>
  </si>
  <si>
    <t>Vertikalsnitt – vinduskarm</t>
  </si>
  <si>
    <t>Okomiti presjek – daska za prozor</t>
  </si>
  <si>
    <t>Vertikalschnitt – Fenstersturz</t>
  </si>
  <si>
    <t>vertical cross-section – window lintel</t>
  </si>
  <si>
    <t>section verticale — linteau</t>
  </si>
  <si>
    <t>Sezione verticale - Architrave della finestra</t>
  </si>
  <si>
    <t>Vertikální řez – Okenní překlad</t>
  </si>
  <si>
    <t>Przekrój pionowy – nadproże okienne</t>
  </si>
  <si>
    <t>függőleges metszet – ablaktok</t>
  </si>
  <si>
    <t>vertikálny rez – okenný preklad</t>
  </si>
  <si>
    <t>Verticale doorsnede - vensterlatei</t>
  </si>
  <si>
    <t>Vertikalni rez – previs okna</t>
  </si>
  <si>
    <t>Vertikal sektion – fönsteröverstycke</t>
  </si>
  <si>
    <t>Tværsnit – vinduesoverligger</t>
  </si>
  <si>
    <t>Vertikalsnitt – overligger</t>
  </si>
  <si>
    <t>Okomiti presjek – nadvoj za prozor</t>
  </si>
  <si>
    <t>Vertikalschnitt – Fenstersturz mit Brandschott</t>
  </si>
  <si>
    <t>vertical cross-section – window lintel with firewall</t>
  </si>
  <si>
    <t>section verticale — linteau avec cloison coupe-feu</t>
  </si>
  <si>
    <t>Sezione verticale - Architrave della finestra con tagliafuoco</t>
  </si>
  <si>
    <t>Vertikální řez – Okenní překlad s požární přepážkou</t>
  </si>
  <si>
    <t>Przekrój pionowy – nadproże okienne z zaporą ogniową</t>
  </si>
  <si>
    <t>függőleges metszet – ablaktok tűzfallal</t>
  </si>
  <si>
    <t>vertikálny rez – okenný preklad s protipožiarnou stenou</t>
  </si>
  <si>
    <t>Verticale doorsnede - vensterlatei met brandbeveiliging</t>
  </si>
  <si>
    <t>Vertikalni rez – previs okna s požarnim zidom</t>
  </si>
  <si>
    <t>Vertikal sektion – fönsteröverstycke med brandvägg</t>
  </si>
  <si>
    <t>Tværsnit – vinduesoverligger med brandvæg</t>
  </si>
  <si>
    <t>Vertikalsnitt – overligger med brannskott</t>
  </si>
  <si>
    <t>Okomiti presjek – nadvoj za prozor s vatrostalnom pregradom</t>
  </si>
  <si>
    <t>Vertikalschnitt – Fenstersturz mit Stahlblech</t>
  </si>
  <si>
    <t>vertical cross-section – window lintel with steel sheet</t>
  </si>
  <si>
    <t>section verticale — linteau avec tôle en acier galvanisé</t>
  </si>
  <si>
    <t>Sezione verticale - Architrave della finestra con lamiera in acciaio</t>
  </si>
  <si>
    <t>Vertikální řez – Okenní překlad s ocelovým plechem</t>
  </si>
  <si>
    <t>Przekrój pionowy – nadproże okienne z blachą stalową</t>
  </si>
  <si>
    <t>függőleges metszet – ablaktok acéllemezzel</t>
  </si>
  <si>
    <t>vertikálny rez – okenný preklad s oceľovým plechom</t>
  </si>
  <si>
    <t>Verticale doorsnede - vensterlatei met staalplaat</t>
  </si>
  <si>
    <t>Vertikalni rez – previs okna z jekleno pločevino</t>
  </si>
  <si>
    <t>Vertikal sektion – fönsteröverstycke med stålplåt</t>
  </si>
  <si>
    <t>Tværsnit – vinduesoverligger med stålplade</t>
  </si>
  <si>
    <t>Vertikalsnitt – overligger med stålplate</t>
  </si>
  <si>
    <t>Okomiti presjek – nadvoj za prozor s čeličnim limom</t>
  </si>
  <si>
    <t>Vertikalschnitt – Fenstersturz mit Raffstore</t>
  </si>
  <si>
    <t>vertical cross-section – window lintel with blinds</t>
  </si>
  <si>
    <t>section verticale —linteau avec store à lamelles</t>
  </si>
  <si>
    <t>Sezione verticale - Architrave della finestra con frangisole</t>
  </si>
  <si>
    <t>Vertikální řez – Okenní překlad s venkovní žaluzii</t>
  </si>
  <si>
    <t>Przekrój pionowy – nadproże okienne z żaluzją zewnętrzną</t>
  </si>
  <si>
    <t>függőleges metszet – ablaktok redőnnyel</t>
  </si>
  <si>
    <t>vertikálny rez – okenný preklad s vonkajšou žalúziou</t>
  </si>
  <si>
    <t>Verticale doorsnede - vensterlatei met externe jaloezieën</t>
  </si>
  <si>
    <t>Vertikalni rez – previs okna z žaluzijo</t>
  </si>
  <si>
    <t>Vertikal sektion – fönsteröverstycke med persienn</t>
  </si>
  <si>
    <t>Tværsnit – vinduesoverligger med persienne</t>
  </si>
  <si>
    <t>Vertikalsnitt – overligger med persienne</t>
  </si>
  <si>
    <t>Okomiti presjek – nadvoj za prozor sa žaluzinama</t>
  </si>
  <si>
    <t>Vertikalschnitt – Fugenausbildung</t>
  </si>
  <si>
    <t>vertical cross-section – joint design</t>
  </si>
  <si>
    <t>section verticale — mise en œuvre d’un joint</t>
  </si>
  <si>
    <t>Sezione verticale - Raccordo fughe</t>
  </si>
  <si>
    <t>Vertikální řez – Provedení spár</t>
  </si>
  <si>
    <t>Przekrój pionowy – konstrukcja szczeliny</t>
  </si>
  <si>
    <t>függőleges metszet – fugakialakítás</t>
  </si>
  <si>
    <t>vertikálny rez – vytvorenie škáry</t>
  </si>
  <si>
    <t>Verticale doorsnede - voegvorming</t>
  </si>
  <si>
    <t>Vertikalni rez – oblikovanje fuge</t>
  </si>
  <si>
    <t>Vertikal sektion – fogutformning</t>
  </si>
  <si>
    <t>Tværsnit – fugedesign</t>
  </si>
  <si>
    <t>Vertikalsnitt – skjøteoppbygging</t>
  </si>
  <si>
    <t>Okomiti presjek – konstrukcija fuga</t>
  </si>
  <si>
    <t>Vertikalschnitt – Geschoßtrennung</t>
  </si>
  <si>
    <t>vertical cross-section – storey separation</t>
  </si>
  <si>
    <t>section verticale — séparation d’étages</t>
  </si>
  <si>
    <t>Sezione verticale - Separazione dei piani</t>
  </si>
  <si>
    <t>Vertikální řez – Oddělení patra</t>
  </si>
  <si>
    <t>Przekrój pionowy – oddzielenie podłogi</t>
  </si>
  <si>
    <t>függőleges metszet – emeletelválasztás</t>
  </si>
  <si>
    <t>vertikálny rez – oddelenie poschodia</t>
  </si>
  <si>
    <t>Verticale doorsnede - vloerafscheiding</t>
  </si>
  <si>
    <t>Vertikalni rez – ločitev nadstropja</t>
  </si>
  <si>
    <t>Vertikal sektion – våningsseparering</t>
  </si>
  <si>
    <t>Tværsnit – etageadskillelse</t>
  </si>
  <si>
    <t>Vertikalsnitt – etasjeskille</t>
  </si>
  <si>
    <t>Okomiti presjek – odvajanje katova</t>
  </si>
  <si>
    <t>Vertikalschnitt – Konstruktiver Aufbau</t>
  </si>
  <si>
    <t>vertical cross-section – structure</t>
  </si>
  <si>
    <t>section verticale — structure</t>
  </si>
  <si>
    <t>Sezione verticale - Struttura costruttiva</t>
  </si>
  <si>
    <t>Vertikální řez – Skladba konstrukce</t>
  </si>
  <si>
    <t>Przekrój pionowy – struktura konstrukcji</t>
  </si>
  <si>
    <t>függőleges metszet – konstruktív rétegrend</t>
  </si>
  <si>
    <t>vertikálny rez – konštrukčná skladba</t>
  </si>
  <si>
    <t>Verticale doorsnede - constructieve structuur</t>
  </si>
  <si>
    <t>Vertikalni rez – konstruktivna struktura</t>
  </si>
  <si>
    <t>Vertikal sektion – konstruktiv uppbyggnad</t>
  </si>
  <si>
    <t>Tværsnit – struktur</t>
  </si>
  <si>
    <t>Vertikalsnitt – konstruktiv oppbygging</t>
  </si>
  <si>
    <t>Okomiti presjek – konstruktivna struktura</t>
  </si>
  <si>
    <t>Vertikalschnitt – Mauerwinkel</t>
  </si>
  <si>
    <t>vertical cross-section – wall bracket</t>
  </si>
  <si>
    <t>section verticale — équerre murale</t>
  </si>
  <si>
    <t>Sezione verticale - Angolo del muro</t>
  </si>
  <si>
    <t>Vertikální řez – Úhel (zdivo)</t>
  </si>
  <si>
    <t>Przekrój pionowy – naroże ściany</t>
  </si>
  <si>
    <t>függőleges metszet – fali szögidom</t>
  </si>
  <si>
    <t>vertikálny rez – roh muriva</t>
  </si>
  <si>
    <t>Verticale doorsnede - muurhoek</t>
  </si>
  <si>
    <t>Vertikalni rez – zidni kot</t>
  </si>
  <si>
    <t>Vertikal sektion – väggvinkel</t>
  </si>
  <si>
    <t>Tværsnit – murvinkel</t>
  </si>
  <si>
    <t>Vertikalsnitt – murvinkel</t>
  </si>
  <si>
    <t>Okomiti presjek – zidni kutni element</t>
  </si>
  <si>
    <t>Vertikalschnitt – Nachträgliches Auswechseln</t>
  </si>
  <si>
    <t>vertical cross-section – subsequent replacement</t>
  </si>
  <si>
    <t>section verticale — remplacement ultérieur</t>
  </si>
  <si>
    <t>Vertikální řez – Dodatečná výměna</t>
  </si>
  <si>
    <t>Przekrój pionowy – późniejsza wymiana</t>
  </si>
  <si>
    <t>függőleges metszet – utólagos csere</t>
  </si>
  <si>
    <t>vertikálny rez – dodatočná výmena</t>
  </si>
  <si>
    <t>Verticale doorsnede - latere vervanging</t>
  </si>
  <si>
    <t>Vertikalni rez – naknadna zamenjava</t>
  </si>
  <si>
    <t>Vertikal sektion – utbyte i efterhand</t>
  </si>
  <si>
    <t>Tværsnit – Efterfølgende udskiftning</t>
  </si>
  <si>
    <t>Vertikalsnitt – senere utskifting</t>
  </si>
  <si>
    <t>Okomiti presjek – naknadna zamjena</t>
  </si>
  <si>
    <t>Vertikalschnitt – Oberer Anschluss</t>
  </si>
  <si>
    <t>vertical cross-section – top connection</t>
  </si>
  <si>
    <t>section verticale — raccordement supérieur</t>
  </si>
  <si>
    <t>Sezione verticale - Raccordo alla testa</t>
  </si>
  <si>
    <t>Vertikální řez – Horní napojení</t>
  </si>
  <si>
    <t>Przekrój pionowy – połączenie górne</t>
  </si>
  <si>
    <t>függőleges metszet – felső csatlakozó</t>
  </si>
  <si>
    <t>vertikálny rez – horné pripojenie</t>
  </si>
  <si>
    <t>Verticale doorsnede - bovenste aansluiting</t>
  </si>
  <si>
    <t>Vertikalni rez – zgornji priključek</t>
  </si>
  <si>
    <t>Vertikal sektion – toppanslutning</t>
  </si>
  <si>
    <t>Tværsnit – øvre tilslutning</t>
  </si>
  <si>
    <t>Vertikalsnitt – øvre forbindelse</t>
  </si>
  <si>
    <t>Okomiti presjek – gornji spoj</t>
  </si>
  <si>
    <t>Vertikalschnitt – Siding mit UZ-Profil</t>
  </si>
  <si>
    <t>vertical cross-section – siding with UZ-profile</t>
  </si>
  <si>
    <t>section verticale — Siding avec profil UZ</t>
  </si>
  <si>
    <t>Sezione verticale - Doga con profilo UZ</t>
  </si>
  <si>
    <t>Vertikální řez – Siding s profilem UZ</t>
  </si>
  <si>
    <t>Przekrój pionowy – siding z użyciem profilu UZ</t>
  </si>
  <si>
    <t>függőleges metszet – Siding UZ-profillal</t>
  </si>
  <si>
    <t>vertikálny rez – Siding s UZ-profilom</t>
  </si>
  <si>
    <t>Verticale doorsnede - siding met UZ-profiel</t>
  </si>
  <si>
    <t>Vertikalni rez – Siding z UZ-profilom</t>
  </si>
  <si>
    <t>Vertikal sektion – siding med UZ-profil</t>
  </si>
  <si>
    <t>Tværsnit – siding med UZ-profil</t>
  </si>
  <si>
    <t>Vertikalsnitt – Siding med UZ-profil</t>
  </si>
  <si>
    <t>Okomiti presjek – fasadna kazeta s UZ profilom</t>
  </si>
  <si>
    <t>Vertikalschnitt – Unterer Anschluss</t>
  </si>
  <si>
    <t>vertical cross-section – bottom connection</t>
  </si>
  <si>
    <t>section verticale — raccordement inférieur</t>
  </si>
  <si>
    <t>Sezione verticale - Raccordo al piede</t>
  </si>
  <si>
    <t>Vertikální řez – Dolní napojení</t>
  </si>
  <si>
    <t>Przekrój pionowy – połączenie dolne</t>
  </si>
  <si>
    <t>függőleges metszet – alsó csatlakozó</t>
  </si>
  <si>
    <t>vertikálny rez – spodné ukončenie</t>
  </si>
  <si>
    <t>Verticale doorsnede - onderste aansluiting</t>
  </si>
  <si>
    <t>Vertikalni rez – spodnji priključek</t>
  </si>
  <si>
    <t>Vertikal sektion – bottenanslutning</t>
  </si>
  <si>
    <t>Tværsnit – nedre tilslutning</t>
  </si>
  <si>
    <t>Vertikalsnitt – nedre forbindelse</t>
  </si>
  <si>
    <t>Okomiti presjek – donji spoj</t>
  </si>
  <si>
    <t>vertical cross-section – vertical cross-section</t>
  </si>
  <si>
    <t>Vielen Dank für Ihre Bestellung.</t>
  </si>
  <si>
    <t>Thank you for your order.</t>
  </si>
  <si>
    <t>Merci pour votre commande.</t>
  </si>
  <si>
    <t>Grazie per il Vostro ordine</t>
  </si>
  <si>
    <t>Mnohokrát děkujeme za vaší objednávku</t>
  </si>
  <si>
    <t>Dziękujemy za zamówienie.</t>
  </si>
  <si>
    <t>Köszönjük rendelését</t>
  </si>
  <si>
    <t>Ďakujeme Vám za Vašu objednávku</t>
  </si>
  <si>
    <t>Hartelijk dank voor uw bestelling</t>
  </si>
  <si>
    <t>hvala za naročilo</t>
  </si>
  <si>
    <t>Tack för din beställning</t>
  </si>
  <si>
    <t>Mange tak for din bestilling</t>
  </si>
  <si>
    <t>Mange takk for din bestilling</t>
  </si>
  <si>
    <t>Hvala vam na narudžbi.</t>
  </si>
  <si>
    <t>Vielen Dank für Ihre Mengenermittlung.</t>
  </si>
  <si>
    <t>Thank you for indicating the quantity required</t>
  </si>
  <si>
    <t>Merci d’avoir indiqué les quantités requises.</t>
  </si>
  <si>
    <t>Grazie per la Vostra richiesta</t>
  </si>
  <si>
    <t>Mnohokrát děkujeme za váš výpis materiálu</t>
  </si>
  <si>
    <t>Dziękujemy za wskazanie wymaganej ilości.</t>
  </si>
  <si>
    <t>Köszönjük árajánlatkérését</t>
  </si>
  <si>
    <t>Ďakujeme veľmi pekne za uvedenie množstva materiálu</t>
  </si>
  <si>
    <t>Hartelijk dank voor uw aantallen</t>
  </si>
  <si>
    <t>hvala za ocenitev količine</t>
  </si>
  <si>
    <t>Tack för din mängdberäkning</t>
  </si>
  <si>
    <t>Mange tak for din mængdeundersøgelse</t>
  </si>
  <si>
    <t>Mange takk for din mengdeberegning</t>
  </si>
  <si>
    <t>Hvala što ste naveli potrebnu količinu.</t>
  </si>
  <si>
    <t>Vogelschutzgitter (125 × 2.000 × 0,7 mm)</t>
  </si>
  <si>
    <t>bird screen (125 × 2,000 × 0.7 mm)</t>
  </si>
  <si>
    <t>grille anti-insectes (125 × 2 000 × 0,7 mm)</t>
  </si>
  <si>
    <t>Lamiera forata anti volatile 125 x 2.000 x 0,7 mm</t>
  </si>
  <si>
    <t>Ochranná mřížka proti ptákům 125 x 2.000 x 0,7 mm</t>
  </si>
  <si>
    <t>Siatka ochronna przeciw ptakom 125 × 2.000 × 0,7 mm</t>
  </si>
  <si>
    <t>madárrács 125 x 2.000 x 0,7 mm</t>
  </si>
  <si>
    <t>ochranná mriežka proti vtákom  125 x 2.000 x 0,7 mm</t>
  </si>
  <si>
    <t>vogelbeschermingsrooster 125 × 2000 × 0,7 mm</t>
  </si>
  <si>
    <t>perforiran trak za zaščito pred ptiči, 125 mm (125x2.000x0,7mm)</t>
  </si>
  <si>
    <t>fågelskyddsgaller 125 × 2.000 × 0,7 mm</t>
  </si>
  <si>
    <t>fuglebeskyttelsesgitter 125 × 2.000 × 0,7 mm</t>
  </si>
  <si>
    <t>fuglegitter 125 × 2000 × 0,7 mm</t>
  </si>
  <si>
    <t>Rešetka za zaštitu od ptica (125 × 2.000 × 0,7 mm)</t>
  </si>
  <si>
    <t>Vogelschutzgitter (Braun/Anthrazit; 125 × 2.000 × 0,7 mm)</t>
  </si>
  <si>
    <t>bird screen, brown/anthracite (125 × 2,000 × 0.7 mm)</t>
  </si>
  <si>
    <t>grille anti-insectes (brun/anthracite ; 125 × 2 000 × 0,7 mm)</t>
  </si>
  <si>
    <t>Lamiera forata anti volatile marrone/antracite (125x2.000x0,7mm)</t>
  </si>
  <si>
    <t>Ochranná mřížka proti ptákům hnědá/antracit (125x2.000x0,7mm)</t>
  </si>
  <si>
    <t>siatka ochrona przeciw ptakom (125 × 2,000 × 0.7 mm)</t>
  </si>
  <si>
    <t>madárrács barna/antracit (125x2.000x0,7mm)</t>
  </si>
  <si>
    <t>ochranná mriežka proti vtákom hnedá/antracitová (125 x 2.000 x 0,7 mm)</t>
  </si>
  <si>
    <t>vogelbeschermingsrooster bruin/antraciet (125 x 2000 x 0,7 mm)</t>
  </si>
  <si>
    <t>fågelskyddsgaller brunt/antracit (125 x 2.000 x 0,7 mm)</t>
  </si>
  <si>
    <t>fuglebeskyttelsesgitter brun/antrazit (125x2.000x0,7mm)</t>
  </si>
  <si>
    <t>fuglegitter brun/antrasitt (125x2000x0,7 mm)</t>
  </si>
  <si>
    <t>Rešetka za zaštitu od ptica (smeđa/antracit; 125 × 2.000 × 0,7 mm)</t>
  </si>
  <si>
    <t>Vollschalung (mind. 24 mm)</t>
  </si>
  <si>
    <t>voligeage jointif (épaisseur minimum : 24 mm)</t>
  </si>
  <si>
    <t>Tavolato completo (almeno 24 mm)</t>
  </si>
  <si>
    <t>plné bednění min. 24 mm</t>
  </si>
  <si>
    <t>Pełne deskowanie (min. 24 mm)</t>
  </si>
  <si>
    <t>teljes deszkázat (min. 24 mm)</t>
  </si>
  <si>
    <t>celoplošné debnenie (min. 24 mm)</t>
  </si>
  <si>
    <t>Volledige bekisting (min. 24 mm)</t>
  </si>
  <si>
    <t>Polni opaž (najm. 24 mm)</t>
  </si>
  <si>
    <t>full formsättning (min. 24 mm)</t>
  </si>
  <si>
    <t>Helforskalling (mind. 24 mm)</t>
  </si>
  <si>
    <t>Helforskaling (min. 24 mm)</t>
  </si>
  <si>
    <t>Puna oplata (min. 24 mm)</t>
  </si>
  <si>
    <t>Vollwärmeschutz</t>
  </si>
  <si>
    <t>full thermal insulation</t>
  </si>
  <si>
    <t>isolation thermique extérieure (ITE)</t>
  </si>
  <si>
    <t>Isolamento termico completo</t>
  </si>
  <si>
    <t>Pełna izolacja cieplna</t>
  </si>
  <si>
    <t>teljes hőszigetelés</t>
  </si>
  <si>
    <t>úplná tepelná izolácia</t>
  </si>
  <si>
    <t>Volledige thermische isolatie</t>
  </si>
  <si>
    <t>Polna toplotna izolacija</t>
  </si>
  <si>
    <t>helt termiskt skydd</t>
  </si>
  <si>
    <t>Isolationsbeskyttelsesanordning</t>
  </si>
  <si>
    <t>Komplett varmebeskyttelse</t>
  </si>
  <si>
    <t>Puna toplinska zaštita</t>
  </si>
  <si>
    <t>Vordeckung</t>
  </si>
  <si>
    <t>sarking felt</t>
  </si>
  <si>
    <t>sous-couverture</t>
  </si>
  <si>
    <t>Copertura aggettante</t>
  </si>
  <si>
    <t>Pokrycie wstępne</t>
  </si>
  <si>
    <t>előfedés</t>
  </si>
  <si>
    <t>predbežné zakrytie</t>
  </si>
  <si>
    <t>Voorkap</t>
  </si>
  <si>
    <t>Prekrivanje z zaščito</t>
  </si>
  <si>
    <t>underlägg</t>
  </si>
  <si>
    <t>Afdækning</t>
  </si>
  <si>
    <t>Bunnlag</t>
  </si>
  <si>
    <t>Zaštitni pokrov</t>
  </si>
  <si>
    <t>Vorderteil</t>
  </si>
  <si>
    <t>front part</t>
  </si>
  <si>
    <t>partie avant</t>
  </si>
  <si>
    <t>Parte anteriore</t>
  </si>
  <si>
    <t>přední díl</t>
  </si>
  <si>
    <t>Część przednia</t>
  </si>
  <si>
    <t>elülső rész</t>
  </si>
  <si>
    <t>predná časť</t>
  </si>
  <si>
    <t>Voorste deel</t>
  </si>
  <si>
    <t>Sprednji del</t>
  </si>
  <si>
    <t>framdel</t>
  </si>
  <si>
    <t>Forreste del</t>
  </si>
  <si>
    <t>Frontdel</t>
  </si>
  <si>
    <t>Prednji dio</t>
  </si>
  <si>
    <t>Vorstoßblech</t>
  </si>
  <si>
    <t>eaves flashing</t>
  </si>
  <si>
    <t>Profilo di spinta</t>
  </si>
  <si>
    <t>vyztužovací plech</t>
  </si>
  <si>
    <t>szegélylemez</t>
  </si>
  <si>
    <t>vyčnievajúci stykový plech</t>
  </si>
  <si>
    <t>Stuwplaat</t>
  </si>
  <si>
    <t>Odbojnik</t>
  </si>
  <si>
    <t>tryckplåt</t>
  </si>
  <si>
    <t>Skubbeplade</t>
  </si>
  <si>
    <t>Skyveplate</t>
  </si>
  <si>
    <t>Prednji lim</t>
  </si>
  <si>
    <t>VPE</t>
  </si>
  <si>
    <t>PU</t>
  </si>
  <si>
    <t>UE</t>
  </si>
  <si>
    <t>Confezione</t>
  </si>
  <si>
    <t>Celé balení:</t>
  </si>
  <si>
    <t>CSE</t>
  </si>
  <si>
    <t>Celé balenie:</t>
  </si>
  <si>
    <t>VPE (verpakkingseenheid)</t>
  </si>
  <si>
    <t>Enota</t>
  </si>
  <si>
    <t>FPE (förpackningsenhet)</t>
  </si>
  <si>
    <t>Pakkeenhed</t>
  </si>
  <si>
    <t>FPE (forpakningsenhet)</t>
  </si>
  <si>
    <t>Pakiranje</t>
  </si>
  <si>
    <t>W</t>
  </si>
  <si>
    <t>W1</t>
  </si>
  <si>
    <t>W2</t>
  </si>
  <si>
    <t>W3</t>
  </si>
  <si>
    <t>Wandanschluss</t>
  </si>
  <si>
    <t>wall connection</t>
  </si>
  <si>
    <t>raccordement de couloir</t>
  </si>
  <si>
    <t>Raccordo a parete</t>
  </si>
  <si>
    <t>napojení na zeď</t>
  </si>
  <si>
    <t>Połączenie ściany</t>
  </si>
  <si>
    <t>fali csatlakozó</t>
  </si>
  <si>
    <t>ukončenie na stenu</t>
  </si>
  <si>
    <t>Wandaansluiting</t>
  </si>
  <si>
    <t>Stenski priključek</t>
  </si>
  <si>
    <t>Vægtilslutning</t>
  </si>
  <si>
    <t>Veggforbindelse</t>
  </si>
  <si>
    <t>Zidni spoj</t>
  </si>
  <si>
    <t>Wandanschluss (Höhe: mind. 150 mm)</t>
  </si>
  <si>
    <t>wall flashing (height: min. 150 mm)</t>
  </si>
  <si>
    <t>raccordement de couloir (hauteur : au moins 150 mm)</t>
  </si>
  <si>
    <t>Raccordo a parete (altezza: almeno 150 mm)</t>
  </si>
  <si>
    <t>napojení na zeď, výška min. 150 mm</t>
  </si>
  <si>
    <t>Połączenie ściany (wysokość: ok. 150 mm)</t>
  </si>
  <si>
    <t>fali csatlakozó (magasság: min. 150 mm)</t>
  </si>
  <si>
    <t>ukončenie na stenu (výška: min. 150 mm)</t>
  </si>
  <si>
    <t>Wandaansluiting (hoogte: min. 150 mm)</t>
  </si>
  <si>
    <t>Stenski priključek (višina: najm. 150 mm)</t>
  </si>
  <si>
    <t>vägganslutning (höjd: min. 150 mm)</t>
  </si>
  <si>
    <t>Vægtilslutning (højde: mind. 150 mm)</t>
  </si>
  <si>
    <t>Veggforbindelse (høyde: min. 150 mm)</t>
  </si>
  <si>
    <t>Zidni spoj (visina: min. 150 mm)</t>
  </si>
  <si>
    <t>Wandanschlussblech</t>
  </si>
  <si>
    <t>wall connection plate</t>
  </si>
  <si>
    <t>Piastra per raccordo a parete</t>
  </si>
  <si>
    <t>Blacha połączenia ściany</t>
  </si>
  <si>
    <t>fali csatlakozólemez</t>
  </si>
  <si>
    <t>plech na ukončenie na stenu</t>
  </si>
  <si>
    <t>Wandaansluitplaat</t>
  </si>
  <si>
    <t>Pločevina za stenski priključek</t>
  </si>
  <si>
    <t>vägganslutningsplåt</t>
  </si>
  <si>
    <t>Vægtilslutningsplade</t>
  </si>
  <si>
    <t>Veggforbindelsesplate</t>
  </si>
  <si>
    <t>Lim za zid</t>
  </si>
  <si>
    <t>Wandanschlusskehle</t>
  </si>
  <si>
    <t>wall connection valley</t>
  </si>
  <si>
    <t>Scossalina per raccordo a parete</t>
  </si>
  <si>
    <t>Kosz połączenia ściany</t>
  </si>
  <si>
    <t>fali csatlakozóvápa</t>
  </si>
  <si>
    <t>úžľabie na napojenie na stenu</t>
  </si>
  <si>
    <t>Wandaansluitgoot</t>
  </si>
  <si>
    <t>Žlota s stenskim priključkom</t>
  </si>
  <si>
    <t>vägganslutningskil</t>
  </si>
  <si>
    <t>Vægtilslutningskile</t>
  </si>
  <si>
    <t>Veggforbindelsesvinkelrenne</t>
  </si>
  <si>
    <t>Uvala uz zid</t>
  </si>
  <si>
    <t>Wandmontageplatte</t>
  </si>
  <si>
    <t>wall mounting plate</t>
  </si>
  <si>
    <t>plaque de montage mural</t>
  </si>
  <si>
    <t>Piastra per il montaggio a parete</t>
  </si>
  <si>
    <t>Montážní deska na stěnu</t>
  </si>
  <si>
    <t>Płyta montażowa do elewacji</t>
  </si>
  <si>
    <t>fali rögzítő lap</t>
  </si>
  <si>
    <t>montážna platňa</t>
  </si>
  <si>
    <t>wandmontageplaat</t>
  </si>
  <si>
    <t>plošča za montažo na zid</t>
  </si>
  <si>
    <t>väggmonteringsplatta</t>
  </si>
  <si>
    <t>vægmonteringsplade</t>
  </si>
  <si>
    <t>veggmonteringsplate</t>
  </si>
  <si>
    <t>Ploča za montažu na zid</t>
  </si>
  <si>
    <t>Wandraute</t>
  </si>
  <si>
    <t>rhomboid façade tile (PREFA)</t>
  </si>
  <si>
    <t>losange de façade</t>
  </si>
  <si>
    <t>Scaglia per facciata</t>
  </si>
  <si>
    <t>Fasádní šablona</t>
  </si>
  <si>
    <t>Romb fasadowy</t>
  </si>
  <si>
    <t>homlokzatburkoló rombusz</t>
  </si>
  <si>
    <t>fasádna šablóna</t>
  </si>
  <si>
    <t>Wandspant</t>
  </si>
  <si>
    <t>Stenski romb</t>
  </si>
  <si>
    <t>väggdiamant</t>
  </si>
  <si>
    <t>Vægrombe</t>
  </si>
  <si>
    <t>Veggrombe</t>
  </si>
  <si>
    <t>Zidni romb</t>
  </si>
  <si>
    <t>Wandraute 20 × 20</t>
  </si>
  <si>
    <t>rhomboid façade tile 20 × 20 (PREFA)</t>
  </si>
  <si>
    <t>losange de façade 20 × 20</t>
  </si>
  <si>
    <t>Scaglia per facciata 20 × 20</t>
  </si>
  <si>
    <t>Fasádní šablona 20 × 20</t>
  </si>
  <si>
    <t>Romb fasadowy 20 × 20</t>
  </si>
  <si>
    <t>homlokzatburkoló rombusz, 20 × 20</t>
  </si>
  <si>
    <t>fasádna šablóna 20 × 20</t>
  </si>
  <si>
    <t>Wandspant 20 x 20</t>
  </si>
  <si>
    <t>Stenski romb 20 × 20</t>
  </si>
  <si>
    <t>väggdiamant 20 × 20</t>
  </si>
  <si>
    <t>Vægrombe 20 × 20</t>
  </si>
  <si>
    <t>Veggrombe 20 × 20</t>
  </si>
  <si>
    <t>Zidni romb 20 × 20</t>
  </si>
  <si>
    <t>Wandrautenhaft</t>
  </si>
  <si>
    <t>rhomboid façade tile clip (PREFA)</t>
  </si>
  <si>
    <t>patte de fixation pour losanges de façade</t>
  </si>
  <si>
    <t>Graffetta per scaglie</t>
  </si>
  <si>
    <t>Příponka pro fasádní šablonu</t>
  </si>
  <si>
    <t>Zaczep do rombów fasadowych</t>
  </si>
  <si>
    <t>hafter homlokzatburkoló rombuszhoz</t>
  </si>
  <si>
    <t>príponka k fasádnej šablóne</t>
  </si>
  <si>
    <t>Wandspantvorm</t>
  </si>
  <si>
    <t>Pritrditev za stenski romb</t>
  </si>
  <si>
    <t>väggdiamantliknande</t>
  </si>
  <si>
    <t>Vægrombeholder</t>
  </si>
  <si>
    <t>Veggrombefeste</t>
  </si>
  <si>
    <t>Učvršćivač za zidne rombe</t>
  </si>
  <si>
    <t>Wandwinkel</t>
  </si>
  <si>
    <t>wall bracket</t>
  </si>
  <si>
    <t>Angolo della parete</t>
  </si>
  <si>
    <t>Nástěnný úhelník</t>
  </si>
  <si>
    <t>Narożnik ściany</t>
  </si>
  <si>
    <t>fali konzol</t>
  </si>
  <si>
    <t>stenový kút</t>
  </si>
  <si>
    <t>Wandhoek</t>
  </si>
  <si>
    <t>Stenski kot</t>
  </si>
  <si>
    <t>väggvinkel</t>
  </si>
  <si>
    <t>Vægvinkel</t>
  </si>
  <si>
    <t>Veggbrakett</t>
  </si>
  <si>
    <t>Zidni kutni element</t>
  </si>
  <si>
    <t>Wärmedämmelement (z. B. BauderPIR SWE; BauderPIR und Schalldämmplatte 40/35)</t>
  </si>
  <si>
    <t xml:space="preserve">thermal insulation panel (e.g. BauderPIR SWE → BauderPIR + 40/35 sound insulation board) </t>
  </si>
  <si>
    <t>élément d’isolation thermique (p. ex. BauderPIR SWE ; BauderPIR et plaque d’isolation phonique 40/35)</t>
  </si>
  <si>
    <t>Elemento per isolamento termico (per esempio BauderPIR SWE; BauderPIR e pannello di isolamento acustico 40/35)</t>
  </si>
  <si>
    <t>tepelně izolační prvek, např. BauderPIR SWE (BauderPIR + zvukově izolační deska 40/35)</t>
  </si>
  <si>
    <t>Element termoizolacyjny (np. BauderPIR SWE; BauderPIR i płyta dźwiękoizolacyjna 40/35)</t>
  </si>
  <si>
    <t>hőszigetelő elem (pl. BauderPIR SWE; BauderPIR és 40/35 hangszigetelő lemez)</t>
  </si>
  <si>
    <t>stenový izolačný prvok (napr. BauderPIR SWE; BauderPIR a protihluková doska 40/35)</t>
  </si>
  <si>
    <t>Thermisch isolatie-element (bijv. BauderPIR SWE; BauderPIR en geluidsisolatieplaat 40/35)</t>
  </si>
  <si>
    <t>Toplotnoizolacijski element (npr. BauderPIR SWE; BauderPIR in zvočna izolacijska plošča 40/35)</t>
  </si>
  <si>
    <t>Värmeisoleringselement (t.ex. BauderPIR SWE; BauderPIR och ljudisoleringsskiva 40/35)</t>
  </si>
  <si>
    <t>Isoleringselement (f.eks. BauderPIR SWE; BauderPIR og lydisoleringsplade 40/35)</t>
  </si>
  <si>
    <t>Varmeisolasjonselement (f.eks.BauderPIR SWE; BauderPIR og lyddempende plate 40/35)</t>
  </si>
  <si>
    <t>Toplinski izolacijski element (npr. BauderPIR SWE; BauderPIR i zvučno izolacijska ploča 40/35)</t>
  </si>
  <si>
    <t>Wärmedämmverbundsystem</t>
  </si>
  <si>
    <t>thermal insulation system</t>
  </si>
  <si>
    <t>isolation thermique par l’extérieur (ITE)</t>
  </si>
  <si>
    <t>Sistema composito per isolamento termico esterno</t>
  </si>
  <si>
    <t>Tepelně izolační kontaktní systém</t>
  </si>
  <si>
    <t>System termoizolacyjny</t>
  </si>
  <si>
    <t>hőszigetelő kompozit rendszer</t>
  </si>
  <si>
    <t>kontaktný zatepľovací systém</t>
  </si>
  <si>
    <t>Externe thermische isolatie composiet systeem</t>
  </si>
  <si>
    <t>Toplotnoizolacijski kompozitni sistem</t>
  </si>
  <si>
    <t>värmeisolerande kompositsystem</t>
  </si>
  <si>
    <t>Isoleringssystem</t>
  </si>
  <si>
    <t>Monteringssystem for varmeisolasjon</t>
  </si>
  <si>
    <t>Toplinski izolacijski kompozitni sustav</t>
  </si>
  <si>
    <t>Wasserfangkasten</t>
  </si>
  <si>
    <t>leader head</t>
  </si>
  <si>
    <t>boîte à eau</t>
  </si>
  <si>
    <t>Cassetta raccolta acque</t>
  </si>
  <si>
    <t>sběrný kotlík</t>
  </si>
  <si>
    <t>Kosz zlewowy</t>
  </si>
  <si>
    <t>vízgyűjtő üst</t>
  </si>
  <si>
    <t>zberný kotlík</t>
  </si>
  <si>
    <t>Wateropvangbak</t>
  </si>
  <si>
    <t>Zbiralnik vode</t>
  </si>
  <si>
    <t>vattenuppsamlingslåda</t>
  </si>
  <si>
    <t>Vandopsamlingskasse</t>
  </si>
  <si>
    <t>Vanndrenering</t>
  </si>
  <si>
    <t>Kutija za prihvat vode</t>
  </si>
  <si>
    <t>Wasserfangkasten (220/220/330)</t>
  </si>
  <si>
    <t>leader head 220/220/330</t>
  </si>
  <si>
    <t>boîte à eau (220/220/330)</t>
  </si>
  <si>
    <t>Cassetta di raccolta 220/220/330</t>
  </si>
  <si>
    <t>Sběrný kotlík 220/220/330</t>
  </si>
  <si>
    <t>Kosz zlewiskowy 220/220/330</t>
  </si>
  <si>
    <t>vízgyűjtő üst 220/220/336</t>
  </si>
  <si>
    <t>zberný kotlík 220/220/330</t>
  </si>
  <si>
    <t>watervangbak 220/220/330</t>
  </si>
  <si>
    <t>kotliček 220/220/330</t>
  </si>
  <si>
    <t>vattenuppsamlare 220/220/330</t>
  </si>
  <si>
    <t>vandopsamlingskasse 220/220/330</t>
  </si>
  <si>
    <t>vannoppsamler 220/220/330</t>
  </si>
  <si>
    <t>Kutija za prihvat vode (220/220/330)</t>
  </si>
  <si>
    <t>Wasserfangkasten rund</t>
  </si>
  <si>
    <t>Round leader head</t>
  </si>
  <si>
    <t>boîte à eau ronde</t>
  </si>
  <si>
    <t>Cassetta di scarico arrotondata</t>
  </si>
  <si>
    <t>Sběrný kotlík kulatý</t>
  </si>
  <si>
    <t>Kosz zlewowy okrągły</t>
  </si>
  <si>
    <t>vízgyűjtő üst kerek</t>
  </si>
  <si>
    <t>okrúhly zberný kotlík</t>
  </si>
  <si>
    <t>Wateropvangbak rond</t>
  </si>
  <si>
    <t>Zbiralnik vode okrogel</t>
  </si>
  <si>
    <t>Rund vattenuppsamlingslåda</t>
  </si>
  <si>
    <t>Vandopsamlingskasse rund</t>
  </si>
  <si>
    <t>Vanndrenering, rund</t>
  </si>
  <si>
    <t>Kutija za prihvat vode, okrugla</t>
  </si>
  <si>
    <t>Wasserrinne</t>
  </si>
  <si>
    <t>drainage channel</t>
  </si>
  <si>
    <t>rigole d’évacuation</t>
  </si>
  <si>
    <t>vodní žlábek</t>
  </si>
  <si>
    <t>Rynna do odprowadzania wody</t>
  </si>
  <si>
    <t>vízelvezető csatorna</t>
  </si>
  <si>
    <t>vodný žľab</t>
  </si>
  <si>
    <t>Watergoot</t>
  </si>
  <si>
    <t>Žleb za vodo</t>
  </si>
  <si>
    <t>vattenränna</t>
  </si>
  <si>
    <t>Vandrende</t>
  </si>
  <si>
    <t>Vannrenne</t>
  </si>
  <si>
    <t>Vodeni žlijeb</t>
  </si>
  <si>
    <t>Wasserrückstau durch Schnee und Eis</t>
  </si>
  <si>
    <t>waterlogging caused by snow and ice</t>
  </si>
  <si>
    <t>rétentions d’eau provoquées par l’accumulation de neige et de glace</t>
  </si>
  <si>
    <t>Ristagno d'acqua a causa di neve e ghiaccio</t>
  </si>
  <si>
    <t>vzdutí vody od sněhu a ledu</t>
  </si>
  <si>
    <t>Spiętrzenie wody z powodu opadów śniegu i tworzenia się lodu</t>
  </si>
  <si>
    <t>víztorlasz hó és jég miatt</t>
  </si>
  <si>
    <t>nahromadenie vody zo snehu a ľadu</t>
  </si>
  <si>
    <t>Wateroverlast door sneeuw en ijs</t>
  </si>
  <si>
    <t>Zastoj vode zaradi snega in ledu</t>
  </si>
  <si>
    <t>Vattenstockning från snö och is</t>
  </si>
  <si>
    <t>Ophobning af vand fra sne og is</t>
  </si>
  <si>
    <t>Vannoppdemming på grunn av snø og is</t>
  </si>
  <si>
    <t>Zadržavanje vode zbog snijega i leda</t>
  </si>
  <si>
    <t>Wassersammler</t>
  </si>
  <si>
    <t>water collector</t>
  </si>
  <si>
    <t>collecteur d’eau</t>
  </si>
  <si>
    <t>Deviatore</t>
  </si>
  <si>
    <t>Sběrač dešťové vody</t>
  </si>
  <si>
    <t>Zbiornik na wodę</t>
  </si>
  <si>
    <t>automata vízlopó</t>
  </si>
  <si>
    <t>zberač vody</t>
  </si>
  <si>
    <t>waterverzamelaar</t>
  </si>
  <si>
    <t>lovilec vode</t>
  </si>
  <si>
    <t>regnvattensamlare</t>
  </si>
  <si>
    <t>vandsamler</t>
  </si>
  <si>
    <t>vannsamler</t>
  </si>
  <si>
    <t>Sakupljač vode</t>
  </si>
  <si>
    <t>ETICS pipe bracket plug Ø 10</t>
  </si>
  <si>
    <t>Tassello Ø 10 per chiodo collare per facciate retroventilate</t>
  </si>
  <si>
    <t>Hmoždinka pro prostup tepelnou izolací ⌀ 10</t>
  </si>
  <si>
    <t>Dybel do pełnej izolacji cieplnej ETICS ⌀ 10</t>
  </si>
  <si>
    <t>dübel homlokzati hőszigetelésen keresztül történő rögzítéshez ∅ 10</t>
  </si>
  <si>
    <t>hmoždinka do kontaktného zatepľovacieho systému ⌀ 10</t>
  </si>
  <si>
    <t>ETICS-buisklemanker ⌀ 10</t>
  </si>
  <si>
    <t>Moznik za cevne objemke ETICS ⌀ 10</t>
  </si>
  <si>
    <t>ETICS rörklämma plugg ⌀ 10</t>
  </si>
  <si>
    <t>WDVS-rørbøjledyvel ⌀ 10</t>
  </si>
  <si>
    <t>WDVS-rørklemmeplugg ⌀ 10</t>
  </si>
  <si>
    <t>Wellprofil 18/76</t>
  </si>
  <si>
    <t>Corrugated sheet 18/76</t>
  </si>
  <si>
    <t>Profilo ondulato 18/76</t>
  </si>
  <si>
    <t>Vlnitý profil 18/76</t>
  </si>
  <si>
    <t>Profil falisty 18/76</t>
  </si>
  <si>
    <t>hullámprofil 18/76</t>
  </si>
  <si>
    <t>vlnitý profil 18/76</t>
  </si>
  <si>
    <t>Golfplaat 18/76</t>
  </si>
  <si>
    <t>Valoviti profil 18/76</t>
  </si>
  <si>
    <t>Korrugerad profil 18/76</t>
  </si>
  <si>
    <t>Bølgeprofil 18/76</t>
  </si>
  <si>
    <t>Wellprofil 18/76 horizontal</t>
  </si>
  <si>
    <t>Corrugated sheet 18/76 horizontal</t>
  </si>
  <si>
    <t>Profilo ondulato 18/76 orizzontale</t>
  </si>
  <si>
    <t>Vlnitý profil 18/76 horizontální</t>
  </si>
  <si>
    <t>Profil falisty 18/76 poziomy</t>
  </si>
  <si>
    <t>hullámprofil 18/76, vízszintes</t>
  </si>
  <si>
    <t>vlnitý profil 18/76 horizontálny</t>
  </si>
  <si>
    <t>Golfplaat 18/76 horizontaal</t>
  </si>
  <si>
    <t>Valoviti profil 18/76 vodoraven</t>
  </si>
  <si>
    <t>Korrugerad profil 18/76 horisontell</t>
  </si>
  <si>
    <t>Bølgeprofil 18/76 horisontal</t>
  </si>
  <si>
    <t>Valoviti profil 18/76, vodoravni</t>
  </si>
  <si>
    <t>Wellprofil 18/76 vertikal</t>
  </si>
  <si>
    <t>Corrugated sheet 18/76 vertical</t>
  </si>
  <si>
    <t>Profilo ondulato 18/76 verticale</t>
  </si>
  <si>
    <t>Vlnitý profil 18/76 vertikální</t>
  </si>
  <si>
    <t>Profil falisty 18/76 pionowy</t>
  </si>
  <si>
    <t>hullámprofil 18/76, függőleges</t>
  </si>
  <si>
    <t>vlnitý profil 18/76 vertikálny</t>
  </si>
  <si>
    <t>Golfplaat 18/76 verticaal</t>
  </si>
  <si>
    <t>Valoviti profil 18/76 navpičen</t>
  </si>
  <si>
    <t>Korrugerad profil 18/76 vertikal</t>
  </si>
  <si>
    <t>Bølgeprofil 18/76 vertikal</t>
  </si>
  <si>
    <t>Valoviti profil 18/76, okomiti</t>
  </si>
  <si>
    <t>Wetterschenkel</t>
  </si>
  <si>
    <t>drip (PREFA)</t>
  </si>
  <si>
    <t>renvoi d’eau</t>
  </si>
  <si>
    <t>Okapnice</t>
  </si>
  <si>
    <t>Okapnik do okien</t>
  </si>
  <si>
    <t>párkánylemez</t>
  </si>
  <si>
    <t>odkvapový profil</t>
  </si>
  <si>
    <t>Weerbeen</t>
  </si>
  <si>
    <t>Odkapni profil</t>
  </si>
  <si>
    <t>väderskiva</t>
  </si>
  <si>
    <t>Vandnæse</t>
  </si>
  <si>
    <t>Værlist</t>
  </si>
  <si>
    <t>Okapni lim</t>
  </si>
  <si>
    <t>renvoi d’eau (longueur : 2 500 mm)</t>
  </si>
  <si>
    <t>windbedingter Eintrieb von Regenwasser durch die Fugen einer Dacheindeckung</t>
  </si>
  <si>
    <t>rainwater driven by the wind through the roof covering’s joints</t>
  </si>
  <si>
    <t>infiltrations d’eaux de pluie occasionnées par le vent (eau pénétrant par les joints de la couverture)</t>
  </si>
  <si>
    <t>větrem hnaná dešťová voda do štěrbin nebo detailů v krytině</t>
  </si>
  <si>
    <t>przeciskanie się wody deszczowej przez złącza pokrycia dachowego wywoływane przez wiatr (lotny śnieg)</t>
  </si>
  <si>
    <t>az esővíz szél okozta átfolyása a tetőfedés fugáin keresztül</t>
  </si>
  <si>
    <t>vetrom podmienený prienik dažďovej vody cez škáry strešnej krytiny</t>
  </si>
  <si>
    <t>door de wind veroorzaakte opstuwing van regenwater door de voegen van een dakbedekking</t>
  </si>
  <si>
    <t>vdor deževnice skozi fuge strešne kritine zaradi vetra</t>
  </si>
  <si>
    <t>vindrelaterat inträngning av regnvatten genom fogarna i en takbeläggning</t>
  </si>
  <si>
    <t>vindrelateret indtrængning af regnvand gennem fugerne i en tagdækning</t>
  </si>
  <si>
    <t>Vindbetinget inntrengen av regnvann via fugene i et takbelegg</t>
  </si>
  <si>
    <t>Prodor kišnice uzrokovan vjetrom kroz fuge krovnog pokrova</t>
  </si>
  <si>
    <t>windbedingter Eintrieb von Schnee durch die Dacheindeckung (Flugschnee)</t>
  </si>
  <si>
    <t>snow driven by the wind through the roof covering (blown snow)</t>
  </si>
  <si>
    <t>pénétration de neige à travers la couverture (neige soufflée par le vent [neige volante, poudrerie])</t>
  </si>
  <si>
    <t>Penetrazione di neve indotta dal vento attraverso la copertura del tetto (innevamento)</t>
  </si>
  <si>
    <t>větrem hnaný sníh skrz krytinu nebo detaily (prachový sníh)</t>
  </si>
  <si>
    <t>przeciskanie się śniegu przez złącza pokrycia dachowego wywoływane przez wiatr</t>
  </si>
  <si>
    <t>a hó szél okozta bejutása a tetőfedésen (hóátfúvás)</t>
  </si>
  <si>
    <t>vetrom podmienený prienik snehu cez strešnú krytinu (náletový sneh)</t>
  </si>
  <si>
    <t>Door de wind veroorzaakte opwerveling van sneeuw door de dakbedekking (stuifsneeuw)</t>
  </si>
  <si>
    <t>vdor snega skozi strešno kritino zaradi vetra (snežni prah)</t>
  </si>
  <si>
    <t>vindrelaterad inträngning av snö genom takbeläggningen (drivsnö)</t>
  </si>
  <si>
    <t>vindrelateret indtrængning af sne gennem tagdækningen (fygesne)</t>
  </si>
  <si>
    <t>Vindbetinget inntrengen av snø via takbelegget (snøblest)</t>
  </si>
  <si>
    <t>prodor snijega kroz krovni pokrov zbog vjetra (naneseni snijeg)</t>
  </si>
  <si>
    <t>Winkel</t>
  </si>
  <si>
    <t>bracket</t>
  </si>
  <si>
    <t>Angolo</t>
  </si>
  <si>
    <t>Úhelník</t>
  </si>
  <si>
    <t>konzol</t>
  </si>
  <si>
    <t>uholník</t>
  </si>
  <si>
    <t>Hoek</t>
  </si>
  <si>
    <t>Kot</t>
  </si>
  <si>
    <t>vinkel</t>
  </si>
  <si>
    <t>Vinkel</t>
  </si>
  <si>
    <t>Kutni element</t>
  </si>
  <si>
    <t>Winkelfalz</t>
  </si>
  <si>
    <t>standing seam</t>
  </si>
  <si>
    <t>joint angulaire</t>
  </si>
  <si>
    <t>Aggraffatura angolare</t>
  </si>
  <si>
    <t>úhlová drážka</t>
  </si>
  <si>
    <t>Zagięcie kątowe</t>
  </si>
  <si>
    <t>derékszögű korc</t>
  </si>
  <si>
    <t>uhlová drážka</t>
  </si>
  <si>
    <t>Hoeknaad</t>
  </si>
  <si>
    <t>Kotni kleparski zgib</t>
  </si>
  <si>
    <t>vinkelfals</t>
  </si>
  <si>
    <t>Vinkelfals</t>
  </si>
  <si>
    <t>Kutni falc</t>
  </si>
  <si>
    <t>Winkelsaum</t>
  </si>
  <si>
    <t>angled edge</t>
  </si>
  <si>
    <t>bordure de toit angulaire</t>
  </si>
  <si>
    <t>Bordo angolare</t>
  </si>
  <si>
    <t>Łączenie kątowe</t>
  </si>
  <si>
    <t>falszegélylemez</t>
  </si>
  <si>
    <t>uhlový podkladový pás</t>
  </si>
  <si>
    <t>Hoekgoot</t>
  </si>
  <si>
    <t>Kotni rob</t>
  </si>
  <si>
    <t>vinkelsöm</t>
  </si>
  <si>
    <t>Vinkeltagrende</t>
  </si>
  <si>
    <t>Vinkelskjøt</t>
  </si>
  <si>
    <t>Kutni obrub</t>
  </si>
  <si>
    <t>Winkelstehfalz (PREFALZ)</t>
  </si>
  <si>
    <t>PREFALZ single lock standing seam</t>
  </si>
  <si>
    <t>joint angulaire en bande d’aluminium PREFALZ</t>
  </si>
  <si>
    <t>Aggraffatura angolare (PREFALZ)</t>
  </si>
  <si>
    <t>Úhlová stojatá drážka (PREFALZ)</t>
  </si>
  <si>
    <t>Rąbek stojący kątowy (PREFALZ)</t>
  </si>
  <si>
    <t>derékszögű állókorc (PREFALZ)</t>
  </si>
  <si>
    <t>uhlová stojatá drážka (PREFALZ)</t>
  </si>
  <si>
    <t>Hoeknaad (PREFALZ)</t>
  </si>
  <si>
    <t>Kotni stoječi kleparski spoj (PREFALZ)</t>
  </si>
  <si>
    <t>stående vinkelfals (PREFALZ)</t>
  </si>
  <si>
    <t>Vinkelstående fals (PREFALZ)</t>
  </si>
  <si>
    <t>Vinklet ståfals (PREFALZ)</t>
  </si>
  <si>
    <t>Kutni stojeći falc (PREFALZ)</t>
  </si>
  <si>
    <t>z. B. BauderTop UDS 1,5 NK</t>
  </si>
  <si>
    <t>e.g. BauderTop UDS 1.5 NK</t>
  </si>
  <si>
    <t>p. ex. BauderTop UDS 1,5 NK</t>
  </si>
  <si>
    <t>ad es. BauderTop UDS 1,5 NK</t>
  </si>
  <si>
    <t>např. BauderTop UDS 1,5</t>
  </si>
  <si>
    <t>np. BauderTop UDS 1,5 NK</t>
  </si>
  <si>
    <t>pl. BauderTop UDS 1,5 NK</t>
  </si>
  <si>
    <t>napr. BauderTop UDS 1,5 NK</t>
  </si>
  <si>
    <t>bijv. BauderTop UDS 1,5 NK</t>
  </si>
  <si>
    <t>npr. BauderTop UDS 1,5 NK</t>
  </si>
  <si>
    <t>t.ex. B. Bauder Top UDS 1,5 NK</t>
  </si>
  <si>
    <t>f.eks. BauderTop UDS 1,5 NK</t>
  </si>
  <si>
    <t>z. B. BauderTop UDS 3 NK</t>
  </si>
  <si>
    <t>e.g. BauderTop UDS 3 NK</t>
  </si>
  <si>
    <t>p. ex. BauderTop UDS 3 NK</t>
  </si>
  <si>
    <t>ad es. BauderTop UDS 3 NK</t>
  </si>
  <si>
    <t>např. BauderTop UDS 3</t>
  </si>
  <si>
    <t>np. BauderTop UDS 3 NK</t>
  </si>
  <si>
    <t>pl. BauderTop UDS 3 NK</t>
  </si>
  <si>
    <t>napr. BauderTop UDS 3 NK</t>
  </si>
  <si>
    <t>bijv. BauderTop UDS 3 NK</t>
  </si>
  <si>
    <t>npr. BauderTop UDS 3 NK</t>
  </si>
  <si>
    <t>t.ex. B. Bauder Top UDS 3 NK</t>
  </si>
  <si>
    <t>f.eks. BauderTop UDS 3 NK</t>
  </si>
  <si>
    <t>Zackenprofil (22/40/2,0)</t>
  </si>
  <si>
    <t>serrated profile 22/40/2.0 (PREFA)</t>
  </si>
  <si>
    <t>profil triangle (22/40/2,0)</t>
  </si>
  <si>
    <t>Profilo a zeta (22/40/2,0)</t>
  </si>
  <si>
    <t>Pilový profil (22/40/2,0)</t>
  </si>
  <si>
    <t>Profil trójkątny (22/40/2,0)</t>
  </si>
  <si>
    <t>fogazott profil (22/40/2,0)</t>
  </si>
  <si>
    <t>prelamovaný profil (22/40/2,0)</t>
  </si>
  <si>
    <t>Zakprofiel (22/40/2,0)</t>
  </si>
  <si>
    <t>Nazobčan profil (22/40/2,0)</t>
  </si>
  <si>
    <t>tandad profil (22/40/2.0)</t>
  </si>
  <si>
    <t>Takket profil (22/40/2,0)</t>
  </si>
  <si>
    <t>Sikksakkprofil (22/40/2,0)</t>
  </si>
  <si>
    <t>PREFA zupčasti profil (22/40/2,0)</t>
  </si>
  <si>
    <t>Zackenprofil (22/40/2,0; horizontal)</t>
  </si>
  <si>
    <t>serrated profile 22/40/2.0 (horizontal) – PREFA</t>
  </si>
  <si>
    <t>profil triangle (22/40/2,0 ; horizontal)</t>
  </si>
  <si>
    <t>Profilo a zeta (22/40/2,0; orizzontale)</t>
  </si>
  <si>
    <t>Pilový profil (22/40/2,0; horizontální)</t>
  </si>
  <si>
    <t>Profil trójkątny (22/40/2,0 poziomy)</t>
  </si>
  <si>
    <t>fogazott profil (22/40/2,0; vízszintes)</t>
  </si>
  <si>
    <t>prelamovaný profil (22/40/2,0; horizontálny)</t>
  </si>
  <si>
    <t>Zakprofiel (22/40/2,0; horizontaal)</t>
  </si>
  <si>
    <t>Nazobčan profil (22/40/2,0 vodoraven)</t>
  </si>
  <si>
    <t>tandad profil (22/40/2.0; horisontell)</t>
  </si>
  <si>
    <t>Takket profil (22/40/2,0; horisontal)</t>
  </si>
  <si>
    <t>Sikksakkprofil 22/40/2,0; horisontal)</t>
  </si>
  <si>
    <t>PREFA zupčasti profil (22/40/2,0; vodoravni)</t>
  </si>
  <si>
    <t>Zackenprofil (22/40/2,0; vertikal)</t>
  </si>
  <si>
    <t>serrated profile 22/40/2.0 (vertical) – PREFA</t>
  </si>
  <si>
    <t>profil triangle (22/40/2,0 ; vertical)</t>
  </si>
  <si>
    <t>Profilo a zeta (22/40/2,0; verticale)</t>
  </si>
  <si>
    <t>Pilový profil (22/40/2,0; vertikální)</t>
  </si>
  <si>
    <t>Profil trójkątny (22/40/2,0 pionowy)</t>
  </si>
  <si>
    <t>fogazott profil (22/40/2,0; függőleges)</t>
  </si>
  <si>
    <t>prelamovaný profil (22/40/2,0; vertikálny)</t>
  </si>
  <si>
    <t>Zakprofiel (22/40/2,0; verticaal)</t>
  </si>
  <si>
    <t>Nazobčan profil (22/40/2,0 navpičen)</t>
  </si>
  <si>
    <t>tandad profil (22/40/2.0; vertikal)</t>
  </si>
  <si>
    <t>Takket profil (22/40/2,0; vertikal)</t>
  </si>
  <si>
    <t>Sikksakkprofil 22/40/2,0; vertikal)</t>
  </si>
  <si>
    <t>PREFA zupčasti profil (22/40/2,0; okomiti)</t>
  </si>
  <si>
    <t>Ziegelrot/Oxydrot</t>
  </si>
  <si>
    <t>brick red/oxide red</t>
  </si>
  <si>
    <t>rouge tuile/rouge oxyde</t>
  </si>
  <si>
    <t>rosso cotto/rosso ossido</t>
  </si>
  <si>
    <t>cihlově červená/tmavě červená</t>
  </si>
  <si>
    <t>ceglasty / czerwony</t>
  </si>
  <si>
    <t>téglavörös/rozsdavörös</t>
  </si>
  <si>
    <t>tehlovočervená/tmavočervená</t>
  </si>
  <si>
    <t>dakpannenrood/oxiderood</t>
  </si>
  <si>
    <t>barkreno rjava/oksidno rdeča</t>
  </si>
  <si>
    <t>tegelröd/oxidröd</t>
  </si>
  <si>
    <t>teglrød/oxidrød</t>
  </si>
  <si>
    <t>teglsteinsrød/oksidrød</t>
  </si>
  <si>
    <t>Cigleno crvena/oksid crvena</t>
  </si>
  <si>
    <t>Z-Profil</t>
  </si>
  <si>
    <t>Z-profile</t>
  </si>
  <si>
    <t>profil en Z</t>
  </si>
  <si>
    <t>Profilo a Z</t>
  </si>
  <si>
    <t>Profil Z</t>
  </si>
  <si>
    <t>Z-profil</t>
  </si>
  <si>
    <t>Z-profiel</t>
  </si>
  <si>
    <t>Zuluft</t>
  </si>
  <si>
    <t>incoming air</t>
  </si>
  <si>
    <t>entrée d’air</t>
  </si>
  <si>
    <t>Ingresso ventilazione</t>
  </si>
  <si>
    <t>Nawiew powietrza</t>
  </si>
  <si>
    <t>beszellőzés</t>
  </si>
  <si>
    <t>prívod vzduchu</t>
  </si>
  <si>
    <t>Toevoerlucht</t>
  </si>
  <si>
    <t>Dotok zraka</t>
  </si>
  <si>
    <t>tilluft</t>
  </si>
  <si>
    <t>Lufttilførsel</t>
  </si>
  <si>
    <t>Dovodni zrak</t>
  </si>
  <si>
    <t>Zusätzlich sind folgende Umstände zu berücksichtigen:</t>
  </si>
  <si>
    <t>The following conditions should also be taken into account:</t>
  </si>
  <si>
    <t>On tiendra compte par ailleurs des paramètres suivants :</t>
  </si>
  <si>
    <t>Inoltre, si devono tenere in considerazione le seguenti circostanze:</t>
  </si>
  <si>
    <t>Navíc je nutno zohlednit tyto okolnosti</t>
  </si>
  <si>
    <t>Ponadto należy wziąć pod uwagę następujące okoliczności:</t>
  </si>
  <si>
    <t>Ezenkívül a következő körülményeket kell figyelembe venni:</t>
  </si>
  <si>
    <t>Navyše treba zohľadniť nasledujúce okolnosti:</t>
  </si>
  <si>
    <t>Bovendien moet rekening worden gehouden met de volgende omstandigheden:</t>
  </si>
  <si>
    <t>Poleg tega je treba upoštevati naslednje okoliščine:</t>
  </si>
  <si>
    <t>Dessutom måste följande omständigheter beaktas:</t>
  </si>
  <si>
    <t>Derudover skal følgende forhold tages i betragtning:</t>
  </si>
  <si>
    <t>I tillegg skal følgende omstendigheter tas med i betraktning:</t>
  </si>
  <si>
    <t>Osim toga, potrebno je uzeti u obzir sljedeće okolnosti:</t>
  </si>
  <si>
    <t>Zusatzvermerk:</t>
  </si>
  <si>
    <t>Additional remarks:</t>
  </si>
  <si>
    <t>Annotazioni</t>
  </si>
  <si>
    <t>Dodatkowe uwagi:</t>
  </si>
  <si>
    <t>megjegyzés:</t>
  </si>
  <si>
    <t>Ďalšie poznámky</t>
  </si>
  <si>
    <t>Aanvullende notitie:</t>
  </si>
  <si>
    <t>dodatne opombe</t>
  </si>
  <si>
    <t>Kompletterande notering:</t>
  </si>
  <si>
    <t>Ekstra anmærkning:</t>
  </si>
  <si>
    <t>Tilleggsnotat:</t>
  </si>
  <si>
    <t>Dodatna napomena:</t>
  </si>
  <si>
    <t>Zweischalige Dachausbildung</t>
  </si>
  <si>
    <t>double-skin roof construction</t>
  </si>
  <si>
    <t>toit double peau</t>
  </si>
  <si>
    <t>Realizzazione copertura a doppio strato</t>
  </si>
  <si>
    <t>Dvouplášťová střešní skladba</t>
  </si>
  <si>
    <t>Konstrukcja dachu dwuwarstwowego</t>
  </si>
  <si>
    <t>kéthéjú tetőszerkezet</t>
  </si>
  <si>
    <t>dvojplášťové vyhotovenie strechy</t>
  </si>
  <si>
    <t>Tweewandige dakmontage</t>
  </si>
  <si>
    <t>Strešna konstrukcija z dvojnim opažem</t>
  </si>
  <si>
    <t>Takkonstruktion med dubbla skal</t>
  </si>
  <si>
    <t>To-skals tag</t>
  </si>
  <si>
    <t>Tolags takkonstruksjon</t>
  </si>
  <si>
    <t>Dvoslojna krovna konstrukcija</t>
  </si>
  <si>
    <t>Zweischalige Dachausbildung auf Lattung</t>
  </si>
  <si>
    <t>double-skin roof construction on battens (skip sheathing)</t>
  </si>
  <si>
    <t>toit double peau sur lattage</t>
  </si>
  <si>
    <t>Realizzazione copertura a doppio strato su listelli</t>
  </si>
  <si>
    <t>Dvouplášťová střešní skladba na laťování</t>
  </si>
  <si>
    <t>Konstrukcja dachu dwuwarstwowego na łatach</t>
  </si>
  <si>
    <t>kéthéjú tetőszerkezet lécezésen</t>
  </si>
  <si>
    <t>dvojplášťové vyhotovenie strechy na latovaní</t>
  </si>
  <si>
    <t>Tweewandige dakmontage op panlatten</t>
  </si>
  <si>
    <t>Strešna konstrukcija na letvah</t>
  </si>
  <si>
    <t>Takkonstruktion med dubbla skal på läkt</t>
  </si>
  <si>
    <t>To-skals tag på lægter</t>
  </si>
  <si>
    <t>Tolags takkonstruksjon på lektere</t>
  </si>
  <si>
    <t>Dvoslojna krovna konstrukcija na letvama</t>
  </si>
  <si>
    <t>Zweischaliger Aufbau – Dachgeschoß ausgebaut (Variante 1)</t>
  </si>
  <si>
    <t>double-skin structure – converted attic (variant 1)</t>
  </si>
  <si>
    <t>toit double peau — combles aménagés (variante 1)</t>
  </si>
  <si>
    <t>Dvouplášťová střešní skladba - obytný podstřešní prostor (varianta 1)</t>
  </si>
  <si>
    <t>Konstrukcja dwuwarstwowa – poddasze nieużytkowe (wariant 1)</t>
  </si>
  <si>
    <t>kéthéjú rétegrend – beépített tetőtér (1. változat)</t>
  </si>
  <si>
    <t>dvojplášťová skladba – povalový priestor s vykurovaním (variant 1)</t>
  </si>
  <si>
    <t>Tweewandige montage - zolder uitgebouwd (variant 1)</t>
  </si>
  <si>
    <t>Konstrukcija z dvojnim opažem – podstrešje je razširjeno (različica 1)</t>
  </si>
  <si>
    <t>Tvåskalskonstruktion – vindsexpansion (variant 1)</t>
  </si>
  <si>
    <t>To-skalskonstruktion - loftsrum ikke udvidet (variant 1)</t>
  </si>
  <si>
    <t>Tolags oppbygging – loftsetasje er ombygd (variant 1)</t>
  </si>
  <si>
    <t>Dvoslojna konstrukcija – potkrovlje preuređeno (varijanta 1)</t>
  </si>
  <si>
    <t>Zweischaliger Aufbau – Dachgeschoß ausgebaut (Variante 2)</t>
  </si>
  <si>
    <t>double-skin structure – converted attic (variant 2)</t>
  </si>
  <si>
    <t>toit double peau — combles aménagés (variante 2)</t>
  </si>
  <si>
    <t>Dvouplášťová střešní skladba - obytný podstřešní prostor (varianta 2)</t>
  </si>
  <si>
    <t>Konstrukcja dwupowłokowa – poddasze nieużytkowe (wariant 2)</t>
  </si>
  <si>
    <t>Kéthéjú rétegrend – beépített tetőtér (2. változat)</t>
  </si>
  <si>
    <t>dvojplášťová skladba – povalový priestor s vykurovaním (variant 2)</t>
  </si>
  <si>
    <t>Tweewandige montage - zolder uitgebouwd (variant 2)</t>
  </si>
  <si>
    <t>Konstrukcija z dvojnim opažem – podstrešje je razširjeno (različica 2)</t>
  </si>
  <si>
    <t>Tvåskalskonstruktion – vindsexpansion (variant 2)</t>
  </si>
  <si>
    <t>To-skalskonstruktion - loftsrum ikke udvidet (variant 2)</t>
  </si>
  <si>
    <t>Tolags oppbygging – loftsetasje er ombygd (variant 2)</t>
  </si>
  <si>
    <t>Dvoslojna konstrukcija – potkrovlje preuređeno (varijanta 2)</t>
  </si>
  <si>
    <t>Zweischaliger Aufbau – Dachgeschoß nicht ausgebaut</t>
  </si>
  <si>
    <t>double-skin structure — unconverted attic</t>
  </si>
  <si>
    <t>toit double peau — combles non aménagés</t>
  </si>
  <si>
    <t>Struttura a due strati - Sottotetto non abitabile</t>
  </si>
  <si>
    <t>Dvouplášťová střešní skladba - neobytný podstřešní prostor</t>
  </si>
  <si>
    <t>Konstrukcja dwupowłokowa – poddasze nieużytkowe</t>
  </si>
  <si>
    <t>Kéthéjú rétegrend – még beépítetlen tetőtér</t>
  </si>
  <si>
    <t>dvojplášťová skladba – povalový priestory so studenou prevádzkou</t>
  </si>
  <si>
    <t>Tweewandige montage - zolder niet uitgebouwd</t>
  </si>
  <si>
    <t>Konstrukcija z dvojnim opažem – podstrešje ni razširjeno</t>
  </si>
  <si>
    <t>Tvåskalskonstruktion – ej utbyggd vind</t>
  </si>
  <si>
    <t>To-skalskonstruktion - loftsrum ikke udviklet</t>
  </si>
  <si>
    <t>Tolags oppbygging – loftsetasje er ikke ombygd</t>
  </si>
  <si>
    <t>Dvoslojna konstrukcija – potkrovlje nije preuređeno</t>
  </si>
  <si>
    <t>Zwischenlatte (50/30 mm) zur sicheren Begehbarkeit der Dachfläche und als Auflage für die Schneestopper</t>
  </si>
  <si>
    <t>intermediate batten (50/30 mm) allowing roof accessibility and sufficient support for snow guards</t>
  </si>
  <si>
    <t>volige intermédiaire (50/30 mm) destinée à assurer à la fois une bonne praticabilité de la toiture et un support adéquat pour les arrêts de neige</t>
  </si>
  <si>
    <t>Listello intermedio (50/30 mm) per un accesso sicuro alla superficie del tetto e come supporto per i nasi fermaneve</t>
  </si>
  <si>
    <t>mezilať 50/30 pro zajištění bezpečného nášlapu a jako opěra pro sněhové háky</t>
  </si>
  <si>
    <t>Łata pośrednia (50/30 mm) dla bezpiecznego dostępu do powierzchni dachu i jako podpora dla zabezpieczeń przeciwśniegowych</t>
  </si>
  <si>
    <t>közbenső léc (50/30 mm) a tetőfelület biztonságos bejárhatósága érdekében és a hófogók alátámasztására</t>
  </si>
  <si>
    <t>medzilata (50/30 mm) na bezpečnú pochôdznosť plochy strechy a ako dosadacia plocha pre zachytávač snehu</t>
  </si>
  <si>
    <t>Tussenlat (50/30 mm) voor een veilige toegankelijkheid van het dakvlak en als steun voor de sneeuwstoppers</t>
  </si>
  <si>
    <t>Vmesna letev (50/30 mm) za varno pohodnost strešne površine in kot podpora za snegobrane</t>
  </si>
  <si>
    <t>Mellanläkt (50/30 mm) för säker gångbarhet av takytan och som stöd för snöstopparna</t>
  </si>
  <si>
    <t>Mellemlægte (50/30 mm) for sikker gangbarhed på tagfladen og som støtte for snestopperne</t>
  </si>
  <si>
    <t>Mellomlekt (50/30 mm) for sikkert gangbarhet på takflaten og som underlag for snøstoppere</t>
  </si>
  <si>
    <t>Srednja letva (50/30 mm) za sigurno hodanje po krovnoj površini i kao oslonac za točkasti snjegobran</t>
  </si>
  <si>
    <t>(Höhe nach Dachneigung verschieden)</t>
  </si>
  <si>
    <t>(height may differ according to roof gradient)</t>
  </si>
  <si>
    <t>panne faîtière et chevron d’arêtier ; 30 mm de largeur (hauteur variable en fonction de la pente du toit)</t>
  </si>
  <si>
    <t>(altezza diversa a seconda della pendenza del tetto)</t>
  </si>
  <si>
    <t>(výška dle sklonu střechy)</t>
  </si>
  <si>
    <t>(Wysokość zmienia się w zależności od kąta nachylenia dachu)</t>
  </si>
  <si>
    <t>(a magasság a tetőhajlásszögtől függően változik)</t>
  </si>
  <si>
    <t>(výška podľa sklonu strechy rozdielna)</t>
  </si>
  <si>
    <t>(hoogte varieert naargelang de dakhelling)</t>
  </si>
  <si>
    <t>(višina se razlikuje glede na naklon strehe)</t>
  </si>
  <si>
    <t>(höjden varierar beroende på taklutningen)</t>
  </si>
  <si>
    <t>(Højden varierer efter taghældning)</t>
  </si>
  <si>
    <t>(Høyden varierer etter takvinkel)</t>
  </si>
  <si>
    <t>(Visina varira ovisno o nagibu krova)</t>
  </si>
  <si>
    <t>Sparrenlänge: &gt; 12 m</t>
  </si>
  <si>
    <t>rafter length: &gt; 12 m</t>
  </si>
  <si>
    <t>longueur des chevrons : &gt; 12 m</t>
  </si>
  <si>
    <t>Lunghezza della trave: &gt; 12 m</t>
  </si>
  <si>
    <t>délka krokve &gt; 12 m</t>
  </si>
  <si>
    <t>Długość krokwi: &gt; 12 m</t>
  </si>
  <si>
    <t>szarufahosszúság: &gt; 12 m</t>
  </si>
  <si>
    <t>Dĺžka krokvy: &gt; 12 m</t>
  </si>
  <si>
    <t>Spantlengte: &gt; 12 m</t>
  </si>
  <si>
    <t>Dolžina špirovca: &gt; 12 m</t>
  </si>
  <si>
    <t>Längd på sparre: &lt; 12 m</t>
  </si>
  <si>
    <t>Spærlængde: &gt; 12 m</t>
  </si>
  <si>
    <t>Sperrelengde: &gt;12 m</t>
  </si>
  <si>
    <t>Duljina roženica: &gt; 12 m</t>
  </si>
  <si>
    <t>≥ 25°</t>
  </si>
  <si>
    <t>≥ 25°</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</si>
  <si>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</si>
  <si>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</si>
  <si>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</si>
  <si>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</si>
  <si>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</si>
  <si>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</si>
  <si>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</si>
  <si>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</si>
  <si>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</si>
  <si>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</si>
  <si>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</si>
  <si>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</si>
  <si>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</si>
  <si>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</si>
  <si>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</si>
  <si>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</si>
  <si>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</si>
  <si>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</si>
  <si>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</si>
  <si>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</si>
  <si>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</si>
  <si>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</si>
  <si>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</si>
  <si>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</si>
  <si>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</si>
  <si>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</si>
  <si>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</si>
  <si>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</si>
  <si>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</si>
  <si>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</si>
  <si>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</si>
  <si>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</si>
  <si>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</si>
  <si>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</si>
  <si>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</si>
  <si>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</si>
  <si>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</si>
  <si>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</si>
  <si>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</si>
  <si>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</si>
  <si>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</si>
  <si>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</si>
  <si>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</si>
  <si>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</si>
  <si>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</si>
  <si>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</si>
  <si>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</si>
  <si>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</si>
  <si>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</si>
  <si>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</si>
  <si>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</si>
  <si>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</si>
  <si>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</si>
  <si>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</si>
  <si>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</si>
  <si>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</si>
  <si>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</si>
  <si>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</si>
  <si>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</si>
  <si>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</si>
  <si>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</si>
  <si>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</si>
  <si>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</si>
  <si>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</si>
  <si>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</si>
  <si>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</si>
  <si>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</si>
  <si>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</si>
  <si>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</si>
  <si>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</si>
  <si>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</si>
  <si>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</si>
  <si>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</si>
  <si>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</si>
  <si>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</si>
  <si>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</si>
  <si>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</si>
  <si>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</si>
  <si>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</si>
  <si>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</si>
  <si>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</si>
  <si>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</si>
  <si>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</si>
  <si>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</si>
  <si>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</si>
  <si>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</si>
  <si>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</si>
  <si>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</si>
  <si>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</si>
  <si>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12°</t>
  </si>
  <si>
    <t>14°</t>
  </si>
  <si>
    <t>16°</t>
  </si>
  <si>
    <t>17°</t>
  </si>
  <si>
    <t>*)</t>
  </si>
  <si>
    <t>(zusätzliches Kleben nicht erforderlich)</t>
  </si>
  <si>
    <t>(additional bonding not required)</t>
  </si>
  <si>
    <t>(pas de collage requis)</t>
  </si>
  <si>
    <t>(incollaggio aggiuntivo non necessario)</t>
  </si>
  <si>
    <t>(dodatečné lepení není potřeba)</t>
  </si>
  <si>
    <t>(dodatkowe klejenie niewymagane)</t>
  </si>
  <si>
    <t>(további ragasztás nem szükséges)</t>
  </si>
  <si>
    <t>(dodatočné lepenie nie je potrebné)</t>
  </si>
  <si>
    <t>(extra verlijming niet nodig)</t>
  </si>
  <si>
    <t>(dodatno lepljenje ni potrebno)</t>
  </si>
  <si>
    <t>(extra limning krävs ej)</t>
  </si>
  <si>
    <t>(ekstra klæbning er ikke påkrævet)</t>
  </si>
  <si>
    <t>(ekstra liming er ikke nødvendig)</t>
  </si>
  <si>
    <t>(dodatno lijepljenje nije potrebno)</t>
  </si>
  <si>
    <t>ca. ⌀ 100</t>
  </si>
  <si>
    <t>approx. ⌀ 100</t>
  </si>
  <si>
    <t>env. ⌀ 100</t>
  </si>
  <si>
    <t>Ø ca. 100</t>
  </si>
  <si>
    <t>Ø około 100</t>
  </si>
  <si>
    <t>Ø kb. 100</t>
  </si>
  <si>
    <t>Ø cca 100</t>
  </si>
  <si>
    <t>Ø cirka 100</t>
  </si>
  <si>
    <t>cca. ⌀ 100</t>
  </si>
  <si>
    <t>With rhomboid roof tiles 44 × 44, it is necessary to install a base plate in order to mount the roof anchor hook (e.g. if a seam is lying above a rafter in the installation area). Double-skin roof structure: 2 fixing screws 8 × 220 mm. Single-skin roof structure: 2 fixing screws 8 × 120 mm.</t>
  </si>
  <si>
    <t>W przypadku dachówki romb 44 × 44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</si>
  <si>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rhomboid roof tiles 44 × 44, it is necessary to install a base plate in order to mount the pipe-style snow guard bracket (e.g. if a seam is lying above a rafter in the installation area). Double-skin roof structure: 2 fixing screws 8 × 220 mm. Single-skin roof structure: 2 fixing screws 8 × 120 mm.</t>
  </si>
  <si>
    <t>W przypadku dachówki romb 44 × 44 konieczne jest zamontowanie płyty podkładowej w celu zamocowania elementów montażowych zabezpieczeń przeciwśniegowych (np. jeśli w obszarze mocowania nad krokwią znajduje się złożenie). Dwupowłokowa konstrukcja dachu: 2 śruby mocujące 8 × 220 mm. Jednopowłokowa konstrukcja dachu: 2 śruby mocujące 8 × 120 mm.</t>
  </si>
  <si>
    <t>With rhomboid roof tiles 29 × 29, it is necessary to install a base plate in order to mount the roof anchor hook (e.g. if a seam is lying above a rafter in the installation area). Double-skin roof structure: 2 fixing screws 8 × 220 mm. Single-skin roof structure: 2 fixing screws 8 × 120 mm.</t>
  </si>
  <si>
    <t>W przypadku dachówki romb 29 × 29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</si>
  <si>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rhomboid roof tiles 29 × 29, it is necessary to install a base plate in order to mount the pipe-style snow guard bracket. Double-skin roof structure: 2 fixing screws 8 × 220 mm. Single-skin roof structure: 2 fixing screws 8 × 120 mm.</t>
  </si>
  <si>
    <t>W przypadku dachówki romb 29 × 29 konieczne jest zamontowanie płyty podkładowej w celu zamocowania elementów montażowych zabezpieczeń przeciwśniegowych. Dwupowłokowa konstrukcja dachu: 2 śruby mocujące 8 × 220 mm. Jednopowłokowa konstrukcja dachu: 2 śruby mocujące 8 × 120 mm.</t>
  </si>
  <si>
    <t>With shingles, it is necessary to install a base plate in order to mount the roof anchor hook (e.g. if a seam is lying above a rafter in the installation area). Double-skin roof structure: 2 fixing screws 8 × 220 mm. Single-skin roof structure: 2 fixing screws 8 × 120 mm.</t>
  </si>
  <si>
    <t>W przypadku dachówki łupkowej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</si>
  <si>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shingles, it is necessary to install a base plate in order to mount the pipe-style snow guard bracket (e.g. if a seam is lying above a rafter in the installation area). Double-skin roof structure: 2 fixing screws 8 × 220 mm. Single-skin roof structure: 2 fixing screws 8 × 120 mm.</t>
  </si>
  <si>
    <t>W przypadku dachówki łupkowej konieczne jest zamontowanie płyty podkładowej w celu zamocowania elementów montażowych zabezpieczeń przeciwśniegowych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</si>
  <si>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pipe-style snow guard system (e.g. if a seam is lying above a rafter in the installation area). Double-skin roof structure: 4 fixing screws 8 × 220 mm. Single-skin roof structure: 4 fixing screws 8 × 120 mm.</t>
  </si>
  <si>
    <t>W przypadku małoformatowych elementów dachowych konieczne jest zamontowanie płyty podkładowej w celu zamocowania systemu zabezpieczeń przeciwśniegowych (np. jeśli w obszarze mocowania nad krokwią znajduje się złożenie). Dwupowłokowa konstrukcja dachu: 4 śruby mocujące 8 × 220 mm. Jednopowłokowa konstrukcja dachu: 4 śruby mocujące 8 × 120 mm.</t>
  </si>
  <si>
    <t>With small-format roof elements, it may be necessary to install a base plate in order to mount the roof anchor hook (e.g. if a seam is lying above a rafter in the installation area). Double-skin roof structure: 2 fixing screws 8 × 220 mm. Single-skin roof structure: 2 fixing screws 8 × 120 mm.</t>
  </si>
  <si>
    <t>W przypadku małoformatowych elementów dachowych konieczne jest zamontowanie płyty podkładowej w celu zamocowania dachowych haków zabezpieczających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</si>
  <si>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mountain snow guard bracket (e.g. if a seam is lying above a rafter in the installation area). Double-skin roof structure: 2 fixing screws 8 × 220 mm. Single-skin roof structure: 2 fixing screws 8 × 120 mm.</t>
  </si>
  <si>
    <t>W przypadku małoformatowych elementów dachowych konieczne jest zamontowanie płyty podkładowej w celu zamocowania elementów montażowych osłon przeciwśniegowych stosowanych na terenach górskich (np. jeśli w obszarze mocowania nad krokwią znajduje się złożenie). Dwupowłokowa konstrukcja dachu: 2 śruby mocujące 8 × 220 mm. Jednopowłokowa konstrukcja dachu: 2 śruby mocujące 8 × 120 mm.</t>
  </si>
  <si>
    <t>With small-format roof elements, it may be necessary to install a base plate in order to mount the pipe-style snow guard bracket (e.g. if a seam is lying above a rafter in the installation area). Double-skin roof structure: 2 fixing screws 8 × 220 mm. Single-skin roof structure: 2 fixing screws 8 × 120 mm.</t>
  </si>
  <si>
    <t>With small-format roof elements, it may be necessary to install a base plate in order to mount the Vario or Fix solar bracket (e.g. if a seam is lying above a rafter in the installation area). Double-skin roof structure: 2 fixing screws 8 × 220 mm. Single-skin roof structure: 2 fixing screws 8 × 120 mm.</t>
  </si>
  <si>
    <t>Zweischaliger Dachaufbau: 2 Befestigungsschrauben 8 × 220 mm.</t>
  </si>
  <si>
    <t>Double-skin roof structure: 2 fixing screws 8 × 220 mm.</t>
  </si>
  <si>
    <t>toit double peau : 2 vis de fixation 8 × 220 mm.</t>
  </si>
  <si>
    <t>Struttura del tetto a due strati: 2 viti di fissaggio 8 × 220 mm.</t>
  </si>
  <si>
    <t>dvouplášťová střešní skladba:  4 ks připevňovací vruty 8x220 mm</t>
  </si>
  <si>
    <t>Dwupowłokowa konstrukcja dachu: 2 śruby mocujące 8 × 220 mm.</t>
  </si>
  <si>
    <t>Kéthéjú tető rétegrend: 2 db 8 × 220 mm-es rögzítőcsavar.</t>
  </si>
  <si>
    <t>Dvojplášťová skladba strechy: 2 upevňovacie skrutky 8 × 220 mm.</t>
  </si>
  <si>
    <t>Tweewandige dakmontage: 2 bevestigingsschroeven 8 × 220 mm.</t>
  </si>
  <si>
    <t>Strešna konstrukcija z dvojnim opažem: 2 pritrdilna vijaka 8 × 220 mm.</t>
  </si>
  <si>
    <t>Takkonstruktion med dubbla skal: 2 monteringsskruvar 8 × 220 mm.</t>
  </si>
  <si>
    <t>To-skals tagkonstruktion: 2 fastgørelsesskruer 8 × 220 mm.</t>
  </si>
  <si>
    <t>Tolags takoppbygging: 2 festeskruer 8 × 220 mm.</t>
  </si>
  <si>
    <t>Dvoslojna krovna konstrukcija: 2 pričvrsna vijka 8 × 220 mm.</t>
  </si>
  <si>
    <t>Einschaliger Dachaufbau: 2 Befestigungsschrauben 8 × 120 mm.</t>
  </si>
  <si>
    <t>Single-skin roof structure: 2 fixing screws 8 × 120 mm.</t>
  </si>
  <si>
    <t>toiture non ventilée : 2 vis de fixation 8 × 120 mm.</t>
  </si>
  <si>
    <t>Struttura del tetto monostrato: 2 viti di fissaggio 8 × 120 mm.</t>
  </si>
  <si>
    <t>jednoplášťová střešní skladba: 4 ks připevňovací vruty 8x120 mm</t>
  </si>
  <si>
    <t>Jednopowłokowa konstrukcja dachu: 2 śruby mocujące 8 × 120 mm.</t>
  </si>
  <si>
    <t>Egyhéjú tető rétegrend: 2 db 8 × 120 mm-es rögzítőcsavar.</t>
  </si>
  <si>
    <t>Jednoplášťová skladba strechy: 2 upevňovacie skrutky 8 × 120 mm.</t>
  </si>
  <si>
    <t>Enkelwandige dakmontage: 2 bevestigingsschroeven 8 × 120 mm.</t>
  </si>
  <si>
    <t>Strešna konstrukcija z enojnim opažem: 2 pritrdilna vijaka 8 × 120 mm.</t>
  </si>
  <si>
    <t>Takkonstruktion med enkelskal: 2 monteringsskruvar 8 × 120 mm.</t>
  </si>
  <si>
    <t>En-skals tagkonstruktion: 2 fastgørelsesskruer 8 × 120 mm.</t>
  </si>
  <si>
    <t>Ettlags takoppbygging: 2 festeskruer 8 × 120 mm.</t>
  </si>
  <si>
    <t>Jednoslojna krovna konstrukcija: 2 pričvrsna vijka 8 × 120 mm.</t>
  </si>
  <si>
    <t>Sparrenlänge: 7–12 m</t>
  </si>
  <si>
    <t>rafter length: 7–12 m</t>
  </si>
  <si>
    <t>longueur des chevrons : entre 7 et 12 m</t>
  </si>
  <si>
    <t>Lunghezza della trave: 7-12 m</t>
  </si>
  <si>
    <t>délka krokve 7-12 m</t>
  </si>
  <si>
    <t>Długość krokwi: 7–12 m</t>
  </si>
  <si>
    <t>szarufahosszúság: 7–12 m</t>
  </si>
  <si>
    <t>Dĺžka krokvy: 7 – 12 m</t>
  </si>
  <si>
    <t>Spantlengte: 7–12 m</t>
  </si>
  <si>
    <t>Dolžina špirovca: 7–12 m</t>
  </si>
  <si>
    <t>Längd på sparre: 7–12 m</t>
  </si>
  <si>
    <t>Spærlængde: 7–12 m</t>
  </si>
  <si>
    <t>Sperrelengde: 7–12 m</t>
  </si>
  <si>
    <t>Duljina roženica: 7-12 m</t>
  </si>
  <si>
    <t>Dachflächenfenster mit Einschubkeil über 25° Dachneigung.</t>
  </si>
  <si>
    <t>Roof window flashing with an insert wedge on a roof pitch over 25°.</t>
  </si>
  <si>
    <t>Fenêtre de toit avec coyau pour pentes de toit supérieures à 25°</t>
  </si>
  <si>
    <t>Okno dachowe z ościeżnicą klinową poniżej 25° nachylenia dachu.</t>
  </si>
  <si>
    <t>Tetősíkablak betétes ékkel 25°-os tetőhajlásszög felett.</t>
  </si>
  <si>
    <t>Dakraam met insteekspie boven 25° dakhelling.</t>
  </si>
  <si>
    <t>Ležeći krovni prozor s klinom koji se uvlači preko 25° nagiba krova.</t>
  </si>
  <si>
    <t>Anwendung in schneereichen Gebieten.</t>
  </si>
  <si>
    <t>Installation in snowy areas.</t>
  </si>
  <si>
    <t>Utilisation dans les régions à fort enneigement.</t>
  </si>
  <si>
    <t>Utilizzo in zone nevose.</t>
  </si>
  <si>
    <t>Stosowanie na terenach, gdzie występują opady śniegu.</t>
  </si>
  <si>
    <t>Havas területeken való használat.</t>
  </si>
  <si>
    <t>Použitie v oblastiach bohatých na sneh.</t>
  </si>
  <si>
    <t>Gebruik in besneeuwde gebieden.</t>
  </si>
  <si>
    <t>Uporaba na območjih z veliko snega.</t>
  </si>
  <si>
    <t>Applicering i snörika områden.</t>
  </si>
  <si>
    <t>Anvendelse i snerige områder.</t>
  </si>
  <si>
    <t>Bruk i snørike områder.</t>
  </si>
  <si>
    <t>Primjena u snježnim područjima.</t>
  </si>
  <si>
    <t>Die Notwendigkeit des Einschubkeils ist abhängig von Objekteigenschaften, Standort sowie vom Vorhandensein eines Schneeschutzes.</t>
  </si>
  <si>
    <t>The need for the insert wedge depends on the building’s properties, the location and whether or not there is a snow protection system.</t>
  </si>
  <si>
    <t>L’utilisation ou non d’un coyau sera fonction des particularités du bâtiment, de sa situation géographique et de la présence ou non d’un système de rétention de neige.</t>
  </si>
  <si>
    <t>La necessità del cuneo di inserimento dipende dalle caratteristiche dell'immobile, dalla posizione, nonché dalla presenza di un paraneve.</t>
  </si>
  <si>
    <t>Konieczność zastosowania klina wsuwanego zależy od charakterystyki obiektu, lokalizacji, a także obecności zabezpieczeń przeciwśniegowych.</t>
  </si>
  <si>
    <t>A betétes ék szükségessége az épület jellemzőitől, a helytől, valamint a hóvédelem meglététől függ.</t>
  </si>
  <si>
    <t>Potreba použitia vloženého klinu závisí od vlastností objektu, lokality, ako aj od existencie protisnehovej ochrany.</t>
  </si>
  <si>
    <t>De noodzaak van de insteekspie hangt af van de kenmerken van het object, de plaats, alsmede de aanwezigheid van een sneeuwvanger.</t>
  </si>
  <si>
    <t>Potreba po vrivnem klinu je odvisna od lastnosti objekta, lokacije in od tega, ali je prisoten snegolov.</t>
  </si>
  <si>
    <t>Behovet av inskjutningskilen beror på fastighetens egenskaper, läget och om det finns snöskydd.</t>
  </si>
  <si>
    <t>Behovet for skydekilen afhænger af ejendommens egenskaber, beliggenheden og om der er snesikring.</t>
  </si>
  <si>
    <t>Behovet for innskyvningskilen avhenger av eiendommens egenskaper, beliggenhet og om det foreligger snøsikring.</t>
  </si>
  <si>
    <t>Potreba za klinom ovisi o svojstvima objekta, lokaciji i ima li zaštitu od snijega.</t>
  </si>
  <si>
    <t>Der fachgerechte Einbau der Dachflächenfenster erfolgt gemäß den Herstellerrichtlinien des Dachflächenfensters.</t>
  </si>
  <si>
    <t>Professional installation of the roof window flashing should be carried out according to the manufacturer’s guidelines for the roof window flashing.</t>
  </si>
  <si>
    <t>Veiller à ce que la pose soit effectuée par un professionnel et conformément aux instructions fournies par le fabricant de la fenêtre de toit.</t>
  </si>
  <si>
    <t>L'installazione professionale delle finestre per tetto viene effettuata secondo le linee guida del produttore delle finestre.</t>
  </si>
  <si>
    <t>Konieczne jest przeprowadzenie fachowego montażu okna dachowego zgodnie z wytycznymi jego producenta.</t>
  </si>
  <si>
    <t>A szakszerű beépítést a tetősíkablak gyártójának útmutatója szerint kell elvégezni.</t>
  </si>
  <si>
    <t>Pri odbornej montáži sa musí postupovať podľa smerníc výrobcu strešného okna.</t>
  </si>
  <si>
    <t>De professionele montage van het dakraam vindt plaats volgens de fabrikantrichtlijnen van het dakraam.</t>
  </si>
  <si>
    <t>Profesionalna montaža strešnega okna poteka po navodilih proizvajalca strešnega okna.</t>
  </si>
  <si>
    <t>Professionell montering av takfönstret utförs i enlighet med tillverkarens riktlinjer för takfönstret.</t>
  </si>
  <si>
    <t>Professionel montering af ​tagvinduet sker efter tagvinduets producentvejledning.</t>
  </si>
  <si>
    <t>Den profesjonelle monteringen skjer i henhold til produsentens retningslinjer for takvinduet.</t>
  </si>
  <si>
    <t>Profesionalna montaža ležećeg krovnog prozora provodi se prema uputama proizvođača ležećeg krovnog prozora.</t>
  </si>
  <si>
    <t>AT</t>
  </si>
  <si>
    <t>EN</t>
  </si>
  <si>
    <t>FR</t>
  </si>
  <si>
    <t>IT</t>
  </si>
  <si>
    <t>CZ</t>
  </si>
  <si>
    <t>PL</t>
  </si>
  <si>
    <t>HU</t>
  </si>
  <si>
    <t>SK</t>
  </si>
  <si>
    <t>NL</t>
  </si>
  <si>
    <t>SW</t>
  </si>
  <si>
    <t>DK</t>
  </si>
  <si>
    <t>NO</t>
  </si>
  <si>
    <t>HR</t>
  </si>
  <si>
    <t>Bei kleinformatigen Dachelementen kann es erforderlich sein, eine Unterlagsplatte einzubauen, um das Schneerechensystem zu montieren (z. B. wenn ein Falz im Montagebereich über dem Sparren liegt).</t>
  </si>
  <si>
    <t>With small-format roof elements, it may be necessary to install a base plate in order to mount the pipe-style snow guard system (e.g. if a seam is lying above a rafter in the installation area).</t>
  </si>
  <si>
    <t>Pour les éléments de toiture de petit format, la pose d’une plaque de support peut être requise avant l’installation du système pare-neige. C’est le cas par exemple lorsqu’un joint se trouve directement au-dessus d’un chevron, à l’endroit où l’élément doit être monté.</t>
  </si>
  <si>
    <t>Per gli elementi di copertura del tetto di piccolo formato, può essere necessario installare una sottopiastra per montare il sistema a tubi fermaneve (ad es. se c'è un'aggraffatura nella zona di montaggio sopra il travetto).</t>
  </si>
  <si>
    <t>U maloformátových krytin může být v některých případech nutné provádět montáž držáku trubkové profilované sněhové zábrany na montážní podložku (např. drážka v místě krokve).</t>
  </si>
  <si>
    <t>W przypadku małoformatowych elementów dachowych konieczne jest zamontowanie płyty podkładowej w celu zamocowania systemu zabezpieczeń przeciwśniegowych (np. jeśli w obszarze mocowania nad krokwią znajduje się złożenie).</t>
  </si>
  <si>
    <t>Kis méretű tetőfedő elemek esetében a hófogó rendszer felszereléséhez szükséges lehet egy alátétlemez beszerelése (pl. ha a szarufa feletti szerelési területen korc van).</t>
  </si>
  <si>
    <t>Pri maloformátových strešných prvkoch môže byť potrebné zabudovanie spevňovacej podložky, aby bolo možné namontovať systémový rúrkový zachytávač snehu (napr. keď drážka v montážnej oblasti leží nad krokvami).</t>
  </si>
  <si>
    <t>Bij dakelementen van klein formaat moet wellicht een steunplaat worden aangebracht om het sneeuwharksysteem te monteren (bijv. als er een sponning in het montagegebied boven de dakspant zit).</t>
  </si>
  <si>
    <t>Pri strešnih elementih majhnega formata je morda potrebno namestiti podložno ploščo za montažo snegolovnega sistema (npr. če je zgib v območju montaže nad špirovci).</t>
  </si>
  <si>
    <t>Vid takelement i småformat kan det vara nödvändigt att installera ett mellanlägg för att montera snökratssystemet (t.ex. om det finns en fals i monteringsytan ovanför takbjälken).</t>
  </si>
  <si>
    <t>Ved mindre tagelementer kan det være nødvendigt at montere en underlagsplade for at montere snesystemet (f.eks. hvis en fals i monteringsområdet er over spær).</t>
  </si>
  <si>
    <t>Med takelementer i småformat kan det være nødvendig å installere en underlagsplate for å kunne montere snøholdersystemet (f.eks. når en fals i monteringsområdet ligger over sperrebjelkene).</t>
  </si>
  <si>
    <t>Kod krovnih elemenata malog formata može biti potrebno ugraditi podlošku za montažu sustava rešetkastog snjegobrana (npr. ako je falc u području montaže iznad roženica).</t>
  </si>
  <si>
    <t>With small-format roof elements, it may be necessary to install a base plate in order to mount the roof anchor hook (e.g. if a seam is lying above a rafter in the installation area).</t>
  </si>
  <si>
    <t>U maloformátových krytin může být v některých případech nutné provádět montáž bezpečnostního háku na montážní podložku (např. drážka v místě krokve).</t>
  </si>
  <si>
    <t>Bei kleinformatigen Dachelementen kann es erforderlich sein, eine Unterlagsplatte einzubauen, um die Gebirgsschneefangstütze zu montieren (z. B. wenn ein Falz im Montagebereich über dem Sparren liegt).</t>
  </si>
  <si>
    <t>With small-format roof elements, it may be necessary to install a base plate in order to mount the mountain snow guard bracket (e.g. if a seam is lying above a rafter in the installation area).</t>
  </si>
  <si>
    <t>Pour les éléments de toiture de petit format, la pose d’une plaque de support peut être requise avant l’installation du support de pare-neige pour rondins. C’est le cas par exemple lorsqu’un joint se trouve directement au-dessus d’un chevron, à l’endroit où l’élément doit être monté.</t>
  </si>
  <si>
    <t>Per gli elementi di copertura di piccolo formato, può essere necessario installare una sottopiastra per montare la staffa fermaneve per legno tondo (ad es. se c'è un'aggraffatura nella zona di montaggio sopra il travetto).</t>
  </si>
  <si>
    <t>U maloformátových krytin může být v některých případech nutné provádět montáž držáku kulatiny na montážní podložku (např. drážka v místě krokve).</t>
  </si>
  <si>
    <t>W przypadku małoformatowych elementów dachowych konieczne jest zamontowanie płyty podkładowej w celu zamocowania elementów montażowych osłon przeciwśniegowych stosowanych na terenach górskich (np. jeśli w obszarze mocowania nad krokwią znajduje się złożenie).</t>
  </si>
  <si>
    <t>Kis méretű tetőfedő elemek esetében a hófogórönk-tartó elem felszereléséhez szükséges lehet egy alátétlemez beszerelése (pl. ha a szarufa feletti szerelési területen korc van).</t>
  </si>
  <si>
    <t>Pri maloformátových strešných prvkoch môže byť potrebné zabudovanie spevňovacej podložky, aby bolo možné namontovať držiak horského zachytávača snehu (napr. keď drážka v montážnej oblasti leží nad krokvami).</t>
  </si>
  <si>
    <t>Bij dakelementen van klein formaat moet wellicht een steunplaat worden aangebracht om de steensneeuwvanger te monteren (bijv. als er een sponning in het montagegebied boven de dakspant zit).</t>
  </si>
  <si>
    <t>Pri strešnih elementih majhnega formata je morda potrebno namestiti podložno ploščo za montažo gorskega snegolovnega opornika (npr. če je zgib v območju montaže nad špirovci).</t>
  </si>
  <si>
    <t>Vid takelement i småformat kan det vara nödvändigt att installera ett mellanlägg för att montera fjällsnöskyddsstödet (t.ex. om det finns en fals i monteringsytan ovanför takbjälken).</t>
  </si>
  <si>
    <t>Ved mindre tagelementer kan det være nødvendigt at montere en underlagsplade for at montere bjergsnesystemet (f.eks. hvis en fals i monteringsområdet er over spær).</t>
  </si>
  <si>
    <t>Med takelementer i småformat kan det være nødvendig å installere en underlagsplate for å kunne montere snøstoppere (f.eks. når en fals i monteringsområdet ligger over sperrebjelkene).</t>
  </si>
  <si>
    <t>Kod krovnih elemenata malog formata može biti potrebno ugraditi podlošku za montažu nosača planinskog snjegobrana (npr. ako je falc u području montaže iznad roženica).</t>
  </si>
  <si>
    <t>Bei kleinformatigen Dachelementen kann es erforderlich sein, eine Unterlagsplatte einzubauen, um den Schneerechenhaken montieren (z. B. wenn ein Falz im Montagebereich über dem Sparren liegt).</t>
  </si>
  <si>
    <t>With small-format roof elements, it may be necessary to install a base plate in order to mount the pipe-style snow guard bracket (e.g. if a seam is lying above a rafter in the installation area).</t>
  </si>
  <si>
    <t>Pour les éléments de toiture de petit format, la pose d’une plaque de support peut être requise avant l’installation du crochet pour tubes pare-neige. C’est le cas par exemple lorsqu’un joint se trouve directement au-dessus d’un chevron, à l’endroit où l’élément doit être monté.</t>
  </si>
  <si>
    <t>Per gli elementi di copertura di piccolo formato, può essere necessario installare una sottopiastra per montare la staffa per tubi fermaneve (ad es. se c'è un'aggraffatura nella zona di montaggio sopra il travetto).</t>
  </si>
  <si>
    <t>U maloformátových krytin může být v některých případech nutné provádět montáž držáku sněhové zábrany na montážní podložku (např. drážka v místě krokve).</t>
  </si>
  <si>
    <t>W przypadku małoformatowych elementów dachowych konieczne jest zamontowanie płyty podkładowej w celu zamocowania systemu elementów montażowych zabezpieczeń przeciwśniegowych (np. jeśli w obszarze mocowania nad krokwią znajduje się złożenie).</t>
  </si>
  <si>
    <t>Kis méretű tetőfedő elemek esetében a hófogórúd-tartó elem felszereléséhez szükséges lehet egy alátétlemez beszerelése (pl. ha a szarufa feletti szerelési területen korc van).</t>
  </si>
  <si>
    <t>Pri maloformátových strešných prvkoch môže byť potrebné zabudovanie spevňovacej podložky, aby bolo možné namontovať držiak rúrkového zachytávača snehu (napr. keď drážka v montážnej oblasti leží nad krokvami).</t>
  </si>
  <si>
    <t>Bij dakelementen van klein formaat moet wellicht een steunplaat worden aangebracht om de sneeuwharkhaak te monteren (bijv. als er een sponning in het montagegebied boven de dakspant zit).</t>
  </si>
  <si>
    <t>Pri strešnih elementih majhnega formata je morda potrebno namestiti podložko za montažo snegolova (npr. če je zgib v območju montaže nad špirovci).</t>
  </si>
  <si>
    <t>Vid takelement i småformat kan det vara nödvändigt att installera ett mellanlägg för att montera snökratskroken (t.ex. om det finns en fals i monteringsytan ovanför takbjälken).</t>
  </si>
  <si>
    <t>Ved mindre tagelementer kan det være nødvendigt at montere en underlagsplade for at montere snekrogen (f.eks. hvis en fals i monteringsområdet er over spær).</t>
  </si>
  <si>
    <t>Med takelementer i småformat kan det være nødvendig å installere en underlagsplate for å kunne montere kroken til snøstopperen (f.eks. når en fals i monteringsområdet ligger over sperrebjelkene).</t>
  </si>
  <si>
    <t>Kod krovnih elemenata malog formata može biti potrebno ugraditi podlošku za montažu kuke za rešetkasti snjegobran (npr. ako je falc u području montaže iznad roženica).</t>
  </si>
  <si>
    <t>With small-format roof elements, it may be necessary to install a base plate in order to mount the Vario or Fix solar bracket (e.g. if a seam is lying above a rafter in the installation area).</t>
  </si>
  <si>
    <t>U maloformátových krytin může být v některých případech nutné provádět montáž  solárního držáku Vario nebo Fix na montážní podložku (např. drážka v místě krokve).</t>
  </si>
  <si>
    <t>ca. 15</t>
  </si>
  <si>
    <t>approx. 15</t>
  </si>
  <si>
    <t>env. 15</t>
  </si>
  <si>
    <t>około 15</t>
  </si>
  <si>
    <t>kb. 15</t>
  </si>
  <si>
    <t>cca 15</t>
  </si>
  <si>
    <t>cirka 15</t>
  </si>
  <si>
    <t>cca. 15</t>
  </si>
  <si>
    <t>ca. 20</t>
  </si>
  <si>
    <t>approx. 20</t>
  </si>
  <si>
    <t>env. 20</t>
  </si>
  <si>
    <t>około 20</t>
  </si>
  <si>
    <t>kb. 20</t>
  </si>
  <si>
    <t>cca 20</t>
  </si>
  <si>
    <t>cirka 20</t>
  </si>
  <si>
    <t>cca. 20</t>
  </si>
  <si>
    <t>ca. 50</t>
  </si>
  <si>
    <t>approx. 50</t>
  </si>
  <si>
    <t>env. 50</t>
  </si>
  <si>
    <t>około 50</t>
  </si>
  <si>
    <t>kb. 50</t>
  </si>
  <si>
    <t>cca 50</t>
  </si>
  <si>
    <t>cirka 50</t>
  </si>
  <si>
    <t>cca. 50</t>
  </si>
  <si>
    <t>DACHFLÄCHENFENSTER MIT AUFKEILRAHMEN</t>
  </si>
  <si>
    <t>ROOF WINDOW FLASHING WITH WEDGE FRAME</t>
  </si>
  <si>
    <t>FENÊTRE DE TOIT AVEC SOUS-COSTIÈRE</t>
  </si>
  <si>
    <t>STŘEŠNÍ OKNO SE ZVEDACÍM RÁMEM</t>
  </si>
  <si>
    <t>OKNA DACHOWE Z OŚCIEŻNICAMI KLINOWYMI</t>
  </si>
  <si>
    <t>ÉKELT KERETES TETŐABLAKOK</t>
  </si>
  <si>
    <t>STREŠNÉ OKNO S KLINOVÝM RÁMOM</t>
  </si>
  <si>
    <t>DAKVENSTERS MET SPLEETKOZIJNEN</t>
  </si>
  <si>
    <t>STREŠNO OKNO S KLINASTIM OKVIRJEM</t>
  </si>
  <si>
    <t>TAKFÖNSTER MED KILRAMAR</t>
  </si>
  <si>
    <t>TAGVINDUE MED KILERAMME</t>
  </si>
  <si>
    <t>TAKVINDU MED KILEKARMER</t>
  </si>
  <si>
    <t>LEŽEĆI KROVNI PROZOR S OKVIROM</t>
  </si>
  <si>
    <t>(zusätzliches Nieten nicht erforderlich)</t>
  </si>
  <si>
    <t>(additional riveting not required)</t>
  </si>
  <si>
    <t>(pas de rivetage requis)</t>
  </si>
  <si>
    <t>(rivettatura aggiuntiva non necessaria)</t>
  </si>
  <si>
    <t>(dodatečné nýtování není nutné)</t>
  </si>
  <si>
    <t>(dodatkowe nitowanie niewymagane)</t>
  </si>
  <si>
    <t>(további szegecselés nem szükséges)</t>
  </si>
  <si>
    <t>(dodatočné nitovanie nie je potrebné)</t>
  </si>
  <si>
    <t>(extra klinknagels niet nodig)</t>
  </si>
  <si>
    <t>(dodatno zakovičenje ni potrebno)</t>
  </si>
  <si>
    <t>(extra nitning krävs ej)</t>
  </si>
  <si>
    <t>(ekstra nitning er ikke påkrævet)</t>
  </si>
  <si>
    <t>(ekstra spikring er ikke nødvendig)</t>
  </si>
  <si>
    <t>(dodatno zakivanje nije potrebno)</t>
  </si>
  <si>
    <t>mind. dreifacher Durchmesser (24 mm)</t>
  </si>
  <si>
    <t>at least three times the diameter (24 mm)</t>
  </si>
  <si>
    <t>au moins le triple du diamètre (24 mm)</t>
  </si>
  <si>
    <t>≤ 3 x Ø = 24 mm</t>
  </si>
  <si>
    <t>0–419</t>
  </si>
  <si>
    <t>0-419</t>
  </si>
  <si>
    <t>30–80*</t>
  </si>
  <si>
    <t>30-80*</t>
  </si>
  <si>
    <t>Trennlage</t>
  </si>
  <si>
    <t>separation layer</t>
  </si>
  <si>
    <t>couche de séparation</t>
  </si>
  <si>
    <t>Separační vrstva</t>
  </si>
  <si>
    <t>Warstwa rozdzielająca</t>
  </si>
  <si>
    <t>elválasztóréteg</t>
  </si>
  <si>
    <t>separačná vrstva</t>
  </si>
  <si>
    <t>Scheidingslaag</t>
  </si>
  <si>
    <t>Ločilna plast</t>
  </si>
  <si>
    <t>separationsskikt</t>
  </si>
  <si>
    <t>Skillelag</t>
  </si>
  <si>
    <t>Razdjelni sloj</t>
  </si>
  <si>
    <t>Länderspezifische Vorgaben beachten (Unterdach, keine Kehlen oder Durchdringungen usw.).</t>
  </si>
  <si>
    <t>Observe the national guidelines (roof underlay, no valleys or penetrations, etc.).</t>
  </si>
  <si>
    <t>Zohlednit národní technické předpisy (pojistná hydroizolace, úžlabí bez průniků,…)</t>
  </si>
  <si>
    <t>az országspecifikus követelményeket be kell tartani (alsó tetősík, vápa vagy áttörések nélkül, stb.).</t>
  </si>
  <si>
    <t>Poštujte zahtjeve specifične za zemlju (potkrov, bez uvala ili prodora, itd.).</t>
  </si>
  <si>
    <t>Dichtmittel in Längsfälzen.</t>
  </si>
  <si>
    <t>Sealant in longitudinal seams.</t>
  </si>
  <si>
    <t>Garniture d’étanchéité dans les agrafures longitudinales.</t>
  </si>
  <si>
    <t>Sigillante nelle aggraffature longitudinali.</t>
  </si>
  <si>
    <t>Těsnění v drážkách</t>
  </si>
  <si>
    <t>Uszczelnienie w rąbkach podłużnych.</t>
  </si>
  <si>
    <t>tömítőanyag a hosszirányú korcokban.</t>
  </si>
  <si>
    <t>Prostriedok na utesnenie v pozdĺžnych drážkach.</t>
  </si>
  <si>
    <t>Kit in lengtesponning.</t>
  </si>
  <si>
    <t>Tesnila in vzdolžno pregibanje.</t>
  </si>
  <si>
    <t>Tätningsmedel i längsgående falsar.</t>
  </si>
  <si>
    <t>Tætningsmiddel i langsgående fals.</t>
  </si>
  <si>
    <t>Tetningsmiddel i langsgående falser.</t>
  </si>
  <si>
    <t>Brtvilo u uzdužnim falcima.</t>
  </si>
  <si>
    <t>Information:</t>
  </si>
  <si>
    <t>Pour information :</t>
  </si>
  <si>
    <t>Informazione:</t>
  </si>
  <si>
    <t>Informace:</t>
  </si>
  <si>
    <t>Informacje:</t>
  </si>
  <si>
    <t>Információk:</t>
  </si>
  <si>
    <t>Informácia:</t>
  </si>
  <si>
    <t>Informatie:</t>
  </si>
  <si>
    <t>Informacija:</t>
  </si>
  <si>
    <t>Informasjon:</t>
  </si>
  <si>
    <t>Lüftungsquerschnitt der Froschmaulluken: ca. 30 cm²</t>
  </si>
  <si>
    <t>air intake section of frog-mouth vents: approx. 30 cm²</t>
  </si>
  <si>
    <t>section d’aération des chatières : env. 30 cm²</t>
  </si>
  <si>
    <t>Sezione di ventilazione della bocchetta di aerazione: circa 30 cm²</t>
  </si>
  <si>
    <t>Odvětrávací průřez tvarovky: cca 30 cm²</t>
  </si>
  <si>
    <t>Efektywny przekrój wentylacyjny pokrywy wywietrzników ok. 30 cm²</t>
  </si>
  <si>
    <t>A szellőzőelemek szellőzési keresztmetszete: kb. 30 cm²</t>
  </si>
  <si>
    <t>Vetrací prierez odvetrávacích tvaroviek: cca 30 cm²</t>
  </si>
  <si>
    <t>Ventilatie-doorsnede van de kikkermondluiken: ca. 30 cm²</t>
  </si>
  <si>
    <t>zračni prerez žabjega zračnika: približno 30 cm²</t>
  </si>
  <si>
    <t>Ventilationstvärsnitt av grodluckor: ca 30 cm².</t>
  </si>
  <si>
    <t>Ventilationstværsnit for tagudluftning: cirka 30 cm²</t>
  </si>
  <si>
    <t>Ventilasjonstverrsnitt for froskemunnformede luker: ca. 30 cm²</t>
  </si>
  <si>
    <t>Slobodni presjek odzračnika: cca. 30 cm²</t>
  </si>
  <si>
    <t>Schalung und Trennlage sind entsprechend dem Lüftungsquerschnitt auszuschneiden (Durchmesser: ca. 10 cm).</t>
  </si>
  <si>
    <t>The air intake section must be taken into account when cutting out the sheathing (diameter: approx. 10 cm).</t>
  </si>
  <si>
    <t>Découper le voligeage et la couche de séparation en tenant compte de la section d’aération (diamètre : env. 10 cm).</t>
  </si>
  <si>
    <t>Tavolato e strato separatore devono essere tagliati secondo la sezione di ventilazione (diametro: circa 10 cm).</t>
  </si>
  <si>
    <t>Bednění a separační vrstvu je nutno vyříznout podle odvětrávacího průřezu (průměr: cca 10 cm).</t>
  </si>
  <si>
    <t>Szalunek i warstwa rozdzielająca muszą być wycięte zgodnie z efektywnym przekrojem wentylacyjnym (średnica: ok. 10 cm).</t>
  </si>
  <si>
    <t>A zsaluzatot és az elválasztóréteget a szellőzési keresztmetszetnek megfelelően kell kivágni (átmérő: kb. 10 cm).</t>
  </si>
  <si>
    <t>Debnenie a separačnú vrstvu treba vyrezať podľa vetracieho prierezu (priemer: cca 10 cm).</t>
  </si>
  <si>
    <t>De bekisting en de scheidingslaag moeten worden uitgesneden volgens de doorsnede van de ventilatie (diameter: ca. 10 cm).</t>
  </si>
  <si>
    <t>Opaž in ločilni sloj je treba izrezati glede na prečni prerez zračnika (premer: pribl. 10 cm).</t>
  </si>
  <si>
    <t>Formsättning och separationsskikt ska skäras ut enligt ventilationstvärsnittet (diameter: ca 10 cm).</t>
  </si>
  <si>
    <t>Forskalling og skillelag skal udskæres efter ventilationstværsnittet (diameter: ca. 10 cm).</t>
  </si>
  <si>
    <t>Forskaling og skillelag skjæres ut i henhold til ventilasjonstverrsnittet (diameter: ca. 10 cm).</t>
  </si>
  <si>
    <t>Oplatu i razdjelni sloj potrebno je izrezati prema slobodnom presjeku (promjer: cca. 10 cm).</t>
  </si>
  <si>
    <t>Die Dacheindeckung ist im Randbereich der Ausschnitte umlaufend mit einer 1 cm hohen Aufschweifung zu versehen.</t>
  </si>
  <si>
    <t>The edges of the cut-outs on the roof covering must be surrounded by a raised curve with a height of 1 cm.</t>
  </si>
  <si>
    <t>Border le pourtour de l’ouverture pratiquée dans la couverture en relevant celui-ci d’une hauteur de 1 cm.</t>
  </si>
  <si>
    <t>La copertura del tetto deve essere dotata di un rialzo di 1 cm di altezza intorno all'area del bordo dei ritagli.</t>
  </si>
  <si>
    <t>Na krytině v místě prostřihu vytvořte po obvodu zvednutí 1 cm.</t>
  </si>
  <si>
    <t>Wokół krawędzi wycięć na pokryciu dachowym należy wykonać wypukłość o wysokości 1 cm.</t>
  </si>
  <si>
    <t>A tetőfedést a kivágások szélénél 1 cm magas felhajtással kell ellátni.</t>
  </si>
  <si>
    <t>Strešná krytina musí mať v okrajovej oblasti výrezov po celom obvode 1 cm vysoký lem.</t>
  </si>
  <si>
    <t>De dakbedekking moet rondom de randzone van de uitsparingen worden voorzien van een opstand van 1 cm hoog.</t>
  </si>
  <si>
    <t>Strešna kritina mora v robnem območju izrezov imeti neprekinjen zavihan rob višine 1 cm.</t>
  </si>
  <si>
    <t>Takbeläggningen ska förses med en 1 cm hög förhöjning hela vägen runt urskärningarnas kanter.</t>
  </si>
  <si>
    <t>Tagdækningen skal forsynes med en 1 cm høj udblænding hele vejen rundt om udskæringernes kanter.</t>
  </si>
  <si>
    <t>Takbelegget skal forsynes med 1 cm høy krage hele veien rundt kantene på utskjæringene.</t>
  </si>
  <si>
    <t>Rubovi izreza na krovnom pokrovu moraju biti okruženi povišenom krivuljom visine 1 cm.</t>
  </si>
  <si>
    <t>Hinweis:</t>
  </si>
  <si>
    <t>Note:</t>
  </si>
  <si>
    <t>Remarque :</t>
  </si>
  <si>
    <t>Nota:</t>
  </si>
  <si>
    <t>Upozornění:</t>
  </si>
  <si>
    <t>Wskazówka:</t>
  </si>
  <si>
    <t>Megjegyzés:</t>
  </si>
  <si>
    <t>Upozornenie:</t>
  </si>
  <si>
    <t>Opmerking:</t>
  </si>
  <si>
    <t>Napotek:</t>
  </si>
  <si>
    <t>Bemærk:</t>
  </si>
  <si>
    <t>Merknad:</t>
  </si>
  <si>
    <t>Uputa:</t>
  </si>
  <si>
    <t>Verlegeschema P2 (4 Stk./m² – ersten beiden Reihen durchgehend)</t>
  </si>
  <si>
    <t>installation diagram P2 (4 pc. per m²; must be installed along the first two rows)</t>
  </si>
  <si>
    <t>Schéma de pose P2 (4 arrêts de neige par m² ; monter les arrêts de neige sans interruption sur toute la longueur des deux premières rangées)</t>
  </si>
  <si>
    <r>
      <t>Schema rozmístění P2 (4 ks/m</t>
    </r>
    <r>
      <rPr>
        <vertAlign val="superscript"/>
        <sz val="11"/>
        <color indexed="8"/>
        <rFont val="Arial"/>
        <family val="2"/>
      </rPr>
      <t xml:space="preserve">2 </t>
    </r>
    <r>
      <rPr>
        <sz val="11"/>
        <color indexed="8"/>
        <rFont val="Arial"/>
        <family val="2"/>
      </rPr>
      <t>- první dvě řady průběžně)</t>
    </r>
  </si>
  <si>
    <t>Schemat montażowy P2 (4 szt./m² – pierwsze dwa rzędy ciągłe)</t>
  </si>
  <si>
    <t>P2 fektetési séma (4 db/m² – az első két sor folyamatos)</t>
  </si>
  <si>
    <t>Schéma montáže P2 (4 ks/m² – prvé dva rady kompletne)</t>
  </si>
  <si>
    <t>Installatieschema P2 (4 st./m² - eerste twee rijen doorlopend)</t>
  </si>
  <si>
    <t>Shema polaganja P2 (4 kos./m² – prvi dve vrsti neprekinjeno)</t>
  </si>
  <si>
    <t>Läggningsschema P2 (4 st/m² – första två raderna kontinuerliga)</t>
  </si>
  <si>
    <t>Læggediagram P2 (4 stk./m² - første to rækker gennemgående)</t>
  </si>
  <si>
    <t>Leggeskjema P2 (4 stk./m² – to første rader fortløpende)</t>
  </si>
  <si>
    <t>Shema postavljanja P2 (4 kom./m² – prva dva reda neprekidno)</t>
  </si>
  <si>
    <t>Verlegeschema P3 (8 Stk./m²)</t>
  </si>
  <si>
    <t>installation diagram P3 (8 pc. per m²)</t>
  </si>
  <si>
    <t>schéma de pose P3(8 arrêts de neige par m²)</t>
  </si>
  <si>
    <r>
      <t>Schema rozmístění P3 (8 ks/m</t>
    </r>
    <r>
      <rPr>
        <vertAlign val="superscript"/>
        <sz val="11"/>
        <color indexed="8"/>
        <rFont val="Arial"/>
        <family val="2"/>
      </rPr>
      <t>2</t>
    </r>
    <r>
      <rPr>
        <sz val="11"/>
        <color indexed="8"/>
        <rFont val="Arial"/>
        <family val="2"/>
      </rPr>
      <t>)</t>
    </r>
  </si>
  <si>
    <t>Schemat montażowy P3 (odpowiada pokryciu 8 szt./m²)</t>
  </si>
  <si>
    <t>P3 fektetési séma (8 db/m²)</t>
  </si>
  <si>
    <t>Schéma montáže P3 (8 ks/m²)</t>
  </si>
  <si>
    <t>Installatieschema P3 (8 st./m²)</t>
  </si>
  <si>
    <t>Shema polaganja P3 (8 kos./m²)</t>
  </si>
  <si>
    <t>Läggningsschema P3 (8 st/m² )</t>
  </si>
  <si>
    <t>Læggediagram P3 (8 stk./m²)</t>
  </si>
  <si>
    <t>Leggeskjema P3 (8 stk./m²)</t>
  </si>
  <si>
    <t>Shema postavljanja P3 (8 kom./m²)</t>
  </si>
  <si>
    <t>mind. 10</t>
  </si>
  <si>
    <t>min. 10</t>
  </si>
  <si>
    <t>au moins 10</t>
  </si>
  <si>
    <t>almeno 10</t>
  </si>
  <si>
    <t>najm. 10</t>
  </si>
  <si>
    <t>(min. 10</t>
  </si>
  <si>
    <t>(mind. 10</t>
  </si>
  <si>
    <t>mind. 100</t>
  </si>
  <si>
    <t>min. 100</t>
  </si>
  <si>
    <t>au moins 100</t>
  </si>
  <si>
    <t>almeno 100</t>
  </si>
  <si>
    <t>najm. 100</t>
  </si>
  <si>
    <t>(min. 100</t>
  </si>
  <si>
    <t>(mind. 100</t>
  </si>
  <si>
    <t>Pluviale</t>
  </si>
  <si>
    <t>Kruhový svod</t>
  </si>
  <si>
    <t>rura spustowa</t>
  </si>
  <si>
    <t>lefolyócső</t>
  </si>
  <si>
    <t>dažďový zvod</t>
  </si>
  <si>
    <t>afloopbuis</t>
  </si>
  <si>
    <t>Prefa iztočna cev</t>
  </si>
  <si>
    <t>nedløbsrør</t>
  </si>
  <si>
    <t>nedløpsrør</t>
  </si>
  <si>
    <t>Pultdachausbildung</t>
  </si>
  <si>
    <t>mono-pitched roof construction</t>
  </si>
  <si>
    <t>réalisation d’un toit monopente</t>
  </si>
  <si>
    <t>Raccordo tetto a una falda</t>
  </si>
  <si>
    <t>Provedení pultové střechy</t>
  </si>
  <si>
    <t>Konstrukcja dachu pulpitowego</t>
  </si>
  <si>
    <t>félnyeregtetős kialakítás</t>
  </si>
  <si>
    <t>vytvorenie pultovej strechy</t>
  </si>
  <si>
    <t>Lessenaarsdakvorming</t>
  </si>
  <si>
    <t>Izvedba enokapne strehe</t>
  </si>
  <si>
    <t>Utformning av pulpettak</t>
  </si>
  <si>
    <t>Pulttag</t>
  </si>
  <si>
    <t>Pulttakoppbygging</t>
  </si>
  <si>
    <t>Konstrukcija jednostrešnog krova</t>
  </si>
  <si>
    <t>Schneerechensystem</t>
  </si>
  <si>
    <t>pipe-style snow guard system</t>
  </si>
  <si>
    <t>système pare-neige sur platines</t>
  </si>
  <si>
    <t>Sistema fermaneve a triplo tubolare esagonale</t>
  </si>
  <si>
    <t>Systém sněhových zábran</t>
  </si>
  <si>
    <t>System stoperów śniegu</t>
  </si>
  <si>
    <t>hófogórúd tartó</t>
  </si>
  <si>
    <t>systémový rúrkový zachytávač snehu</t>
  </si>
  <si>
    <t>Sneeuwharksysteem</t>
  </si>
  <si>
    <t>Snegolovni sistem</t>
  </si>
  <si>
    <t>snöberäkningssystem</t>
  </si>
  <si>
    <t>Snefangssystem</t>
  </si>
  <si>
    <t>Snøberegningssystem</t>
  </si>
  <si>
    <t>Sustav rešetkastog snjegobrana</t>
  </si>
  <si>
    <t>Schneestopper – Verlegeschema P1</t>
  </si>
  <si>
    <t>snow guards – installation diagram P1</t>
  </si>
  <si>
    <t>arrêt de neige — schéma de pose P1</t>
  </si>
  <si>
    <t>Boční napojení na stěnu s zásuvnou krycí lištou P1</t>
  </si>
  <si>
    <t>Stoper śniegowy – schemat montażowy P1</t>
  </si>
  <si>
    <t>hófogó – P1 fektetési séma</t>
  </si>
  <si>
    <t>zachytávač snehu – schéma montáže P1</t>
  </si>
  <si>
    <t>Sneeuwstopper - installatieschema P1</t>
  </si>
  <si>
    <t>Snegolov – shema polaganja P1</t>
  </si>
  <si>
    <t>snöstopp – läggningsschema P1</t>
  </si>
  <si>
    <t>Snestopper – læggediagram P1</t>
  </si>
  <si>
    <t>SNØSTOPPER – LEGGESKJEMA P1</t>
  </si>
  <si>
    <t>Točkasti snjegobran – shema postavljanja P1</t>
  </si>
  <si>
    <t>Schneestopper – Verlegeschema P2</t>
  </si>
  <si>
    <t>snow guards – installation diagram P2</t>
  </si>
  <si>
    <t>arrêt de neige — schéma de pose P2</t>
  </si>
  <si>
    <t>Boční napojení na stěnu s zásuvnou krycí lištou P2</t>
  </si>
  <si>
    <t>Stoper śniegowy – schemat montażowy P2</t>
  </si>
  <si>
    <t>hófogó – P2 fektetési séma</t>
  </si>
  <si>
    <t>zachytávač snehu – schéma montáže P2</t>
  </si>
  <si>
    <t>Sneeuwstopper - installatieschema P2</t>
  </si>
  <si>
    <t>Snegolov – shema polaganja P2</t>
  </si>
  <si>
    <t>snöstopp – läggningsschema P2</t>
  </si>
  <si>
    <t>Snestopper – læggediagram P2</t>
  </si>
  <si>
    <t>SNØSTOPPER – LEGGESKJEMA P2</t>
  </si>
  <si>
    <t>Točkasti snjegobran – shema postavljanja P2</t>
  </si>
  <si>
    <t>Schneestopper – Verlegeschema P3</t>
  </si>
  <si>
    <t>snow guards – installation diagram P3</t>
  </si>
  <si>
    <t>arrêt de neige — schéma de pose P3</t>
  </si>
  <si>
    <t>Boční napojení na stěnu s zásuvnou krycí lištou P3</t>
  </si>
  <si>
    <t>Stoper śniegowy – schemat montażowy P3</t>
  </si>
  <si>
    <t>hófogó – P3 fektetési séma</t>
  </si>
  <si>
    <t>zachytávač snehu – schéma montáže P3</t>
  </si>
  <si>
    <t>Sneeuwstopper - installatieschema P3</t>
  </si>
  <si>
    <t>Snegolov – shema polaganja P3</t>
  </si>
  <si>
    <t>snöstopp – läggningsschema P3</t>
  </si>
  <si>
    <t>Snestopper – læggediagram P3</t>
  </si>
  <si>
    <t>SNØSTOPPER – LEGGESKJEMA P3</t>
  </si>
  <si>
    <t>Točkasti snjegobran – shema postavljanja P3</t>
  </si>
  <si>
    <t>41</t>
  </si>
  <si>
    <t>150</t>
  </si>
  <si>
    <t>Blatt 1</t>
  </si>
  <si>
    <t>page 1</t>
  </si>
  <si>
    <t>Foglio 1</t>
  </si>
  <si>
    <t>list 001</t>
  </si>
  <si>
    <t>Karta 1</t>
  </si>
  <si>
    <t>1. lap</t>
  </si>
  <si>
    <t>List 1</t>
  </si>
  <si>
    <t>Plaat 1</t>
  </si>
  <si>
    <t>blad 1</t>
  </si>
  <si>
    <t>Side 1</t>
  </si>
  <si>
    <t>Ark 1</t>
  </si>
  <si>
    <t>Stranica 1</t>
  </si>
  <si>
    <t>Blatt 2</t>
  </si>
  <si>
    <t>page 2</t>
  </si>
  <si>
    <t>Foglio 2</t>
  </si>
  <si>
    <t>list 002</t>
  </si>
  <si>
    <t>Karta 2</t>
  </si>
  <si>
    <t>2. lap</t>
  </si>
  <si>
    <t>List 2</t>
  </si>
  <si>
    <t>Plaat 2</t>
  </si>
  <si>
    <t>blad 2</t>
  </si>
  <si>
    <t>Side 2</t>
  </si>
  <si>
    <t>Ark 2</t>
  </si>
  <si>
    <t>Stranica 2</t>
  </si>
  <si>
    <t>Blatt 3</t>
  </si>
  <si>
    <t>page 3</t>
  </si>
  <si>
    <t>Foglio 3</t>
  </si>
  <si>
    <t>list 003</t>
  </si>
  <si>
    <t>Karta 3</t>
  </si>
  <si>
    <t>3. lap</t>
  </si>
  <si>
    <t>List 3</t>
  </si>
  <si>
    <t>Plaat 3</t>
  </si>
  <si>
    <t>blad 3</t>
  </si>
  <si>
    <t>Side 3</t>
  </si>
  <si>
    <t>Ark 3</t>
  </si>
  <si>
    <t>Stranica 3</t>
  </si>
  <si>
    <t>Blatt 4</t>
  </si>
  <si>
    <t>page 4</t>
  </si>
  <si>
    <t>Foglio 4</t>
  </si>
  <si>
    <t>list 004</t>
  </si>
  <si>
    <t>Karta 4</t>
  </si>
  <si>
    <t>4. lap</t>
  </si>
  <si>
    <t>List 4</t>
  </si>
  <si>
    <t>Plaat 4</t>
  </si>
  <si>
    <t>blad 4</t>
  </si>
  <si>
    <t>Side 4</t>
  </si>
  <si>
    <t>Ark 4</t>
  </si>
  <si>
    <t>Stranica 4</t>
  </si>
  <si>
    <t>Blatt 5</t>
  </si>
  <si>
    <t>page 5</t>
  </si>
  <si>
    <t>Foglio 5</t>
  </si>
  <si>
    <t>list 005</t>
  </si>
  <si>
    <t>Karta 5</t>
  </si>
  <si>
    <t>5. lap</t>
  </si>
  <si>
    <t>List 5</t>
  </si>
  <si>
    <t>Plaat 5</t>
  </si>
  <si>
    <t>blad 5</t>
  </si>
  <si>
    <t>Side 5</t>
  </si>
  <si>
    <t>Ark 5</t>
  </si>
  <si>
    <t>Stranica 5</t>
  </si>
  <si>
    <t>Blatt 6</t>
  </si>
  <si>
    <t>page 6</t>
  </si>
  <si>
    <t>Foglio 6</t>
  </si>
  <si>
    <t>list 006</t>
  </si>
  <si>
    <t>Karta 6</t>
  </si>
  <si>
    <t>6. lap</t>
  </si>
  <si>
    <t>List 6</t>
  </si>
  <si>
    <t>Plaat 6</t>
  </si>
  <si>
    <t>blad 6</t>
  </si>
  <si>
    <t>Side 6</t>
  </si>
  <si>
    <t>Ark 6</t>
  </si>
  <si>
    <t>Stranica 6</t>
  </si>
  <si>
    <t>Blatt 7</t>
  </si>
  <si>
    <t>page 7</t>
  </si>
  <si>
    <t>Foglio 7</t>
  </si>
  <si>
    <t>list 007</t>
  </si>
  <si>
    <t>Karta 7</t>
  </si>
  <si>
    <t>7. lap</t>
  </si>
  <si>
    <t>List 7</t>
  </si>
  <si>
    <t>Plaat 7</t>
  </si>
  <si>
    <t>blad 7</t>
  </si>
  <si>
    <t>Side 7</t>
  </si>
  <si>
    <t>Ark 7</t>
  </si>
  <si>
    <t>Stranica 7</t>
  </si>
  <si>
    <t>Blatt 8</t>
  </si>
  <si>
    <t>page 8</t>
  </si>
  <si>
    <t>Foglio 8</t>
  </si>
  <si>
    <t>list 008</t>
  </si>
  <si>
    <t>Karta 8</t>
  </si>
  <si>
    <t>8. lap</t>
  </si>
  <si>
    <t>List 8</t>
  </si>
  <si>
    <t>Plaat 8</t>
  </si>
  <si>
    <t>blad 8</t>
  </si>
  <si>
    <t>Side 8</t>
  </si>
  <si>
    <t>Ark 8</t>
  </si>
  <si>
    <t>Stranica 8</t>
  </si>
  <si>
    <t>Blatt 9</t>
  </si>
  <si>
    <t>page 9</t>
  </si>
  <si>
    <t>Foglio 9</t>
  </si>
  <si>
    <t>list 009</t>
  </si>
  <si>
    <t>Karta 9</t>
  </si>
  <si>
    <t>9. lap</t>
  </si>
  <si>
    <t>List 9</t>
  </si>
  <si>
    <t>Plaat 9</t>
  </si>
  <si>
    <t>blad 9</t>
  </si>
  <si>
    <t>Side 9</t>
  </si>
  <si>
    <t>Ark 9</t>
  </si>
  <si>
    <t>Stranica 9</t>
  </si>
  <si>
    <t>Blatt 10</t>
  </si>
  <si>
    <t>page 10</t>
  </si>
  <si>
    <t>Foglio 10</t>
  </si>
  <si>
    <t>list 010</t>
  </si>
  <si>
    <t>Karta 10</t>
  </si>
  <si>
    <t>10. lap</t>
  </si>
  <si>
    <t>List 10</t>
  </si>
  <si>
    <t>Plaat 10</t>
  </si>
  <si>
    <t>blad 10</t>
  </si>
  <si>
    <t>Side 10</t>
  </si>
  <si>
    <t>Ark 10</t>
  </si>
  <si>
    <t>Stranica 10</t>
  </si>
  <si>
    <t>Blatt 11</t>
  </si>
  <si>
    <t>page 11</t>
  </si>
  <si>
    <t>Foglio 11</t>
  </si>
  <si>
    <t>list 011</t>
  </si>
  <si>
    <t>Karta 11</t>
  </si>
  <si>
    <t>11. lap</t>
  </si>
  <si>
    <t>List 11</t>
  </si>
  <si>
    <t>Plaat 11</t>
  </si>
  <si>
    <t>blad 11</t>
  </si>
  <si>
    <t>Side 11</t>
  </si>
  <si>
    <t>Ark 11</t>
  </si>
  <si>
    <t>Stranica 11</t>
  </si>
  <si>
    <t>Blatt 12</t>
  </si>
  <si>
    <t>page 12</t>
  </si>
  <si>
    <t>Foglio 12</t>
  </si>
  <si>
    <t>list 012</t>
  </si>
  <si>
    <t>Karta 12</t>
  </si>
  <si>
    <t>12. lap</t>
  </si>
  <si>
    <t>List 12</t>
  </si>
  <si>
    <t>Plaat 12</t>
  </si>
  <si>
    <t>blad 12</t>
  </si>
  <si>
    <t>Side 12</t>
  </si>
  <si>
    <t>Ark 12</t>
  </si>
  <si>
    <t>Stranica 12</t>
  </si>
  <si>
    <t>Blatt 13</t>
  </si>
  <si>
    <t>page 13</t>
  </si>
  <si>
    <t>Foglio 13</t>
  </si>
  <si>
    <t>list 013</t>
  </si>
  <si>
    <t>Karta 13</t>
  </si>
  <si>
    <t>13. lap</t>
  </si>
  <si>
    <t>List 13</t>
  </si>
  <si>
    <t>Plaat 13</t>
  </si>
  <si>
    <t>blad 13</t>
  </si>
  <si>
    <t>Side 13</t>
  </si>
  <si>
    <t>Ark 13</t>
  </si>
  <si>
    <t>Stranica 13</t>
  </si>
  <si>
    <t>Blatt 14</t>
  </si>
  <si>
    <t>page 14</t>
  </si>
  <si>
    <t>Foglio 14</t>
  </si>
  <si>
    <t>list 014</t>
  </si>
  <si>
    <t>Karta 14</t>
  </si>
  <si>
    <t>14. lap</t>
  </si>
  <si>
    <t>List 14</t>
  </si>
  <si>
    <t>Plaat 14</t>
  </si>
  <si>
    <t>blad 14</t>
  </si>
  <si>
    <t>Side 14</t>
  </si>
  <si>
    <t>Ark 14</t>
  </si>
  <si>
    <t>Stranica 14</t>
  </si>
  <si>
    <t>Blatt 15</t>
  </si>
  <si>
    <t>page 15</t>
  </si>
  <si>
    <t>Foglio 15</t>
  </si>
  <si>
    <t>list 015</t>
  </si>
  <si>
    <t>Karta 15</t>
  </si>
  <si>
    <t>15. lap</t>
  </si>
  <si>
    <t>List 15</t>
  </si>
  <si>
    <t>Plaat 15</t>
  </si>
  <si>
    <t>blad 15</t>
  </si>
  <si>
    <t>Side 15</t>
  </si>
  <si>
    <t>Ark 15</t>
  </si>
  <si>
    <t>Stranica 15</t>
  </si>
  <si>
    <t>Blatt 16</t>
  </si>
  <si>
    <t>page 16</t>
  </si>
  <si>
    <t>Foglio 16</t>
  </si>
  <si>
    <t>list 016</t>
  </si>
  <si>
    <t>Karta 16</t>
  </si>
  <si>
    <t>16. lap</t>
  </si>
  <si>
    <t>List 16</t>
  </si>
  <si>
    <t>Plaat 16</t>
  </si>
  <si>
    <t>blad 16</t>
  </si>
  <si>
    <t>Side 16</t>
  </si>
  <si>
    <t>Ark 16</t>
  </si>
  <si>
    <t>Stranica 16</t>
  </si>
  <si>
    <t>Blatt 17</t>
  </si>
  <si>
    <t>page 17</t>
  </si>
  <si>
    <t>Foglio 17</t>
  </si>
  <si>
    <t>list 017</t>
  </si>
  <si>
    <t>Karta 17</t>
  </si>
  <si>
    <t>17. lap</t>
  </si>
  <si>
    <t>List 17</t>
  </si>
  <si>
    <t>Plaat 17</t>
  </si>
  <si>
    <t>blad 17</t>
  </si>
  <si>
    <t>Side 17</t>
  </si>
  <si>
    <t>Ark 17</t>
  </si>
  <si>
    <t>Stranica 17</t>
  </si>
  <si>
    <t>Blatt 18</t>
  </si>
  <si>
    <t>page 18</t>
  </si>
  <si>
    <t>Foglio 18</t>
  </si>
  <si>
    <t>list 018</t>
  </si>
  <si>
    <t>Karta 18</t>
  </si>
  <si>
    <t>18. lap</t>
  </si>
  <si>
    <t>List 18</t>
  </si>
  <si>
    <t>Plaat 18</t>
  </si>
  <si>
    <t>blad 18</t>
  </si>
  <si>
    <t>Side 18</t>
  </si>
  <si>
    <t>Ark 18</t>
  </si>
  <si>
    <t>Stranica 18</t>
  </si>
  <si>
    <t>Blatt 19</t>
  </si>
  <si>
    <t>page 19</t>
  </si>
  <si>
    <t>Foglio 19</t>
  </si>
  <si>
    <t>list 019</t>
  </si>
  <si>
    <t>Karta 19</t>
  </si>
  <si>
    <t>19. lap</t>
  </si>
  <si>
    <t>List 19</t>
  </si>
  <si>
    <t>Plaat 19</t>
  </si>
  <si>
    <t>blad 19</t>
  </si>
  <si>
    <t>Side 19</t>
  </si>
  <si>
    <t>Ark 19</t>
  </si>
  <si>
    <t>Stranica 19</t>
  </si>
  <si>
    <t>Blatt 20</t>
  </si>
  <si>
    <t>page 20</t>
  </si>
  <si>
    <t>Foglio 20</t>
  </si>
  <si>
    <t>list 020</t>
  </si>
  <si>
    <t>Karta 20</t>
  </si>
  <si>
    <t>20. lap</t>
  </si>
  <si>
    <t>List 20</t>
  </si>
  <si>
    <t>Plaat 20</t>
  </si>
  <si>
    <t>blad 20</t>
  </si>
  <si>
    <t>Side 20</t>
  </si>
  <si>
    <t>Ark 20</t>
  </si>
  <si>
    <t>Stranica 20</t>
  </si>
  <si>
    <t>Blatt 21</t>
  </si>
  <si>
    <t>page 21</t>
  </si>
  <si>
    <t>Foglio 21</t>
  </si>
  <si>
    <t>list 021</t>
  </si>
  <si>
    <t>Karta 21</t>
  </si>
  <si>
    <t>21. lap</t>
  </si>
  <si>
    <t>List 21</t>
  </si>
  <si>
    <t>Plaat 21</t>
  </si>
  <si>
    <t>blad 21</t>
  </si>
  <si>
    <t>Side 21</t>
  </si>
  <si>
    <t>Ark 21</t>
  </si>
  <si>
    <t>Stranica 21</t>
  </si>
  <si>
    <t>Blatt 22</t>
  </si>
  <si>
    <t>page 22</t>
  </si>
  <si>
    <t>Foglio 22</t>
  </si>
  <si>
    <t>list 022</t>
  </si>
  <si>
    <t>Karta 22</t>
  </si>
  <si>
    <t>22. lap</t>
  </si>
  <si>
    <t>List 22</t>
  </si>
  <si>
    <t>Plaat 22</t>
  </si>
  <si>
    <t>blad 22</t>
  </si>
  <si>
    <t>Side 22</t>
  </si>
  <si>
    <t>Ark 22</t>
  </si>
  <si>
    <t>Stranica 22</t>
  </si>
  <si>
    <t>Blatt 23</t>
  </si>
  <si>
    <t>page 23</t>
  </si>
  <si>
    <t>Foglio 23</t>
  </si>
  <si>
    <t>list 023</t>
  </si>
  <si>
    <t>Karta 23</t>
  </si>
  <si>
    <t>23. lap</t>
  </si>
  <si>
    <t>List 23</t>
  </si>
  <si>
    <t>Plaat 23</t>
  </si>
  <si>
    <t>blad 23</t>
  </si>
  <si>
    <t>Side 23</t>
  </si>
  <si>
    <t>Ark 23</t>
  </si>
  <si>
    <t>Stranica 23</t>
  </si>
  <si>
    <t>Blatt 24</t>
  </si>
  <si>
    <t>page 24</t>
  </si>
  <si>
    <t>Foglio 24</t>
  </si>
  <si>
    <t>list 024</t>
  </si>
  <si>
    <t>Karta 24</t>
  </si>
  <si>
    <t>24. lap</t>
  </si>
  <si>
    <t>List 24</t>
  </si>
  <si>
    <t>Plaat 24</t>
  </si>
  <si>
    <t>blad 24</t>
  </si>
  <si>
    <t>Side 24</t>
  </si>
  <si>
    <t>Ark 24</t>
  </si>
  <si>
    <t>Stranica 24</t>
  </si>
  <si>
    <t>Blatt 25</t>
  </si>
  <si>
    <t>page 25</t>
  </si>
  <si>
    <t>Foglio 25</t>
  </si>
  <si>
    <t>list 025</t>
  </si>
  <si>
    <t>Karta 25</t>
  </si>
  <si>
    <t>25. lap</t>
  </si>
  <si>
    <t>List 25</t>
  </si>
  <si>
    <t>Plaat 25</t>
  </si>
  <si>
    <t>blad 25</t>
  </si>
  <si>
    <t>Side 25</t>
  </si>
  <si>
    <t>Ark 25</t>
  </si>
  <si>
    <t>Stranica 25</t>
  </si>
  <si>
    <t>Blatt 26</t>
  </si>
  <si>
    <t>page 26</t>
  </si>
  <si>
    <t>Foglio 26</t>
  </si>
  <si>
    <t>list 026</t>
  </si>
  <si>
    <t>Karta 26</t>
  </si>
  <si>
    <t>26. lap</t>
  </si>
  <si>
    <t>List 26</t>
  </si>
  <si>
    <t>Plaat 26</t>
  </si>
  <si>
    <t>blad 26</t>
  </si>
  <si>
    <t>Side 26</t>
  </si>
  <si>
    <t>Ark 26</t>
  </si>
  <si>
    <t>Stranica 26</t>
  </si>
  <si>
    <t>Blatt 27</t>
  </si>
  <si>
    <t>page 27</t>
  </si>
  <si>
    <t>Foglio 27</t>
  </si>
  <si>
    <t>list 027</t>
  </si>
  <si>
    <t>Karta 27</t>
  </si>
  <si>
    <t>27. lap</t>
  </si>
  <si>
    <t>List 27</t>
  </si>
  <si>
    <t>Plaat 27</t>
  </si>
  <si>
    <t>blad 27</t>
  </si>
  <si>
    <t>Side 27</t>
  </si>
  <si>
    <t>Ark 27</t>
  </si>
  <si>
    <t>Stranica 27</t>
  </si>
  <si>
    <t>Blatt 28</t>
  </si>
  <si>
    <t>page 28</t>
  </si>
  <si>
    <t>Foglio 28</t>
  </si>
  <si>
    <t>list 028</t>
  </si>
  <si>
    <t>Karta 28</t>
  </si>
  <si>
    <t>28. lap</t>
  </si>
  <si>
    <t>List 28</t>
  </si>
  <si>
    <t>Plaat 28</t>
  </si>
  <si>
    <t>blad 28</t>
  </si>
  <si>
    <t>Side 28</t>
  </si>
  <si>
    <t>Ark 28</t>
  </si>
  <si>
    <t>Stranica 28</t>
  </si>
  <si>
    <t>Blatt 29</t>
  </si>
  <si>
    <t>page 29</t>
  </si>
  <si>
    <t>Foglio 29</t>
  </si>
  <si>
    <t>list 029</t>
  </si>
  <si>
    <t>Karta 29</t>
  </si>
  <si>
    <t>29. lap</t>
  </si>
  <si>
    <t>List 29</t>
  </si>
  <si>
    <t>Plaat 29</t>
  </si>
  <si>
    <t>blad 29</t>
  </si>
  <si>
    <t>Side 29</t>
  </si>
  <si>
    <t>Ark 29</t>
  </si>
  <si>
    <t>Stranica 29</t>
  </si>
  <si>
    <t>Blatt 30</t>
  </si>
  <si>
    <t>page 30</t>
  </si>
  <si>
    <t>Foglio 30</t>
  </si>
  <si>
    <t>list 030</t>
  </si>
  <si>
    <t>Karta 30</t>
  </si>
  <si>
    <t>30. lap</t>
  </si>
  <si>
    <t>List 30</t>
  </si>
  <si>
    <t>Plaat 30</t>
  </si>
  <si>
    <t>blad 30</t>
  </si>
  <si>
    <t>Side 30</t>
  </si>
  <si>
    <t>Ark 30</t>
  </si>
  <si>
    <t>Stranica 30</t>
  </si>
  <si>
    <t>Blatt 31</t>
  </si>
  <si>
    <t>page 31</t>
  </si>
  <si>
    <t>Foglio 31</t>
  </si>
  <si>
    <t>list 031</t>
  </si>
  <si>
    <t>Karta 31</t>
  </si>
  <si>
    <t>31. lap</t>
  </si>
  <si>
    <t>List 31</t>
  </si>
  <si>
    <t>Plaat 31</t>
  </si>
  <si>
    <t>blad 31</t>
  </si>
  <si>
    <t>Side 31</t>
  </si>
  <si>
    <t>Ark 31</t>
  </si>
  <si>
    <t>Stranica 31</t>
  </si>
  <si>
    <t>Blatt 32</t>
  </si>
  <si>
    <t>page 32</t>
  </si>
  <si>
    <t>Foglio 32</t>
  </si>
  <si>
    <t>list 032</t>
  </si>
  <si>
    <t>Karta 32</t>
  </si>
  <si>
    <t>32. lap</t>
  </si>
  <si>
    <t>List 32</t>
  </si>
  <si>
    <t>Plaat 32</t>
  </si>
  <si>
    <t>blad 32</t>
  </si>
  <si>
    <t>Side 32</t>
  </si>
  <si>
    <t>Ark 32</t>
  </si>
  <si>
    <t>Stranica 32</t>
  </si>
  <si>
    <t>Blatt 33</t>
  </si>
  <si>
    <t>page 33</t>
  </si>
  <si>
    <t>Foglio 33</t>
  </si>
  <si>
    <t>list 033</t>
  </si>
  <si>
    <t>Karta 33</t>
  </si>
  <si>
    <t>33. lap</t>
  </si>
  <si>
    <t>List 33</t>
  </si>
  <si>
    <t>Plaat 33</t>
  </si>
  <si>
    <t>blad 33</t>
  </si>
  <si>
    <t>Side 33</t>
  </si>
  <si>
    <t>Ark 33</t>
  </si>
  <si>
    <t>Stranica 33</t>
  </si>
  <si>
    <t>Blatt 34</t>
  </si>
  <si>
    <t>page 34</t>
  </si>
  <si>
    <t>Foglio 34</t>
  </si>
  <si>
    <t>list 034</t>
  </si>
  <si>
    <t>Karta 34</t>
  </si>
  <si>
    <t>34. lap</t>
  </si>
  <si>
    <t>List 34</t>
  </si>
  <si>
    <t>Plaat 34</t>
  </si>
  <si>
    <t>blad 34</t>
  </si>
  <si>
    <t>Side 34</t>
  </si>
  <si>
    <t>Ark 34</t>
  </si>
  <si>
    <t>Stranica 34</t>
  </si>
  <si>
    <t>Blatt 35</t>
  </si>
  <si>
    <t>page 35</t>
  </si>
  <si>
    <t>Foglio 35</t>
  </si>
  <si>
    <t>list 035</t>
  </si>
  <si>
    <t>Karta 35</t>
  </si>
  <si>
    <t>35. lap</t>
  </si>
  <si>
    <t>List 35</t>
  </si>
  <si>
    <t>Plaat 35</t>
  </si>
  <si>
    <t>blad 35</t>
  </si>
  <si>
    <t>Side 35</t>
  </si>
  <si>
    <t>Ark 35</t>
  </si>
  <si>
    <t>Stranica 35</t>
  </si>
  <si>
    <t>Blatt 36</t>
  </si>
  <si>
    <t>page 36</t>
  </si>
  <si>
    <t>Foglio 36</t>
  </si>
  <si>
    <t>list 036</t>
  </si>
  <si>
    <t>Karta 36</t>
  </si>
  <si>
    <t>36. lap</t>
  </si>
  <si>
    <t>List 36</t>
  </si>
  <si>
    <t>Plaat 36</t>
  </si>
  <si>
    <t>blad 36</t>
  </si>
  <si>
    <t>Side 36</t>
  </si>
  <si>
    <t>Ark 36</t>
  </si>
  <si>
    <t>Stranica 36</t>
  </si>
  <si>
    <t>Blatt 37</t>
  </si>
  <si>
    <t>page 37</t>
  </si>
  <si>
    <t>Foglio 37</t>
  </si>
  <si>
    <t>list 037</t>
  </si>
  <si>
    <t>Karta 37</t>
  </si>
  <si>
    <t>37. lap</t>
  </si>
  <si>
    <t>List 37</t>
  </si>
  <si>
    <t>Plaat 37</t>
  </si>
  <si>
    <t>blad 37</t>
  </si>
  <si>
    <t>Side 37</t>
  </si>
  <si>
    <t>Ark 37</t>
  </si>
  <si>
    <t>Stranica 37</t>
  </si>
  <si>
    <t>Blatt 38</t>
  </si>
  <si>
    <t>page 38</t>
  </si>
  <si>
    <t>Foglio 38</t>
  </si>
  <si>
    <t>list 038</t>
  </si>
  <si>
    <t>Karta 38</t>
  </si>
  <si>
    <t>38. lap</t>
  </si>
  <si>
    <t>List 38</t>
  </si>
  <si>
    <t>Plaat 38</t>
  </si>
  <si>
    <t>blad 38</t>
  </si>
  <si>
    <t>Side 38</t>
  </si>
  <si>
    <t>Ark 38</t>
  </si>
  <si>
    <t>Stranica 38</t>
  </si>
  <si>
    <t>Blatt 39</t>
  </si>
  <si>
    <t>page 39</t>
  </si>
  <si>
    <t>Foglio 39</t>
  </si>
  <si>
    <t>list 039</t>
  </si>
  <si>
    <t>Karta 39</t>
  </si>
  <si>
    <t>39. lap</t>
  </si>
  <si>
    <t>List 39</t>
  </si>
  <si>
    <t>Plaat 39</t>
  </si>
  <si>
    <t>blad 39</t>
  </si>
  <si>
    <t>Side 39</t>
  </si>
  <si>
    <t>Ark 39</t>
  </si>
  <si>
    <t>Stranica 39</t>
  </si>
  <si>
    <t>Blatt 40</t>
  </si>
  <si>
    <t>page 40</t>
  </si>
  <si>
    <t>Foglio 40</t>
  </si>
  <si>
    <t>list 040</t>
  </si>
  <si>
    <t>Karta 40</t>
  </si>
  <si>
    <t>40. lap</t>
  </si>
  <si>
    <t>List 40</t>
  </si>
  <si>
    <t>Plaat 40</t>
  </si>
  <si>
    <t>blad 40</t>
  </si>
  <si>
    <t>Side 40</t>
  </si>
  <si>
    <t>Ark 40</t>
  </si>
  <si>
    <t>Stranica 40</t>
  </si>
  <si>
    <t>Blatt 41</t>
  </si>
  <si>
    <t>page 41</t>
  </si>
  <si>
    <t>Foglio 41</t>
  </si>
  <si>
    <t>list 041</t>
  </si>
  <si>
    <t>Karta 41</t>
  </si>
  <si>
    <t>41. lap</t>
  </si>
  <si>
    <t>List 41</t>
  </si>
  <si>
    <t>Plaat 41</t>
  </si>
  <si>
    <t>blad 41</t>
  </si>
  <si>
    <t>Side 41</t>
  </si>
  <si>
    <t>Ark 41</t>
  </si>
  <si>
    <t>Stranica 41</t>
  </si>
  <si>
    <t>Blatt 42</t>
  </si>
  <si>
    <t>page 42</t>
  </si>
  <si>
    <t>Foglio 42</t>
  </si>
  <si>
    <t>list 042</t>
  </si>
  <si>
    <t>Karta 42</t>
  </si>
  <si>
    <t>42. lap</t>
  </si>
  <si>
    <t>List 42</t>
  </si>
  <si>
    <t>Plaat 42</t>
  </si>
  <si>
    <t>blad 42</t>
  </si>
  <si>
    <t>Side 42</t>
  </si>
  <si>
    <t>Ark 42</t>
  </si>
  <si>
    <t>Stranica 42</t>
  </si>
  <si>
    <t>Blatt 43</t>
  </si>
  <si>
    <t>page 43</t>
  </si>
  <si>
    <t>Foglio 43</t>
  </si>
  <si>
    <t>list 043</t>
  </si>
  <si>
    <t>Karta 43</t>
  </si>
  <si>
    <t>43. lap</t>
  </si>
  <si>
    <t>List 43</t>
  </si>
  <si>
    <t>Plaat 43</t>
  </si>
  <si>
    <t>blad 43</t>
  </si>
  <si>
    <t>Side 43</t>
  </si>
  <si>
    <t>Ark 43</t>
  </si>
  <si>
    <t>Stranica 43</t>
  </si>
  <si>
    <t>Blatt 44</t>
  </si>
  <si>
    <t>page 44</t>
  </si>
  <si>
    <t>Foglio 44</t>
  </si>
  <si>
    <t>list 044</t>
  </si>
  <si>
    <t>Karta 44</t>
  </si>
  <si>
    <t>44. lap</t>
  </si>
  <si>
    <t>List 44</t>
  </si>
  <si>
    <t>Plaat 44</t>
  </si>
  <si>
    <t>blad 44</t>
  </si>
  <si>
    <t>Side 44</t>
  </si>
  <si>
    <t>Ark 44</t>
  </si>
  <si>
    <t>Stranica 44</t>
  </si>
  <si>
    <t>Blatt 45</t>
  </si>
  <si>
    <t>page 45</t>
  </si>
  <si>
    <t>Foglio 45</t>
  </si>
  <si>
    <t>list 045</t>
  </si>
  <si>
    <t>Karta 45</t>
  </si>
  <si>
    <t>45. lap</t>
  </si>
  <si>
    <t>List 45</t>
  </si>
  <si>
    <t>Plaat 45</t>
  </si>
  <si>
    <t>blad 45</t>
  </si>
  <si>
    <t>Side 45</t>
  </si>
  <si>
    <t>Ark 45</t>
  </si>
  <si>
    <t>Stranica 45</t>
  </si>
  <si>
    <t>Blatt 46</t>
  </si>
  <si>
    <t>page 46</t>
  </si>
  <si>
    <t>Foglio 46</t>
  </si>
  <si>
    <t>list 046</t>
  </si>
  <si>
    <t>Karta 46</t>
  </si>
  <si>
    <t>46. lap</t>
  </si>
  <si>
    <t>List 46</t>
  </si>
  <si>
    <t>Plaat 46</t>
  </si>
  <si>
    <t>blad 46</t>
  </si>
  <si>
    <t>Side 46</t>
  </si>
  <si>
    <t>Ark 46</t>
  </si>
  <si>
    <t>Stranica 46</t>
  </si>
  <si>
    <t>Blatt 47</t>
  </si>
  <si>
    <t>page 47</t>
  </si>
  <si>
    <t>Foglio 47</t>
  </si>
  <si>
    <t>list 047</t>
  </si>
  <si>
    <t>Karta 47</t>
  </si>
  <si>
    <t>47. lap</t>
  </si>
  <si>
    <t>List 47</t>
  </si>
  <si>
    <t>Plaat 47</t>
  </si>
  <si>
    <t>blad 47</t>
  </si>
  <si>
    <t>Side 47</t>
  </si>
  <si>
    <t>Ark 47</t>
  </si>
  <si>
    <t>Stranica 47</t>
  </si>
  <si>
    <t>Blatt 48</t>
  </si>
  <si>
    <t>page 48</t>
  </si>
  <si>
    <t>Foglio 48</t>
  </si>
  <si>
    <t>list 048</t>
  </si>
  <si>
    <t>Karta 48</t>
  </si>
  <si>
    <t>48. lap</t>
  </si>
  <si>
    <t>List 48</t>
  </si>
  <si>
    <t>Plaat 48</t>
  </si>
  <si>
    <t>blad 48</t>
  </si>
  <si>
    <t>Side 48</t>
  </si>
  <si>
    <t>Ark 48</t>
  </si>
  <si>
    <t>Stranica 48</t>
  </si>
  <si>
    <t>Blatt 49</t>
  </si>
  <si>
    <t>page 49</t>
  </si>
  <si>
    <t>Foglio 49</t>
  </si>
  <si>
    <t>list 049</t>
  </si>
  <si>
    <t>Karta 49</t>
  </si>
  <si>
    <t>49. lap</t>
  </si>
  <si>
    <t>List 49</t>
  </si>
  <si>
    <t>Plaat 49</t>
  </si>
  <si>
    <t>blad 49</t>
  </si>
  <si>
    <t>Side 49</t>
  </si>
  <si>
    <t>Ark 49</t>
  </si>
  <si>
    <t>Stranica 49</t>
  </si>
  <si>
    <t>Blatt 50</t>
  </si>
  <si>
    <t>page 50</t>
  </si>
  <si>
    <t>Foglio 50</t>
  </si>
  <si>
    <t>list 050</t>
  </si>
  <si>
    <t>Karta 50</t>
  </si>
  <si>
    <t>50. lap</t>
  </si>
  <si>
    <t>List 50</t>
  </si>
  <si>
    <t>Plaat 50</t>
  </si>
  <si>
    <t>blad 50</t>
  </si>
  <si>
    <t>Side 50</t>
  </si>
  <si>
    <t>Ark 50</t>
  </si>
  <si>
    <t>Stranica 50</t>
  </si>
  <si>
    <t>22°</t>
  </si>
  <si>
    <t>3°</t>
  </si>
  <si>
    <t>5°</t>
  </si>
  <si>
    <t>7°</t>
  </si>
  <si>
    <t>25.05.2021</t>
  </si>
  <si>
    <t>25.02.2021</t>
  </si>
  <si>
    <t>PREFA_Details_Dach_Dachplatte_181203</t>
  </si>
  <si>
    <t>PREFA_details_roof_roof-tile_181203</t>
  </si>
  <si>
    <t>PREFA_détails_toiture_tuile_181203</t>
  </si>
  <si>
    <t>Entlüftung über Froschmaulluken (für Dachplatte R.16)</t>
  </si>
  <si>
    <t xml:space="preserve">ventilation for roof tiles R.16 via frog-mouth vents </t>
  </si>
  <si>
    <t>ventilation par chatières (pour tuiles R.16)</t>
  </si>
  <si>
    <t>Aerazione tramite bocchetta di aerazione (per tegola R.16)</t>
  </si>
  <si>
    <t>Odvětrání odvětrávacími tvarovkami (pro střešní panel R.16)</t>
  </si>
  <si>
    <t>Wentylacja przez półokrągły wywietrznik dachowy (do dachówki R.16)</t>
  </si>
  <si>
    <t>Szellőztetés szellőzőelemeken keresztül (R.16 Classic elemhez)</t>
  </si>
  <si>
    <t>odvetrávanie cez odvetrávacie tvarovky (pre strešný panel R.16)</t>
  </si>
  <si>
    <t>Ventilatie via kikkermondluiken (voor dakplaat R.16)</t>
  </si>
  <si>
    <t>Odzračevanje preko žabjega zračnika (za strešno ploščo R.16)</t>
  </si>
  <si>
    <t>Ventilation via grodluckor (för takpanel R.16)</t>
  </si>
  <si>
    <t>Ventilation via tagudluftning (til tagplade R.16)</t>
  </si>
  <si>
    <t>Ventilasjon via froskemunnformet luke (til takplate R.16)</t>
  </si>
  <si>
    <t>Odzračivanje preko odzračnika (za krovnu ploču R.16)</t>
  </si>
  <si>
    <t>PREFA_Details_Dach_Dachplatte_R.16_181203</t>
  </si>
  <si>
    <t>PREFA_details_roof_roof-tile_R.16_180503</t>
  </si>
  <si>
    <t>PREFA_détails_toiture_tuile_R.16_180503</t>
  </si>
  <si>
    <t>PREFA_Detaily_Střecha_Střešní_panel_R.16_181203</t>
  </si>
  <si>
    <t>PREFA_detaljer_tak_takpanel_R.16_181203</t>
  </si>
  <si>
    <t>PREFA_detalji_krov_krovna_ploča_R.16_181203</t>
  </si>
  <si>
    <t>SCHNEESTOPPER – VERLEGESCHEMA R.16 1</t>
  </si>
  <si>
    <t>snow guards – installation diagram R.16 1</t>
  </si>
  <si>
    <t>arrêt de neige — schéma de pose R.16 1</t>
  </si>
  <si>
    <t>Boční napojení na stěnu s zásuvnou krycí lištou R.16 1</t>
  </si>
  <si>
    <t>STOPER ŚNIEGOWY – SCHEMAT MONTAŻOWY R.16 1</t>
  </si>
  <si>
    <t>HÓFOGÓ – R.16 1 FEKTETÉSI SÉMA</t>
  </si>
  <si>
    <t>ZACHYTÁVAČ SNEHU – SCHÉMA MONTÁŽE R.16 1</t>
  </si>
  <si>
    <t>SNEEUWSTOPPER - INSTALLATIESCHEMA R.16 1</t>
  </si>
  <si>
    <t>SNEGOLOV – SHEMA POLAGANJA R.16 1</t>
  </si>
  <si>
    <t>SNÖSTOPP – LÄGGNINGSSCHEMA R.16 1</t>
  </si>
  <si>
    <t>SNESTOPPER – LÆGGEDIAGRAM R.16 1</t>
  </si>
  <si>
    <t>SNØSTOPPER – LEGGESKJEMA R.16 1</t>
  </si>
  <si>
    <t>TOČKASTI SNJEGOBRAN – SHEMA POSTAVLJANJA R.16 1</t>
  </si>
  <si>
    <t>SCHNEESTOPPER – VERLEGESCHEMA R.16 2</t>
  </si>
  <si>
    <t>snow guards – installation diagram R.16 2</t>
  </si>
  <si>
    <t>arrêt de neige — schéma de pose R.16 2</t>
  </si>
  <si>
    <t>Boční napojení na stěnu s zásuvnou krycí lištou R.16 2</t>
  </si>
  <si>
    <t>STOPER ŚNIEGOWY – SCHEMAT MONTAŻOWY R.16 2</t>
  </si>
  <si>
    <t>HÓFOGÓ – R.16 2 FEKTETÉSI SÉMA</t>
  </si>
  <si>
    <t>ZACHYTÁVAČ SNEHU – SCHÉMA MONTÁŽE R.16 2</t>
  </si>
  <si>
    <t>SNEEUWSTOPPER - INSTALLATIESCHEMA R.16 2</t>
  </si>
  <si>
    <t>SNEGOLOV – SHEMA POLAGANJA R.16 2</t>
  </si>
  <si>
    <t>SNÖSTOPP – LÄGGNINGSSCHEMA R.16 2</t>
  </si>
  <si>
    <t>SNESTOPPER – LÆGGEDIAGRAM R.16 2</t>
  </si>
  <si>
    <t>SNØSTOPPER – LEGGESKJEMA R.16 2</t>
  </si>
  <si>
    <t>TOČKASTI SNJEGOBRAN – SHEMA POSTAVLJANJA R.16 2</t>
  </si>
  <si>
    <t>SCHNEESTOPPER – VERLEGESCHEMA R.16 3</t>
  </si>
  <si>
    <t>snow guards – installation diagram R.16 3</t>
  </si>
  <si>
    <t>arrêt de neige — schéma de pose R.16 3</t>
  </si>
  <si>
    <t>Boční napojení na stěnu s zásuvnou krycí lištou R.16 3</t>
  </si>
  <si>
    <t>STOPER ŚNIEGOWY – SCHEMAT MONTAŻOWY R.16 3</t>
  </si>
  <si>
    <t>HÓFOGÓ – R.16 3 FEKTETÉSI SÉMA</t>
  </si>
  <si>
    <t>ZACHYTÁVAČ SNEHU – SCHÉMA MONTÁŽE R.16 3</t>
  </si>
  <si>
    <t>SNEEUWSTOPPER - INSTALLATIESCHEMA R.16 3</t>
  </si>
  <si>
    <t>SNEGOLOV – SHEMA POLAGANJA R.16 3</t>
  </si>
  <si>
    <t>SNÖSTOPP – LÄGGNINGSSCHEMA R.16 3</t>
  </si>
  <si>
    <t>SNESTOPPER – LÆGGEDIAGRAM R.16 3</t>
  </si>
  <si>
    <t>SNØSTOPPER – LEGGESKJEMA R.16 3</t>
  </si>
  <si>
    <t>TOČKASTI SNJEGOBRAN – SHEMA POSTAVLJANJA R.16 3</t>
  </si>
  <si>
    <t>Verlegeschema R.16 1 (1,7 Stk./m² – ersten beiden Reihen durchgehend)</t>
  </si>
  <si>
    <t>Installation diagram R.16 1 (1,7  per m² — must be installed along the first two rows)</t>
  </si>
  <si>
    <t>Schéma de pose R.16 1 (1,7 arrêts de neige par m² ; monter les arrêts de neige sans interruption sur toute la longueur des deux premières rangées)</t>
  </si>
  <si>
    <t>Schema di posa R.16 1 (1,7 pz./m² - prime due file continue)</t>
  </si>
  <si>
    <r>
      <t>Schema rozmístění R.16 1 (1,7 ks/m</t>
    </r>
    <r>
      <rPr>
        <vertAlign val="superscript"/>
        <sz val="11"/>
        <color indexed="8"/>
        <rFont val="Arial"/>
        <family val="2"/>
      </rPr>
      <t xml:space="preserve">2 </t>
    </r>
    <r>
      <rPr>
        <sz val="11"/>
        <color indexed="8"/>
        <rFont val="Arial"/>
        <family val="2"/>
      </rPr>
      <t>- první dvě řady průběžně)</t>
    </r>
  </si>
  <si>
    <t>Schemat montażowy R.16 1 (1,7 szt./m² – pierwsze dwa rzędy ciągłe)</t>
  </si>
  <si>
    <t>R.16 1 fektetési séma (1,7 db/m² – az első két sor folyamatos)</t>
  </si>
  <si>
    <t>Schéma montáže R.16 1 (1,7 ks/m² – prvé dva rady kompletne)</t>
  </si>
  <si>
    <t>Installatieschema R.16 1 (1,7 st./m² - eerste twee rijen doorlopend)</t>
  </si>
  <si>
    <t>Shema polaganja R.16 1 (1,7 kos./m² – prvi dve vrsti neprekinjeno)</t>
  </si>
  <si>
    <t>Läggningsschema R.16 1 (1,7 st/m² – första två raderna kontinuerliga)</t>
  </si>
  <si>
    <t>Læggediagram R.16 1 (1,7 stk./m² - første to rækker gennemgående)</t>
  </si>
  <si>
    <t>Leggeskjema R.16 1 (1,7 stk./m² – to første rader fortløpende)</t>
  </si>
  <si>
    <t>Shema postavljanja R.16 1 (1,7 kom./m² – prva dva reda neprekidno)</t>
  </si>
  <si>
    <t>Verlegeschema R.16 2 (3,4 Stk./m² – ersten beiden Reihen durchgehend)</t>
  </si>
  <si>
    <t>installation diagram R.16 2 (3,4 pc. per m²; must be installed along the first two rows)</t>
  </si>
  <si>
    <t>Schéma de pose R.16 2 (3,4 arrêts de neige par m² ; monter les arrêts de neige sans interruption sur toute la longueur des deux premières rangées)</t>
  </si>
  <si>
    <t>Schema di posa R.16 2 (3,4 pz./m² - prime due file continue)</t>
  </si>
  <si>
    <r>
      <t>Schema rozmístění R.16 2 (3,4 ks/m</t>
    </r>
    <r>
      <rPr>
        <vertAlign val="superscript"/>
        <sz val="11"/>
        <color indexed="8"/>
        <rFont val="Arial"/>
        <family val="2"/>
      </rPr>
      <t xml:space="preserve">2 </t>
    </r>
    <r>
      <rPr>
        <sz val="11"/>
        <color indexed="8"/>
        <rFont val="Arial"/>
        <family val="2"/>
      </rPr>
      <t>- první dvě řady průběžně)</t>
    </r>
  </si>
  <si>
    <t>Schemat montażowy R.16 2 (3,4 szt./m² – pierwsze dwa rzędy ciągłe)</t>
  </si>
  <si>
    <t>R.16 2 fektetési séma (3,4 db/m² – az első két sor folyamatos)</t>
  </si>
  <si>
    <t>Schéma montáže R.16 2 (3,4 ks/m² – prvé dva rady kompletne)</t>
  </si>
  <si>
    <t>Installatieschema R.16 2 (3,4 st./m² - eerste twee rijen doorlopend)</t>
  </si>
  <si>
    <t>Shema polaganja R.16 2 (3,4 kos./m² – prvi dve vrsti neprekinjeno)</t>
  </si>
  <si>
    <t>Läggningsschema R.16 2 (3,4 st/m² – första två raderna kontinuerliga)</t>
  </si>
  <si>
    <t>Læggediagram R.16 2 (3,4 stk./m² - første to rækker gennemgående)</t>
  </si>
  <si>
    <t>Leggeskjema R.16 2 (3,4 stk./m² – to første rader fortløpende)</t>
  </si>
  <si>
    <t>Shema postavljanja R.16 2 (3,4 kom./m² – prva dva reda neprekidno)</t>
  </si>
  <si>
    <t>Verlegeschema R.16 3 (6,8 Stk./m²)</t>
  </si>
  <si>
    <t>installation diagram R.16 3 (6,8 pc. per m²)</t>
  </si>
  <si>
    <t>schéma de pose R.16 3 (6,8 arrêts de neige par m²)</t>
  </si>
  <si>
    <t>Schema di posa R.16 3 (6,8 pz./m²)</t>
  </si>
  <si>
    <r>
      <t>Schema rozmístění R.16 3 (6,8 ks/m</t>
    </r>
    <r>
      <rPr>
        <vertAlign val="superscript"/>
        <sz val="11"/>
        <color indexed="8"/>
        <rFont val="Arial"/>
        <family val="2"/>
      </rPr>
      <t>2</t>
    </r>
    <r>
      <rPr>
        <sz val="11"/>
        <color indexed="8"/>
        <rFont val="Arial"/>
        <family val="2"/>
      </rPr>
      <t>)</t>
    </r>
  </si>
  <si>
    <t>Schemat montażowy R.16 3 (6,8 szt./m²)</t>
  </si>
  <si>
    <t>R.16 3 fektetési séma (6,8 db/m²)</t>
  </si>
  <si>
    <t>Schéma montáže R.16 3 (6,8 ks/m²)</t>
  </si>
  <si>
    <t>Installatieschema R.16 3 (6,8 st./m²)</t>
  </si>
  <si>
    <t>Shema polaganja R.16 3 (6,8 kos./m²)</t>
  </si>
  <si>
    <t>Läggningsschema R.16 3 (6,8 st/m² )</t>
  </si>
  <si>
    <t>Læggediagram R.16 3 (6,8 stk./m²)</t>
  </si>
  <si>
    <t>Leggeskjema R.16 3 (6,8 stk./m²)</t>
  </si>
  <si>
    <t>Shema postavljanja R.16 3 (6,8 kom./m²)</t>
  </si>
  <si>
    <t>PREFA Dacheindeckung</t>
  </si>
  <si>
    <t>PREFA roof covering</t>
  </si>
  <si>
    <t>couverture de toit PREFA</t>
  </si>
  <si>
    <t>Copertura per tetti PREFA</t>
  </si>
  <si>
    <t>PREFA střešní krytina</t>
  </si>
  <si>
    <t>Pokrycia dachowe PREFA</t>
  </si>
  <si>
    <t>PREFA tetőfedés</t>
  </si>
  <si>
    <t>PREFA strešná krytina</t>
  </si>
  <si>
    <t>PREFA-dakbedekking</t>
  </si>
  <si>
    <t>Strešna kritina PREFA</t>
  </si>
  <si>
    <t>PREFA takbeläggning</t>
  </si>
  <si>
    <t>PREFA tagdækning</t>
  </si>
  <si>
    <t>PREFA-takbelegg</t>
  </si>
  <si>
    <t>PREFA krovni pokrov</t>
  </si>
  <si>
    <t>Steildachwärmedämmelement</t>
  </si>
  <si>
    <t>pitched roof thermal insulation panel</t>
  </si>
  <si>
    <t>élément d’isolation thermique pour toitures inclinées</t>
  </si>
  <si>
    <t>Elemento per isolamento termico tetti spioventi</t>
  </si>
  <si>
    <t>Izolační prvek šikmé střechy</t>
  </si>
  <si>
    <t>Element termoizolacyjny dachu dwuspadowego</t>
  </si>
  <si>
    <t>nyeregtető hőszigetelő eleme</t>
  </si>
  <si>
    <t>Tepelnoizolačný prvok šikmej strechy</t>
  </si>
  <si>
    <t>Thermisch isolatie-element hellend dak</t>
  </si>
  <si>
    <t>Toplotnoizolacijski element za strmo streho</t>
  </si>
  <si>
    <t>värmeisoleringselement med sluttande tak</t>
  </si>
  <si>
    <t>Isoleringselement stejlt tag</t>
  </si>
  <si>
    <t>Varmeisolasjonselement til bratt tak</t>
  </si>
  <si>
    <t>Toplinski izolacijski element kosog krova</t>
  </si>
  <si>
    <t>diffusionshemmende Schicht oder Luftsperre</t>
  </si>
  <si>
    <t>diffusion barrier layer or air barrier</t>
  </si>
  <si>
    <t>écran pare-vapeur ou pare-air</t>
  </si>
  <si>
    <t>Strato antitraspirante o barriera per l'aria</t>
  </si>
  <si>
    <t>Vrstva bránící difúzi nebo vzduchová zábrana</t>
  </si>
  <si>
    <t>Warstwa blokująca dyfuzję lub bariera powietrzna</t>
  </si>
  <si>
    <t>diffúziógátló réteg vagy légzáró réteg</t>
  </si>
  <si>
    <t>vrstva zabraňujúca difúzii alebo parozábrana</t>
  </si>
  <si>
    <t>Diffusieremmende laag of luchtbarrière</t>
  </si>
  <si>
    <t>plast, ki zavira difuzijo ali zračna pregrada</t>
  </si>
  <si>
    <t>diffusionshämmande skikt eller luftbarriär</t>
  </si>
  <si>
    <t>diffusionshæmmende lag eller luftbarriere</t>
  </si>
  <si>
    <t>Diffusjonshemmende lag eller luftsperre</t>
  </si>
  <si>
    <t>slabo propusni sloj ili zračna barijera</t>
  </si>
  <si>
    <t>Tepelná izolace</t>
  </si>
  <si>
    <t>visible sheathing</t>
  </si>
  <si>
    <t>Pohledové bednění</t>
  </si>
  <si>
    <t>abgehängte Dachgeschossbekleidung</t>
  </si>
  <si>
    <t>suspended attic cladding</t>
  </si>
  <si>
    <t>revêtement de plafond suspendu</t>
  </si>
  <si>
    <t>Rivestimento sottotetto a sospensione</t>
  </si>
  <si>
    <t>Zavěšené obložení podkroví</t>
  </si>
  <si>
    <t>Podwieszane okładziny do poddasza</t>
  </si>
  <si>
    <t>függesztett tetőburkolat</t>
  </si>
  <si>
    <t>zavesené obloženie povalového priestoru</t>
  </si>
  <si>
    <t>zwevende zolderbekleding</t>
  </si>
  <si>
    <t>viseča podstrešna obloga</t>
  </si>
  <si>
    <t>upphängd vindsbeklädnad</t>
  </si>
  <si>
    <t>ophængt loftbeklædning</t>
  </si>
  <si>
    <t>Hengende loftsbekledning</t>
  </si>
  <si>
    <t>spuštena obloga potkrovlja</t>
  </si>
  <si>
    <t>Die Ausführung mit einer Unterdeckbahn der angegebenen Mindestqualität entspricht einem erhöht regensicherem Unterdach lt. ÖNORM B 4119. Die Durchnagelung mit Hafternägeln ist unerheblich.</t>
  </si>
  <si>
    <t>The design with roof underlay of the specified minimum quality corresponds to underlay with enhanced rain-proofing according to ÖNORM B 4119. Nailing with adhesive nails does not negatively affect the function of the underlay.</t>
  </si>
  <si>
    <t>La mise en œuvre à partir d’un lé de sous-couverture de la qualité minimum requise correspond à une sous-couverture étanche à la pluie telle que définie par la norme autrichienne ÖNORM B 4119. Le clouage au moyen de clous pour pattes de fixation n’a aucune incidence négative sur la fonction de l’écran de sous-toiture.</t>
  </si>
  <si>
    <t>L'esecuzione con una membrana sottomanto o uno strato separatore della qualità minima specificata non corrisponde a un sottotetto secondo la norma ÖNORM B 4119. Il fissaggio con chiodi a graffetta è irrilevante.</t>
  </si>
  <si>
    <t>Provedení s pojistnou hydroizolací s uvedenou nejnižší akceptovatelnou kvalitou splňuje požadavek zvýšené izolace střechy před deštěm podle ÖNORM B 4119. Proražení izolace hřebíky a příponkami je irelevantní.</t>
  </si>
  <si>
    <t>Zgodnie z przepisami wykonanie z membraną dachową o podanej minimalnej jakości odpowiada pokryciu więźby dachowej o podwyższonej wytrzymałości na deszcz, patrz ÖNORM B 4119. Przebijanie gwoździami jest nieistotne.</t>
  </si>
  <si>
    <t>A megadott minimális minőségű tetőalátéttel történő kivitelezés fokozottan esőálló alsó tetősíknak felel meg az ÖNORM B 4119 szerint. A hafterszegekkel való átszögelés szükségtelen.</t>
  </si>
  <si>
    <t>Vyhotovenie s podkladovým pásom s uvedenou minimálnou kvalitou zodpovedá podstrešiu so zvýšenou ochranou proti dažďu podľa ÖNORM B 4119. Preklincovanie s lepenkovými klincami nemá vplyv.</t>
  </si>
  <si>
    <t>De uitvoering met een schoorsteenmembraan van de gespecificeerde minimumkwaliteit komt overeen met een verhoogd regendicht onderdak volgens de voorschriften. ÖNORM B 4119. Het doorspijkeren met lijmnagels is irrelevant.</t>
  </si>
  <si>
    <t>Izvedba s podstrešnim trakom določene minimalne kakovosti ustreza podstrehi z večjo odpornostjo na dež po ÖNORM B 4119. Zabijanje z lepilnimi žeblji je neznatno.</t>
  </si>
  <si>
    <t>Utförandet med underlagsmembran av angiven lägsta kvalitet motsvarar ett förstärkt regntätt undertak enl. ÖNORM B 4119. Spikningen med häftspik är en obetydlig skillnad.</t>
  </si>
  <si>
    <t>Udformningen med undertag af den angivne minimumskvalitet svarer til et øget regntæt undertag iht. ÖNORM B 4119. Sømning er irrelevant.</t>
  </si>
  <si>
    <t>Utførelsen med et underliggende dekklag av angitt minstekvalitet gir et mer regnsikkert undertak iht. ÖNORM B 4119. Gjennomspikring med selvklebende spiker er uvesentlig.</t>
  </si>
  <si>
    <t>Izvedba s podlogom navedene minimalne kvalitete odgovara sekundarnom krovu otpornom na kišu prema ÖNORM B 4119. Zabijanje ljepljivim čavlima ne utječe negativno na funkciju podloge.</t>
  </si>
  <si>
    <t>Die Ausführung mit einer Unterdeckbahn oder Trennlage der angegebenen Mindestqualität entspricht keinem Unterdach lt. ÖNORM B 4119. Die Ausführung eignet sich für Objekte, bei denen kein Unterdach im Sinne der Unterdachnorm erforderlich ist.</t>
  </si>
  <si>
    <t>The design with roof underlay or a separation layer of the specified minimum quality does not correspond to underlay according to ÖNORM B 4119. The design is suitable for buildings on which underlay, within the meaning of the underlay standard, is not required.</t>
  </si>
  <si>
    <t>La mise en œuvre à partir d’un lé de sous-couverture ou d’une couche de séparation de la qualité minimum requise ne correspond pas à une sous-couverture étanche à la pluie telle que définie par la norme autrichienne ÖNORM B 4119. Cette mise en œuvre convient aux projets pour lesquels aucun écran de sous-toiture n’est requis au sens de la norme applicable aux écrans de sous-toiture.</t>
  </si>
  <si>
    <t>L'esecuzione con una membrana sottotetto o uno strato separatore della qualità minima specificata non corrisponde a un sottotetto secondo la norma ÖNORM B 4119. La realizzazione è adatta a immobili in cui non è richiesto un sottotetto a norma.</t>
  </si>
  <si>
    <t>Provedení s pojistnou hydroizolací nebo separační vrstvou s uvedenou nejnižší akceptovatelnou kvalitou neodpovídá žádné izolaci podle ÖNORM B 4119. Provedení je vhodné pro objekty, u kterých není potřeba žádná izolace podle normy.</t>
  </si>
  <si>
    <t>Zgodnie z przepisami wykonanie z membraną dachową lub warstwą rozdzielającą o podanej minimalnej jakości odpowiada pokryciu więźby dachowej o podwyższonej wytrzymałości na deszcz, patrz ÖNORM B 4119. Konstrukcja ta jest odpowiednia dla obiektów, gdzie nie jest wymagane krycie wstępne zgodnie z normą dla pokryć wstępnych.</t>
  </si>
  <si>
    <t>A megadott minimális minőségű tetőalátéttel vagy elválasztóréteggel történő kivitelezés nem felel meg az alsó tetősíknak az ÖNORM B 4119 szerint. A kialakítás olyan ingatlanok esetében alkalmazható, ahol a tetősíkszabvány értelmében nincs szükség alsó tetősíkra.</t>
  </si>
  <si>
    <t>Vyhotovenie s podkladovým pásom alebo separačnou vrstvou s uvedenou minimálnou kvalitou nezodpovedá podstrešiu podľa ÖNORM B 4119. Vyhotovenie sa hodí pre objekty, pri ktorých nie je potrebné žiadne podstrešie v zmysle normy o podstreší.</t>
  </si>
  <si>
    <t>De uitvoering met een schoorsteenmembraan of scheidingslaag van de gespecificeerde minimumkwaliteit komt overeen met geen onderdak volgens de voorschriften. ÖNORM B 4119. De uitvoering is geschikt voor panden waar geen onderdak nodig is in de zin van de onderdaknorm.</t>
  </si>
  <si>
    <t>Izvedba s podstrešnim trakom ali ločilno plastjo določene minimalne kakovosti ne ustreza nobeni podstrehi po ÖNORM B 4119. Izvedba je primerna za objekte, ki ne zahtevajo podstrehe v smislu standarda podstrehe.</t>
  </si>
  <si>
    <t>Utförandet med underlagsmembran eller separationsskikt av angiven lägsta kvalitet motsvarar inte ett undertak enl. ÖNORM B 4119. Utformningen lämpar sig för objekt som inte kräver undertak enligt undertaksstandard.</t>
  </si>
  <si>
    <t>Udformningen med undertag eller skillelag af den angivne minimumskvalitet svarer ikke til et undertag iht. ÖNORM B 4119. Udformningen egner sig til projekter, der ikke kræver undertag iht. undertagsstandarden.</t>
  </si>
  <si>
    <t>Utførelsen med et underliggende dekklag eller skillelag av angitt minstekvalitet tilsvarer ikke et undertak iht. ÖNORM B 4119. Utførelsen egner seg til bygninger som ikke krever et undertak i henhold til standard for undertak.</t>
  </si>
  <si>
    <t>Izvedba s podlogom ili razdjelnim slojem navedene minimalne kvalitete ne odgovara sekundarnom krovu prema ÖNORM B 4119. Izvedba je prikladna za objekte koji ne zahtijevaju sekundarni krov u smislu standarda sekundarnog krova.</t>
  </si>
  <si>
    <t>mit Nageldichtstreifen</t>
  </si>
  <si>
    <t>with nail sealing tape</t>
  </si>
  <si>
    <t>avec bande d’étanchéité pour clous</t>
  </si>
  <si>
    <t>s těsnicím pásem pro hřebíky</t>
  </si>
  <si>
    <t>z taśmą uszczelniającą gwoździe</t>
  </si>
  <si>
    <t>szegtömítő szalaggal</t>
  </si>
  <si>
    <t>s pásmi pod kontralaty.</t>
  </si>
  <si>
    <t>met nagelafdichtstrip</t>
  </si>
  <si>
    <t>s tesnilnimi trakovi za žeblje</t>
  </si>
  <si>
    <t>med spiktätningslister</t>
  </si>
  <si>
    <t>med sømtætningslister</t>
  </si>
  <si>
    <t>med tetningsstrimler for spiker</t>
  </si>
  <si>
    <t>s trakom za brtvljenje čavli</t>
  </si>
  <si>
    <t>Bei der Planung von Unterdächern sind insbesondere die Beanspruchungen, die aufgrund von Wassereintritt durch die Dacheindeckung auftreten, unter folgenden Randbedingungen zu berücksichtigen:</t>
  </si>
  <si>
    <t>When planning substructures, strain and stress caused by water penetrating through the roof covering should be particularly taken into account under the following conditions:</t>
  </si>
  <si>
    <t>Au moment de la conception de la sous-couverture, tenez compte en particulier des contraintes engendrées par les infiltrations d’eau dans la couverture, dans les conditions et contextes spécifiquement décrits ci-dessous :</t>
  </si>
  <si>
    <t>Quando si progettano i sottotetti, si deve prestare particolare attenzione alle sollecitazioni che si verificano a causa della penetrazione dell'acqua attraverso la copertura del tetto nelle seguenti condizioni limite:</t>
  </si>
  <si>
    <t>Při navrhování pojistných hydroizolací je zvlášť nutno zohlednit namáhání při průniku vody střešní krytinou při následujících okrajových podmínkách:</t>
  </si>
  <si>
    <t>Pri plánovaní podstreší treba zvlášť zohľadniť namáhania, ktoré sa vyskytujú z dôvodu zatekania cez strešnú krytinu, pri nasledujúcich okrajových podmienkach:</t>
  </si>
  <si>
    <t>Bij de planning van onderdaken moet in het bijzonder rekening worden gehouden met de spanningen die door het binnendringen van water door de dakbedekking binnenkomen onder de volgende randvoorwaarden:</t>
  </si>
  <si>
    <t>Pri načrtovanju podstreh je treba posebno pozornost nameniti obremenitvi, ki nastane zaradi vdora vode skozi strešno kritino, z naslednjimi robnimi pogoji:</t>
  </si>
  <si>
    <t>Vid planering av undertak ska de påfrestningar som uppstår på grund av inträngande av vatten genom takbeläggningen beaktas under följande randvillkor:</t>
  </si>
  <si>
    <t>Ved planlægning af undertage skal der lægges særlig vægt på spændinger, der forårsages af vandindtrængning gennem tagdækningen, med følgende randbetingelser:</t>
  </si>
  <si>
    <t>Prilikom planiranja sekundarnog krova potrebno je uzeti u obzir opterećenja koja nastaju zbog prodiranja vode kroz krovni pokrov pod sljedećim uvjetima:</t>
  </si>
  <si>
    <t>Dachaufbauten für PREFA Dacheindeckungen</t>
  </si>
  <si>
    <t>roof structures for PREFA roof coverings</t>
  </si>
  <si>
    <t>constructions hors-combles pour couvertures de toiture PREFA</t>
  </si>
  <si>
    <t>Strutture di tetti per coperture PREFA</t>
  </si>
  <si>
    <t>Skladba střechy pro střešní krytiny PREFA</t>
  </si>
  <si>
    <t>Konstrukcje dachowe dla pokryć dachowych PREFA</t>
  </si>
  <si>
    <t>tető rétegrendek PREFA tetőfedésekhez</t>
  </si>
  <si>
    <t>Skladby strechy pre strešné krytiny PREFA</t>
  </si>
  <si>
    <t>Dakopbouwen voor PREFA-dakbedekkingen</t>
  </si>
  <si>
    <t>Strešne konstrukcije za strešne kritine PREFA</t>
  </si>
  <si>
    <t>Takkonstruktioner för PREFALZ-beläggning</t>
  </si>
  <si>
    <t>Tagkonstruktioner til PREFA tagdækning</t>
  </si>
  <si>
    <t>Takoppbygging for PREFA-takbelegg</t>
  </si>
  <si>
    <t>Krovne konstrukcije za PREFA krovne pokrove</t>
  </si>
  <si>
    <t>Unterdächer sind jedenfalls anzuordnen:</t>
  </si>
  <si>
    <t>La pose de lés de sous-couverture est requise :</t>
  </si>
  <si>
    <t>I sottotetti devono essere sistemati in ogni caso:</t>
  </si>
  <si>
    <t>Izolace se musí vždy stanovit:</t>
  </si>
  <si>
    <t>W każdym przypadku należy wykonać pokrycie więźby dachowej (pokrycie wstępne):</t>
  </si>
  <si>
    <t>az alsó tetősíkok elrendezése:</t>
  </si>
  <si>
    <t>K podstrešiam treba taktiež priradiť:</t>
  </si>
  <si>
    <t>Onderdaken moeten in ieder geval worden aangebracht:</t>
  </si>
  <si>
    <t>V vsakem primeru je treba urediti podstrehe:</t>
  </si>
  <si>
    <t>Undertak ska i alla fall anordnas:</t>
  </si>
  <si>
    <t>Undertage kræver:</t>
  </si>
  <si>
    <t>Undertak skal alltid foreligge:</t>
  </si>
  <si>
    <t>U svakom slučaju, sekundarne krovove je potrebno urediti:</t>
  </si>
  <si>
    <t>Navíc je nutno zohlednit tyto okolnosti:</t>
  </si>
  <si>
    <t>Unterdach (lt. Tabelle)</t>
  </si>
  <si>
    <t>underlay (according to table)</t>
  </si>
  <si>
    <t>écran de sous-toiture (cf. tableau)</t>
  </si>
  <si>
    <t>sottotetto (secondo la tabella)</t>
  </si>
  <si>
    <t>Izolace (podle tabulky)</t>
  </si>
  <si>
    <t>Pokrycie więźby dachowej (pokrycie wstępne) (patrz tabela)</t>
  </si>
  <si>
    <t>alsó tetősík (a táblázat szerint)</t>
  </si>
  <si>
    <t>Podstrešie (podľa tabuľky)</t>
  </si>
  <si>
    <t>Onderdak (volgens tabel)</t>
  </si>
  <si>
    <t>Podstreha (v skladu s tabelo)</t>
  </si>
  <si>
    <t>undertak (enl. tabell)</t>
  </si>
  <si>
    <t>Undertak (iht. tabell)</t>
  </si>
  <si>
    <t>Sekundarni krov (prema tablici)</t>
  </si>
  <si>
    <t>ANFORDERUNG</t>
  </si>
  <si>
    <t>REQUIREMENT</t>
  </si>
  <si>
    <t>CONDITION REQUISE</t>
  </si>
  <si>
    <t>POŽADAVEK</t>
  </si>
  <si>
    <t>WNIOSEK</t>
  </si>
  <si>
    <t>KÉRVÉNY</t>
  </si>
  <si>
    <t>POŽIADAVKA</t>
  </si>
  <si>
    <t>AANVRAAG</t>
  </si>
  <si>
    <t>ZAHTEVA</t>
  </si>
  <si>
    <t>ANSÖKAN</t>
  </si>
  <si>
    <t>KRAV</t>
  </si>
  <si>
    <t>ZAHTJEV</t>
  </si>
  <si>
    <t>Beanspruchung</t>
  </si>
  <si>
    <t>stress</t>
  </si>
  <si>
    <t>contrainte</t>
  </si>
  <si>
    <t>Sollecitazione</t>
  </si>
  <si>
    <t>Namáhání</t>
  </si>
  <si>
    <t>Obciążenia</t>
  </si>
  <si>
    <t>igénybevétel</t>
  </si>
  <si>
    <t>Namáhanie</t>
  </si>
  <si>
    <t>Spanning</t>
  </si>
  <si>
    <t>Obremenitev</t>
  </si>
  <si>
    <t>Anspråk</t>
  </si>
  <si>
    <t>Belastning</t>
  </si>
  <si>
    <t>Opterećenje</t>
  </si>
  <si>
    <t>bei ausgebautem Dachgeschoß, soweit es sich nicht um unbelüftete Konstruktionen handelt</t>
  </si>
  <si>
    <t>dans le cas de combles aménagés (lorsqu’il ne s’agit pas de constructions non ventilées)</t>
  </si>
  <si>
    <t>bei nicht ausgebautem Dachgeschoß, bei dem eine regelmäßige Kontrolle bzw. Wartung des Dachraums nicht möglich ist und die oberste Geschoßdecke bereits bei geringen Wassermengen wasserdurchlässig ist (z. B. Spitzböden über Zangendecke)</t>
  </si>
  <si>
    <t>dans le cas de combles non aménagés qu’il n’est pas possible de contrôler et d’entretenir de manière régulière, et pour lesquels le plafond de l’étage supérieur — en d’autres termes le plancher des combles — présente des infiltrations d’eau même lors de faibles précipitations (par exemple dans le cas de combles perdus se trouvant au-dessus d’un plancher posé sur entraits)</t>
  </si>
  <si>
    <t>nel caso di un sottotetto non abitabile, dove non è possibile un'ispezione o una manutenzione regolare dello spazio sotto il tetto e il soffitto del piano superiore è permeabile all'acqua anche in caso di piccole infiltrazioni (ad es. solaio su copertura a forcella)</t>
  </si>
  <si>
    <t>w przypadku poddaszy nieużytkowych, gdzie nie jest możliwa regularna kontrola lub konserwacja przestrzeni poddasza, a strop najwyższej kondygnacji jest przepuszczalny dla wody nawet w przypadku niewielkich ilości wody (np. stropy spiczaste nad stropami belkowymi)</t>
  </si>
  <si>
    <t>Olyan be nem épített tetőtér esetén, ahol a tetőtér rendszeres ellenőrzése vagy karbantartása nem lehetséges, és a legfelső emeleti mennyezet még kis mennyiségű víz esetén is átereszti a vizet (pl. gerendás mennyezet feletti attika)</t>
  </si>
  <si>
    <t>pri povalovom priestore so studenou prevádzkou, pri ktorom nie je možná pravidelná kontrola alebo údržba podstrešia a najvrchnejší medzipodlažný strop je vodopriepustný už pri malých množstvách vody (napr. povaly nad klieštinovým stropom)</t>
  </si>
  <si>
    <t>bij niet uitgebouwde zolders waar regelmatige inspectie of onderhoud van de zolderruimte niet mogelijk is en het plafond van de bovenste verdieping waterdoorlatend is, zelfs in geval van kleine hoeveelheden water (bijv. puntvloeren boven knikplafonds)</t>
  </si>
  <si>
    <t>v primeru nerazširjenega podstrešja, kjer redni pregledi oziroma vzdrževanje podstrešja niso mogoči in je strop zgornjega nadstropja vodoprepusten tudi pri majhnih količinah vode (npr. podstrešja pod slemenom nad stropom s tramovi)</t>
  </si>
  <si>
    <t>Vid ej ombyggd vind där regelbunden inspektion eller underhåll av vinden inte är möjlig och taket på översta våningen är vattengenomsläppligt även för små mängder vatten (t.ex. vindsvåningar ovanför dragbalkstak)</t>
  </si>
  <si>
    <t>i tilfælde af ikke-udvidet loft, hvor regelmæssig inspektion eller vedligeholdelse af loftet ikke er muligt, og loftet øverst er vandgennemtrængeligt selv ved små mængder vand (f.eks. spidslofter)</t>
  </si>
  <si>
    <t>Med et ubebygd loft hvor regelmessig inspeksjon eller vedlikehold av loftet ikke er mulig og taket i toppetasjen er vanngjennomtrengelig selv med små mengder vann (f.eks. loftsgulv over et tangtak)</t>
  </si>
  <si>
    <t>kod neuređenog potkrovlja gdje nije moguć redoviti pregled ili održavanje potkrovlja, a strop gornje etaže je vodopropusni čak i uz male količine vode (npr. potkrovlja iznad krova s gredama)</t>
  </si>
  <si>
    <t>Bitumenbahn (E-3 nsk) entsprechend ÖNORM B 3661</t>
  </si>
  <si>
    <t>bitumen underlay (E-3 nsk) according to ÖNORM B 3661</t>
  </si>
  <si>
    <t>lé bitumineux (E-3 nsk) conformément à la norme autrichienne ÖNORM B 3661</t>
  </si>
  <si>
    <t>Membrana bituminosa (E-3 nsk) conforme alla norma ÖNORM B 3661</t>
  </si>
  <si>
    <t>Asfaltový pás (E-3 nsk) podle ÖNORM B 3661</t>
  </si>
  <si>
    <t>Membrana bitumiczna (E-3 NSK) zgodnie z normą ÖNORM B 3661</t>
  </si>
  <si>
    <t>bitumenszalag (E-3 nsk) ÖNORM B 3661 szerint</t>
  </si>
  <si>
    <t>Bitúmenový pás (E-3 nsk) podľa ÖNORM B 3661</t>
  </si>
  <si>
    <t>Bitumenmembraan (E-3 nsk) volgens ÖNORM B 3661</t>
  </si>
  <si>
    <t>Bitumenska membrana (E-3 nsk) po ÖNORM B 3661</t>
  </si>
  <si>
    <t>bitumenmembran (E-3 nsk) enligt ÖNORM B 3661</t>
  </si>
  <si>
    <t>Bitumenbane (E-3 nsk) iht. ÖNORM B 3661</t>
  </si>
  <si>
    <t>Bitumenunderlag (E-3 nsk) i henhold til ÖNORM B 3661</t>
  </si>
  <si>
    <t>Bitumenska podloga (E-3 nsk) prema ÖNORM B 3661</t>
  </si>
  <si>
    <t>Bitumenbahn (E-KV-15 nsk) entsprechend ÖNORM B 3661</t>
  </si>
  <si>
    <t>bitumen underlay (E-KV-15 nsk) according to ÖNORM B 3661</t>
  </si>
  <si>
    <t>lé bitumineux (E-KV-15 nsk) conformément à la norme autrichienne ÖNORM B 3661</t>
  </si>
  <si>
    <t>Membrana bituminosa (E-KV-15 nsk) conforme alla norma ÖNORM B 3661</t>
  </si>
  <si>
    <t>Asfaltový pás (E-KV-15 nsk) podle ÖNORM B 3661</t>
  </si>
  <si>
    <t>Membrana bitumiczna (E-KV-15 NSK) zgodnie z normą ÖNORM B 3661</t>
  </si>
  <si>
    <t>bitumenszalag (E-KV-15 nsk) ÖNORM B 3661 szerint</t>
  </si>
  <si>
    <t>Bitúmenový pás (E-KV-15 nsk) podľa ÖNORM B 3661</t>
  </si>
  <si>
    <t>Bitumenmembraan (E-KV-15 nsk) volgens ÖNORM B 3661</t>
  </si>
  <si>
    <t>Bitumenska membrana (E-15 nsk) po ÖNORM B 3661</t>
  </si>
  <si>
    <t>bitumenmembran (E-KV-15 nsk) enligt ÖNORM B 3661</t>
  </si>
  <si>
    <t>Bitumenbane (E-KV-15 nsk) iht. ÖNORM B 3661</t>
  </si>
  <si>
    <t>Bitumenunderlag (E-KV-15 nsk) i henhold til ÖNORM B 3661</t>
  </si>
  <si>
    <t>Bitumenska podloga (E-KV-15 nsk) prema ÖNORM B 3661</t>
  </si>
  <si>
    <t>Bitumenbahn* entsprechend ÖNORM B 3661</t>
  </si>
  <si>
    <t>bitumen underlay* according to ÖNORM B 3661</t>
  </si>
  <si>
    <t>lé bitumineux* conformément à la norme autrichienne ÖNORM B 3661</t>
  </si>
  <si>
    <t>Membrana bituminosa* conforme alla norma ÖNORM B 3661</t>
  </si>
  <si>
    <t>Asfaltový pás * podle ÖNORM B 3661</t>
  </si>
  <si>
    <t>Membrana bitumiczna* zgodnie z normą ÖNORM B 3661</t>
  </si>
  <si>
    <t>bitumenszalag ÖNORM B 3661 szerint</t>
  </si>
  <si>
    <t>Bitúmenový pás* podľa ÖNORM B 3661</t>
  </si>
  <si>
    <t>Bitumenmembraan* volgens ÖNORM B 3661</t>
  </si>
  <si>
    <t>Bitumenska membrana* po ÖNORM B 3661</t>
  </si>
  <si>
    <t>bitumenmembran* enligt ÖNORM B 3661</t>
  </si>
  <si>
    <t>Bitumenbane* iht. ÖNORM B 3661</t>
  </si>
  <si>
    <t>Bitumenunderlag* i henhold til ÖNORM B 3661</t>
  </si>
  <si>
    <t>Bitumenska podloga* prema ÖNORM B 3661</t>
  </si>
  <si>
    <t>single-skin structure – unconverted attic</t>
  </si>
  <si>
    <t>Jednoplášťová střešní skladba – neobytný podstřešní prostor</t>
  </si>
  <si>
    <t>Dvouplášťová střešní skladba – neobytný podstřešní prostor</t>
  </si>
  <si>
    <t>Konstrukcja dwuwarstwowa – poddasze nieużytkowe</t>
  </si>
  <si>
    <t>Zweischaliger Aufbau – Dachgeschoß ausgebaut</t>
  </si>
  <si>
    <t>double-skin structure — converted attic</t>
  </si>
  <si>
    <t>toit double peau — combles aménagés</t>
  </si>
  <si>
    <t>Struttura a due strati - Sottotetto reso abitabile</t>
  </si>
  <si>
    <t>Dvouplášťová střešní skladba – obytný podstřešní prostor</t>
  </si>
  <si>
    <t>Konstrukcja dwuwarstwowa – poddasze użytkowe</t>
  </si>
  <si>
    <t>Kéthéjú rétegrend – beépített tetőtér</t>
  </si>
  <si>
    <t>dvojplášťová skladba – povalový priestor s vykurovaním</t>
  </si>
  <si>
    <t>Tweewandige montage - zolder uitgebouwd</t>
  </si>
  <si>
    <t>Konstrukcija z dvojnim opažem – podstrešje je razširjeno</t>
  </si>
  <si>
    <t>Tvåskalskonstruktion – utbyggd vind</t>
  </si>
  <si>
    <t>To-skalskonstruktion - loftsrum ikke udvidet</t>
  </si>
  <si>
    <t>Tolags oppbygging – loftsetasje er ombygd</t>
  </si>
  <si>
    <t>Dvoslojna konstrukcija – potkrovlje preuređeno</t>
  </si>
  <si>
    <t>Aufsparrendämmung – Dachgeschoß ausgebaut – belüftet</t>
  </si>
  <si>
    <t>isolation sur chevrons — combles aménagés — avec lame d’air ventilée</t>
  </si>
  <si>
    <t>Isolamento estradosso - Sottotetto reso abitabile - ventilato</t>
  </si>
  <si>
    <t>Nadkrokevní izolace s odvětráním – obytný podstřešní prostor – větraný</t>
  </si>
  <si>
    <t>Izolacja nadkrokwiowa – poddasze użytkowe – wentylowane</t>
  </si>
  <si>
    <t>szarufa feletti szigetelés – beépített tetőtér – szellőztetett</t>
  </si>
  <si>
    <t>nadkrokvová izolácia – povalový priestor s vykurovaním – vetraný</t>
  </si>
  <si>
    <t>Isolatie boven de dakspanten - zolder verbouwd - geventileerd</t>
  </si>
  <si>
    <t>Izolacija nad špirovci – razširjeno podstrešje – prezračevano</t>
  </si>
  <si>
    <t>Isolering över takbjälkar – vind utbyggd – ventilerad</t>
  </si>
  <si>
    <t>Isolering over spær – loftsrum udvidet – ventileret</t>
  </si>
  <si>
    <t>Isolasjon over sperrebjelker – ombygd loft – ventilert</t>
  </si>
  <si>
    <t>Izolacija iznad roženica - potkrovlje preuređeno – ventilirano</t>
  </si>
  <si>
    <t>Die dargestellten, nicht maßstabsgetreuen Skizzen wurden in Zusammenarbeit mit der Fa. Bauder entwickelt.</t>
  </si>
  <si>
    <t>The sketches, which are not true-to-scale, were created together with the company, Bauder.</t>
  </si>
  <si>
    <t>Les schémas ont été réalisés en collaboration avec la société Bauder. Nota : ces schémas ne sont pas à l’échelle.</t>
  </si>
  <si>
    <t>Gli schizzi non in scala mostrati sono stati sviluppati in collaborazione con la ditta Bauder.</t>
  </si>
  <si>
    <t>Následující nákresy bez měřítka byly vypracovány ve spolupráci s firmou Bauder.</t>
  </si>
  <si>
    <t>Zamieszczone szkice małoskalowe zostały opracowane we współpracy z firmą Bauder.</t>
  </si>
  <si>
    <t>A bemutatott, nem méretarányos vázlatok a Bauder céggel együttműködve készültek.</t>
  </si>
  <si>
    <t>Zobrazené náčrty, ktoré nie sú presne v mierke, boli vyvinuté v spoluprácu s firmou Bauder.</t>
  </si>
  <si>
    <t>De afgebeelde niet-schaalschetsen zijn ontwikkeld in samenwerking met Bauder.</t>
  </si>
  <si>
    <t>Prikazane skice, ki ne ustrezajo merilu, so bile razvite v sodelovanju s podjetjem Bauder.</t>
  </si>
  <si>
    <t>Ej skalenliga skisser har utvecklats i samarbete med företaget Bauder.</t>
  </si>
  <si>
    <t>De viste skitser, som ikke er i korrekt skala, er udviklet i samarbejde med Bauder.</t>
  </si>
  <si>
    <t>De viste skissene, som ikke er i skala, er utviklet i samarbeid med bedriften Bauder.</t>
  </si>
  <si>
    <t>Prikazane skice, koje ne odgovaraju mjerilu, razvijene su u suradnji s tvrtkom Bauder.</t>
  </si>
  <si>
    <t>Weiters stellen die Konstruktionsbeispiele den Regelfall dar und sind ggf. an die örtliche Situation anzupassen. Länderspezifische technische Richtlinien sind zu beachten!</t>
  </si>
  <si>
    <t>Furthermore, the construction examples depict general cases and should be adapted to the local situation, if necessary. National technical guidelines must be observed.</t>
  </si>
  <si>
    <t>Par ailleurs, les exemples de construction qui sont fournis sont conformes à la règle générale. La mise en œuvre pourra néanmoins le cas échéant nécessiter des adaptations en fonction des particularités locales. Attention à respecter les réglementations techniques nationales.</t>
  </si>
  <si>
    <t>Inoltre gli esempi di progettazione rappresentano il caso standard e devono essere adattati alla situazione locale se necessario. Si devono osservare le linee guida tecniche specifiche del paese!</t>
  </si>
  <si>
    <t>Příklady konstrukcí navíc představují běžné případy, které je případně nutno upravit pro místní podmínky stavby. Je nutno rovněž zohlednit národní technické směrnice!</t>
  </si>
  <si>
    <t>Ponadto przykłady projektowe przedstawiają przypadek typowy i w razie potrzeby należy je dostosować do konkretnej sytuacji. Należy przestrzegać wytycznych technicznych obowiązujących w danym kraju!</t>
  </si>
  <si>
    <t>Ezenkívül a tervezési példák a hagyományos esetet mutatják be, és így szükség esetén a helyi körülményekhez igazítandók. Az országspecifikus műszaki irányelveket be kell tartani!</t>
  </si>
  <si>
    <t>Ďalej príklady konštrukcie predstavujú obvyklý prípad a treba ich príp. prispôsobiť miestnej situácii. Je nutné dodržiavať technické smernice platné pre danú krajinu!</t>
  </si>
  <si>
    <t>Verder zijn de ontwerpvoorbeelden een regelgeval en moeten zij zo nodig aan de plaatselijke situatie worden aangepast. Landspecifieke technische richtlijnen moeten in acht worden genomen!</t>
  </si>
  <si>
    <t>Nadalje primeri konstrukcij predstavljajo splošen primer in jih bo morda treba prilagoditi lokalnim razmeram. Upoštevati je treba tehnične smernice za posamezne države!</t>
  </si>
  <si>
    <t>Dessutom representerar konstruktionsexemplen generella fall och kan behöva anpassas till den aktuella situationen. Landspecifika tekniska riktlinjer måste följas!</t>
  </si>
  <si>
    <t>Designeksemplerne repræsenterer generelle eksempler og skal muligvis tilpasses den lokale situation. Landespecifikke tekniske retningslinjer skal overholdes!</t>
  </si>
  <si>
    <t>I tillegg representerer designeksemplene vanlige tilfeller og må kanskje tilpasses den lokale situasjonen. Landsspesifikke tekniske retningslinjer må følges!</t>
  </si>
  <si>
    <t>Nadalje, primjeri dizajna predstavljaju opći slučaj i možda će ih trebati prilagoditi lokalnoj situaciji. Potrebno je poštivati ​​tehničke smjernice specifične za zemlju!</t>
  </si>
  <si>
    <t>Technische Änderungen und Druckfehler vorbehalten!</t>
  </si>
  <si>
    <t>Con riserva di modifiche tecniche ed errori di stampa!</t>
  </si>
  <si>
    <t>Technické změny a chyby tisku vyhrazeny!</t>
  </si>
  <si>
    <t>Zastrzegamy sobie prawo do zmian technicznych i błędów w druku!</t>
  </si>
  <si>
    <t>A műszaki változtatások és a nyomdahibák jogát fenntartjuk!</t>
  </si>
  <si>
    <t>Technické zmeny a tlačové chyby vyhradené!</t>
  </si>
  <si>
    <t>Onder voorbehoud van technische wijzigingen en tikfouten!</t>
  </si>
  <si>
    <t>Pridržujemo si pravico do tehničnih sprememb in tiskarskih napak!</t>
  </si>
  <si>
    <t>Med reservation för tekniska ändringar och tryckfel!</t>
  </si>
  <si>
    <t>Med forbehold om tekniske endringer og trykkfeil!</t>
  </si>
  <si>
    <t>Podložno tehničkim promjenama i tiskarskim pogreškama!</t>
  </si>
  <si>
    <t>Die in den PREFA Verlegerichtlinien angegebenen Dachneigungen der jeweiligen Produkte sind einzuhalten.</t>
  </si>
  <si>
    <t>Observe the roof pitches specified in the PREFA installation guidelines for each product.</t>
  </si>
  <si>
    <t>Respectez scrupuleusement les pentes de toit indiquées dans les guides de pose PREFA pour chaque produit.</t>
  </si>
  <si>
    <t>È necessario rispettare le inclinazioni del tetto specificate nelle linee guida PREFA per l'installazione dei vari prodotti.</t>
  </si>
  <si>
    <t>Nutno dodržet požadované střešní sklony pro jednotlivé produkty dle směrnic PREFA pro pokládku.</t>
  </si>
  <si>
    <t>Należy postępować odpowiednio w zależności od kątów nachylenia dachu podanych w wytycznych montażowych dla poszczególnych produktów firmy PREFA.</t>
  </si>
  <si>
    <t>Az adott termékek PREFA kivitelezési útmutatójában megadott tetőhajlásszögeket be kell tartani.</t>
  </si>
  <si>
    <t>Sklony strechy príslušných výrobkov uvedené v smerniciach na pokládku je nutné dodržať.</t>
  </si>
  <si>
    <t>De dakhellingen die in de PREFA-montagerichtlijnen voor de respectieve producten zijn aangegeven, moeten in acht worden genomen.</t>
  </si>
  <si>
    <t>Upoštevati je treba naklone strehe posameznih izdelkov, ki so navedeni v smernicah za namestitev PREFA.</t>
  </si>
  <si>
    <t>Taklutningarna för respektive produkter som anges i PREFAs monteringsanvisningar måste beaktas.</t>
  </si>
  <si>
    <t>Taghældningerne for de respektive produkter, der er angivet i PREFA monteringsvejledningen, skal overholdes.</t>
  </si>
  <si>
    <t>Takhellingene for de respektive produktene spesifisert i PREFA-monteringsveiledningen må overholdes.</t>
  </si>
  <si>
    <t>Moraju se poštivati ​​nagibi krova odgovarajućih proizvoda koji su navedeni u PREFA uputama za postavljanje.</t>
  </si>
  <si>
    <t>die wärme- und feuchteschutztechnischen Eigenschaften des Gesamtdachaufbaues</t>
  </si>
  <si>
    <t>les propriétés de l’ensemble de la toiture en termes d’isolation thermique et de protection contre l’humidité</t>
  </si>
  <si>
    <t>le proprietà termiche e di protezione dall'umidità della struttura complessiva del tetto</t>
  </si>
  <si>
    <t>tepelně izolační a hydroizolační vlastnosti celkové střešní skladby</t>
  </si>
  <si>
    <t>de thermische en vochtwerende eigenschappen van de totale dakmontage</t>
  </si>
  <si>
    <t>toplotne in vlagovarstvene lastnosti celotne strešne konstrukcije</t>
  </si>
  <si>
    <t>de termiske og fugtbeskyttende egenskaber for hele tagkonstruktionen</t>
  </si>
  <si>
    <t>De varme- og fuktbeskyttende egenskapene for hele takkonstruksjonen</t>
  </si>
  <si>
    <t>die mechanische Beanspruchung der Unterdeckmaterialien während der Bauphase (z. B. Begehen des Unterdaches, Materiallagerung)</t>
  </si>
  <si>
    <t>les contraintes mécaniques auxquelles sont soumis les matériaux de la sous-couverture pendant de la phase de construction (stockage de matériaux de construction ou déplacements de personnes sur la sous-couverture par exemple)</t>
  </si>
  <si>
    <t>le sollecitazioni meccaniche sui materiali del sottotetto durante la fase di costruzione (es. camminare sul sottotetto, stoccaggio di materiale)</t>
  </si>
  <si>
    <t>mechanické namáhání podvěšených fólií během stavby (např. pohyb osob, skladování materiálů)</t>
  </si>
  <si>
    <t>a tető alatti anyagokat érő mechanikai igénybevétel az építési fázisban (pl. az alsó tetősík bejárása, anyagtárolás).</t>
  </si>
  <si>
    <t>de mechanische belasting van de materialen van het onderdak tijdens de bouwfase (bijv. lopen op het onderdak, opslag van materiaal).</t>
  </si>
  <si>
    <t>den mekaniske belastning af undertagets materialer i byggefasen (f.eks. gang på undertaget, materialeopbevaring)</t>
  </si>
  <si>
    <t>Den mekaniske belastningen på undertakets materialer i byggefasen (f.eks. gange på undertaket, materiallagring)</t>
  </si>
  <si>
    <t>mehanička opterećenja na potkrovnim materijalima tijekom faze izgradnje (npr. hodanje po sekundarnom krovu, skladištenje materijala)</t>
  </si>
  <si>
    <t>diffusionsoffen</t>
  </si>
  <si>
    <t>breathable</t>
  </si>
  <si>
    <t>perméable à la diffusion</t>
  </si>
  <si>
    <t>traspirante</t>
  </si>
  <si>
    <t>difúzně propustný</t>
  </si>
  <si>
    <t>otwarta dyfuzyjnie</t>
  </si>
  <si>
    <t>diffúziósan nyitott</t>
  </si>
  <si>
    <t>difúzne otvorené</t>
  </si>
  <si>
    <t>diffusieopen</t>
  </si>
  <si>
    <t>paroprepustno</t>
  </si>
  <si>
    <t>diffusionsgenomsläpplig</t>
  </si>
  <si>
    <t>diffusionsåben</t>
  </si>
  <si>
    <t>Diffusjonsåpen</t>
  </si>
  <si>
    <t>propusno</t>
  </si>
  <si>
    <t>diffusionsoffene Bitumenbahn* (E-do nsk) entsprechend ÖNORM B 3661</t>
  </si>
  <si>
    <t>breathable bitumen underlay* (E-do nsk) according to ÖNORM B 3661</t>
  </si>
  <si>
    <t>lé bitumineux perméable à la diffusion* (E-do nsk) conformément à la norme autrichienne ÖNORM B 3661</t>
  </si>
  <si>
    <t>Membrana bituminosa traspirante* (E-do nsk) conforme alla norma ÖNORM B 3661</t>
  </si>
  <si>
    <t>difúzně propustný asfaltový pás* (E-do nsk) podle ÖNORM B 3661</t>
  </si>
  <si>
    <t>otwarta dyfuzyjnie membrana bitumiczna* (E-do NSK) zgodnie z normą ÖNORM B 3661</t>
  </si>
  <si>
    <t>diffúziósan nyitott bitumenszalag* (E-do nsk) ÖNORM B 3661 szerint</t>
  </si>
  <si>
    <t>difúzne otvorený bitúmenový pás* (E-do nsk) podľa ÖNORM B 3661</t>
  </si>
  <si>
    <t>diffusieopen bitumenmembraan* (E-do nsk) volgens ÖNORM B 3661</t>
  </si>
  <si>
    <t>paroprepustna bitumenska membrana* (E-do nsk) v skladu z ÖNORM B 3661</t>
  </si>
  <si>
    <t>Diffusionsöppet bitumenmembran* (E-do nsk) enligt ÖNORM B 3661</t>
  </si>
  <si>
    <t>diffusionsåben bitumenbane* (E-do nsk) iht. ÖNORM B 3661</t>
  </si>
  <si>
    <t>Diffusjonsåpent bitumenunderlag* (E-do nsk) i henhold til ÖNORM B 3661</t>
  </si>
  <si>
    <t>propusna bitumenska podloga* (E-do nsk) prema ÖNORM B 3661</t>
  </si>
  <si>
    <t>diffusionsoffene Unterdeckbahn* (UD do-s) entsprechend ÖNORM B 4119</t>
  </si>
  <si>
    <t>breathable underlay* (UD do-s) according to ÖNORM B 4119</t>
  </si>
  <si>
    <t>lé de sous-couverture perméable à la diffusion* (UD do-s) conformément à la norme autrichienne ÖNORM B 4119</t>
  </si>
  <si>
    <t>Membrana bituminosa traspirante* (UD do-s) conforme alla norma ÖNORM B 4119</t>
  </si>
  <si>
    <t>difúzně propustná pojistná hydroizolace* (UD do-s) podle ÖNORM B 4119</t>
  </si>
  <si>
    <t>otwarta dyfuzyjnie membrana bitumiczna* (UD do-s) zgodnie z normą ÖNORM B 4119</t>
  </si>
  <si>
    <t>diffúziósan nyitott tetőalátét* (UD do-s) ÖNORM B 4119 szerint</t>
  </si>
  <si>
    <t>difúzne otvorený podhľadový pás* (UD do-s) podľa ÖNORM B 4119</t>
  </si>
  <si>
    <t>diffusieopen schoorsteenmembraan* (UD do-s) volgens ÖNORM B 4119</t>
  </si>
  <si>
    <t>paroprepusten podstrešni trak* (UD do-s) v skladu z ÖNORM B 4119</t>
  </si>
  <si>
    <t>Diffusionsöppet underlagsmembran* (UD do-s) enligt ÖNORM B 4119</t>
  </si>
  <si>
    <t>diffusionsåbent undertag* (UD do-s) iht. ÖNORM B 4119</t>
  </si>
  <si>
    <t>Diffusjonsåpent underliggende dekklag* (UD do-s) i henhold til ÖNORM B 4119</t>
  </si>
  <si>
    <t>propusna podloga* (UD do-s) prema ÖNORM B 4119</t>
  </si>
  <si>
    <t>erhöht regensicher</t>
  </si>
  <si>
    <t>enhanced rain-proofing</t>
  </si>
  <si>
    <t>résistance accrue à la pénétration d’eau</t>
  </si>
  <si>
    <t>maggiore resistenza alla pioggia</t>
  </si>
  <si>
    <t>zvyšuje ochranu před deštěm</t>
  </si>
  <si>
    <t>zwiększona odporność na deszcz</t>
  </si>
  <si>
    <t>fokozottan esőálló</t>
  </si>
  <si>
    <t>zvýšená ochrana proti dažďovej vode</t>
  </si>
  <si>
    <t>verhoogde regendichtheid</t>
  </si>
  <si>
    <t>povečana odpornost na dež</t>
  </si>
  <si>
    <t>ökad regntäthet</t>
  </si>
  <si>
    <t>øget regnsikkerhed</t>
  </si>
  <si>
    <t>Økt regnsikring</t>
  </si>
  <si>
    <t>povećana otpornost na kišu</t>
  </si>
  <si>
    <t>kein Unterdach lt. ÖNORM B 4119 erforderlich</t>
  </si>
  <si>
    <t>no underlay according to ÖNORM B 4119 required</t>
  </si>
  <si>
    <t>pas d’écran de sous-toiture obligatoire (conformément à la norme autrichienne ÖNORM B 4119)</t>
  </si>
  <si>
    <t>nessun sottotetto come richiesto dalla norma ÖNORM B 4119</t>
  </si>
  <si>
    <t>není potřeba žádná izolace podle ÖNORM B 4119</t>
  </si>
  <si>
    <t>bez pokrycia więźby dachowej patrz zgodnie z normą ÖNORM B 4119</t>
  </si>
  <si>
    <t>alsó tetősík nem szükséges az ÖNORM B 4119 szerint</t>
  </si>
  <si>
    <t>podstrešie podľa ÖNORM B 4119 nie je potrebné</t>
  </si>
  <si>
    <t>geen onderdak (volgens ÖNORM B 4119 vereist</t>
  </si>
  <si>
    <t>brez podstrehe po ÖNORM B 4119 ni potrebna</t>
  </si>
  <si>
    <t>inget undertak enl. ÖNORM B 4119 krävs</t>
  </si>
  <si>
    <t>Der kræves ikke undertag iht. ÖNORM B 4119</t>
  </si>
  <si>
    <t>Undertak iht. ÖNORM B 4119 er ikke nødvendig</t>
  </si>
  <si>
    <t>sekundarni krov nije potreban prema ÖNORM B 4119</t>
  </si>
  <si>
    <t>KLEINFORMAT</t>
  </si>
  <si>
    <t>SMALL-FORMAT PRODUCTS</t>
  </si>
  <si>
    <t>PETITS FORMATS</t>
  </si>
  <si>
    <t>MALÝ FORMÁT</t>
  </si>
  <si>
    <t>MAŁY FORMAT</t>
  </si>
  <si>
    <t>KIS FORMÁTUMÚ ELEMEK</t>
  </si>
  <si>
    <t>MALOFORMÁT</t>
  </si>
  <si>
    <t>KLEIN FORMAAT</t>
  </si>
  <si>
    <t>MALI FORMAT</t>
  </si>
  <si>
    <t>PRODUKTER I MINDRE FORMAT</t>
  </si>
  <si>
    <t>MINDRE FORMAT</t>
  </si>
  <si>
    <t>SMÅFORMAT</t>
  </si>
  <si>
    <t>nicht diffusionsoffen</t>
  </si>
  <si>
    <t>not breathable</t>
  </si>
  <si>
    <t>non perméable à la diffusion</t>
  </si>
  <si>
    <t>non traspirante</t>
  </si>
  <si>
    <t>difúzně nepropustný</t>
  </si>
  <si>
    <t>nieotwarta dyfuzyjnie</t>
  </si>
  <si>
    <t>diffúziósan nem nyitott</t>
  </si>
  <si>
    <t>nie sú difúzne otvorené</t>
  </si>
  <si>
    <t>niet-diffusieopen</t>
  </si>
  <si>
    <t>ni paroprepustno</t>
  </si>
  <si>
    <t>inte diffusionsgenomsläpplig</t>
  </si>
  <si>
    <t>ikke diffusionsåben</t>
  </si>
  <si>
    <t>Ikke diffusjonsåpen</t>
  </si>
  <si>
    <t>nepropusno</t>
  </si>
  <si>
    <t>regensicher</t>
  </si>
  <si>
    <t>rainproof</t>
  </si>
  <si>
    <t>résistance à la pénétration d’eau</t>
  </si>
  <si>
    <t>resistente alla pioggia</t>
  </si>
  <si>
    <t>ochrana před deštěm</t>
  </si>
  <si>
    <t>odporność na deszcz</t>
  </si>
  <si>
    <t>esőálló</t>
  </si>
  <si>
    <t>ochrana proti dažďovej vode</t>
  </si>
  <si>
    <t>regendichtheid</t>
  </si>
  <si>
    <t>odpornost na dež</t>
  </si>
  <si>
    <t>regntät</t>
  </si>
  <si>
    <t>regnsikker</t>
  </si>
  <si>
    <t>Regnsikkert</t>
  </si>
  <si>
    <t>otporno na kišu</t>
  </si>
  <si>
    <t>Übersicht:</t>
  </si>
  <si>
    <t>Overview:</t>
  </si>
  <si>
    <t>Aperçu :</t>
  </si>
  <si>
    <t>Panoramica:</t>
  </si>
  <si>
    <t>Přehled:</t>
  </si>
  <si>
    <t>Przegląd:</t>
  </si>
  <si>
    <t>Áttekintés:</t>
  </si>
  <si>
    <t>Prehľad:</t>
  </si>
  <si>
    <t>Overzicht:</t>
  </si>
  <si>
    <t>Pregled:</t>
  </si>
  <si>
    <t>Översikt:</t>
  </si>
  <si>
    <t>Oversigt:</t>
  </si>
  <si>
    <t>Oversikt:</t>
  </si>
  <si>
    <r>
      <t xml:space="preserve">UNTERDECKAHN (lt. ÖNORM </t>
    </r>
    <r>
      <rPr>
        <sz val="11"/>
        <color rgb="FF000000"/>
        <rFont val="Arial"/>
        <family val="2"/>
      </rPr>
      <t>B 4119)</t>
    </r>
  </si>
  <si>
    <t>ROOF UNDERLAY (according to ÖNORM B 4119)</t>
  </si>
  <si>
    <t>LÉ DE SOUS-COUVERTURE (selon la norme ÖNORM B 4119)</t>
  </si>
  <si>
    <t>UNTERDECKBAHN (Mindestqualität)</t>
  </si>
  <si>
    <t>ROOF UNDERLAY (minimum quality)</t>
  </si>
  <si>
    <t>ÉCRAN DE SOUS-TOITURE (qualité minimum)</t>
  </si>
  <si>
    <t>POJISTNÁ HYDROIZOLACE (nejnižší akceptovaná kvalita)</t>
  </si>
  <si>
    <t>MEMBRANA SZALUNKOWA (minimalne parametry jakościowe)</t>
  </si>
  <si>
    <t>TETŐALÁTÉT (minimális minőség)</t>
  </si>
  <si>
    <t>PODKLADOVÝ PÁS (minimálna kvalita)</t>
  </si>
  <si>
    <t>SCHOORSTEENMEMBRAAN (minimale kwaliteit)</t>
  </si>
  <si>
    <t>PODSTREŠNI TRAK (najmanjša kakovost)</t>
  </si>
  <si>
    <t>UNDERLAGSMEMBRAN (lägsta kvalitet)</t>
  </si>
  <si>
    <t>UNDERTAG (mindstekvalitet)</t>
  </si>
  <si>
    <t>UNDERLIGGENDE DEKKLAG (minimumskvalitet)</t>
  </si>
  <si>
    <t>PODLOGA (minimalna kvaliteta)</t>
  </si>
  <si>
    <t>PREFA_Details_Dach_Dachschindel_181203</t>
  </si>
  <si>
    <t>PREFA_details_roof_shingle_181203</t>
  </si>
  <si>
    <t>PREFA_détails_toiture_BARDEAU_181203</t>
  </si>
  <si>
    <t>SCHNEESTOPPER – VERLEGESCHEMA S1</t>
  </si>
  <si>
    <t>snow guards – installation diagram S1</t>
  </si>
  <si>
    <t>arrêt de neige — schéma de pose S1</t>
  </si>
  <si>
    <t>Boční napojení na stěnu s zásuvnou krycí lištou S1</t>
  </si>
  <si>
    <t>STOPER ŚNIEGOWY – SCHEMAT MONTAŻOWY S1</t>
  </si>
  <si>
    <t>HÓFOGÓ – S1 FEKTETÉSI SÉMA</t>
  </si>
  <si>
    <t>ZACHYTÁVAČ SNEHU – SCHÉMA MONTÁŽE S1</t>
  </si>
  <si>
    <t>SNEEUWSTOPPER - INSTALLATIESCHEMA S1</t>
  </si>
  <si>
    <t>SNEGOLOV – SHEMA POLAGANJA S1</t>
  </si>
  <si>
    <t>SNÖSTOPP – LÄGGNINGSSCHEMA S1</t>
  </si>
  <si>
    <t>SNESTOPPER – LÆGGEDIAGRAM S1</t>
  </si>
  <si>
    <t>SNØSTOPPER – LEGGESKJEMA S1</t>
  </si>
  <si>
    <t>TOČKASTI SNJEGOBRAN – SHEMA POSTAVLJANJA S1</t>
  </si>
  <si>
    <t>SCHNEESTOPPER – VERLEGESCHEMA S2</t>
  </si>
  <si>
    <t>snow guards – installation diagram S2</t>
  </si>
  <si>
    <t>arrêt de neige — schéma de pose S2</t>
  </si>
  <si>
    <t>Boční napojení na stěnu s zásuvnou krycí lištou S2</t>
  </si>
  <si>
    <t>STOPER ŚNIEGOWY – SCHEMAT MONTAŻOWY S2</t>
  </si>
  <si>
    <t>HÓFOGÓ – S2 FEKTETÉSI SÉMA</t>
  </si>
  <si>
    <t>ZACHYTÁVAČ SNEHU – SCHÉMA MONTÁŽE S2</t>
  </si>
  <si>
    <t>SNEEUWSTOPPER - INSTALLATIESCHEMA S2</t>
  </si>
  <si>
    <t>SNEGOLOV – SHEMA POLAGANJA S2</t>
  </si>
  <si>
    <t>SNÖSTOPP – LÄGGNINGSSCHEMA S2</t>
  </si>
  <si>
    <t>SNESTOPPER – LÆGGEDIAGRAM S2</t>
  </si>
  <si>
    <t>SNØSTOPPER – LEGGESKJEMA S2</t>
  </si>
  <si>
    <t>TOČKASTI SNJEGOBRAN – SHEMA POSTAVLJANJA S2</t>
  </si>
  <si>
    <t>SCHNEESTOPPER – VERLEGESCHEMA S3</t>
  </si>
  <si>
    <t>snow guards – installation diagram S3</t>
  </si>
  <si>
    <t>arrêt de neige — schéma de pose S3</t>
  </si>
  <si>
    <t>Boční napojení na stěnu s zásuvnou krycí lištou S3</t>
  </si>
  <si>
    <t>STOPER ŚNIEGOWY– SCHEMAT MONTAŻOWY S3</t>
  </si>
  <si>
    <t>HÓFOGÓ – S3 FEKTETÉSI SÉMA</t>
  </si>
  <si>
    <t>ZACHYTÁVAČ SNEHU – SCHÉMA MONTÁŽE S3</t>
  </si>
  <si>
    <t>SNEEUWSTOPPER - INSTALLATIESCHEMA S3</t>
  </si>
  <si>
    <t>SNEGOLOV – SHEMA POLAGANJA S3</t>
  </si>
  <si>
    <t>SNÖSTOPP – LÄGGNINGSSCHEMA S3</t>
  </si>
  <si>
    <t>SNESTOPPER – LÆGGEDIAGRAM S3</t>
  </si>
  <si>
    <t>SNØSTOPPER – LEGGESKJEMA S3</t>
  </si>
  <si>
    <t>TOČKASTI SNJEGOBRAN – SHEMA POSTAVLJANJA S3</t>
  </si>
  <si>
    <t>Verlegeschema S1 (2,5 Stk./m² – ersten beiden Reihen durchgehend)</t>
  </si>
  <si>
    <t>Installation diagram S1 (2,5  per m² — must be installed along the first two rows)</t>
  </si>
  <si>
    <t>Schéma de pose S1 (2,5 arrêts de neige par m² ; monter les arrêts de neige sans interruption sur toute la longueur des deux premières rangées)</t>
  </si>
  <si>
    <t>Schema di posa S1 (2,5 pz./m² - prime due file continue)</t>
  </si>
  <si>
    <r>
      <t>Schema rozmístění S1 (2,5 ks/m</t>
    </r>
    <r>
      <rPr>
        <vertAlign val="superscript"/>
        <sz val="11"/>
        <color indexed="8"/>
        <rFont val="Arial"/>
        <family val="2"/>
      </rPr>
      <t xml:space="preserve">2 </t>
    </r>
    <r>
      <rPr>
        <sz val="11"/>
        <color indexed="8"/>
        <rFont val="Arial"/>
        <family val="2"/>
      </rPr>
      <t>- první dvě řady průběžně)</t>
    </r>
  </si>
  <si>
    <t>Schemat montażowy S1 (2,5 szt./m² – pierwsze dwa rzędy ciągłe)</t>
  </si>
  <si>
    <t>fektetési séma S1 (2,5 db/m² – az első két sor folyamatos)</t>
  </si>
  <si>
    <t>Schéma montáže S1 (2,5 ks/m² – prvé dva rady kompletne)</t>
  </si>
  <si>
    <t>Installatieschema S1 (2,5 st./m² - eerste twee rijen doorlopend)</t>
  </si>
  <si>
    <t>Shema polaganja S1 (2,5 kos./m² – prvi dve vrsti neprekinjeno)</t>
  </si>
  <si>
    <t>Läggningsschema S1 (2,5 st/m² – första två raderna genomgående)</t>
  </si>
  <si>
    <t>Læggediagram S1 (2,5 stk./m² - første to rækker gennemgående)</t>
  </si>
  <si>
    <t>Leggeskjema S1 (2,5 stk./m² – to første rader fortløpende)</t>
  </si>
  <si>
    <t>Shema postavljanja S1 (2,5 kom./m² – prva dva reda neprekidno)</t>
  </si>
  <si>
    <t>Verlegeschema S2 (5 Stk./m² – ersten beiden Reihen durchgehend)</t>
  </si>
  <si>
    <t>installation diagram S2 (5 pc. per m²; must be installed along the first two rows)</t>
  </si>
  <si>
    <t>Schéma de pose S2 (5 arrêts de neige par m² ; monter les arrêts de neige sans interruption sur toute la longueur des deux premières rangées)</t>
  </si>
  <si>
    <t>Schema di posa S2 (5 pz./m² - prime due file continue)</t>
  </si>
  <si>
    <r>
      <t>Schema rozmístění S2 (5 ks/m</t>
    </r>
    <r>
      <rPr>
        <vertAlign val="superscript"/>
        <sz val="11"/>
        <color indexed="8"/>
        <rFont val="Arial"/>
        <family val="2"/>
      </rPr>
      <t xml:space="preserve">2 </t>
    </r>
    <r>
      <rPr>
        <sz val="11"/>
        <color indexed="8"/>
        <rFont val="Arial"/>
        <family val="2"/>
      </rPr>
      <t>- první dvě řady průběžně)</t>
    </r>
  </si>
  <si>
    <t>Schemat montażowy S2 (5 szt./m² – pierwsze dwa rzędy ciągłe)</t>
  </si>
  <si>
    <t>fektetési séma S2 (5 db/m² – az első két sor folyamatos)</t>
  </si>
  <si>
    <t>Schéma montáže S2 (5 ks/m² – prvé dva rady kompletne)</t>
  </si>
  <si>
    <t>Installatieschema S2 (5 st./m² - eerste twee rijen doorlopend)</t>
  </si>
  <si>
    <t>Shema polaganja S2 (5 kos./m² – prvi dve vrsti neprekinjeno)</t>
  </si>
  <si>
    <t>Läggningsschema S2 (5 st/m² – första två raderna genomgående)</t>
  </si>
  <si>
    <t>Læggediagram S2 (5 stk./m² - første to rækker gennemgående)</t>
  </si>
  <si>
    <t>Leggeskjema S2 (5 stk./m² – to første rader fortløpende)</t>
  </si>
  <si>
    <t>Shema postavljanja S2 (5 kom./m² – prva dva reda neprekidno)</t>
  </si>
  <si>
    <t>Verlegeschema S3 (10 Stk./m²)</t>
  </si>
  <si>
    <t>installation diagram S3 (10 pc. per m²)</t>
  </si>
  <si>
    <t>schéma de pose S3 (10 arrêts de neige par m²)</t>
  </si>
  <si>
    <t>Schema di posa S3 (10 pz./m²)</t>
  </si>
  <si>
    <r>
      <t>Schema rozmístění S3 (10 ks/m</t>
    </r>
    <r>
      <rPr>
        <vertAlign val="superscript"/>
        <sz val="11"/>
        <color indexed="8"/>
        <rFont val="Arial"/>
        <family val="2"/>
      </rPr>
      <t>2</t>
    </r>
    <r>
      <rPr>
        <sz val="11"/>
        <color indexed="8"/>
        <rFont val="Arial"/>
        <family val="2"/>
      </rPr>
      <t>)</t>
    </r>
  </si>
  <si>
    <t>Schemat montażowy S3 (10 szt./m²</t>
  </si>
  <si>
    <t>S3 fektetési séma (10 db/m²)</t>
  </si>
  <si>
    <t>Schéma montáže S3 (10 ks/m²)</t>
  </si>
  <si>
    <t>Installatieschema S3 (10 st./m²)</t>
  </si>
  <si>
    <t>Shema polaganja S3 (10 kos./m²)</t>
  </si>
  <si>
    <t>Läggningsschema S3 (10 st/m²)</t>
  </si>
  <si>
    <t>Læggediagram S3 (10 stk./m²)</t>
  </si>
  <si>
    <t>Leggeskjema S3 (10 stk./m²)</t>
  </si>
  <si>
    <t>Shema postavljanja S3 (10 kom./m²)</t>
  </si>
  <si>
    <t>PREFA_Details_Dach_DACHSCHINDEL DS.19_190131</t>
  </si>
  <si>
    <t>PREFA_details_roof_DS.19 shingle_190131</t>
  </si>
  <si>
    <t>PREFA_détails_toiture_BARDEAU DS.19_190131</t>
  </si>
  <si>
    <t>PREFA_Details_Dach_DS.19_190131</t>
  </si>
  <si>
    <t>Entlüftung über Froschmaulluken (für Dachschindel DS.19)</t>
  </si>
  <si>
    <t xml:space="preserve">ventilation for shingles DS.19 via frog-mouth vents </t>
  </si>
  <si>
    <t>ventilation par chatières (pour bardeaux DS.19)</t>
  </si>
  <si>
    <t>Aerazione tramite bocchetta di aerazione (per scandola DS.19)</t>
  </si>
  <si>
    <t>odvětrání odvětrávací haubnou u FALCOVANÉHO ŠINDELU DS.19</t>
  </si>
  <si>
    <t>Wentylacja przez pokrywę wywietrzników (do dachówki DS.19)</t>
  </si>
  <si>
    <t>szellőztetés szellőzőelemeken keresztül (DS.19 tetőfedő zsindelyhez)</t>
  </si>
  <si>
    <t>odvetrávanie cez odvetrávacie tvarovky (pre strešný šindeľ DS.19)</t>
  </si>
  <si>
    <t>Ventilatie via kikkermondluiken (voor daklei DS.19)</t>
  </si>
  <si>
    <t>Odzračevanje preko žabjih zračnikov (za strešno skodlo DS.19)</t>
  </si>
  <si>
    <t>Ventilation via grodluckor (för takshingel DS.19)</t>
  </si>
  <si>
    <t>Ventilation via tagudluftning (til tagspån DS.19)</t>
  </si>
  <si>
    <t>Ventilasjon via froskemunnformet luke (til takshingel DS.19)</t>
  </si>
  <si>
    <t>Odzračivanje preko odzračnika (za krovnu šindru DS.19)</t>
  </si>
  <si>
    <t>Saumstreifen für Dachschindel DS.19</t>
  </si>
  <si>
    <t>edge cleat strip for shingle DS.19</t>
  </si>
  <si>
    <t>bande de départ pour bardeau DS.19</t>
  </si>
  <si>
    <t>Grondalina per scandola DS.19</t>
  </si>
  <si>
    <t>podkladní pás pro FALCOVANÝ ŠINDEL DS.19</t>
  </si>
  <si>
    <t>Pas okapowy do dachówki DS.19</t>
  </si>
  <si>
    <t>párkányelem DS.19 tetőfedő zsindelyhez</t>
  </si>
  <si>
    <t>podkladový pás pre strešný šindeľ DS.19</t>
  </si>
  <si>
    <t>Dakgootstrips voor daklei DS.19</t>
  </si>
  <si>
    <t>Začetni trak za strešno skodlo DS.19</t>
  </si>
  <si>
    <t>sömremsor för takshingel DS.19</t>
  </si>
  <si>
    <t>Startprofil til DS.19</t>
  </si>
  <si>
    <t>Falslister til takshingel DS.19</t>
  </si>
  <si>
    <t>Početna traka za krovnu šindru DS.19</t>
  </si>
  <si>
    <t>SCHNEESTOPPER – VERLEGESCHEMA DS.19 1</t>
  </si>
  <si>
    <t>snow guards – installation diagram DS.19 1</t>
  </si>
  <si>
    <t>arrêt de neige — schéma de pose DS.19 1</t>
  </si>
  <si>
    <t>Boční napojení na stěnu s zásuvnou krycí lištou DS.19 1</t>
  </si>
  <si>
    <t>STOPER ŚNIEGOWY – SCHEMAT MONTAŻOWY DS.19 1</t>
  </si>
  <si>
    <t>HÓFOGÓ – DS.19 1 FEKTETÉSI SÉMA</t>
  </si>
  <si>
    <t>ZACHYTÁVAČ SNEHU – SCHÉMA MONTÁŽE DS.19 1</t>
  </si>
  <si>
    <t>SNEEUWSTOPPER - INSTALLATIESCHEMA DS.19 1</t>
  </si>
  <si>
    <t>SNEGOLOV – SHEMA POLAGANJA DS.19 1</t>
  </si>
  <si>
    <t>SNÖSTOPP – LÄGGNINGSSCHEMA DS.19 1</t>
  </si>
  <si>
    <t>SNESTOPPER – LÆGGEDIAGRAM DS.19 1</t>
  </si>
  <si>
    <t>SNØSTOPPER – LEGGESKJEMA DS.19 1</t>
  </si>
  <si>
    <t>TOČKASTI SNJEGOBRAN – SHEMA POSTAVLJANJA DS.19 1</t>
  </si>
  <si>
    <t>SCHNEESTOPPER – VERLEGESCHEMA DS.19 2</t>
  </si>
  <si>
    <t>snow guards – installation diagram DS.19 2</t>
  </si>
  <si>
    <t>arrêt de neige — schéma de pose DS.19 2</t>
  </si>
  <si>
    <t>Boční napojení na stěnu s zásuvnou krycí lištou DS.19 2</t>
  </si>
  <si>
    <t>STOPER ŚNIEGOWY – SCHEMAT MONTAŻOWY DS.19 2</t>
  </si>
  <si>
    <t>HÓFOGÓ – DS.19 2 FEKTETÉSI SÉMA</t>
  </si>
  <si>
    <t>ZACHYTÁVAČ SNEHU – SCHÉMA MONTÁŽE DS.19 2</t>
  </si>
  <si>
    <t>SNEEUWSTOPPER - INSTALLATIESCHEMA DS.19 2</t>
  </si>
  <si>
    <t>SNEGOLOV – SHEMA POLAGANJA DS.19 2</t>
  </si>
  <si>
    <t>SNÖSTOPP – LÄGGNINGSSCHEMA DS.19 2</t>
  </si>
  <si>
    <t>SNESTOPPER – LÆGGEDIAGRAM DS.19 2</t>
  </si>
  <si>
    <t>SNØSTOPPER – LEGGESKJEMA DS.19 2</t>
  </si>
  <si>
    <t>TOČKASTI SNJEGOBRAN – SHEMA POSTAVLJANJA DS.19 2</t>
  </si>
  <si>
    <t>SCHNEESTOPPER – VERLEGESCHEMA DS.19 3</t>
  </si>
  <si>
    <t>snow guards – installation diagram DS.19 3</t>
  </si>
  <si>
    <t>arrêt de neige — schéma de pose DS.19 3</t>
  </si>
  <si>
    <t>Boční napojení na stěnu s zásuvnou krycí lištou DS.19 3</t>
  </si>
  <si>
    <t>STOPER ŚNIEGOWY – SCHEMAT MONTAŻOWY DS.19 3</t>
  </si>
  <si>
    <t>HÓFOGÓ – DS.19 3 FEKTETÉSI SÉMA</t>
  </si>
  <si>
    <t>ZACHYTÁVAČ SNEHU – SCHÉMA MONTÁŽE DS.19 3</t>
  </si>
  <si>
    <t>SNEEUWSTOPPER - INSTALLATIESCHEMA DS.19 3</t>
  </si>
  <si>
    <t>SNEGOLOV – SHEMA POLAGANJA DS.19 3</t>
  </si>
  <si>
    <t>SNÖSTOPP – LÄGGNINGSSCHEMA DS.19 3</t>
  </si>
  <si>
    <t>SNESTOPPER – LÆGGEDIAGRAM DS.19 3</t>
  </si>
  <si>
    <t>SNØSTOPPER – LEGGESKJEMA DS.19 3</t>
  </si>
  <si>
    <t>TOČKASTI SNJEGOBRAN – SHEMA POSTAVLJANJA DS.19 3</t>
  </si>
  <si>
    <t>Verlegeschema DS.19 1 (2 Stk./m² – ersten beiden Reihen durchgehend)</t>
  </si>
  <si>
    <t>Installation diagram DS.19 1 (2  per m² — must be installed along the first two rows)</t>
  </si>
  <si>
    <t>Schéma de pose DS.19 1 (2 arrêts de neige par m² ; monter les arrêts de neige sans interruption sur toute la longueur des deux premières rangées)</t>
  </si>
  <si>
    <t>Schema di posa DS.19 1 (2 pz./m² - prime due file continue)</t>
  </si>
  <si>
    <t>Schema rozmístění DS.19 1 (2 ks/m2 - první dvě řady průběžně)</t>
  </si>
  <si>
    <t>Schemat montażowy DS.19 1 (2 szt./m² – pierwsze dwa rzędy ciągłe)</t>
  </si>
  <si>
    <t>DS.19 1 fektetési séma (2 db/m² – az első két sor folyamatos)</t>
  </si>
  <si>
    <t>Schéma montáže DS.19 1 (2 ks/m² – prvé dva rady kompletne)</t>
  </si>
  <si>
    <t>Installatieschema DS.19 1 (2 st./m² - eerste twee rijen doorlopend)</t>
  </si>
  <si>
    <t>Shema polaganja DS.19 1 (2 kos./m² – prvi dve vrsti neprekinjeno)</t>
  </si>
  <si>
    <t>Läggningsschema DS.19 1 (2 st/m² – första två raderna genomgående)</t>
  </si>
  <si>
    <t>Læggediagram DS.19 1 (2 stk./m² - første to rækker gennemgående)</t>
  </si>
  <si>
    <t>Leggeskjema DS.19 1 (2 stk./m² – to første rader fortløpende)</t>
  </si>
  <si>
    <t>Shema postavljanja DS.19 1 (2 kom./m² – prva dva reda neprekidno)</t>
  </si>
  <si>
    <t>Verlegeschema DS.19 2 (4 Stk./m² – ersten beiden Reihen durchgehend)</t>
  </si>
  <si>
    <t>installation diagram DS.19 2 (4 pc. per m²; must be installed along the first two rows)</t>
  </si>
  <si>
    <t>Schéma de pose DS.19 2 (4 arrêts de neige par m² ; monter les arrêts de neige sans interruption sur toute la longueur des deux premières rangées)</t>
  </si>
  <si>
    <t>Schema di posa DS.19 2 (4 pz./m² - prime due file continue)</t>
  </si>
  <si>
    <t>Schema rozmístění DS.19 2 (4 ks/m2 - první dvě řady průběžně)</t>
  </si>
  <si>
    <t>Schemat montażowy DS.19 2 (4 szt./m² – pierwsze dwa rzędy ciągłe)</t>
  </si>
  <si>
    <t>DS.19 2 fektetési séma (4 db/m² – az első két sor folyamatos)</t>
  </si>
  <si>
    <t>Schéma montáže DS.19 2 (4 ks/m² – prvé dva rady kompletne)</t>
  </si>
  <si>
    <t>Installatieschema DS.19 2 (4 st./m² - eerste twee rijen doorlopend)</t>
  </si>
  <si>
    <t>Shema polaganja DS.19 2 (4 kos./m² – prvi dve vrsti neprekinjeno)</t>
  </si>
  <si>
    <t>Läggningsschema DS.19 2 (4 st/m² – första två raderna genomgående)</t>
  </si>
  <si>
    <t>Læggediagram DS.19 2 (4 stk./m² - første to rækker gennemgående)</t>
  </si>
  <si>
    <t>Leggeskjema DS.19 2 (4 stk./m² – to første rader fortløpende)</t>
  </si>
  <si>
    <t>Shema postavljanja DS.19 2 (4 kom./m² – prva dva reda neprekidno)</t>
  </si>
  <si>
    <t>Verlegeschema DS.19 3 (8 Stk./m²)</t>
  </si>
  <si>
    <t>installation diagram DS.19 3 (8 pc. per m²)</t>
  </si>
  <si>
    <t>schéma de pose DS.19 3 (8 arrêts de neige par m²)</t>
  </si>
  <si>
    <t>Schema di posa DS.19 3 (8 pz./m²)</t>
  </si>
  <si>
    <t>Schema rozmístění DS.19 3 (8 ks/m2)</t>
  </si>
  <si>
    <t>Schemat montażowy DS.19 3 (8 szt./m²)</t>
  </si>
  <si>
    <t>DS.19 3 fektetési séma (8 db/m²)</t>
  </si>
  <si>
    <t>Schéma montáže DS.19 3 (8 ks/m²)</t>
  </si>
  <si>
    <t>Installatieschema DS.19 3 (8 st./m²)</t>
  </si>
  <si>
    <t>Shema polaganja DS.19 3 (8 kos./m²)</t>
  </si>
  <si>
    <t>Läggningsschema DS.19 3 (8 st/m²)</t>
  </si>
  <si>
    <t>Læggediagram DS.19 3 (8 stk./m²)</t>
  </si>
  <si>
    <t>Leggeskjema DS.19 3 (8 stk./m²)</t>
  </si>
  <si>
    <t>Shema postavljanja DS.19 3 (8 kom./m²)</t>
  </si>
  <si>
    <t>020205_AT_Details_Dach DR29x29_PREFA_2021-Q1</t>
  </si>
  <si>
    <t>SCHNEESTOPPER – VERLEGESCHEMA DR29 1</t>
  </si>
  <si>
    <t>snow guards – installation diagram DR29 1</t>
  </si>
  <si>
    <t>arrêt de neige — schéma de pose DR29 1</t>
  </si>
  <si>
    <t>Boční napojení na stěnu s zásuvnou krycí lištou DR29 1</t>
  </si>
  <si>
    <t>STOPER ŚNIEGOWY – SCHEMAT MONTAŻOWY DR29 1</t>
  </si>
  <si>
    <t>HÓFOGÓ – DR29 1 FEKTETÉSI SÉMA</t>
  </si>
  <si>
    <t>ZACHYTÁVAČ SNEHU – SCHÉMA MONTÁŽE DR29 1</t>
  </si>
  <si>
    <t>SNEEUWSTOPPER - INSTALLATIESCHEMA DR29 1</t>
  </si>
  <si>
    <t>SNEGOLOV – SHEMA POLAGANJA DR29 1</t>
  </si>
  <si>
    <t>SNÖSTOPP – LÄGGNINGSSCHEMA DR29 1</t>
  </si>
  <si>
    <t>SNESTOPPER – LÆGGEDIAGRAM DR29 1</t>
  </si>
  <si>
    <t>SNØSTOPPER – LEGGESKJEMA DR29 1</t>
  </si>
  <si>
    <t>TOČKASTI SNJEGOBRAN – SHEMA POSTAVLJANJA DR29 1</t>
  </si>
  <si>
    <t>SCHNEESTOPPER – VERLEGESCHEMA DR29 2</t>
  </si>
  <si>
    <t>snow guards – installation diagram DR29 2</t>
  </si>
  <si>
    <t>arrêt de neige — schéma de pose DR29 2</t>
  </si>
  <si>
    <t>Boční napojení na stěnu s zásuvnou krycí lištou DR29 2</t>
  </si>
  <si>
    <t>STOPER ŚNIEGOWY – SCHEMAT MONTAŻOWY DR29 2</t>
  </si>
  <si>
    <t>HÓFOGÓ – DR29 2 FEKTETÉSI SÉMA</t>
  </si>
  <si>
    <t>ZACHYTÁVAČ SNEHU – SCHÉMA MONTÁŽE DR29 2</t>
  </si>
  <si>
    <t>SNEEUWSTOPPER - INSTALLATIESCHEMA DR29 2</t>
  </si>
  <si>
    <t>SNEGOLOV – SHEMA POLAGANJA DR29 2</t>
  </si>
  <si>
    <t>SNÖSTOPP – LÄGGNINGSSCHEMA DR29 2</t>
  </si>
  <si>
    <t>SNESTOPPER – LÆGGEDIAGRAM DR29 2</t>
  </si>
  <si>
    <t>SNØSTOPPER – LEGGESKJEMA DR29 2</t>
  </si>
  <si>
    <t>TOČKASTI SNJEGOBRAN – SHEMA POSTAVLJANJA DR29 2</t>
  </si>
  <si>
    <t>SCHNEESTOPPER – VERLEGESCHEMA DR29 3</t>
  </si>
  <si>
    <t>snow guards – installation diagram DR29 3</t>
  </si>
  <si>
    <t>arrêt de neige — schéma de pose DR29 3</t>
  </si>
  <si>
    <t>Boční napojení na stěnu s zásuvnou krycí lištou DR29 3</t>
  </si>
  <si>
    <t>STOPER ŚNIEGOWY – SCHEMAT MONTAŻOWY DR29 3</t>
  </si>
  <si>
    <t>HÓFOGÓ – DR29 3 FEKTETÉSI SÉMA</t>
  </si>
  <si>
    <t>ZACHYTÁVAČ SNEHU – SCHÉMA MONTÁŽE DR29 3</t>
  </si>
  <si>
    <t>SNEEUWSTOPPER - INSTALLATIESCHEMA DR29 3</t>
  </si>
  <si>
    <t>SNEGOLOV – SHEMA POLAGANJA DR29 3</t>
  </si>
  <si>
    <t>SNÖSTOPP – LÄGGNINGSSCHEMA DR29 3</t>
  </si>
  <si>
    <t>SNESTOPPER – LÆGGEDIAGRAM DR29 3</t>
  </si>
  <si>
    <t>SNØSTOPPER – LEGGESKJEMA DR29 3</t>
  </si>
  <si>
    <t>TOČKASTI SNJEGOBRAN – SHEMA POSTAVLJANJA DR29 3</t>
  </si>
  <si>
    <t>Verlegeschema DR29 1 (3 Stk./m² – ersten beiden Reihen durchgehend)</t>
  </si>
  <si>
    <t>Installation diagram DR29 1 (3  per m² — must be installed along the first two rows)</t>
  </si>
  <si>
    <t>Schéma de pose DR29 1 (3 arrêts de neige par m² ; monter les arrêts de neige sans interruption sur toute la longueur des deux premières rangées)</t>
  </si>
  <si>
    <t>Schema di posa DR29 1 (3 pz./m² - prime due file continue)</t>
  </si>
  <si>
    <t>Schema rozmístění DR29 1 (3 ks/m2 - první dvě řady průběžně)</t>
  </si>
  <si>
    <t>Schemat montażowy DR29 1 (3 szt./m² – pierwsze dwa rzędy ciągłe)</t>
  </si>
  <si>
    <t>DR29 1 fektetési séma (3 db/m² – az első két sor folyamatos)</t>
  </si>
  <si>
    <t>Schéma montáže DR29 1 (3 ks/m² – prvé dva rady kompletne)</t>
  </si>
  <si>
    <t>Installatieschema DR29 1 (3 st./m² - eerste twee rijen doorlopend)</t>
  </si>
  <si>
    <t>Shema polaganja DR29 1 (3 kos./m² – prvi dve vrsti neprekinjeno)</t>
  </si>
  <si>
    <t>Läggningsschema DR29 1 (3 st/m² – första två raderna genomgående)</t>
  </si>
  <si>
    <t>Læggediagram DR29 1 (3 stk./m² - første to rækker gennemgående)</t>
  </si>
  <si>
    <t>Leggeskjema DR29 1 (3 stk./m² – to første rader fortløpende)</t>
  </si>
  <si>
    <t>Shema postavljanja DR29 1 (3 kom./m² – prva dva reda neprekidno)</t>
  </si>
  <si>
    <t>Verlegeschema DR29 2 (6 Stk./m² – ersten beiden Reihen durchgehend)</t>
  </si>
  <si>
    <t>installation diagram DR29 2 (6 pc. per m²; must be installed along the first two rows)</t>
  </si>
  <si>
    <t>Schéma de pose DR29 2 (6 arrêts de neige par m² ; monter les arrêts de neige sans interruption sur toute la longueur des deux premières rangées)</t>
  </si>
  <si>
    <t>Schema di posa DR29 2 (6 pz./m² - prime due file continue)</t>
  </si>
  <si>
    <t>Schema rozmístění DR29 2 (6 ks/m2 - první dvě řady průběžně)</t>
  </si>
  <si>
    <t>Schemat montażowy DR29 2 (6 szt./m² – pierwsze dwa rzędy ciągłe)</t>
  </si>
  <si>
    <t>DR29 2 fektetési séma (6 db/m² – az első két sor folyamatos)</t>
  </si>
  <si>
    <t>Schéma montáže DR29 2 (6 ks/m² – prvé dva rady kompletne)</t>
  </si>
  <si>
    <t>Installatieschema DR29 2 (6 st./m² - eerste twee rijen doorlopend)</t>
  </si>
  <si>
    <t>Shema polaganja DR29 2 (6 kos./m² – prvi dve vrsti neprekinjeno)</t>
  </si>
  <si>
    <t>Läggningsschema DR29 2 (6 st/m² – första två raderna genomgående)</t>
  </si>
  <si>
    <t>Læggediagram DR29 2 (6 stk./m² - første to rækker gennemgående)</t>
  </si>
  <si>
    <t>Leggeskjema DR29 2 (6 stk./m² – to første rader fortløpende)</t>
  </si>
  <si>
    <t>Shema postavljanja DR29 2 (6 kom./m² – prva dva reda neprekidno)</t>
  </si>
  <si>
    <t>Verlegeschema DR29 3 (12 Stk./m²)</t>
  </si>
  <si>
    <t>installation diagram DR29 3 (12 pc. per m²)</t>
  </si>
  <si>
    <t>schéma de pose DR29 3 (12 arrêts de neige par m²)</t>
  </si>
  <si>
    <t>Schema di posa DR29 3 (12 pz./m²)</t>
  </si>
  <si>
    <t>Schema rozmístění DR29 3 (12 ks/m2)</t>
  </si>
  <si>
    <t>Schemat montażowy DR29 3 (12 szt./m²)</t>
  </si>
  <si>
    <t>DR29 3 fektetési séma (12 db/m²)</t>
  </si>
  <si>
    <t>Schéma montáže DR29 3 (12 ks/m²)</t>
  </si>
  <si>
    <t>Installatieschema DR29 3 (12 st./m²)</t>
  </si>
  <si>
    <t>Shema polaganja DR29 3 (12 kos./m²)</t>
  </si>
  <si>
    <t>Läggningsschema DR29 3 (12 st/m²)</t>
  </si>
  <si>
    <t>Læggediagram DR29 3 (12 stk./m²)</t>
  </si>
  <si>
    <t>Leggeskjema DR29 3 (12 stk./m²)</t>
  </si>
  <si>
    <t>Shema postavljanja DR29 3 (12 kom./m²)</t>
  </si>
  <si>
    <t>020206_AT_Details_Dach DR44x44_PREFA_2021-Q1</t>
  </si>
  <si>
    <t>SCHNEESTOPPER – VERLEGESCHEMA DR44 1</t>
  </si>
  <si>
    <t>snow guards – installation diagram DR44 1</t>
  </si>
  <si>
    <t>arrêt de neige — schéma de pose DR44 1</t>
  </si>
  <si>
    <t>Boční napojení na stěnu s zásuvnou krycí lištou DR44 1</t>
  </si>
  <si>
    <t>STOPER ŚNIEGOWY – SCHEMAT MONTAŻOWY DR44 1</t>
  </si>
  <si>
    <t>HÓFOGÓ – DR44 1 FEKTETÉSI SÉMA</t>
  </si>
  <si>
    <t>ZACHYTÁVAČ SNEHU – SCHÉMA MONTÁŽE DR44 1</t>
  </si>
  <si>
    <t>SNEEUWSTOPPER - INSTALLATIESCHEMA DR44 1</t>
  </si>
  <si>
    <t>SNEGOLOV – SHEMA POLAGANJA DR44 1</t>
  </si>
  <si>
    <t>SNÖSTOPP – LÄGGNINGSSCHEMA DR44 1</t>
  </si>
  <si>
    <t>SNESTOPPER – LÆGGEDIAGRAM DR44 1</t>
  </si>
  <si>
    <t>SNØSTOPPER – LEGGESKJEMA DR44 1</t>
  </si>
  <si>
    <t>TOČKASTI SNJEGOBRAN – SHEMA POSTAVLJANJA DR44 1</t>
  </si>
  <si>
    <t>SCHNEESTOPPER – VERLEGESCHEMA DR44 2</t>
  </si>
  <si>
    <t>snow guards – installation diagram DR44 2</t>
  </si>
  <si>
    <t>arrêt de neige — schéma de pose DR44 2</t>
  </si>
  <si>
    <t>Boční napojení na stěnu s zásuvnou krycí lištou DR44 2</t>
  </si>
  <si>
    <t>STOPER ŚNIEGOWY – SCHEMAT MONTAŻOWY DR44 2</t>
  </si>
  <si>
    <t>HÓFOGÓ – DR44 2 FEKTETÉSI SÉMA</t>
  </si>
  <si>
    <t>ZACHYTÁVAČ SNEHU – SCHÉMA MONTÁŽE DR44 2</t>
  </si>
  <si>
    <t>SNEEUWSTOPPER - INSTALLATIESCHEMA DR44 2</t>
  </si>
  <si>
    <t>SNEGOLOV – SHEMA POLAGANJA DR44 2</t>
  </si>
  <si>
    <t>SNÖSTOPP – LÄGGNINGSSCHEMA DR44 2</t>
  </si>
  <si>
    <t>SNESTOPPER – LÆGGEDIAGRAM DR44 2</t>
  </si>
  <si>
    <t>SNØSTOPPER – LEGGESKJEMA DR44 2</t>
  </si>
  <si>
    <t>TOČKASTI SNJEGOBRAN – SHEMA POSTAVLJANJA DR44 2</t>
  </si>
  <si>
    <t>SCHNEESTOPPER – VERLEGESCHEMA DR44 3</t>
  </si>
  <si>
    <t>snow guards – installation diagram DR44 3</t>
  </si>
  <si>
    <t>arrêt de neige — schéma de pose DR44 3</t>
  </si>
  <si>
    <t>Boční napojení na stěnu s zásuvnou krycí lištou DR44 3</t>
  </si>
  <si>
    <t>STOPER ŚNIEGOWY – SCHEMAT MONTAŻOWY DR44 3</t>
  </si>
  <si>
    <t>HÓFOGÓ – DR44 3 FEKTETÉSI SÉMA</t>
  </si>
  <si>
    <t>ZACHYTÁVAČ SNEHU – SCHÉMA MONTÁŽE DR44 3</t>
  </si>
  <si>
    <t>SNEEUWSTOPPER - INSTALLATIESCHEMA DR44 3</t>
  </si>
  <si>
    <t>SNEGOLOV – SHEMA POLAGANJA DR44 3</t>
  </si>
  <si>
    <t>SNÖSTOPP – LÄGGNINGSSCHEMA DR44 3</t>
  </si>
  <si>
    <t>SNESTOPPER – LÆGGEDIAGRAM DR44 3</t>
  </si>
  <si>
    <t>SNØSTOPPER – LEGGESKJEMA DR44 3</t>
  </si>
  <si>
    <t>TOČKASTI SNJEGOBRAN – SHEMA POSTAVLJANJA DR44 3</t>
  </si>
  <si>
    <t>Verlegeschema DR44 1 (1,3 Stk./m² – ersten beiden Reihen durchgehend)</t>
  </si>
  <si>
    <t>Installation diagram DR44 1 (1,3  per m² — must be installed along the first two rows)</t>
  </si>
  <si>
    <t>Schéma de pose DR44 1 (1,3 arrêts de neige par m² ; monter les arrêts de neige sans interruption sur toute la longueur des deux premières rangées)</t>
  </si>
  <si>
    <t>Schema di posa DR44 1 (1,3 pz./m² - prime due file continue)</t>
  </si>
  <si>
    <t>Schema rozmístění DR44 1 (1,3 ks/m2 - první dvě řady průběžně)</t>
  </si>
  <si>
    <t>Schemat montażowy DR44 1 (1,3 szt./m² – pierwsze dwa rzędy ciągłe)</t>
  </si>
  <si>
    <t>DR44 1 fektetési séma (1,3 db/m² – az első két sor folyamatos)</t>
  </si>
  <si>
    <t>Schéma montáže DR44 1 (1,3 ks/m² – prvé dva rady kompletne)</t>
  </si>
  <si>
    <t>Installatieschema DR44 1 (1,3 st./m² - eerste twee rijen doorlopend)</t>
  </si>
  <si>
    <t>Shema polaganja DR44 1 (1,3 kos./m² – prvi dve vrsti neprekinjeno)</t>
  </si>
  <si>
    <t>Läggningsschema DR44 1 (1,3 st/m² – första två raderna genomgående)</t>
  </si>
  <si>
    <t>Læggediagram DR44 1 (1,3 stk./m² - første to rækker gennemgående)</t>
  </si>
  <si>
    <t>Leggeskjema DR44 1 (1,3 stk./m² – to første rader fortløpende)</t>
  </si>
  <si>
    <t>Shema postavljanja DR44 1 (1,3 kom./m² – prva dva reda neprekidno)</t>
  </si>
  <si>
    <t>Verlegeschema DR44 2 (2,6 Stk./m² – ersten beiden Reihen durchgehend)</t>
  </si>
  <si>
    <t>installation diagram DR44 2 (2,6 pc. per m²; must be installed along the first two rows)</t>
  </si>
  <si>
    <t>Schéma de pose DR44 2 (2,6 arrêts de neige par m² ; monter les arrêts de neige sans interruption sur toute la longueur des deux premières rangées)</t>
  </si>
  <si>
    <t>Schema di posa DR44 2 (2,6 pz./m² - prime due file continue)</t>
  </si>
  <si>
    <t>Schema rozmístění DR44 2 (2,6 ks/m2 - první dvě řady průběžně)</t>
  </si>
  <si>
    <t>Schemat montażowy DR44 2 (2,6 szt./m² – pierwsze dwa rzędy ciągłe)</t>
  </si>
  <si>
    <t>DR44 2 fektetési séma (2,6 db/m² – az első két sor folyamatos)</t>
  </si>
  <si>
    <t>Schéma montáže DR44 2 (2,6 ks/m² – prvé dva rady kompletne)</t>
  </si>
  <si>
    <t>Installatieschema DR44 2 (2,6 st./m² - eerste twee rijen doorlopend)</t>
  </si>
  <si>
    <t>Shema polaganja DR44 2 (2,6 kos./m² – prvi dve vrsti neprekinjeno)</t>
  </si>
  <si>
    <t>Läggningsschema DR44 2 (2,6 st/m² – första två raderna genomgående)</t>
  </si>
  <si>
    <t>Læggediagram DR44 2 (2,6 stk./m² - første to rækker gennemgående)</t>
  </si>
  <si>
    <t>Leggeskjema DR44 2 (2,6 stk./m² – to første rader fortløpende)</t>
  </si>
  <si>
    <t>Shema postavljanja DR44 2 (2,6 kom./m² – prva dva reda neprekidno)</t>
  </si>
  <si>
    <t>Verlegeschema DR44 3 (5,2 Stk./m²)</t>
  </si>
  <si>
    <t>installation diagram DR44 3 (5,2 pc. per m²)</t>
  </si>
  <si>
    <t>schéma de pose DR44 3 (5,2 arrêts de neige par m²)</t>
  </si>
  <si>
    <t>Schema di posa DR44 3 (5,2 pz./m²)</t>
  </si>
  <si>
    <t>Schema rozmístění DR44 3 (5,2 ks/m2)</t>
  </si>
  <si>
    <t>Schemat montażowy DR44 3 (5,2 szt./m²)</t>
  </si>
  <si>
    <t>DR44 3 fektetési séma (5,2 db/m²)</t>
  </si>
  <si>
    <t>Schéma montáže DR44 3 (5,2 ks/m²)</t>
  </si>
  <si>
    <t>Installatieschema DR44 3 (5,2 st./m²)</t>
  </si>
  <si>
    <t>Shema polaganja DR44 3 (5,2 kos./m²)</t>
  </si>
  <si>
    <t>Läggningsschema DR44 3 (5,2 st/m²)</t>
  </si>
  <si>
    <t>Læggediagram DR44 3 (5,2 stk./m²)</t>
  </si>
  <si>
    <t>Leggeskjema DR44 3 (5,2 stk./m²)</t>
  </si>
  <si>
    <t>Shema postavljanja DR44 3 (5,2 kom./m²)</t>
  </si>
  <si>
    <t>020202_AT_Details_Dach FX.12_PREFA_2021-Q1</t>
  </si>
  <si>
    <t>SCHNEESTOPPER – VERLEGESCHEMA FX.12 1</t>
  </si>
  <si>
    <t>snow guards – installation diagram FX.12 1</t>
  </si>
  <si>
    <t>arrêt de neige — schéma de pose FX.12 1</t>
  </si>
  <si>
    <t>Boční napojení na stěnu s zásuvnou krycí lištou FX.12 1</t>
  </si>
  <si>
    <t>BARIERA ŚNIEGOWA – SCHEMAT MONTAŻOWY FX.12 1</t>
  </si>
  <si>
    <t>HÓFOGÓ – FX.12 1 FEKTETÉSI SÉMA</t>
  </si>
  <si>
    <t>ZACHYTÁVAČ SNEHU – SCHÉMA MONTÁŽE FX.12 1</t>
  </si>
  <si>
    <t>SNEEUWSTOPPER - INSTALLATIESCHEMA FX.12 1</t>
  </si>
  <si>
    <t>SNEGOLOV– SHEMA POLAGANJA FX.12 1</t>
  </si>
  <si>
    <t>SNÖSTOPP – LÄGGNINGSSCHEMA FX.12 1</t>
  </si>
  <si>
    <t>SNESTOPPER – LÆGGEDIAGRAM FX.12 1</t>
  </si>
  <si>
    <t>SNØSTOPPER – LEGGESKJEMA FX.12 1</t>
  </si>
  <si>
    <t>TOČKASTI SNJEGOBRAN – SHEMA POSTAVLJANJA FX.12 1</t>
  </si>
  <si>
    <t>SCHNEESTOPPER – VERLEGESCHEMA FX.12 2</t>
  </si>
  <si>
    <t>snow guards – installation diagram FX.12 2</t>
  </si>
  <si>
    <t>arrêt de neige — schéma de pose FX.12 2</t>
  </si>
  <si>
    <t>Boční napojení na stěnu s zásuvnou krycí lištou FX.12 2</t>
  </si>
  <si>
    <t>BARIERA ŚNIEGOWA – SCHEMAT MONTAŻOWY FX.12 2</t>
  </si>
  <si>
    <t>HÓFOGÓ – FX.12 2 FEKTETÉSI SÉMA</t>
  </si>
  <si>
    <t>ZACHYTÁVAČ SNEHU – SCHÉMA MONTÁŽE FX.12 2</t>
  </si>
  <si>
    <t>SNEEUWSTOPPER - INSTALLATIESCHEMA FX.12 2</t>
  </si>
  <si>
    <t>SNEGOLOV – SHEMA POLAGANJA FX.12 2</t>
  </si>
  <si>
    <t>SNÖSTOPP – LÄGGNINGSSCHEMA FX.12 2</t>
  </si>
  <si>
    <t>SNESTOPPER – LÆGGEDIAGRAM FX.12 2</t>
  </si>
  <si>
    <t>SNØSTOPPER – LEGGESKJEMA FX.12 2</t>
  </si>
  <si>
    <t>TOČKASTI SNJEGOBRAN – SHEMA POSTAVLJANJA FX.12 2</t>
  </si>
  <si>
    <t>SCHNEESTOPPER – VERLEGESCHEMA FX.12 3</t>
  </si>
  <si>
    <t>snow guards – installation diagram FX.12 3</t>
  </si>
  <si>
    <t>arrêt de neige — schéma de pose FX.12 3</t>
  </si>
  <si>
    <t>Boční napojení na stěnu s zásuvnou krycí lištou FX.12 3</t>
  </si>
  <si>
    <t>BARIERA ŚNIEGOWA – SCHEMAT MONTAŻOWY FX.12 3</t>
  </si>
  <si>
    <t>HÓFOGÓ – FX.12 3 FEKTETÉSI SÉMA</t>
  </si>
  <si>
    <t>ZACHYTÁVAČ SNEHU – SCHÉMA MONTÁŽE FX.12 3</t>
  </si>
  <si>
    <t>SNEEUWSTOPPER - LEGSCHEMA FX.12 3</t>
  </si>
  <si>
    <t>SNEGOLOV – SHEMA POLAGANJA FX.12 3</t>
  </si>
  <si>
    <t>SNÖSTOPP – LÄGGNINGSSCHEMA FX.12 3</t>
  </si>
  <si>
    <t>SNESTOPPER – LÆGGEDIAGRAM FX.12 3</t>
  </si>
  <si>
    <t>SNØSTOPPER – LEGGESKJEMA FX.12 3</t>
  </si>
  <si>
    <t>TOČKASTI SNJEGOBRAN – SHEMA POSTAVLJANJA FX.12 3</t>
  </si>
  <si>
    <t>Verlegeschema FX.12 1 (1,7 Stk./m² – ersten beiden Reihen durchgehend)</t>
  </si>
  <si>
    <t>Installation diagram FX.12 1 (1,7  per m² — must be installed along the first two rows)</t>
  </si>
  <si>
    <t>Schéma de pose FX.12 1 (1,7 arrêts de neige par m² ; monter les arrêts de neige sans interruption sur toute la longueur des deux premières rangées)</t>
  </si>
  <si>
    <t>Schema di posa FX.12 1 (1,7 pz./m² - prime due file continue)</t>
  </si>
  <si>
    <t>Schema rozmístění FX.12 1 (1,7 ks/m2 - první dvě řady průběžně)</t>
  </si>
  <si>
    <t>Schemat montażowy FX.12 1 (1,7 szt./m² – pierwsze dwa rzędy ciągłe)</t>
  </si>
  <si>
    <t>FX.12 1 fektetési séma (1,7 db/m² – az első két sor folyamatos)</t>
  </si>
  <si>
    <t>Schéma montáže FX.12 1 (1,7 ks/m² – prvé dva rady kompletne)</t>
  </si>
  <si>
    <t>Installatieschema FX.12 1 (1,7 st./m² - eerste twee rijen doorlopend)</t>
  </si>
  <si>
    <t>Shema polaganja FX.12 1 (1,7 kos./m² – prvi dve vrsti neprekinjeno)</t>
  </si>
  <si>
    <t>Läggningsschema DS.12 1 (1,7 st/m² – första två raderna genomgående)</t>
  </si>
  <si>
    <t>Læggediagram FX.12 1 (1,7 stk./m² - første to rækker gennemgående)</t>
  </si>
  <si>
    <t>Leggeskjema FX.12 1 (1,7 stk./m² – to første rader fortløpende)</t>
  </si>
  <si>
    <t>Shema postavljanja FX.12 1 (1,7 kom./m² – prva dva reda neprekidno)</t>
  </si>
  <si>
    <t>Verlegeschema FX.12 2 (3,4 Stk./m² – ersten beiden Reihen durchgehend)</t>
  </si>
  <si>
    <t>installation diagram FX.12 2 (3,4 pc. per m²; must be installed along the first two rows)</t>
  </si>
  <si>
    <t>Schéma de pose FX.12 2 (3,4 arrêts de neige par m² ; monter les arrêts de neige sans interruption sur toute la longueur des deux premières rangées)</t>
  </si>
  <si>
    <t>Schema di posa FX.12 2 (3,4 pz./m² - prime due file continue)</t>
  </si>
  <si>
    <t>Schema rozmístění FX.12 2 (3,4 ks/m2 - první dvě řady průběžně)</t>
  </si>
  <si>
    <t>Schemat montażowy FX.12 2 (3,4 szt./m² – pierwsze dwa rzędy ciągłe)</t>
  </si>
  <si>
    <t>FX.12 2 fektetési séma (3,4 db/m² – az első két sor folyamatos)</t>
  </si>
  <si>
    <t>Schéma montáže FX.12 2 (3,4 ks/m² – prvé dva rady kompletne)</t>
  </si>
  <si>
    <t>Installatieschema FX.12 2 (3,4 st./m² - eerste twee rijen doorlopend)</t>
  </si>
  <si>
    <t>Shema polaganja FX.12 2 (3,4 kos./m² – prvi dve vrsti neprekinjeno)</t>
  </si>
  <si>
    <t>Läggningsschema DS.12 2 (3,4 st/m² – första två raderna genomgående)</t>
  </si>
  <si>
    <t>Læggediagram FX.12 2 (3,4 stk./m² - første to rækker gennemgående)</t>
  </si>
  <si>
    <t>Leggeskjema FX.12 2 (3,4 stk./m² – to første rader fortløpende)</t>
  </si>
  <si>
    <t>Shema postavljanja FX.12 2 (3,4 kom./m² – prva dva reda neprekidno)</t>
  </si>
  <si>
    <t>Verlegeschema FX.12 3 (6,8 Stk./m²)</t>
  </si>
  <si>
    <t>installation diagram FX.12 3 (6,8 pc. per m²)</t>
  </si>
  <si>
    <t>schéma de pose FX.12 3 (6,8 arrêts de neige par m²)</t>
  </si>
  <si>
    <t>Schema di posa FX.12 3 (6,8 pz./m²)</t>
  </si>
  <si>
    <t>Schema rozmístění FX.12 3 (6,8 ks/m2)</t>
  </si>
  <si>
    <t>Schemat montażowy FX.12 3 (6,8 szt./m²)</t>
  </si>
  <si>
    <t>DS.12 3 fektetési séma (6,8 db/m²)</t>
  </si>
  <si>
    <t>Schéma montáže FX.12 3 (6,8 ks/m²)</t>
  </si>
  <si>
    <t>Installatieschema FX.12 3 (6,8 st./m²)</t>
  </si>
  <si>
    <t>Shema polaganja FX.12 3 (6,8 kos./m²)</t>
  </si>
  <si>
    <t>Läggningsschema FX.12 3 (6,8 st/m²)</t>
  </si>
  <si>
    <t>Læggediagram FX.12 3 (6,8 stk./m²)</t>
  </si>
  <si>
    <t>Leggeskjema FX.12 3 (6,8 stk./m²)</t>
  </si>
  <si>
    <t>Shema postavljanja FX.12 3 (6,8 kom./m²)</t>
  </si>
  <si>
    <t>Neigung der Kehle: mind. 3°</t>
  </si>
  <si>
    <t>valley inclination: min. 3°</t>
  </si>
  <si>
    <t>Pente de la noue : au moins 3°</t>
  </si>
  <si>
    <t>Pendenza del compluvio: almeno 3°</t>
  </si>
  <si>
    <t>sklon úžlabí min. 3°</t>
  </si>
  <si>
    <t>Nachylenie kosza: min. 3°</t>
  </si>
  <si>
    <t>Vápa lejtése: min. 3°</t>
  </si>
  <si>
    <t>Sklon úžľabia: min. 3°</t>
  </si>
  <si>
    <t>Helling van de goot: min. 3°</t>
  </si>
  <si>
    <t>naklon žlote: najm. 3°</t>
  </si>
  <si>
    <t>Kilens lutning: min. 3°</t>
  </si>
  <si>
    <t>Kilens hældning: mind. 3°</t>
  </si>
  <si>
    <t>Helling på vinkelrenne: min. 3°</t>
  </si>
  <si>
    <t>Nagib uvale: min. 3°</t>
  </si>
  <si>
    <t>Deckel</t>
  </si>
  <si>
    <t>cover</t>
  </si>
  <si>
    <t>couverture</t>
  </si>
  <si>
    <t>Coperchio</t>
  </si>
  <si>
    <t>Pokrýt</t>
  </si>
  <si>
    <t>fedél</t>
  </si>
  <si>
    <t>veko</t>
  </si>
  <si>
    <t>Pokrov</t>
  </si>
  <si>
    <t>lock</t>
  </si>
  <si>
    <t>Poklopac</t>
  </si>
  <si>
    <t>Gummidichtung</t>
  </si>
  <si>
    <t>Rubber seal</t>
  </si>
  <si>
    <t>joint en caoutchouc</t>
  </si>
  <si>
    <t>Guarnizione in gomma</t>
  </si>
  <si>
    <t>Gumové těsnění</t>
  </si>
  <si>
    <t>Gumowa uszczelka</t>
  </si>
  <si>
    <t>gumitömítés</t>
  </si>
  <si>
    <t>gumené tesnenie</t>
  </si>
  <si>
    <t>Rubberen afdichting</t>
  </si>
  <si>
    <t>Gumijasto tesnilo</t>
  </si>
  <si>
    <t>gummitätning</t>
  </si>
  <si>
    <t>Gummitætning</t>
  </si>
  <si>
    <t>Gummitetning</t>
  </si>
  <si>
    <t>Gumena brtva</t>
  </si>
  <si>
    <t>Falzrichtung</t>
  </si>
  <si>
    <t>direction of fold</t>
  </si>
  <si>
    <t>orientation du joint</t>
  </si>
  <si>
    <t>Direzione dell'aggraffatura</t>
  </si>
  <si>
    <t>Kierunek układania</t>
  </si>
  <si>
    <t>korcirány</t>
  </si>
  <si>
    <t>smer drážky</t>
  </si>
  <si>
    <t>Naadrichting</t>
  </si>
  <si>
    <t>Smer zgiba</t>
  </si>
  <si>
    <t>Falsriktning</t>
  </si>
  <si>
    <t>Falsretning</t>
  </si>
  <si>
    <t>Smjer falca</t>
  </si>
  <si>
    <t>First- und Gratausbildung (unbelüftet)</t>
  </si>
  <si>
    <t>hip and ridge construction (non-ventilated)</t>
  </si>
  <si>
    <t>faîtages et arêtiers (non ventilés)</t>
  </si>
  <si>
    <t>Raccordo del colmo e della cresta (non ventilato)</t>
  </si>
  <si>
    <t>HŘEBEN/NÁROŽÍ NEODVĚTRANÝ</t>
  </si>
  <si>
    <t>Konstrukcja kalenicy lub naroża (niewentylowanych)</t>
  </si>
  <si>
    <t>gerinc és élkialakítás (szellőzetlen)</t>
  </si>
  <si>
    <t>vytvorenie hrebeňa a nárožia (nevetrané)</t>
  </si>
  <si>
    <t>Nok- en panvorming (ongeventileerd)</t>
  </si>
  <si>
    <t>Oblikovanje slemena in grebena (neprezračeno)</t>
  </si>
  <si>
    <t>varianter för nock- och valmningsutformning (oventilerat)</t>
  </si>
  <si>
    <t>Rygnings- og gratdesign (uventileret)</t>
  </si>
  <si>
    <t>Møne- og gradoppbygging (uventilert)</t>
  </si>
  <si>
    <t>Konstrukcija sljemena i grebena (neventilirano)</t>
  </si>
  <si>
    <t>Wandentlüftung mit Wandanschluss</t>
  </si>
  <si>
    <t>wall ventilation with wall connection</t>
  </si>
  <si>
    <t>ventilation murale avec raccordement de couloir latéral</t>
  </si>
  <si>
    <t>Aerazione a parete con raccordo a parete</t>
  </si>
  <si>
    <t>ODVĚTRÁNÍ S NAPOJENÍM NA STĚNU</t>
  </si>
  <si>
    <t>Wentylacja ścienna z połączeniem ściany</t>
  </si>
  <si>
    <t>fali szellőztetés fali csatlakozással</t>
  </si>
  <si>
    <t>odvetrávanie steny s ukončením pri stene</t>
  </si>
  <si>
    <t>Wandventilatie met wandaansluiting</t>
  </si>
  <si>
    <t>Prezračevanje sten s stenskim priključkom</t>
  </si>
  <si>
    <t>väggventilation med vägganslutning</t>
  </si>
  <si>
    <t>Vægudluftning med vægtilslutning</t>
  </si>
  <si>
    <t>Veggventilering med veggforbindelse</t>
  </si>
  <si>
    <t>Odzračivanje zidna sa zidnim spojem</t>
  </si>
  <si>
    <t>Attika VAR 1</t>
  </si>
  <si>
    <t>roof parapet VAR 1</t>
  </si>
  <si>
    <t>acrotère (couronnement, coiffe) VAR 1</t>
  </si>
  <si>
    <t>Muretto VAR 1</t>
  </si>
  <si>
    <t>Attica VAR 1</t>
  </si>
  <si>
    <t>Attyka wariant 1</t>
  </si>
  <si>
    <t>atika VAR 1</t>
  </si>
  <si>
    <t>Atika VAR 1</t>
  </si>
  <si>
    <t>parapet VAR 1</t>
  </si>
  <si>
    <t>Loft VAR. 1</t>
  </si>
  <si>
    <t>Krovni parapet VAR 1</t>
  </si>
  <si>
    <t>Attika VAR 2</t>
  </si>
  <si>
    <t>roof parapet VAR 2</t>
  </si>
  <si>
    <t>acrotère (couronnement, coiffe) VAR 2</t>
  </si>
  <si>
    <t>Muretto VAR 2</t>
  </si>
  <si>
    <t>Attica VAR 2</t>
  </si>
  <si>
    <t>Attyka wariant 2</t>
  </si>
  <si>
    <t>atika VAR 2</t>
  </si>
  <si>
    <t>Atika VAR 2</t>
  </si>
  <si>
    <t>parapet VAR 2</t>
  </si>
  <si>
    <t>Loft VAR. 2</t>
  </si>
  <si>
    <t>Krovni parapet VAR 2</t>
  </si>
  <si>
    <t>Ortgangausbildungen</t>
  </si>
  <si>
    <t>roof verge constructions</t>
  </si>
  <si>
    <t>réalisation de rives</t>
  </si>
  <si>
    <t>Formazioni di mantovane</t>
  </si>
  <si>
    <t>Štítové lemování</t>
  </si>
  <si>
    <t>Konstrukcje krawędzi</t>
  </si>
  <si>
    <t>oromszegélyes kialakítások</t>
  </si>
  <si>
    <t>zapustené štítové ukončenie</t>
  </si>
  <si>
    <t>Bermvorming</t>
  </si>
  <si>
    <t>Oblikovanja čelnega napušča</t>
  </si>
  <si>
    <t>randutformning</t>
  </si>
  <si>
    <t>Tagkantdesign</t>
  </si>
  <si>
    <t>Vindskioppbygginger</t>
  </si>
  <si>
    <t>Konstrukcije ruba zabata</t>
  </si>
  <si>
    <t>Winkelsaumausbildung</t>
  </si>
  <si>
    <t>Raccordo bordo angolare</t>
  </si>
  <si>
    <t>Konstrukcja rąbka kątowego</t>
  </si>
  <si>
    <t>falszegélylemezes kialakítás</t>
  </si>
  <si>
    <t>vytvorenie uhlového podkladového pásu</t>
  </si>
  <si>
    <t>Hoekgootvorming</t>
  </si>
  <si>
    <t>Oblikovanje kotnega roba</t>
  </si>
  <si>
    <t>vinkelsömutformning</t>
  </si>
  <si>
    <t>Vinkeltagrendedesign</t>
  </si>
  <si>
    <t>Vinkelskjøt oppbygging</t>
  </si>
  <si>
    <t>Einlegerinne</t>
  </si>
  <si>
    <t>inlaid gutter</t>
  </si>
  <si>
    <t>gouttière encastrée</t>
  </si>
  <si>
    <t>Canale d'inserimento</t>
  </si>
  <si>
    <t>ZAATIKOVÝ ŽLAB</t>
  </si>
  <si>
    <t>Rynna wsuwana</t>
  </si>
  <si>
    <t>behelyezhető ereszcsatorna</t>
  </si>
  <si>
    <t>vložený žľab</t>
  </si>
  <si>
    <t>Invoeggoot</t>
  </si>
  <si>
    <t>Vstavitveni žleb</t>
  </si>
  <si>
    <t>insättningsränna</t>
  </si>
  <si>
    <t>Innleggsrenne</t>
  </si>
  <si>
    <t>Unutarnji žlijeb</t>
  </si>
  <si>
    <t>Sicherheitsdachhaken SDH Industry 31</t>
  </si>
  <si>
    <t>roof anchor hook SDH Industry 31</t>
  </si>
  <si>
    <t>crochet de sécurité SDH Industry 31</t>
  </si>
  <si>
    <t>Staffa di sicurezza anticaduta SDH Industry 31</t>
  </si>
  <si>
    <t>BEZPEČNOSTNÍ HÁK SDH-INDUSTRY 31</t>
  </si>
  <si>
    <t>Zabezpieczające haki dachowe SDH Industry 31</t>
  </si>
  <si>
    <t>tetőbiztonsági kampó SDH Industry 31</t>
  </si>
  <si>
    <t>bezpečnostný strešný hák SDH Industry 31</t>
  </si>
  <si>
    <t>Veiligheidsdakhaak SDH Industry 31</t>
  </si>
  <si>
    <t>Varnostni strešni kavelj SDH Industry 31</t>
  </si>
  <si>
    <t>säkerhetstakkrok SDH Industry 31</t>
  </si>
  <si>
    <t>Sikkerhedstagkrog SDH Industry 31</t>
  </si>
  <si>
    <t>Sikkerhetstakkroker SDH Industry 31</t>
  </si>
  <si>
    <t>Sigurnosna krovna kuka SDH Industry 31</t>
  </si>
  <si>
    <t>Solarhalter Sunny</t>
  </si>
  <si>
    <t>solar bracket Sunny</t>
  </si>
  <si>
    <t>support solaire Sunny</t>
  </si>
  <si>
    <t>Staffa per pannelli solari Sunny</t>
  </si>
  <si>
    <t>Solární držák Sunny</t>
  </si>
  <si>
    <t>Uchwyt do paneli fotowoltaicznych Sunny</t>
  </si>
  <si>
    <t>Sunny napelemtartó</t>
  </si>
  <si>
    <t>solárny držiak Sunny</t>
  </si>
  <si>
    <t>Solarhouder Sunny</t>
  </si>
  <si>
    <t>Držalo za solarni panel Sunny</t>
  </si>
  <si>
    <t>solhållare Sunny</t>
  </si>
  <si>
    <t>Solcelleholder Sunny</t>
  </si>
  <si>
    <t>Holder for solcellepanel Sunny</t>
  </si>
  <si>
    <t>Solar držač Sunny</t>
  </si>
  <si>
    <t>Kehlenausbildung mit parallelen Doppelstehfalzbahnen</t>
  </si>
  <si>
    <t>valley construction with parallel double-lock standing seam strip</t>
  </si>
  <si>
    <t>pose d’une noue avec bacs parallèle à joints debout à double agrafe</t>
  </si>
  <si>
    <t>Raccordo del compluvio con pannelli conici a doppia aggraffatura</t>
  </si>
  <si>
    <t>Úžlabí z paralelní krytinových pásů</t>
  </si>
  <si>
    <t>Formowanie koszy równoległe na rąbek stojący</t>
  </si>
  <si>
    <t>Vápakialakítás párhuzamos állókorcos szalagokkal</t>
  </si>
  <si>
    <t>vytvorenie úžľabí pomocou paralelných pásov s dvojitými stojatými drážkami</t>
  </si>
  <si>
    <t>Zetwerk met parallelle panelen met dubbele sluiting</t>
  </si>
  <si>
    <t>Oblikovanje žlote z vzporednimi trakovi z dvojnim stoječim zgibom</t>
  </si>
  <si>
    <t>Dalformation med parallella dubbla stående sömspår</t>
  </si>
  <si>
    <t>Kiledesign med parallelle dobbeltstående falsbaner</t>
  </si>
  <si>
    <t>Vinkelrenneoppbygging med parallelle doble stående falslister</t>
  </si>
  <si>
    <t>Konstrukcija uvale s paralelnom podlogom s dvostrukim stojećim falcom</t>
  </si>
  <si>
    <t>Dachknick (Variante 1)</t>
  </si>
  <si>
    <t>roof break (variant 1)</t>
  </si>
  <si>
    <t>ligne de bris (variante 1)</t>
  </si>
  <si>
    <t>Cambio di pendenza della copertura (variante 1)</t>
  </si>
  <si>
    <t>STŘEŠNÍ ZLOM VAR 1</t>
  </si>
  <si>
    <t>Załamanie dachu (wariant 1)</t>
  </si>
  <si>
    <t>tetőhajlat (1. változat)</t>
  </si>
  <si>
    <t>Zalomenie strechy (variant 1)</t>
  </si>
  <si>
    <t>Dakbuiging (variant 1)</t>
  </si>
  <si>
    <t>Strešni pregib (različica 1)</t>
  </si>
  <si>
    <t>takbrytning (variant 1)</t>
  </si>
  <si>
    <t>Tagknæk (variant 1)</t>
  </si>
  <si>
    <t>Knekk i tak (variant 1)</t>
  </si>
  <si>
    <t>Pregib krova (varijanta 1)</t>
  </si>
  <si>
    <t>Dachknick (Variante 2)</t>
  </si>
  <si>
    <t>roof break (variant 2)</t>
  </si>
  <si>
    <t>ligne de bris (variante 2)</t>
  </si>
  <si>
    <t>Cambio di pendenza della copertura (variante 2)</t>
  </si>
  <si>
    <t>STŘEŠNÍ ZLOM VAR 2</t>
  </si>
  <si>
    <t>Załamanie dachu (wariant 2)</t>
  </si>
  <si>
    <t>tetőhajlat (2. változat)</t>
  </si>
  <si>
    <t>Zalomenie strechy (variant 2)</t>
  </si>
  <si>
    <t>Dakbuiging (variant 2)</t>
  </si>
  <si>
    <t>Strešni pregib (različica 2)</t>
  </si>
  <si>
    <t>takbrytning (variant 2)</t>
  </si>
  <si>
    <t>Tagknæk (variant 2)</t>
  </si>
  <si>
    <t>Knekk i tak (variant 2)</t>
  </si>
  <si>
    <t>Pregib krova (varijanta 2)</t>
  </si>
  <si>
    <t>Dachknick (Variante 3)</t>
  </si>
  <si>
    <t>roof break (variant 3)</t>
  </si>
  <si>
    <t>ligne de bris (variante 3)</t>
  </si>
  <si>
    <t>Cambio di pendenza della copertura (variante 3)</t>
  </si>
  <si>
    <t>STŘEŠNÍ ZLOM VAR 3</t>
  </si>
  <si>
    <t>Załamanie dachu (wariant 3)</t>
  </si>
  <si>
    <t>tetőhajlat (3. változat)</t>
  </si>
  <si>
    <t>Zalomenie strechy (variant 3)</t>
  </si>
  <si>
    <t>Dakbuiging (variant 3)</t>
  </si>
  <si>
    <t>Strešni pregib (različica 3)</t>
  </si>
  <si>
    <t>takbrytning (variant 3)</t>
  </si>
  <si>
    <t>Tagknæk (variant 3)</t>
  </si>
  <si>
    <t>Knekk i tak (variant 3)</t>
  </si>
  <si>
    <t>Pregib krova (varijanta 3)</t>
  </si>
  <si>
    <t>Dachknick (Variante 4)</t>
  </si>
  <si>
    <t>roof break (variant 4)</t>
  </si>
  <si>
    <t>ligne de bris (variante 4)</t>
  </si>
  <si>
    <t>Cambio di pendenza della copertura (variante 4)</t>
  </si>
  <si>
    <t>STŘEŠNÍ ZLOM VAR 4</t>
  </si>
  <si>
    <t>Załamanie dachu (wariant 4)</t>
  </si>
  <si>
    <t>tetőhajlat (4. változat)</t>
  </si>
  <si>
    <t>Zalomenie strechy (variant 4)</t>
  </si>
  <si>
    <t>Dakbuiging (variant 4)</t>
  </si>
  <si>
    <t>Strešni pregib (različica 4)</t>
  </si>
  <si>
    <t>takbrytning (variant 4)</t>
  </si>
  <si>
    <t>Tagknæk (variant 4)</t>
  </si>
  <si>
    <t>Knekk i tak (variant 4)</t>
  </si>
  <si>
    <t>Pregib krova (varijanta 4)</t>
  </si>
  <si>
    <t>Abtreppung (ca. 2–4 mm) bei einer Dachneigung von 3° bis 7°</t>
  </si>
  <si>
    <t>step work (approx. 2–4 mm) on a roof pitch of 3° to 7°</t>
  </si>
  <si>
    <t>décrochement (env. 2 à 4 mm) pour une pente de toit comprise entre 3° et 7°</t>
  </si>
  <si>
    <t>Sbalzo (circa 2–4 mm) con una pendenza del tetto da 3° a 7°</t>
  </si>
  <si>
    <t>snížení cca 2-4 mm u sklonu 3°-7°</t>
  </si>
  <si>
    <t>Stopniowanie (ok. 2–4 mm) przy nachyleniu dachu od 3° do 7°.</t>
  </si>
  <si>
    <t>lépcsőzetesség (kb. 2–4 mm) 3°–7° tetőhajlásszög esetén</t>
  </si>
  <si>
    <t>Zníženie (cca 2 – 4 mm) pri sklone strechy od 3° do 7°</t>
  </si>
  <si>
    <t>Afstap (ca. 2-4 mm) bij een dakbuiging van 3° tot 7°</t>
  </si>
  <si>
    <t>Stopničast zaključek (pribl. 2-4 mm) pri naklonu strehe od 3°do 7°</t>
  </si>
  <si>
    <t>Steg (ca 2–4 mm) vid en taklutning på 3° till 7°</t>
  </si>
  <si>
    <t>Trin (ca. 2-4 mm) med en taghældning på 3° til 7°</t>
  </si>
  <si>
    <t>Avtrapping (ca. 2–4 mm) ved en takvinkel på 3° til 7°</t>
  </si>
  <si>
    <t>Stepenasti prijelaz (cca. 2–4 mm) kod nagiba krova od 3° do 7°</t>
  </si>
  <si>
    <t>Dichtmittel (Falzgel)</t>
  </si>
  <si>
    <t>sealant (sealing gel)</t>
  </si>
  <si>
    <t>garniture d’étanchéité (gel d’étanchéité pour agrafe)</t>
  </si>
  <si>
    <t>Sigillante (gel per aggraffature)</t>
  </si>
  <si>
    <t>těsnicí pásek (Falzgel)</t>
  </si>
  <si>
    <t>Uszczelniacz (żel do rąbków)</t>
  </si>
  <si>
    <t>tömítőanyag (falczselé)</t>
  </si>
  <si>
    <t>prostriedok na utesnenie (drážkový gél)</t>
  </si>
  <si>
    <t>Afdichtingsmiddel (naadgel)</t>
  </si>
  <si>
    <t>Tesnilo (Falzgel)</t>
  </si>
  <si>
    <t>tätningsmedel (falsgel)</t>
  </si>
  <si>
    <t>Tætningsmiddel (falsgel)</t>
  </si>
  <si>
    <t>Tetningsmiddel (falsegel)</t>
  </si>
  <si>
    <t>Brtvilo (gel za falceve)</t>
  </si>
  <si>
    <t>Doppelstehfalz</t>
  </si>
  <si>
    <t>double-lock standing seam</t>
  </si>
  <si>
    <t>joint debout à double agrafe</t>
  </si>
  <si>
    <t>Doppia aggraffatura</t>
  </si>
  <si>
    <t>dvojitá stojatá drážka</t>
  </si>
  <si>
    <t>Stojący rąbek podwójny</t>
  </si>
  <si>
    <t>kettős állókorc</t>
  </si>
  <si>
    <t>Dubbele naad</t>
  </si>
  <si>
    <t>Dvojni stoječi zgib</t>
  </si>
  <si>
    <t>dubbel stående fals</t>
  </si>
  <si>
    <t>Dobbeltstående fals</t>
  </si>
  <si>
    <t>Stående dobbelfals</t>
  </si>
  <si>
    <t>Dvostruki stojeći falc</t>
  </si>
  <si>
    <t>Einlegerinne (z.B. Uginox)</t>
  </si>
  <si>
    <t>Canale d'inserimento (ad es. Uginox)</t>
  </si>
  <si>
    <t>Rynna wsuwana (np. Uginox)</t>
  </si>
  <si>
    <t>behelyezhető ereszcsatorna (pl. Uginox)</t>
  </si>
  <si>
    <t>vložený žľab (napr. Uginox)</t>
  </si>
  <si>
    <t>Invoeggoot (bijv. Uginox)</t>
  </si>
  <si>
    <t>Vstavitveni žleb (npr. Uginox)</t>
  </si>
  <si>
    <t>insättningsränna (t.ex. Uginox)</t>
  </si>
  <si>
    <t>Tagrende (f.eks. Uginox)</t>
  </si>
  <si>
    <t>Innleggsrenne (f.eks. Uginox)</t>
  </si>
  <si>
    <t>Unutarnji žlijeb (npr. Uginox)</t>
  </si>
  <si>
    <t xml:space="preserve">Abtreppung (ca. 2–4 mm) bei einer Dachneigung von 3° bis 7° </t>
  </si>
  <si>
    <t xml:space="preserve">step work (approx. 2–4 mm) on a roof pitch of 3° to 7° </t>
  </si>
  <si>
    <t xml:space="preserve">décrochement (env. 2 à 4 mm) pour une pente de toit comprise entre 3° et 7° </t>
  </si>
  <si>
    <t xml:space="preserve">Sbalzo (circa 2–4 mm) con una pendenza del tetto da 3° a 7° </t>
  </si>
  <si>
    <t>snížení cca 2-4 mm u sklonů do 7°</t>
  </si>
  <si>
    <t xml:space="preserve">Stopniowanie (ok. 2–4 mm) przy nachyleniu dachu od 3° do 7° </t>
  </si>
  <si>
    <t xml:space="preserve">lépcsőzetesség (kb. 2–4 mm) 3°–7° tetőhajlásszög esetén </t>
  </si>
  <si>
    <t xml:space="preserve">Zníženie (cca 2 – 4 mm) pri sklone strechy od 3° do 7° </t>
  </si>
  <si>
    <t xml:space="preserve">Afstap (ca. 2-4 mm) bij een dakbuiging van 3° tot 7° </t>
  </si>
  <si>
    <t xml:space="preserve">Stopničast zaključek (pribl. 2-4 mm) pri naklonu strehe od 3°do 7° </t>
  </si>
  <si>
    <t xml:space="preserve">Steg (ca 2–4 mm) vid en taklutning på 3° till 7° </t>
  </si>
  <si>
    <t xml:space="preserve">Trin (ca. 2-4 mm) med en taghældning på 3° til 7° </t>
  </si>
  <si>
    <t xml:space="preserve">Avtrapping (ca. 2–4 mm) ved en takvinkel på 3° til 7° </t>
  </si>
  <si>
    <t xml:space="preserve">Stepenasti prijelaz (cca. 2–4 mm) kod nagiba krova od 3° do 7° </t>
  </si>
  <si>
    <t>Dachneigung &gt; 7° (12 %)</t>
  </si>
  <si>
    <t>roof pitch &gt; 7° (12%)</t>
  </si>
  <si>
    <t>pente de toit &gt; 7° (12 %)</t>
  </si>
  <si>
    <t>Pendenza del tetto &gt; 7° (12%)</t>
  </si>
  <si>
    <t>Sklon střechy &gt; 7° (12 %)</t>
  </si>
  <si>
    <t>Nachylenie dachu &gt; 7° (12%)</t>
  </si>
  <si>
    <t>tetőhajlásszög &gt; 7° (12 %)</t>
  </si>
  <si>
    <t>Sklon strechy &gt; 7° (12 %)</t>
  </si>
  <si>
    <t>Dakbuiging &gt; 7° (12 %)</t>
  </si>
  <si>
    <t>Naklon strehe &gt; 7° (12 %)</t>
  </si>
  <si>
    <t>Taklutning &gt; 7° (12 %)</t>
  </si>
  <si>
    <t>Taghældning &gt; 7° (12 %)</t>
  </si>
  <si>
    <t>Takvinkel &gt;7° (12 %)</t>
  </si>
  <si>
    <t>Nagib krova &gt; 7° (12 %)</t>
  </si>
  <si>
    <t>Dachneigung ≥ 25° (47 %)</t>
  </si>
  <si>
    <t>roof pitch ≥ 25° (47%)</t>
  </si>
  <si>
    <t>pente de toit ≥ 25° (47 %)</t>
  </si>
  <si>
    <t>Pendenza del tetto &gt; 25° (47%)</t>
  </si>
  <si>
    <t>Sklon střechy ≥ 25° (47 %)</t>
  </si>
  <si>
    <t>Nachylenie dachu ≥ 25° (47%)</t>
  </si>
  <si>
    <t>tetőhajlásszög ≥ 25° (47 %)</t>
  </si>
  <si>
    <t>Sklon strechy ≥ 25° (47 %)</t>
  </si>
  <si>
    <t>Dakbuiging ≥ 25° (47 %)</t>
  </si>
  <si>
    <t>Naklon strehe ≥ 25° (47 %)</t>
  </si>
  <si>
    <t>Taklutning ≥ 25° (47 %)</t>
  </si>
  <si>
    <t>Taghældning ≥ 25° (47 %)</t>
  </si>
  <si>
    <t>Takvinkel &gt;25° (47 %)</t>
  </si>
  <si>
    <t>Nagib krova ≥ 25° (47 %)</t>
  </si>
  <si>
    <t>Dachneigung ≥ 3° (5,2 %)</t>
  </si>
  <si>
    <t>roof pitch ≥ 3° (5.2%)</t>
  </si>
  <si>
    <t>pente de toit ≥ 3° (5,2 %)</t>
  </si>
  <si>
    <t>Pendenza del tetto &gt; 3° (5,2%)</t>
  </si>
  <si>
    <t>Sklon střechy ≥ 3° (5,2 %)</t>
  </si>
  <si>
    <t>Nachylenie dachu ≥ 3° (5,2%)</t>
  </si>
  <si>
    <t>tetőhajlásszög ≥ 3° (5,2 %)</t>
  </si>
  <si>
    <t>Sklon strechy ≥ 3° (5,2 %)</t>
  </si>
  <si>
    <t>Dakbuiging ≥ 3° (5,2 %)</t>
  </si>
  <si>
    <t>Naklon strehe ≥ 3° (5,2 %)</t>
  </si>
  <si>
    <t>Taklutning ≥ 3° (5,2 %)</t>
  </si>
  <si>
    <t>Taghældning ≥ 3° (5,2 %)</t>
  </si>
  <si>
    <t>Takvinkel &gt;3° (5,2 %)</t>
  </si>
  <si>
    <t>Nagib krova ≥ 3° (5,2 %)</t>
  </si>
  <si>
    <t>Ausführung ab einer Dachneigung von 7°</t>
  </si>
  <si>
    <t>design from a roof pitch of 7°</t>
  </si>
  <si>
    <t>mise en œuvre à partir d’une pente de toit de 7°</t>
  </si>
  <si>
    <t>Realizzazione a partire da una pendenza del tetto di 7°</t>
  </si>
  <si>
    <t>Provedení od sklonu střechy 7°</t>
  </si>
  <si>
    <t>Wykonanie dachu o nachyleniu od 7°</t>
  </si>
  <si>
    <t>kivitelezés 7°-os tetőhajlásszögtől</t>
  </si>
  <si>
    <t>Vyhotovenie od sklonu strechy 7°</t>
  </si>
  <si>
    <t>Uitvoering op een dakbuiging van 7°</t>
  </si>
  <si>
    <t>Izvedba pri naklonu strehe 7°</t>
  </si>
  <si>
    <t>Utförande från taklutning 7°</t>
  </si>
  <si>
    <t>Udførelse fra en taghældning fra 7°</t>
  </si>
  <si>
    <t>Utførelse fra en takvinkel på 7°</t>
  </si>
  <si>
    <t>Izvedba od nagiba krova od 7°</t>
  </si>
  <si>
    <t>Dachneigung &gt; 7° (&gt; 13 %): ohne Dichtmittel möglich</t>
  </si>
  <si>
    <t>roof pitch &gt; 7° (&gt; 13%): possible without sealant</t>
  </si>
  <si>
    <t>pente de toit &gt; 7° (&gt; 13 %) : réalisable sans garniture d’étanchéité</t>
  </si>
  <si>
    <t>Pendenza del tetto &gt; 7° (13%): possibile senza sigillante</t>
  </si>
  <si>
    <t>Sklon střechy &gt; 7° (&gt; 13 %): bez možnosti těsnicího prostředku</t>
  </si>
  <si>
    <t>Nachylenie dachu &gt; 7° (&gt; 13 %): możliwe bez uszczelnienia</t>
  </si>
  <si>
    <t>tetőhajlásszög &gt; 7° (&gt; 13 %): tömítőanyag nélkül lehetséges</t>
  </si>
  <si>
    <t>Sklon strechy &gt; 7° (&gt; 13 %): možné bez prostriedku na utesnenie</t>
  </si>
  <si>
    <t>Dakbuiging &gt; 7° (&gt; 13 %): zonder afdichtingsmiddel mogelijk</t>
  </si>
  <si>
    <t>Naklon strehe &gt; 7° (&gt; 13 °): mogoče brez tesnila</t>
  </si>
  <si>
    <t>Taklutning &gt; 7° (&gt; 13 %): möjligt utan tätningsmedel</t>
  </si>
  <si>
    <t>Taghældning &gt; 7° (&gt; 13 %): mulig uden tætningsmiddel</t>
  </si>
  <si>
    <t>Takvinkel &gt;7° (&gt;13 %): kan utføres uten tetningsmiddel</t>
  </si>
  <si>
    <t>Nagib krova &gt; 7° (&gt; 13 %): moguće bez brtvila</t>
  </si>
  <si>
    <t>Dachneigung von 3° bis 7° (5–13 %): mit Dichtmittel</t>
  </si>
  <si>
    <t>roof pitch from 3° to 7° (5–13%): with sealant</t>
  </si>
  <si>
    <t>pente de toit comprise entre 3° et 7° (5-13 %) : avec garniture d’étanchéité</t>
  </si>
  <si>
    <t>Pendenza del tetto da 3° fino a 7° (5-13%): con sigillante</t>
  </si>
  <si>
    <t>Sklon střechy od 3° do 7° (5–13 %): s těsnicím prostředkem</t>
  </si>
  <si>
    <t>Nachylenie dachu od 3° do 7° (5–13 %): z uszczelnieniem</t>
  </si>
  <si>
    <t>tetőhajlásszög 3°–7° (5–13 %): tömítőanyaggal</t>
  </si>
  <si>
    <t>Sklon strechy od 3° do 7° (5 – 13 %): s prostriedkom na utesnenie</t>
  </si>
  <si>
    <t>Dakbuiging van 3° tot 7° (5-13 %): met afdichtingsmiddel</t>
  </si>
  <si>
    <t>Naklon strehe od 3°do 7° (5-13 °): s tesnilom</t>
  </si>
  <si>
    <t>Taklutning från 3° till 7° (5–13 %): med tätningsmedel</t>
  </si>
  <si>
    <t>Taghældning fra 3° til 7° (5–13 %): med tætningsmiddel</t>
  </si>
  <si>
    <t>Takvinkel fra 3° til 7° (5–13 %): med tetningsmiddel</t>
  </si>
  <si>
    <t>Nagib krova od 3° do 7° (5–13 %): s brtvilom</t>
  </si>
  <si>
    <t>Dachneigung &gt; 10° (18 %)</t>
  </si>
  <si>
    <t>roof pitch &gt; 10° (18%)</t>
  </si>
  <si>
    <t>pente de toit &gt; 10° (18 %)</t>
  </si>
  <si>
    <t>Pendenza del tetto &gt; 10° (18%)</t>
  </si>
  <si>
    <t>Sklon střechy &gt; 10° (18 %)</t>
  </si>
  <si>
    <t>Nachylenie dachu &gt; 10° (18%)</t>
  </si>
  <si>
    <t>tetőhajlásszög &gt; 10° (18 %)</t>
  </si>
  <si>
    <t>Sklon strechy &gt; 10° (18 %)</t>
  </si>
  <si>
    <t>Dakbuiging &gt; 10° (18 %)</t>
  </si>
  <si>
    <t>Naklon strehe &gt; 10° (18 %)</t>
  </si>
  <si>
    <t>Taklutning &gt; 10° (18 %)</t>
  </si>
  <si>
    <t>Taghældning &gt; 10° (18 %)</t>
  </si>
  <si>
    <t>Takvinkel &gt;10° (18 %)</t>
  </si>
  <si>
    <t>Nagib krova &gt; 10° (18 %)</t>
  </si>
  <si>
    <t>Dachneigung &gt; 5° (9 %)</t>
  </si>
  <si>
    <t>roof pitch &gt; 5° (9%)</t>
  </si>
  <si>
    <t>pente de toit &gt; 5° (9 %)</t>
  </si>
  <si>
    <t>Pendenza del tetto &gt; 5° (9%)</t>
  </si>
  <si>
    <t>Sklon střechy &gt; 5° (9 %)</t>
  </si>
  <si>
    <t>Nachylenie dachu &gt; 5° (9%)</t>
  </si>
  <si>
    <t>tetőhajlásszög &gt; 5° (9 %)</t>
  </si>
  <si>
    <t>Sklon strechy &gt; 5° (9 %)</t>
  </si>
  <si>
    <t>Dakbuiging &gt; 5° (9 %)</t>
  </si>
  <si>
    <t>Naklon strehe &gt; 5° (9 %)</t>
  </si>
  <si>
    <t>Taklutning &gt; 5° (9 %)</t>
  </si>
  <si>
    <t>Taghældning &gt; 5° (9 %)</t>
  </si>
  <si>
    <t>Takvinkel &gt;5° (9 %)</t>
  </si>
  <si>
    <t>Nagib krova &gt; 5° (9 %)</t>
  </si>
  <si>
    <t>einfacher Querfalz mit Zusatzfalz</t>
  </si>
  <si>
    <t>simple transverse seam with additional joint</t>
  </si>
  <si>
    <t>agrafure transversale simple avec joint supplémentaire</t>
  </si>
  <si>
    <t>Aggraffatura inclinata semplice con aggraffatura supplementare</t>
  </si>
  <si>
    <t>jednoduchá příčná drážka s přídavnou drážkou</t>
  </si>
  <si>
    <t>Łączenie na pojedynczą zakładkę z dodatkową zakładką</t>
  </si>
  <si>
    <t>egyszerű keresztkorc kiegészítő korccal</t>
  </si>
  <si>
    <t>jednoduchá priečna drážka s prídavnou drážkou</t>
  </si>
  <si>
    <t>enkele kruisnaad met extra naad</t>
  </si>
  <si>
    <t>enostaven prečni kleparski zgib z dodatnim zgibom</t>
  </si>
  <si>
    <t>enkel tvärfals med extra fals</t>
  </si>
  <si>
    <t>enkelt tværfals med ekstrafals</t>
  </si>
  <si>
    <t>Enkel tverrfals med tilleggsfals</t>
  </si>
  <si>
    <t>jednostavan poprečni falc s dodatnim falcom</t>
  </si>
  <si>
    <t>einfalzen und zusätzlich abdichten</t>
  </si>
  <si>
    <t>fold in and seal</t>
  </si>
  <si>
    <t>effectuer le sertissage, puis l’étanchéification</t>
  </si>
  <si>
    <t>aggraffare e in più sigillare</t>
  </si>
  <si>
    <t>zadrážkovat a dodatečně utěsnit</t>
  </si>
  <si>
    <t>złożyć i dodatkowo uszczelnić</t>
  </si>
  <si>
    <t>befalcolás és kiegészítő tömítés</t>
  </si>
  <si>
    <t>napojiť drážkovaním a navyše utesniť</t>
  </si>
  <si>
    <t>naar binnen vouwen en dan afdichten</t>
  </si>
  <si>
    <t>zgibati in dodatno zatesniti</t>
  </si>
  <si>
    <t>falsa in och täta ytterligare</t>
  </si>
  <si>
    <t>indfalsning og yderligere tætning</t>
  </si>
  <si>
    <t>Innfalsing og ekstra tetting</t>
  </si>
  <si>
    <t>falcati i dodatno zabrtviti</t>
  </si>
  <si>
    <t>evtl. Dichtmittel (Falzgel)</t>
  </si>
  <si>
    <t>possibly sealant (sealing gel)</t>
  </si>
  <si>
    <t>facultatif : garniture d’étanchéité (gel d’étanchéité pour agrafe)</t>
  </si>
  <si>
    <t>eventualmente sigillante (gel per aggraffature)</t>
  </si>
  <si>
    <t>příp. těsnicí prostředek (Falzgel)</t>
  </si>
  <si>
    <t>ew. uszczelnienie (żel do rąbków)</t>
  </si>
  <si>
    <t>esetleg tömítőanyag (falczselé)</t>
  </si>
  <si>
    <t>príp. prostriedok na utesnenie (drážkový gél)</t>
  </si>
  <si>
    <t>evtl. afdichtingsmiddel (naadgel)</t>
  </si>
  <si>
    <t>po potrebi Tesnilo (Falzgel)</t>
  </si>
  <si>
    <t>eventuellt tätningsmedel (tätningsgel)</t>
  </si>
  <si>
    <t>evt. tætningsmiddel (falsgel)</t>
  </si>
  <si>
    <t>Ev. tetningsmiddel (falsegel)</t>
  </si>
  <si>
    <t>možda brtvilo (gel za falceve)</t>
  </si>
  <si>
    <t>First</t>
  </si>
  <si>
    <t>ridge</t>
  </si>
  <si>
    <t>faîte</t>
  </si>
  <si>
    <t>Colmo</t>
  </si>
  <si>
    <t>Hřeben</t>
  </si>
  <si>
    <t>Kalenica</t>
  </si>
  <si>
    <t>gerinc</t>
  </si>
  <si>
    <t>hrebeň</t>
  </si>
  <si>
    <t>Nok</t>
  </si>
  <si>
    <t>Sleme</t>
  </si>
  <si>
    <t>nock</t>
  </si>
  <si>
    <t>Rygning</t>
  </si>
  <si>
    <t>Møne</t>
  </si>
  <si>
    <t>Sljeme</t>
  </si>
  <si>
    <t>Firstblende</t>
  </si>
  <si>
    <t>hip cover plate</t>
  </si>
  <si>
    <t>cache de faîtière</t>
  </si>
  <si>
    <t>Scossalina di colmo</t>
  </si>
  <si>
    <t>Hřebenový krycí pás</t>
  </si>
  <si>
    <t>Obróbka blacharska kalenicy</t>
  </si>
  <si>
    <t>gerincfedő lemez</t>
  </si>
  <si>
    <t>ukončenie hrebeňa</t>
  </si>
  <si>
    <t>Nokgootstuk</t>
  </si>
  <si>
    <t>Zaslonka slemena</t>
  </si>
  <si>
    <t>nockpanel</t>
  </si>
  <si>
    <t>Rygningsafdækning</t>
  </si>
  <si>
    <t>Mønepanel</t>
  </si>
  <si>
    <t>Sljemena ploča</t>
  </si>
  <si>
    <t>Giebelbrett</t>
  </si>
  <si>
    <t>Bordo del frontone</t>
  </si>
  <si>
    <t>Zavětrovací deska</t>
  </si>
  <si>
    <t>Deska szczytowa</t>
  </si>
  <si>
    <t>oromfallemez</t>
  </si>
  <si>
    <t>štítová doska</t>
  </si>
  <si>
    <t>Gevelplaat</t>
  </si>
  <si>
    <t>Deska za zatrep</t>
  </si>
  <si>
    <t>gavelbräda</t>
  </si>
  <si>
    <t>Gavlbræt</t>
  </si>
  <si>
    <t>Gavlbrett</t>
  </si>
  <si>
    <t>Zabatna ploča</t>
  </si>
  <si>
    <t>Hinterlüftung</t>
  </si>
  <si>
    <t>ventilation gap</t>
  </si>
  <si>
    <t>lame d’air ventilée</t>
  </si>
  <si>
    <t>Retroventilazione</t>
  </si>
  <si>
    <t>Odvětrávání</t>
  </si>
  <si>
    <t>Wentylowana pustka powietrzna</t>
  </si>
  <si>
    <t>átszellőztetés</t>
  </si>
  <si>
    <t>prevetrávaná medzera</t>
  </si>
  <si>
    <t>Ventilatie achterkant</t>
  </si>
  <si>
    <t>Prezračevanje zadaj</t>
  </si>
  <si>
    <t>ventilation bak</t>
  </si>
  <si>
    <t>Baklufting</t>
  </si>
  <si>
    <t>Stražnja ventilacija</t>
  </si>
  <si>
    <t>Laut den Fachregeln für Bauspenglerarbeiten (Teil 1, 2014) sind Hochzüge im Regelfall 150 mm (gemessen im rechten Winkel) hochzuziehen.</t>
  </si>
  <si>
    <t>According to the specialist guidelines for sheet metal work (Part 1, 2014), upstands should generally be raised by 150 mm (measured at right angles).</t>
  </si>
  <si>
    <r>
      <t>Conformément aux règles professionnelles pour les travaux de ferblanterie (1</t>
    </r>
    <r>
      <rPr>
        <vertAlign val="superscript"/>
        <sz val="11"/>
        <color rgb="FF000000"/>
        <rFont val="Arial"/>
        <family val="2"/>
      </rPr>
      <t>re</t>
    </r>
    <r>
      <rPr>
        <sz val="11"/>
        <color rgb="FF000000"/>
        <rFont val="Arial"/>
        <family val="2"/>
      </rPr>
      <t> partie, 2014), les relevés doivent en général faire 150 mm de haut (mesurés à angle droit).</t>
    </r>
  </si>
  <si>
    <t>Secondo le Linee guida per i lavori di lattoneria (Parte 1, 2014), le estrusioni dovrebbero essere normalmente sollevate di 150 mm (misurate ad angolo retto).</t>
  </si>
  <si>
    <t>Podle odborných pravidel pro klempířské práce (část 1, 2014) se horní tahy musí zpravidla vytáhnout o 150 mm nahoru (měřeno v pravém úhlu).</t>
  </si>
  <si>
    <t>Zgodnie z dokumentem Fachregeln für Bauspenglerarbeiten (Specjalistyczne zasady wykonywania prac blacharskich w budynkach) (część 1, 2014) wysokości zabezpieczeń powinny być z reguły podniesione o 150 mm (mierzone pod kątem prostym).</t>
  </si>
  <si>
    <t>A bádogos munkák szakmai szabályai (1. rész, 2014) szerint a tetőszegélyeket általában 150 mm-rel kell megemelni (derékszögben mérve).</t>
  </si>
  <si>
    <t>Podľa odborných predpisov pre stavebné klampiarske práce (časť 1, 2014) treba zvislé napojenia vytiahnuť nahor spravidla 150 mm (merané v pravom uhle).</t>
  </si>
  <si>
    <t>Volgens de technische regels voor plaatbewerking (Deel 1, 2014) moeten stootborden in het algemeen 150 mm worden verhoogd (haaks gemeten).</t>
  </si>
  <si>
    <t>V skladu s tehničnimi predpisi za gradbena kleparska dela (1. del, 2014), je treba dvige praviloma dvigniti za 150 mm (merjeno pod pravim kotom).</t>
  </si>
  <si>
    <t>Enligt de tekniska reglerna för plåtarbeten (del 1, 2014) ska stigare i allmänhet höjas 150 mm (mätt i rät vinkel).</t>
  </si>
  <si>
    <t>Ifølge de tekniske regler for pladearbejde (del 1, 2014) skal stigrør generelt hæves 150 mm (målt i ret vinkel).</t>
  </si>
  <si>
    <t>I henhold til tekniske regler for blikkenslagerarbeid (del 1, 2014) skal stigerør generelt heves 150 mm (målt i rette vinkler).</t>
  </si>
  <si>
    <t>Prema tehničkim pravilima za obradu lima (1. dio, 2014.), uspravni elementi bi u pravilu trebali biti podignuti 150 mm (mjereno pod pravim kutom).</t>
  </si>
  <si>
    <t>In Abhängigkeit des Dachaufbaues (Unterdach) und der Dachneigung (unter Berücksichtigung der örtlichen klimatischen Verhältnisse) ist eine Reduktion der Hochzugshöhe möglich (Sonderkonstruktion).</t>
  </si>
  <si>
    <t>Depending on the roof structure (underlay) and roof pitch (taking the local climatic conditions into account), it is possible to reduce the height of the upstand (bespoke construction).</t>
  </si>
  <si>
    <t>Suivant la structure de la toiture (écran de sous-toiture) et la pente du toit (en tenant compte des conditions climatiques locales), il est possible, dans certaines conditions, de réduire la hauteur des relevés (construction spéciale).</t>
  </si>
  <si>
    <t>A seconda della struttura del tetto (sottotetto) e della pendenza del tetto (tenendo conto delle condizioni climatiche locali), è possibile una riduzione dell'altezza di sollevamento (costruzione speciale).</t>
  </si>
  <si>
    <t>Podle skladby střechy (izolace) a jejím sklonu (s ohledem na místní klimatické podmínky) lze horní tahy snížit (speciální konstrukce).</t>
  </si>
  <si>
    <t>W zależności od konstrukcji dachu (pokrycie więźby dachowej) i kąta nachylenia dachu (z uwzględnieniem lokalnych warunków klimatycznych) możliwe jest zmniejszenie wysokości zabezpieczeń (konstrukcja specjalna).</t>
  </si>
  <si>
    <t>A tető rétegrendtől (alsó tetősík) és a tetőhajlásszögtől függően (a helyi éghajlati viszonyok figyelembevételével) lehetőség van a szegélymagasság csökkentésére (speciális kivitelezés).</t>
  </si>
  <si>
    <t>V závislosti od skladby strechy (podstrešie) a sklonu strechy (pri zohľadnení miestnych klimatických pomerov) je možné zníženie výšky zvislého napojenia (špeciálna konštrukcia).</t>
  </si>
  <si>
    <t>Afhankelijk van de dakstructuur (onderdak) en de dakhelling (rekening houdend met de plaatselijke klimatologische omstandigheden) is een vermindering van de hoogte van het dak mogelijk (speciale constructie).</t>
  </si>
  <si>
    <t>Glede na strešno konstrukcijo (podstreho) in naklon strehe (ob upoštevanju lokalnih klimatskih razmer) je možno znižanje višine dviga (posebna konstrukcija).</t>
  </si>
  <si>
    <t>Beroende på takkonstruktionen (undertaket) och taklutningen (med hänsyn till de lokala klimatförhållandena) är en minskning av uppdragningshöjden möjlig (specialkonstruktion).</t>
  </si>
  <si>
    <t>Afhængig af tagkonstruktionen (undertaget) og taghældningen (under hensyntagen til de lokale klimaforhold) er en reduktion af den hævede højde mulig (specialkonstruktion).</t>
  </si>
  <si>
    <t>Avhengig av takkonstruksjonen (undertaket) og takhellingen (basert på de lokale klimaforholdene), er en reduksjon i stighøyden mulig (spesialkonstruksjon).</t>
  </si>
  <si>
    <t>Ovisno o krovnoj konstrukciji (sekundarni krov) i nagibu krova (uzimajući u obzir lokalne klimatske uvjete), moguće je smanjiti povišeni element (posebna konstrukcija).</t>
  </si>
  <si>
    <t>Bei der Anordnung von firstseitigen Abluftöffnungen bei einschaligen Dachaufbauten kann ein Eindringen von Flugschnee nicht gänzlich ausgeschlossen werden.</t>
  </si>
  <si>
    <t>When positioning air inlets on the ridge side of single-skin roof structures, penetration by drifting snow cannot be completely ruled out.</t>
  </si>
  <si>
    <t>Pour les toitures à simple peau, une pénétration de la neige volante au niveau des entrées et sorties d’air ne peut être complètement exclue.</t>
  </si>
  <si>
    <t>Quando si sistemano le aperture per l'aerazione sul lato del colmo delle strutture del tetto a strato singolo, non si può escludere completamente la penetrazione di neve spinta dal vento.</t>
  </si>
  <si>
    <t>Jestliže jsou u jednoplášťové střešní skladby na straně hřebenu odvětrávací otvory, pak nelze zcela vyloučit nafoukání sněhu pod střechu.</t>
  </si>
  <si>
    <t>W przypadku umieszczenia otworów wywiewnych po stronie kalenicy w jednowarstwowych konstrukcjach dachowych nie można całkowicie wykluczyć przedostawania się naniesionego śniegu.</t>
  </si>
  <si>
    <t>Az egyhéjú tető rétegrendek esetében a gerincoldali szellőzőnyílások kialakításakor a hó behatolása nem zárható ki teljesen.</t>
  </si>
  <si>
    <t>Pri umiestnení odvetrávacích otvorov na strane hrebeňa pri jednoplášťových skladbách striech nie je možné celkom vylúčiť prienik náletového snehu.</t>
  </si>
  <si>
    <t>Bij de plaatsing van luchtafvoeropeningen aan de nokzijde van enkelwandige dakmontages kan het binnendringen van stuifsneeuw niet volledig worden uitgesloten.</t>
  </si>
  <si>
    <t>V primeru razporeditve odprtin za odvod zraka na slemenski strani v strešnih konstrukcijah z enojnim opažem ni mogoče popolnoma izključiti prodiranja prašnega snega.</t>
  </si>
  <si>
    <t>Vid arrangemang av frånluftsöppningar på nocksidan i takkonstruktioner med enkelt skal kan inträngning av drivsnö inte helt uteslutas.</t>
  </si>
  <si>
    <t>Ved placering af luftåbninger på rygningssiden i enkeltskallede tagkonstruktioner kan indtrængning af fygesne ikke helt udelukkes.</t>
  </si>
  <si>
    <t>Ved oppsett av lufteåpninger på mønesiden i ettlags takkonstruksjoner kan en mulig inntrengning av drivsnø ikke helt utelukkes.</t>
  </si>
  <si>
    <t>Prilikom postavljanja otvora za odzračivanje na strani sljemena kod jednoslojnih krovnih konstrukcija ne može se u potpunosti isključiti prodor nanesenog snijega.</t>
  </si>
  <si>
    <t>Schalung und Trennlage sind entsprechend dem Lüftungsquerschnitt auszuschneiden (Durchmesser: ca. 10 cm).</t>
  </si>
  <si>
    <t>the air intake section must be taken into account when cutting out the sheathing and the separating layer (diameter: approx. 10 cm).</t>
  </si>
  <si>
    <t>Bednění a separační vrstvu je nutno odpovídajícím způsobem vyříznout (průměr cca 10 cm).</t>
  </si>
  <si>
    <t>Oplatu i razdjelni sloj potrebno je izrezati prema slobodnom presjeku (promjer: cca. 10 cm).</t>
  </si>
  <si>
    <t>Die Dacheindeckung ist im Randbereich der Ausschnitte umlaufend mit einer 1 cm hohen Aufschweifung zu versehen.</t>
  </si>
  <si>
    <t>Na krytině v místě prostřihu vytvořte zvednutí 1 cm.</t>
  </si>
  <si>
    <t>Wokół krawędzi wycięć na pokryciu dachowym należy wykonać podgięcie o wysokości 1 cm.</t>
  </si>
  <si>
    <t>Rubovi izreza na krovnom pokrovu moraju biti okruženi povišenom krivuljom visine 1 cm.</t>
  </si>
  <si>
    <t>Kantholz</t>
  </si>
  <si>
    <t>square timber</t>
  </si>
  <si>
    <t>pièce de bois équarri</t>
  </si>
  <si>
    <t>Legno squadrato</t>
  </si>
  <si>
    <t>Dřevěný hranol</t>
  </si>
  <si>
    <t>Kantówka</t>
  </si>
  <si>
    <t>négyszögletes fa</t>
  </si>
  <si>
    <t>hranol</t>
  </si>
  <si>
    <t>Vierkant hout</t>
  </si>
  <si>
    <t>Gradbeni les</t>
  </si>
  <si>
    <t>fyrkantsvirke</t>
  </si>
  <si>
    <t>Kanttræ</t>
  </si>
  <si>
    <t>Kanttrevirke</t>
  </si>
  <si>
    <t>Kvadratno drvo</t>
  </si>
  <si>
    <t>Laufsteg</t>
  </si>
  <si>
    <t>walkway</t>
  </si>
  <si>
    <t>strešná lávka</t>
  </si>
  <si>
    <t>Loopbrug</t>
  </si>
  <si>
    <t>Brv</t>
  </si>
  <si>
    <t>gångbro</t>
  </si>
  <si>
    <t>Løbegang</t>
  </si>
  <si>
    <t>Plattform</t>
  </si>
  <si>
    <t>Stuba</t>
  </si>
  <si>
    <t>Leistendeckung</t>
  </si>
  <si>
    <t>cap covering</t>
  </si>
  <si>
    <t>couvre-joint de tasseau</t>
  </si>
  <si>
    <t>Copertura delle strisce</t>
  </si>
  <si>
    <t>Lištový spoj krytiny</t>
  </si>
  <si>
    <t>Pokrycie na listwach</t>
  </si>
  <si>
    <t>szegélyburkolat</t>
  </si>
  <si>
    <t>lištový krycí profil</t>
  </si>
  <si>
    <t>Balkdekking</t>
  </si>
  <si>
    <t>Letveni sistem</t>
  </si>
  <si>
    <t>listtäckning</t>
  </si>
  <si>
    <t>Listeafdækning</t>
  </si>
  <si>
    <t>Lektedekke</t>
  </si>
  <si>
    <t>Pokrov lajsne</t>
  </si>
  <si>
    <t>Notüberlauf</t>
  </si>
  <si>
    <t>emergency overflow</t>
  </si>
  <si>
    <t>trop-plein</t>
  </si>
  <si>
    <t>Trabocco di emergenza</t>
  </si>
  <si>
    <t>Nouzový přetok</t>
  </si>
  <si>
    <t>Przelew awaryjny</t>
  </si>
  <si>
    <t>vészhelyzeti túlfolyó</t>
  </si>
  <si>
    <t>núdzový prepad</t>
  </si>
  <si>
    <t>Noodoverloop</t>
  </si>
  <si>
    <t>Zasilni preliv</t>
  </si>
  <si>
    <t>överfyllnadsskydd</t>
  </si>
  <si>
    <t>Nødoverløb</t>
  </si>
  <si>
    <t>Nødoverløp</t>
  </si>
  <si>
    <t>Otvor za istjecanje u nuždi</t>
  </si>
  <si>
    <t>Ohne Unterdach und in schneereichen Gebieten: Dachneigung über 35° (70 %)</t>
  </si>
  <si>
    <t>Without underlay and in snowy areas: roof pitch over 35° (70%)</t>
  </si>
  <si>
    <t>Sans écran de sous-toiture et dans les régions à fort enneigement : pente du toit de plus de 35° (soit 70 %).</t>
  </si>
  <si>
    <t>Senza sottotetto e in zone nevose: Pendenza del tetto superiore a 35° (70%)</t>
  </si>
  <si>
    <t>Bez izolace a v oblastech s bohatou sněhovou nadílkou: Sklon střechy přes 35° (70 %)</t>
  </si>
  <si>
    <t>Bez pokrycia więźby dachowej i na terenach, gdzie występują opady śniegu: Nachylenie dachu powyżej 35° (70%)</t>
  </si>
  <si>
    <t>Alsó tetősík nélkül és havas területeken: 35° feletti tetőhajlásszög (70 %)</t>
  </si>
  <si>
    <t>Bez podstrešia a v oblastiach bohatých na sneh: sklon strechy viac ako 35° (70 %)</t>
  </si>
  <si>
    <t>Zonder onderdak en in besneeuwde gebieden: Dakhelling boven 35° (70 %)</t>
  </si>
  <si>
    <t>Brez podstrehe in na zasneženih območjih: Naklon strehe 35°(70 %)</t>
  </si>
  <si>
    <t>Utan undertak och i snörika områden: Taklutning över 35° (70 %)</t>
  </si>
  <si>
    <t>Uden undertag og i snerige områder: Taghældning over 35° (70 %)</t>
  </si>
  <si>
    <t>Uten undertak og i snørike områder: Takvinkel over 35° (70 %)</t>
  </si>
  <si>
    <t>Bez sekundarnog krova i u snježnim područjima: Nagib krova preko 35° (70 %)</t>
  </si>
  <si>
    <t>Schablone zum Ausschneiden der Laschen verwenden; siehe „Montagehinweis Solarluke“.</t>
  </si>
  <si>
    <t>Use the template to cut out the tabs; see “Solar roof conduit installation instructions”.</t>
  </si>
  <si>
    <t>Utiliser des gabarits pour la découpe de la patte de fixation ; voir « Notice de pose de la chatière pour panneaux solaires ».</t>
  </si>
  <si>
    <t>Usare il modello per ritagliare le linguette; vedere "Istruzioni per l'installazione della bocchetta Solar".</t>
  </si>
  <si>
    <t>Pro vyříznutí lamel použijte šablony, viz „Montážní pokyn pro střešní průchodku pro fotovoltaické zařízení“.</t>
  </si>
  <si>
    <t>Za pomocą szablonu wyciąć wypustki; patrz „Instrukcja montażu przepustu kablowego przewodów instalacji fotowoltaicznej”.</t>
  </si>
  <si>
    <t>sablon használata a fülek kivágásához; lásd „a Solar kábelvezető elem szerelési útmutatója".</t>
  </si>
  <si>
    <t>Použiť šablónu na vyrezanie príložiek; pozri „Pokyn na montáž prestupového prvku solárnych vedení“.</t>
  </si>
  <si>
    <t>Gebruik het sjabloon om de lipjes uit te snijden; zie "Installatie-instructies voor solarluik".</t>
  </si>
  <si>
    <t>Uporabite šablono za izrezovanje zavihkov; glejte "Navodila za namestitev sončne line".</t>
  </si>
  <si>
    <t>Använd mallen för att klippa ut flikarna; se "Montageanvisningar för solluckan".</t>
  </si>
  <si>
    <t>Brug skabelonen til at skære fanerne ud; se "Montagevejledning til Solarluke".</t>
  </si>
  <si>
    <t>Bruk mal til utskjæring av flikene, se «Monteringsinstruks for solcelleluke».</t>
  </si>
  <si>
    <t>Koristite predložak za izrezivanje vezica; pogledajte „Upute za instalaciju solar uvodnice”.</t>
  </si>
  <si>
    <t>Schnitt B-B</t>
  </si>
  <si>
    <t>Cut B-B</t>
  </si>
  <si>
    <t>section B-B</t>
  </si>
  <si>
    <t>Sezione B-B</t>
  </si>
  <si>
    <t>Řez B–B</t>
  </si>
  <si>
    <t>Przekrój B-B</t>
  </si>
  <si>
    <t>B-B metszet</t>
  </si>
  <si>
    <t>Rez B-B</t>
  </si>
  <si>
    <t>Sectie B-B</t>
  </si>
  <si>
    <t>Sektion B–B</t>
  </si>
  <si>
    <t>Snit B-B</t>
  </si>
  <si>
    <t>Snitt B-B</t>
  </si>
  <si>
    <t>Presjek B-B</t>
  </si>
  <si>
    <t>Traufenausbildung bei Saumrinne (mit Hinterlüftung) – Variante 1</t>
  </si>
  <si>
    <t>eaves construction with on-roof gutter (with ventilation gap) — variants 1</t>
  </si>
  <si>
    <t>réalisation d’un égout pour gouttière havraise (avec lame d’air ventilée) — variante 1</t>
  </si>
  <si>
    <t>Raccordo alla gronda per grondaia cornicione (con retroventilazione) - Variante 1</t>
  </si>
  <si>
    <t>Detail okapní hrany s nástřešním žlabem s odvětráním VAR 1</t>
  </si>
  <si>
    <t>Konstrukcja okapu przy rynnie leżącej (z wentylowaną pustką powietrzną) – wariant 1</t>
  </si>
  <si>
    <t>ereszkialakítás fekvő eresz esetén (átszellőztetéssel) – 1. változat</t>
  </si>
  <si>
    <t>vytvorenie odkvapu pri nástrešnom žľabe (s prevetrávanou medzerou) – variant 1</t>
  </si>
  <si>
    <t>Dakrandvorming bij dakgoot (met ventilatie via achterkant) - variant 1</t>
  </si>
  <si>
    <t>Oblikovanje napušča pri robnem žlebu (s prezračevanjem) – različica 1</t>
  </si>
  <si>
    <t>Takfotsutformning vid sömrännan (med bakventilation) – Variant 1</t>
  </si>
  <si>
    <t>Tagudhængsdesign ved fodrende (med ventilation) – variant 1</t>
  </si>
  <si>
    <t>Takskjeggoppbygging ved falsrenne (med baklufting) – variant 1</t>
  </si>
  <si>
    <t>Konstrukcija strehe kod ležećeg žlijeba (sa stražnjom ventilacijom) – varijanta 1</t>
  </si>
  <si>
    <t>Traufenausbildung bei Saumrinne (mit Hinterlüftung) – Variante 2</t>
  </si>
  <si>
    <t>eaves construction — on-roof gutter with ventilation gap — variants 2</t>
  </si>
  <si>
    <t>réalisation d’un égout pour gouttière havraise (avec lame d’air ventilée) — variante 2</t>
  </si>
  <si>
    <t>Raccordo alla gronda per grondaia cornicione (con retroventilazione) - Variante 2</t>
  </si>
  <si>
    <t>Detail okapní hrany s nástřešním žlabem s odvětráním VAR 2</t>
  </si>
  <si>
    <t>Konstrukcja okapu przy rynnie leżącej (z wentylowaną pustką powietrzną) – wariant 2</t>
  </si>
  <si>
    <t>ereszkialakítás fekvő eresz esetén (átszellőztetéssel) – 2. változat</t>
  </si>
  <si>
    <t>vytvorenie odkvapu pri nástrešnom žľabe (s prevetrávanou medzerou) – variant 2</t>
  </si>
  <si>
    <t>Dakrandvorming bij dakgoot (met ventilatie via achterkant) - variant 2</t>
  </si>
  <si>
    <t>Oblikovanje napušča pri robnem žlebu (s prezračevanjem) – različica 2</t>
  </si>
  <si>
    <t>Takfotsutformning vid sömrännan (med bakventilation) – Variant 2</t>
  </si>
  <si>
    <t>Tagudhængsdesign ved fodrende (med ventilation) – variant 2</t>
  </si>
  <si>
    <t>Takskjeggoppbygging ved falsrenne (med baklufting) – variant 2</t>
  </si>
  <si>
    <t>Konstrukcija strehe kod ležećeg žlijeba (sa stražnjom ventilacijom) – varijanta 2</t>
  </si>
  <si>
    <t>Unterkonstruktion</t>
  </si>
  <si>
    <t>substructure</t>
  </si>
  <si>
    <t xml:space="preserve"> structure</t>
  </si>
  <si>
    <t>Sottostruttura</t>
  </si>
  <si>
    <t>spodní konstrukce</t>
  </si>
  <si>
    <t>Konstrukcja nośna</t>
  </si>
  <si>
    <t>alátétszerkezet</t>
  </si>
  <si>
    <t>podkonštrukcia</t>
  </si>
  <si>
    <t>Onderconstructie</t>
  </si>
  <si>
    <t>Podkonstrukcija</t>
  </si>
  <si>
    <t>underkonstruktion</t>
  </si>
  <si>
    <t>Underkonstruktion</t>
  </si>
  <si>
    <t>Underkonstruksjon</t>
  </si>
  <si>
    <t>Potkonstrukcija</t>
  </si>
  <si>
    <t>Variante 1</t>
  </si>
  <si>
    <t>variant 1</t>
  </si>
  <si>
    <t>variante 1</t>
  </si>
  <si>
    <t>Varianta 1</t>
  </si>
  <si>
    <t>Wariant 1</t>
  </si>
  <si>
    <t>1. változat</t>
  </si>
  <si>
    <t>variant 1</t>
  </si>
  <si>
    <t>Variant 1</t>
  </si>
  <si>
    <t>Različica 1</t>
  </si>
  <si>
    <t>Varijanta 1</t>
  </si>
  <si>
    <t>Variante 3</t>
  </si>
  <si>
    <t>variant 3</t>
  </si>
  <si>
    <t>variante 3</t>
  </si>
  <si>
    <t>Varianta 3</t>
  </si>
  <si>
    <t>Wariant 3</t>
  </si>
  <si>
    <t>3. változat</t>
  </si>
  <si>
    <t>variant 3</t>
  </si>
  <si>
    <t>Variant 3</t>
  </si>
  <si>
    <t>Različica 3</t>
  </si>
  <si>
    <t>Varijanta 3</t>
  </si>
  <si>
    <t>Variante 4</t>
  </si>
  <si>
    <t>variant 4</t>
  </si>
  <si>
    <t>variante 4</t>
  </si>
  <si>
    <t>Varianta 4</t>
  </si>
  <si>
    <t>Wariant 4</t>
  </si>
  <si>
    <t>4. változat</t>
  </si>
  <si>
    <t>variant 4</t>
  </si>
  <si>
    <t>Variant 4</t>
  </si>
  <si>
    <t>Različica 4</t>
  </si>
  <si>
    <t>Varijanta 4</t>
  </si>
  <si>
    <t>Variante mit Dichtbandeinlage</t>
  </si>
  <si>
    <t>variant with sealing insert</t>
  </si>
  <si>
    <t>variante avec bande d’étanchéité</t>
  </si>
  <si>
    <t>Variante con inserimento di striscia sigillante</t>
  </si>
  <si>
    <t>Varianta s vložením těsnicího pásku</t>
  </si>
  <si>
    <t>Wariant z taśmą uszczelniającą</t>
  </si>
  <si>
    <t>tömítőszalag-betétes változat</t>
  </si>
  <si>
    <t>variant s vložkou z tesniacej pásky</t>
  </si>
  <si>
    <t>Variant met afdichtband</t>
  </si>
  <si>
    <t>Različica s tesnilnim vložkom</t>
  </si>
  <si>
    <t>Variant med insats med tätningsband</t>
  </si>
  <si>
    <t>Variant med indlæg med tætningsbånd</t>
  </si>
  <si>
    <t>Variant med tetningsbåndinnlegg</t>
  </si>
  <si>
    <t>Varijanta s umetkom s brtvenom trakom</t>
  </si>
  <si>
    <t>variant with coulisseau:</t>
  </si>
  <si>
    <t>Varianta se suvnou lištou:</t>
  </si>
  <si>
    <t>Variante mit Stecküberschubleiste:</t>
  </si>
  <si>
    <t>Variant with insertable coulisseau:</t>
  </si>
  <si>
    <t>variante avec coulisseau emboîtable :</t>
  </si>
  <si>
    <t>Variante con striscia di copertura a incastro:</t>
  </si>
  <si>
    <t>Varianta se zásuvnou lištou:</t>
  </si>
  <si>
    <t>Wariant z wciskaną listwą maskującą:</t>
  </si>
  <si>
    <t>behelyezhető csúszkás változat:</t>
  </si>
  <si>
    <t>Variant s násuvnou krycou lištou:</t>
  </si>
  <si>
    <t>Variant met induwstrook:</t>
  </si>
  <si>
    <t>Različica z vtično narivno letvijo:</t>
  </si>
  <si>
    <t>Variant med plug-in skjutreglage:</t>
  </si>
  <si>
    <t>Variant med stikoverdækningsliste:</t>
  </si>
  <si>
    <t>Variant med overskyvningslist for innstikk:</t>
  </si>
  <si>
    <t>Varijanta s utičnom kliznom lajsnom:</t>
  </si>
  <si>
    <t>Varianten mit Einhangfalz:</t>
  </si>
  <si>
    <t>Variants with flat lock welt:</t>
  </si>
  <si>
    <t>variantes avec accrochage par emboîtement :</t>
  </si>
  <si>
    <t>Varianti con aggraffatura a uncino:</t>
  </si>
  <si>
    <t>Varianta se závěsnou drážkou:</t>
  </si>
  <si>
    <t>Wariant z okrągłym łączeniem dopasowanym:</t>
  </si>
  <si>
    <t>függőkorcos változatok:</t>
  </si>
  <si>
    <t>Varianty so závesným falcom:</t>
  </si>
  <si>
    <t>Varianten met inhaaknaad:</t>
  </si>
  <si>
    <t>Različica z obesnim kleparskim zgibom:</t>
  </si>
  <si>
    <t>Varianter med krokfals:</t>
  </si>
  <si>
    <t>Varianter med indhængsfals:</t>
  </si>
  <si>
    <t>Variant med hengefals:</t>
  </si>
  <si>
    <t>Varijante s preklapanjem:</t>
  </si>
  <si>
    <t>Varianten mit Stoßausbildung:</t>
  </si>
  <si>
    <t>variants with joint connection:</t>
  </si>
  <si>
    <t>variantes de réalisation des joints :</t>
  </si>
  <si>
    <t>Varianti con giunto di testa:</t>
  </si>
  <si>
    <t>Varianty se stykovým provedením:</t>
  </si>
  <si>
    <t>Warianty z formowaniem połączeń:</t>
  </si>
  <si>
    <t>illesztéses változatok:</t>
  </si>
  <si>
    <t>Varianty s vytvorením styku:</t>
  </si>
  <si>
    <t>Varianten met stootvoeg:</t>
  </si>
  <si>
    <t>Različice z oblikovanjem spoja:</t>
  </si>
  <si>
    <t>Varianter med samling:</t>
  </si>
  <si>
    <t>Varianter med falsoppbygging:</t>
  </si>
  <si>
    <t>Varijante sa zglobnim spojem:</t>
  </si>
  <si>
    <t>ECKSIDING</t>
  </si>
  <si>
    <t>CORNER SIDINGS</t>
  </si>
  <si>
    <t>SIDING D’ANGLE</t>
  </si>
  <si>
    <t>ROHOVÝ SIDING</t>
  </si>
  <si>
    <t>NAROŻNIK SIDING</t>
  </si>
  <si>
    <t>SAROKSIDING ELEM</t>
  </si>
  <si>
    <t>HOEKSIDING</t>
  </si>
  <si>
    <t>VOGALNA OBLOGA</t>
  </si>
  <si>
    <t>HÖRNSIDA</t>
  </si>
  <si>
    <t>HJØRNE-SIDING</t>
  </si>
  <si>
    <t>KUTNA FASADNA KAZETA</t>
  </si>
  <si>
    <t>MATERIALAUSWAHL:</t>
  </si>
  <si>
    <t>CHOICE OF MATERIAL:</t>
  </si>
  <si>
    <t>CHOIX DES MATÉRIAUX .</t>
  </si>
  <si>
    <t>VÝBĚR MATERIÁLU:</t>
  </si>
  <si>
    <t>WYBÓR MATERIAŁU:</t>
  </si>
  <si>
    <t>ANYAGVÁLASZTÁS:</t>
  </si>
  <si>
    <t>VÝBER MATERIÁLU:</t>
  </si>
  <si>
    <t>MATERIAALKEUZE:</t>
  </si>
  <si>
    <t>IZBIRA MATERIALA:</t>
  </si>
  <si>
    <t>MATERIALSORTIMENT:</t>
  </si>
  <si>
    <t>MATERIALEVALG:</t>
  </si>
  <si>
    <t>MATERIALVALG:</t>
  </si>
  <si>
    <t>IZBOR MATERIJALA:</t>
  </si>
  <si>
    <t>Stärke</t>
  </si>
  <si>
    <t>thickness</t>
  </si>
  <si>
    <t>épaisseur</t>
  </si>
  <si>
    <t>Spessore</t>
  </si>
  <si>
    <t>Tloušťka</t>
  </si>
  <si>
    <t>Grubość</t>
  </si>
  <si>
    <t>vastagság</t>
  </si>
  <si>
    <t>hrúbka</t>
  </si>
  <si>
    <t>Dikte</t>
  </si>
  <si>
    <t>Debelina</t>
  </si>
  <si>
    <t>tjocklek</t>
  </si>
  <si>
    <t>Styrke</t>
  </si>
  <si>
    <t>Tykkelse</t>
  </si>
  <si>
    <t>Debljina</t>
  </si>
  <si>
    <t>AUSFÜHRUNG</t>
  </si>
  <si>
    <t>DESIGN</t>
  </si>
  <si>
    <t>RÉALISATION</t>
  </si>
  <si>
    <t>PROVEDENÍ</t>
  </si>
  <si>
    <t>WYKONANIE</t>
  </si>
  <si>
    <t>KIALAKÍTÁS</t>
  </si>
  <si>
    <t>VYHOTOVENIE</t>
  </si>
  <si>
    <t>UITVOERING</t>
  </si>
  <si>
    <t>IZVEDBA</t>
  </si>
  <si>
    <t>UTFÖRANDE</t>
  </si>
  <si>
    <t>UDFØRELSE</t>
  </si>
  <si>
    <t>UTFØRELSE</t>
  </si>
  <si>
    <t>gekantet</t>
  </si>
  <si>
    <t>canted</t>
  </si>
  <si>
    <t>replié</t>
  </si>
  <si>
    <t>squadrato</t>
  </si>
  <si>
    <t>hraněný</t>
  </si>
  <si>
    <t>obrobiony</t>
  </si>
  <si>
    <t>hajtott</t>
  </si>
  <si>
    <t>ohýbané</t>
  </si>
  <si>
    <t>gevoegd</t>
  </si>
  <si>
    <t>obrobljena</t>
  </si>
  <si>
    <t>kantad</t>
  </si>
  <si>
    <t>kantet</t>
  </si>
  <si>
    <t>Kantet</t>
  </si>
  <si>
    <t>kantirano</t>
  </si>
  <si>
    <t>Kantung nur mit Segmentbiegebank möglich.</t>
  </si>
  <si>
    <t>Canting only possible with a segment folding bench.</t>
  </si>
  <si>
    <t>Pliure possible uniquement avec un banc de pliage à segments.</t>
  </si>
  <si>
    <t>Piegatura possibile solo con banco di piegatura a segmenti.</t>
  </si>
  <si>
    <t>Hranění je možné provádět pouze se segmentovou ohýbačkou.</t>
  </si>
  <si>
    <t>Gięcie możliwe tylko przy użyciu stołu do gięcia.</t>
  </si>
  <si>
    <t>Hajlítás csak szegmenshajlító padon lehetséges.</t>
  </si>
  <si>
    <t>Ohyb je možný iba so segmentovou ohýbačkou.</t>
  </si>
  <si>
    <t>Buigen alleen mogelijk met segmentbuigbank.</t>
  </si>
  <si>
    <t>Obroba možna samo z napravo za prepogibanje segmentov.</t>
  </si>
  <si>
    <t>Kantning endast möjlig med segmentbockningsbänk.</t>
  </si>
  <si>
    <t>Bøjning kun mulig med segmentbøjningsbænk.</t>
  </si>
  <si>
    <t>Kanting er kun mulig med bøyebenk for segment.</t>
  </si>
  <si>
    <t>Kantiranje moguće samo s uređajem za savijanje segmenta.</t>
  </si>
  <si>
    <t>gerade</t>
  </si>
  <si>
    <t>straight</t>
  </si>
  <si>
    <t>droit</t>
  </si>
  <si>
    <t>diritto</t>
  </si>
  <si>
    <t>rovný</t>
  </si>
  <si>
    <t>egyenes</t>
  </si>
  <si>
    <t>recht</t>
  </si>
  <si>
    <t>ravna</t>
  </si>
  <si>
    <t>rak</t>
  </si>
  <si>
    <t>lige</t>
  </si>
  <si>
    <t>Rett</t>
  </si>
  <si>
    <t>ravno</t>
  </si>
  <si>
    <t>(Die Sichtlänge [S] ist um 22 mm länger als das Innenmaß [L])</t>
  </si>
  <si>
    <t>(The visible length [S] is 22 mm longer than the internal dimensions [L])</t>
  </si>
  <si>
    <t>(La longueur visible [S] est de 22 mm plus longue que les dimensions internes [L])</t>
  </si>
  <si>
    <t>(La lunghezza visibile [S] è 22 mm più lunga della dimensione interna [L])</t>
  </si>
  <si>
    <t>(Pohledová délka [S] je o 22 mm delší než vnitřní rozměr [L])</t>
  </si>
  <si>
    <t>(Długość widoczna [S] jest o 22 mm większa niż wymiar wewnętrzny [L])</t>
  </si>
  <si>
    <t>(a látható hossz [S] 22 mm-rel hosszabb, mint a belső méret [L])</t>
  </si>
  <si>
    <t>(Pohľadová dĺžka [S] je o 22 mm dlhšia ako vnútorný rozmer [L])</t>
  </si>
  <si>
    <t>(De zichtbare lengte [S] is 22 mm langer dan de binnenmaat [L])</t>
  </si>
  <si>
    <t>(Vidna dolžina [S] je daljša od notranje mere [L] za 22 mm)</t>
  </si>
  <si>
    <t>(Den synliga längden [S] är 22 mm längre än innermåttet [L])</t>
  </si>
  <si>
    <t>(Den synlige længde [S] er 22 mm længere end det indvendige mål [L])</t>
  </si>
  <si>
    <t>(Synslengden [S] er omtrent 22 mm lenger enn innvendig mål [L])</t>
  </si>
  <si>
    <t>(Vidljiva duljina [S] duža je od unutarnje dimenzije [L] za 22 mm)</t>
  </si>
  <si>
    <t>Schenkellänge L1 (Innenmaß in mm)</t>
  </si>
  <si>
    <t>side length L1 (internal dimensions in mm)</t>
  </si>
  <si>
    <t>longueur L1 de chacun des côtés (dimensions intérieures en mm)</t>
  </si>
  <si>
    <t>Lunghezza del lato L1 (dimensione interna in mm)</t>
  </si>
  <si>
    <t>Délka ramene L1 (vnitřní rozměr v mm)</t>
  </si>
  <si>
    <t>Długość boku kątownika L1 (wymiar wewnętrzny w mm)</t>
  </si>
  <si>
    <t>L1 szárhossz (belső méret mm-ben)</t>
  </si>
  <si>
    <t>dĺžka ramena L1 (vnútorný rozmer v mm)</t>
  </si>
  <si>
    <t>Beenlengte L1 (binnenmaat in mm)</t>
  </si>
  <si>
    <t>Dolžina kraka L1 (notranja mera v mm)</t>
  </si>
  <si>
    <t>Sidolängd L1 (innermått i mm)</t>
  </si>
  <si>
    <t>Sidelængde L1 (indvendige mål i mm)</t>
  </si>
  <si>
    <t>Elementlengde L1 (innvendig mål i mm)</t>
  </si>
  <si>
    <t>Duljina strane L1 (unutarnja dimenzija u mm)</t>
  </si>
  <si>
    <t>Schenkellänge L2 (Innenmaß in mm)</t>
  </si>
  <si>
    <t>side length L2 (internal dimensions in mm)</t>
  </si>
  <si>
    <t>longueur L2 de chacun des côtés (dimensions intérieures en mm)</t>
  </si>
  <si>
    <t>Lunghezza del lato L2 (dimensione interna in mm)</t>
  </si>
  <si>
    <t>Délka ramene L2 (vnitřní rozměr v mm)</t>
  </si>
  <si>
    <t>Długość boku kątownika L2 (wymiar wewnętrzny w mm)</t>
  </si>
  <si>
    <t>L2 szárhossz (belső méret mm-ben)</t>
  </si>
  <si>
    <t>dĺžka ramena L2 (vnútorný rozmer v mm)</t>
  </si>
  <si>
    <t>Beenlengte L2 (binnenmaat in mm)</t>
  </si>
  <si>
    <t>Dolžina kraka L2 (notranja mera v mm)</t>
  </si>
  <si>
    <t>Benlängd L2 (innermått i mm)</t>
  </si>
  <si>
    <t>Sidelængde L2 (indvendige mål i mm)</t>
  </si>
  <si>
    <t>Elementlengde L2 (innvendig mål i mm)</t>
  </si>
  <si>
    <t>Duljina strane L2 (unutarnja dimenzija u mm)</t>
  </si>
  <si>
    <t>Gesamtinnenlänge</t>
  </si>
  <si>
    <t>total inside length</t>
  </si>
  <si>
    <t>longueur intérieure totale</t>
  </si>
  <si>
    <t>Lunghezza interna totale</t>
  </si>
  <si>
    <t>Celková vnitřní délka</t>
  </si>
  <si>
    <t>Całkowita długość wewnętrzna</t>
  </si>
  <si>
    <t>teljes belső hossz</t>
  </si>
  <si>
    <t>celková vnútorná dĺžka</t>
  </si>
  <si>
    <t>Totale binnenlengte</t>
  </si>
  <si>
    <t>Skupna notranja dolžina</t>
  </si>
  <si>
    <t>Total invändig längd</t>
  </si>
  <si>
    <t>Samlet indvendig længde</t>
  </si>
  <si>
    <t>Samlet innvendig lengde</t>
  </si>
  <si>
    <t>Ukupna unutarnja duljina</t>
  </si>
  <si>
    <t>Mindeststückzahl pro Position: 5</t>
  </si>
  <si>
    <t>Minimum number of pieces per item: 5</t>
  </si>
  <si>
    <t>Quantité minimum par article : 5</t>
  </si>
  <si>
    <t>Quantità minima per posizione: 5</t>
  </si>
  <si>
    <t>Minimální počet kusů na položku: 5</t>
  </si>
  <si>
    <t>Minimalna liczba sztuk na element: 5</t>
  </si>
  <si>
    <t>minimális darabszám tételenként: 5</t>
  </si>
  <si>
    <t>Minimálny počet na položku: 5</t>
  </si>
  <si>
    <t>Minimumaantal stuks per positie: 5</t>
  </si>
  <si>
    <t>Najmanjše število kosov na pozicijo: 5</t>
  </si>
  <si>
    <t>Minsta kvantitet per position: 5</t>
  </si>
  <si>
    <t>Mindsteantal pr. position: 5</t>
  </si>
  <si>
    <t>Minste antall per plassering: 5</t>
  </si>
  <si>
    <t>Minimalna količina po poziciji: 5</t>
  </si>
  <si>
    <t>Montagebeispiel</t>
  </si>
  <si>
    <t>installation example</t>
  </si>
  <si>
    <t>exemple de montage</t>
  </si>
  <si>
    <t>Esempio di montaggio</t>
  </si>
  <si>
    <t>Příklad montáže</t>
  </si>
  <si>
    <t>Przykład montażu</t>
  </si>
  <si>
    <t>szerelési példa</t>
  </si>
  <si>
    <t>Príklad montáže</t>
  </si>
  <si>
    <t>Montagevoorbeeld</t>
  </si>
  <si>
    <t>Primer montaže</t>
  </si>
  <si>
    <t>Monteringsexempel</t>
  </si>
  <si>
    <t>Monteringseksempel</t>
  </si>
  <si>
    <t>Primjer montaže</t>
  </si>
  <si>
    <t>Allgemeine Hinweise:</t>
  </si>
  <si>
    <t>General information:</t>
  </si>
  <si>
    <t>Remarques générales :</t>
  </si>
  <si>
    <t>Note generali:</t>
  </si>
  <si>
    <t>Obecné pokyny:</t>
  </si>
  <si>
    <t>Uwagi ogólne:</t>
  </si>
  <si>
    <t>Általános útmutató:</t>
  </si>
  <si>
    <t>Všeobecné upozornenia:</t>
  </si>
  <si>
    <t>Algemene instructie:</t>
  </si>
  <si>
    <t>Splošni napotki:</t>
  </si>
  <si>
    <t>Allmän information:</t>
  </si>
  <si>
    <t>Generelle bemærkninger:</t>
  </si>
  <si>
    <t>Generelle merknader:</t>
  </si>
  <si>
    <t>Općenite upute:</t>
  </si>
  <si>
    <t>Pulverbeschichtet nach RAL auf Anfrage; Nachlieferungen können Farbunterschiede aufweisen!</t>
  </si>
  <si>
    <t>Powder coating according to RAL possible on request; colours may be slightly different in subsequent deliveries.</t>
  </si>
  <si>
    <t>Thermolaqué en couleur RAL sur demande ; possibilité de variations de couleur d’une livraison à l’autre !</t>
  </si>
  <si>
    <t>Verniciatura a polvere secondo RAL su richiesta; le consegne successive possono mostrare differenze di colore!</t>
  </si>
  <si>
    <t>práškově lakovaný podle RAL na požádání; Dodatečné dodávky mohou vykazovat barevné rozdíly!</t>
  </si>
  <si>
    <t>Na życzenie lakierowanie proszkowe wg palety RAL; przy kolejnych dostawach mogą wystąpić różnice w kolorach!</t>
  </si>
  <si>
    <t>RAL szerinti porszórt bevonat kérésre; a későbbi szállítások színeltérést mutathatnak!</t>
  </si>
  <si>
    <t>Prášková farba podľa RAL na vyžiadanie; dodatočné dodávky môžu vykazovať farebné odchýlky.!</t>
  </si>
  <si>
    <t>Poedercoating volgens RAL op aanvraag; latere leveringen kunnen kleurverschillen vertonen!</t>
  </si>
  <si>
    <t>Praškasto lakirano po RAL na zahtevo; Nadaljnje dobave imajo lahko barvne razlike!</t>
  </si>
  <si>
    <t>Pulverlackerad enligt RAL på begäran; Efterföljande leveranser kan ha färgskillnader!</t>
  </si>
  <si>
    <t>Pulverlakeret i henhold til RAL på forespørgsel; efterfølgende leverancer kan have farveforskelle!</t>
  </si>
  <si>
    <t>Pulverbelagt i RAL-farge på forespørsel; etterlevering kan bety fargeforskjell!</t>
  </si>
  <si>
    <t>Praškasta presvlaka prema RAL na zahtjev; Naknadne isporuke mogu imati razlike u boji!</t>
  </si>
  <si>
    <t>Bemerkung:</t>
  </si>
  <si>
    <t>Remarque :</t>
  </si>
  <si>
    <t>Poznámka:</t>
  </si>
  <si>
    <t>Komentarz:</t>
  </si>
  <si>
    <t>Opomba:</t>
  </si>
  <si>
    <t>Kommentar:</t>
  </si>
  <si>
    <t>Merk:</t>
  </si>
  <si>
    <t>Napomena:</t>
  </si>
  <si>
    <t>Lieferzeit für alle Ecksidings</t>
  </si>
  <si>
    <t>delivery time for all corner sidings</t>
  </si>
  <si>
    <t>délai de livraison pour l’ensemble des Sidings d’angle</t>
  </si>
  <si>
    <t>tempo di consegna per tutte le Doghe angolari</t>
  </si>
  <si>
    <t>Dodací doba pro všechny rohové Siding</t>
  </si>
  <si>
    <t>Czas dostawy dla wszystkich narożników Siding</t>
  </si>
  <si>
    <t>szállítási idő az összes sarok Siding elem esetében</t>
  </si>
  <si>
    <t>Dodacia lehota pre všetky rohové Siding</t>
  </si>
  <si>
    <t>Levertijd voor alle hoeksidings</t>
  </si>
  <si>
    <t>Dobavni rok za vse vogalne obloge</t>
  </si>
  <si>
    <t>Leveranstid för alla hörnbeklädnader</t>
  </si>
  <si>
    <t>Leveringstid for alle hjørnesidings</t>
  </si>
  <si>
    <t>Leveringstid for hjørnekledning</t>
  </si>
  <si>
    <t>Vrijeme dostave za sve fasadne kazete</t>
  </si>
  <si>
    <t>ca. 5–10 Werktage ab Auftragsklarheit</t>
  </si>
  <si>
    <t>approx. 5–10 working days after all order details have been clarified</t>
  </si>
  <si>
    <t>de 5 à 10 jours ouvrés environ à compter du traitement de la commande</t>
  </si>
  <si>
    <t>circa 5-10 giorni lavorativi dalla conferma dell'ordine</t>
  </si>
  <si>
    <t>cca 5–10 pracovních dnů od ujasnění zakázky</t>
  </si>
  <si>
    <t>ok. 5–10 dni roboczych od momentu otrzymania zamówienia</t>
  </si>
  <si>
    <t>kb. 5–10 munkanap megrendeléstől számítva</t>
  </si>
  <si>
    <t>cca 5 – 10 pracovných dní od dojednania zákazky</t>
  </si>
  <si>
    <t>ca. 5-10 werkdagen vanaf orderplaatsing</t>
  </si>
  <si>
    <t>pribl. 5-10 delovnih dni po jasnosti naročila</t>
  </si>
  <si>
    <t>ca 5–10 arbetsdagar från beställningen</t>
  </si>
  <si>
    <t>cirka 5-10 hverdage fra ordreafklaring</t>
  </si>
  <si>
    <t>ca. 5–10 arbeidsdager fra ordretidspunkt</t>
  </si>
  <si>
    <t>cca. 5–10 radnih dana nakon pojašnjenja narudžbe</t>
  </si>
  <si>
    <t>DACHENTWÄSSERUNG P.10</t>
  </si>
  <si>
    <t>ROOF DRAINAGE P.10</t>
  </si>
  <si>
    <t>GOUTTIÈRES P.10</t>
  </si>
  <si>
    <t>SMALTIMENTO ACQUE P.10</t>
  </si>
  <si>
    <t>Odvodňovací systém P.10</t>
  </si>
  <si>
    <t>ODWODNIENIE DAHU P.10</t>
  </si>
  <si>
    <t>TETŐ VÍZELVEZETÉS P.10</t>
  </si>
  <si>
    <t>ODVODNENIE STRECHY P.10</t>
  </si>
  <si>
    <t>DAKAFWATERING P.10</t>
  </si>
  <si>
    <t>sistem za odvodnjavanje P.10</t>
  </si>
  <si>
    <t>TAKDRÄNERING P.10</t>
  </si>
  <si>
    <t>TAGDRÆNING P.10</t>
  </si>
  <si>
    <t>TAKDRENERING P.10</t>
  </si>
  <si>
    <t>KROVNA ODVODNJA P.10</t>
  </si>
  <si>
    <t>QUADRATROHR P.10</t>
  </si>
  <si>
    <t>SQUARE DOWNPIPE P.10</t>
  </si>
  <si>
    <t>TUYAU DE DESCENTE CARRÉ P.10</t>
  </si>
  <si>
    <t>PLUVIALE QUADRO P.10</t>
  </si>
  <si>
    <t>Hranatý svod P.10</t>
  </si>
  <si>
    <t>RURY KWADRATOWE P.10</t>
  </si>
  <si>
    <t>SZÖGLETES LEFOLYÓ P.10</t>
  </si>
  <si>
    <t>ŠTVORCOVÝ ZVOD P.10</t>
  </si>
  <si>
    <t>VIERKANTE BUIS P.10</t>
  </si>
  <si>
    <t>pravokotna cev P.10</t>
  </si>
  <si>
    <t>KVADRATRÖR P.10</t>
  </si>
  <si>
    <t>KVADRATRØR P.10</t>
  </si>
  <si>
    <t>FIRKANTRØR P.10</t>
  </si>
  <si>
    <t>KVADRATNA CIJEV P.10</t>
  </si>
  <si>
    <t>Einfassungsplatte, zum Einfalzen</t>
  </si>
  <si>
    <t>PREFA flashing plate</t>
  </si>
  <si>
    <t>Raccordement de ventilation</t>
  </si>
  <si>
    <t>PREFA Conversa</t>
  </si>
  <si>
    <t>PREFA Prostup pro falcované</t>
  </si>
  <si>
    <t>PREFA element wentylacyjny</t>
  </si>
  <si>
    <t>PREFA kivezető elem</t>
  </si>
  <si>
    <t>PREFA Prestup</t>
  </si>
  <si>
    <t xml:space="preserve">PREFA inwerkplaat </t>
  </si>
  <si>
    <t>PREFA prehodna plošča za strešne</t>
  </si>
  <si>
    <t>PREFA infattningsplatta</t>
  </si>
  <si>
    <t>PREFA indfatningsplade</t>
  </si>
  <si>
    <t>PREFA innfatningsplate</t>
  </si>
  <si>
    <t>PREFA otvor za ventilaciju</t>
  </si>
  <si>
    <t>einseitig</t>
  </si>
  <si>
    <t>one-sided</t>
  </si>
  <si>
    <t>sur une face</t>
  </si>
  <si>
    <t>su un lato</t>
  </si>
  <si>
    <t>jednostranné</t>
  </si>
  <si>
    <t>jednostronnie</t>
  </si>
  <si>
    <t>egyoldali</t>
  </si>
  <si>
    <t>jednostranne</t>
  </si>
  <si>
    <t>enkelzijdig</t>
  </si>
  <si>
    <t>enostransko</t>
  </si>
  <si>
    <t>ensidig</t>
  </si>
  <si>
    <t>enkeltsidet</t>
  </si>
  <si>
    <t>på én side</t>
  </si>
  <si>
    <t>jednostrano</t>
  </si>
  <si>
    <t>Unterlagsplatte für DR44, DS.19</t>
  </si>
  <si>
    <t>base plate for rhomboid roof tiles 44 × 44 and DS.19</t>
  </si>
  <si>
    <t>plaque de support pour losange de toiture 44 × 44 et DS.19</t>
  </si>
  <si>
    <t>sottopiastra per scaglia 44 × 44 e DS.19</t>
  </si>
  <si>
    <t>montážní podložka pro šablony 44 × 44 a DS.19</t>
  </si>
  <si>
    <t>blacha podkładowa do dachówki romb 44 × 44 i DS.19</t>
  </si>
  <si>
    <t>alátétlemez tetőfedő rombuszhoz (44 × 44) és DS.19 elemhez</t>
  </si>
  <si>
    <t>spevňovacia podložka pre strešnú šablónu 44 × 44 a DS.19</t>
  </si>
  <si>
    <t>grondplaat voor daklosange 44 × 44 en DS.19</t>
  </si>
  <si>
    <t>podložna plošča za strešni romb 44 × 44 in DS.19</t>
  </si>
  <si>
    <t>underlagsskiva för takromb 44 × 44 och DS.19</t>
  </si>
  <si>
    <t>underlagsplade til tagrombe 44 × 44 og DS.19</t>
  </si>
  <si>
    <t>underlagsplate for takrombe 44 × 44 og DS.19</t>
  </si>
  <si>
    <t>podložna ploča za krovni romb 44 × 44 i DS.19</t>
  </si>
  <si>
    <t>Dachleitungshalter für Blitzschutzdraht</t>
  </si>
  <si>
    <t>roof conductor holder for lightning protection wire</t>
  </si>
  <si>
    <t>clip de toit pour conducteurs parafoudre</t>
  </si>
  <si>
    <t>reggicavo per impianto parafulmine</t>
  </si>
  <si>
    <t>střešní držák drátu bleskosvodu</t>
  </si>
  <si>
    <t>uchwyt dachowy do przewodów odgromowych</t>
  </si>
  <si>
    <t>tetőre szerelhető vezetéktartó villámvédelmi vezetékhez</t>
  </si>
  <si>
    <t>príponka na vedenie bleskozvodu</t>
  </si>
  <si>
    <t>dakleidinghouder voor bliksembeveiliging</t>
  </si>
  <si>
    <t>strešno držalo vodnika za žico strelovoda</t>
  </si>
  <si>
    <t>takledningshållare för åsksledare</t>
  </si>
  <si>
    <t>taglederholder til lynafleder</t>
  </si>
  <si>
    <t>takledningsholder for lynavledervaier</t>
  </si>
  <si>
    <t>krovni nosač vodiča za gromobransku žicu</t>
  </si>
  <si>
    <t>Falzgel in Folienbeutel</t>
  </si>
  <si>
    <t>sealing gel in a foil pouch</t>
  </si>
  <si>
    <t>gel d’étanchéité en sachet</t>
  </si>
  <si>
    <t>gel sigillante per aggraffature in sacchetto di alluminio</t>
  </si>
  <si>
    <t>falzgel ve fóliovém sáčku</t>
  </si>
  <si>
    <t>żel do rąbków w folii</t>
  </si>
  <si>
    <t>falczselé fóliatasakban</t>
  </si>
  <si>
    <t>drážkový gél v saláme</t>
  </si>
  <si>
    <t>felsgel in worstverpakking</t>
  </si>
  <si>
    <t>gel za zgibe v tubi</t>
  </si>
  <si>
    <t>falsgel i tub</t>
  </si>
  <si>
    <t>falsgel i plastpose</t>
  </si>
  <si>
    <t>falsegel i foliepose</t>
  </si>
  <si>
    <t>gel za falcanje u vrećicama</t>
  </si>
  <si>
    <t>flashing plate for DS.19 shingle</t>
  </si>
  <si>
    <t>raccordement de ventilation pour bardeau DS.19</t>
  </si>
  <si>
    <t>conversa per scandola DS.19</t>
  </si>
  <si>
    <t>prostup pro falcovaný šindel DS.19</t>
  </si>
  <si>
    <t>prestupový prvok pre strešný šindeľ DS.19</t>
  </si>
  <si>
    <t>prehodna plošča za strešne skodle DS.19</t>
  </si>
  <si>
    <t>indfatningsplade til tagspån DS.19</t>
  </si>
  <si>
    <t>Sockelknie (Ausladung: 30 mm)</t>
  </si>
  <si>
    <t>swan neck, 30 mm projection</t>
  </si>
  <si>
    <t>coude étage (projection : 30 mm)</t>
  </si>
  <si>
    <t>Spostamento, disassamento 30mm</t>
  </si>
  <si>
    <t>Soklové koleno, přesah 30mm</t>
  </si>
  <si>
    <t>Kolano podwójne 30 mm</t>
  </si>
  <si>
    <t>lábazati elem 30mm előállással</t>
  </si>
  <si>
    <t>soklové koleno, vybočenie 30 mm</t>
  </si>
  <si>
    <t>sokkelknie 30 mm reikwijdte</t>
  </si>
  <si>
    <t>izogibno koleno 30 mm grlo</t>
  </si>
  <si>
    <t>sockelknä 30 mm utladdning</t>
  </si>
  <si>
    <t>sokkelknæ 30 mm udhæng</t>
  </si>
  <si>
    <t>sokkelkne 30 mm radius</t>
  </si>
  <si>
    <t>Cijev s koljenom (izbočina: 30 mm)</t>
  </si>
  <si>
    <t>Klebeendboden</t>
  </si>
  <si>
    <t>adhesive end cap</t>
  </si>
  <si>
    <t>fond de gouttière à coller</t>
  </si>
  <si>
    <t>testata adesiva</t>
  </si>
  <si>
    <t>lepené čelo žlabu</t>
  </si>
  <si>
    <t>denko klejone</t>
  </si>
  <si>
    <t>ragasztható végelem</t>
  </si>
  <si>
    <t>lepené čelo žľabu</t>
  </si>
  <si>
    <t>verlijmbaar kopschot</t>
  </si>
  <si>
    <t>zapora žlebu za lepljenje</t>
  </si>
  <si>
    <t>ränngavel</t>
  </si>
  <si>
    <t>endebund til klæbning</t>
  </si>
  <si>
    <t>endelokk for liming</t>
  </si>
  <si>
    <t>ljepljivo čelo žlijeba</t>
  </si>
  <si>
    <t>Projektdaten:</t>
  </si>
  <si>
    <t>Project information:</t>
  </si>
  <si>
    <t>Données relatives au projet :</t>
  </si>
  <si>
    <t>Dati del progetto:</t>
  </si>
  <si>
    <t>Údaje o objektu:</t>
  </si>
  <si>
    <t>Dane projektu:</t>
  </si>
  <si>
    <t>Projekt adatai:</t>
  </si>
  <si>
    <t>Údaje o projekte:</t>
  </si>
  <si>
    <t>Projectgegevens:</t>
  </si>
  <si>
    <t>Podatki o projektu:</t>
  </si>
  <si>
    <t>Projektinformation:</t>
  </si>
  <si>
    <t>Projektdata:</t>
  </si>
  <si>
    <t>Prosjektdata:</t>
  </si>
  <si>
    <t>Podaci o projektu:</t>
  </si>
  <si>
    <t>techn. Ausarbeitung PREFA:</t>
  </si>
  <si>
    <t>Technical preparation (PREFA):</t>
  </si>
  <si>
    <t>Élaboration technique (PREFA) :</t>
  </si>
  <si>
    <t>Rielaborazione tecnica (PREFA):</t>
  </si>
  <si>
    <t>Technické zpracování (PREFA):</t>
  </si>
  <si>
    <t>Opracowanie techniczne (PREFA):</t>
  </si>
  <si>
    <t>Műszaki előkészítés (PREFA):</t>
  </si>
  <si>
    <t>Údaje o projekte (PREFA):</t>
  </si>
  <si>
    <t>Technische uitwerking (PREFA):</t>
  </si>
  <si>
    <t>Tehnična priprava (PREFA):</t>
  </si>
  <si>
    <t>Teknisk utarbetning (PREFA):</t>
  </si>
  <si>
    <t>Teknisk udarbejdelse (PREFA):</t>
  </si>
  <si>
    <t>Teknisk forberedelse (PREFA):</t>
  </si>
  <si>
    <t>Izrada tehničke dokumentacije (PREFA):</t>
  </si>
  <si>
    <t>Bearbeiter:</t>
  </si>
  <si>
    <t>Processor:</t>
  </si>
  <si>
    <t>Partenaire PREFA :</t>
  </si>
  <si>
    <t>Addetto:</t>
  </si>
  <si>
    <t>Zpracoval:</t>
  </si>
  <si>
    <t>Referent:</t>
  </si>
  <si>
    <t>Feldolgozta:</t>
  </si>
  <si>
    <t>Spracovateľ:</t>
  </si>
  <si>
    <t>Verantwoordelijke:</t>
  </si>
  <si>
    <t>Bearbetas av:</t>
  </si>
  <si>
    <t>Bearbejder:</t>
  </si>
  <si>
    <t>Ansvarlig:</t>
  </si>
  <si>
    <t>Odgovorna osoba:</t>
  </si>
  <si>
    <t>Beschreibung</t>
  </si>
  <si>
    <t>description</t>
  </si>
  <si>
    <t>Description</t>
  </si>
  <si>
    <t>descrizione</t>
  </si>
  <si>
    <t>popis</t>
  </si>
  <si>
    <t>leírás</t>
  </si>
  <si>
    <t>beschrijving</t>
  </si>
  <si>
    <t>beskrivning</t>
  </si>
  <si>
    <t>beskrivelse</t>
  </si>
  <si>
    <t>Bestellnummer:</t>
  </si>
  <si>
    <t>Order number:</t>
  </si>
  <si>
    <t>Numéro de commande :</t>
  </si>
  <si>
    <t>Numero d’ordine:</t>
  </si>
  <si>
    <t>Číslo objednávky:</t>
  </si>
  <si>
    <t>Numer zamówienia:</t>
  </si>
  <si>
    <t>Megrendelési szám:</t>
  </si>
  <si>
    <t>Objednávacie číslo:</t>
  </si>
  <si>
    <t>Bestelnummer:</t>
  </si>
  <si>
    <t>Številka naročila:</t>
  </si>
  <si>
    <t>Ordernummer:</t>
  </si>
  <si>
    <t>Bestillingsnummer:</t>
  </si>
  <si>
    <t>Ordrenummer:</t>
  </si>
  <si>
    <t>Broj narudžbe:</t>
  </si>
  <si>
    <t>Mengenermittlung in:</t>
  </si>
  <si>
    <t>Quantity required:</t>
  </si>
  <si>
    <t>Calcul des quantités requises :</t>
  </si>
  <si>
    <t>Quantità richieste:</t>
  </si>
  <si>
    <t>Požadované množství:</t>
  </si>
  <si>
    <t>Wymagana ilość:</t>
  </si>
  <si>
    <t>Mennyiségszámítás:</t>
  </si>
  <si>
    <t>Určenie množstva:</t>
  </si>
  <si>
    <t>Benodigd aantal:</t>
  </si>
  <si>
    <t>Potrebna količina:</t>
  </si>
  <si>
    <t>Mängdberäkning:</t>
  </si>
  <si>
    <t>Ønsket mængde:</t>
  </si>
  <si>
    <t>Nødvendig mengde:</t>
  </si>
  <si>
    <t>Magazin</t>
  </si>
  <si>
    <t>warehouse</t>
  </si>
  <si>
    <t>chargeur</t>
  </si>
  <si>
    <t>ricarica</t>
  </si>
  <si>
    <t>zásobník</t>
  </si>
  <si>
    <t>magazyn</t>
  </si>
  <si>
    <t>árukiadó</t>
  </si>
  <si>
    <t>magazijn</t>
  </si>
  <si>
    <t>magazin</t>
  </si>
  <si>
    <t>magasin</t>
  </si>
  <si>
    <t>spremnik za učvršćivače</t>
  </si>
  <si>
    <t>60 kg</t>
  </si>
  <si>
    <t>60 kg</t>
  </si>
  <si>
    <t>500 kg</t>
  </si>
  <si>
    <t>Sets</t>
  </si>
  <si>
    <t>kits</t>
  </si>
  <si>
    <t>sady</t>
  </si>
  <si>
    <t>zestawy</t>
  </si>
  <si>
    <t>egységek</t>
  </si>
  <si>
    <t>sety</t>
  </si>
  <si>
    <t>sets</t>
  </si>
  <si>
    <t>kompleta</t>
  </si>
  <si>
    <t>satser</t>
  </si>
  <si>
    <t>sæt</t>
  </si>
  <si>
    <t>sett</t>
  </si>
  <si>
    <t>setovi</t>
  </si>
  <si>
    <t>19 dark grey</t>
  </si>
  <si>
    <t>19 gris sombre</t>
  </si>
  <si>
    <t>19 grigio scuro</t>
  </si>
  <si>
    <t>19 tmavě šedá</t>
  </si>
  <si>
    <t>19 grafitowy</t>
  </si>
  <si>
    <t>19 grafitszürke</t>
  </si>
  <si>
    <t>19 tmavošedá</t>
  </si>
  <si>
    <t>19 donkergrijs</t>
  </si>
  <si>
    <t>19 temno siva</t>
  </si>
  <si>
    <t>19 mörkgrå</t>
  </si>
  <si>
    <t>19 mørk grå</t>
  </si>
  <si>
    <t>19 tamno siva</t>
  </si>
  <si>
    <t>12 P.10 Silbermetallic</t>
  </si>
  <si>
    <t>12 P.10 metallic silver</t>
  </si>
  <si>
    <t>12 P.10 argent métallisé</t>
  </si>
  <si>
    <t>12 P.10 silver metallizzato</t>
  </si>
  <si>
    <t>12 P.10 stříbrná metalíza</t>
  </si>
  <si>
    <t>12 P.10 srebrny metalik</t>
  </si>
  <si>
    <t>12 P.10 ezüstmetál</t>
  </si>
  <si>
    <t>12 P.10 strieborná metalíza</t>
  </si>
  <si>
    <t>12 P.10 zilvermetallic</t>
  </si>
  <si>
    <t>12 P.10 kovinsko srebrna</t>
  </si>
  <si>
    <t>12 P.10 silvermetallic</t>
  </si>
  <si>
    <t>12 P.10 sølvmetallic</t>
  </si>
  <si>
    <t>12 P.10 sølv metallic</t>
  </si>
  <si>
    <t>12 P.10 metalik srebrna</t>
  </si>
  <si>
    <t>Rohrübergang</t>
  </si>
  <si>
    <t>downpipe adaptor</t>
  </si>
  <si>
    <t>mamelon de raccordement</t>
  </si>
  <si>
    <t>raccordo per tubi</t>
  </si>
  <si>
    <t>přechodka svodu</t>
  </si>
  <si>
    <t>redukcja</t>
  </si>
  <si>
    <t>csőátalakító</t>
  </si>
  <si>
    <t>verloopstuk</t>
  </si>
  <si>
    <t>cevni nastavek</t>
  </si>
  <si>
    <t>rörövergång</t>
  </si>
  <si>
    <t>rørovergang</t>
  </si>
  <si>
    <t>overgangsmuffe</t>
  </si>
  <si>
    <t>prijelazna spojna cijev</t>
  </si>
  <si>
    <t>Ø 110/100 mm</t>
  </si>
  <si>
    <t>⌀ 110/100 mm</t>
  </si>
  <si>
    <t>Ø 125/120 mm</t>
  </si>
  <si>
    <t>⌀ 125/120 mm</t>
  </si>
  <si>
    <t>39 Eiche beige-grau</t>
  </si>
  <si>
    <t>39 grey oak</t>
  </si>
  <si>
    <t>39 chêne gris</t>
  </si>
  <si>
    <t>39 rovere beige-grigio</t>
  </si>
  <si>
    <t>39 dub béžově–šedý</t>
  </si>
  <si>
    <t>39 dąb szary</t>
  </si>
  <si>
    <t>39 silver tölgy erezett</t>
  </si>
  <si>
    <t>39 dub béžovosivý</t>
  </si>
  <si>
    <t>39 Eiken beige-grijs</t>
  </si>
  <si>
    <t>39 hrast bež-siva</t>
  </si>
  <si>
    <t>39 beigegrå ek</t>
  </si>
  <si>
    <t>39 eg beige-grå</t>
  </si>
  <si>
    <t>39 gråbeige eik</t>
  </si>
  <si>
    <t>39 bež sivi hrast</t>
  </si>
  <si>
    <t>L1</t>
  </si>
  <si>
    <t>L2</t>
  </si>
  <si>
    <t>min.: 230 mm</t>
  </si>
  <si>
    <t>min.: 230 mm</t>
  </si>
  <si>
    <t>min. : 230 mm</t>
  </si>
  <si>
    <t>Min: 230 mm</t>
  </si>
  <si>
    <t>max.: 770 mm</t>
  </si>
  <si>
    <t>max.: 770 mm</t>
  </si>
  <si>
    <t>max. : 770 mm</t>
  </si>
  <si>
    <t>Max: 770 mm</t>
  </si>
  <si>
    <t>Gesamte Maximalinnenlänge (L1 + L2) = 1.140 mm</t>
  </si>
  <si>
    <t>total maximum inside length (L1 + L2) = 1,140 mm</t>
  </si>
  <si>
    <t>total de la longueur intérieure maximum (L1 + L2) = 1 140 mm</t>
  </si>
  <si>
    <t>Lunghezza interna totale massima (L1 + L2) = 1.140 mm</t>
  </si>
  <si>
    <t>Celková maximální délka linky (L1 + L2) = 1140 mm</t>
  </si>
  <si>
    <t>Całkowita maksymalna długość wewnętrzna (L1 + L2) = 1140 mm</t>
  </si>
  <si>
    <t>teljes maximális belső hossz (L1 + L2) = 1140 mm</t>
  </si>
  <si>
    <t>Celková maximálna vnútorná dĺžka (L1 + L2) = 1 140 mm</t>
  </si>
  <si>
    <t>Totale maximale binnenlengte (L1 + L2) = 1.140 mm</t>
  </si>
  <si>
    <t>Skupna največja notranja dolžina (L1 + L2) = 1.140 mm</t>
  </si>
  <si>
    <t>Total maximal invändig längd (L1 + L2) = 1 140 mm</t>
  </si>
  <si>
    <t>Samlet maksimal indvendig længde (L1 + L2) = 1.140 mm</t>
  </si>
  <si>
    <t>Maksimal total innvendig lengde (L1 + L2) = 1140 mm</t>
  </si>
  <si>
    <t>Ukupna maksimalna unutarnja duljina (L1 + L2) = 1.140 mm</t>
  </si>
  <si>
    <t>PREFABOND – ZUBEHÖR</t>
  </si>
  <si>
    <t>PREFABOND — ACCESSORIES</t>
  </si>
  <si>
    <t>PREFABOND — ACCESSOIRES</t>
  </si>
  <si>
    <t>PREFABOND – PŘÍSLUŠENSTVÍ</t>
  </si>
  <si>
    <t>PREFABOND – AKCESORIA</t>
  </si>
  <si>
    <t>PREFABOND – TARTOZÉKOK</t>
  </si>
  <si>
    <t>PREFABOND – PRÍSLUŠENSTVO</t>
  </si>
  <si>
    <t>PREFABOND – TOEBEHOREN</t>
  </si>
  <si>
    <t>PREFABOND – DODATKI</t>
  </si>
  <si>
    <t>PREFABOND – TILLBEHÖR</t>
  </si>
  <si>
    <t>PREFABOND – TILBEHØR</t>
  </si>
  <si>
    <t>PREFABOND – PRIBOR</t>
  </si>
  <si>
    <t>44 Anthrazit matt</t>
  </si>
  <si>
    <t>44 matt anthracite</t>
  </si>
  <si>
    <t>44 anthracite noir</t>
  </si>
  <si>
    <t>44 antracite opaco</t>
  </si>
  <si>
    <t>44 antracitová matná</t>
  </si>
  <si>
    <t>44 antracyt mat</t>
  </si>
  <si>
    <t>44 matt antracit</t>
  </si>
  <si>
    <t>44 Antraciet mat</t>
  </si>
  <si>
    <t>44 antracit mat</t>
  </si>
  <si>
    <t>44 Antracit mat</t>
  </si>
  <si>
    <t>44 antrasitt matt</t>
  </si>
  <si>
    <t>48 Titanium dunkel</t>
  </si>
  <si>
    <t>48 dark titanium</t>
  </si>
  <si>
    <t>48 titane foncé</t>
  </si>
  <si>
    <t>48 titanio scuro</t>
  </si>
  <si>
    <t>48 titan tmavý</t>
  </si>
  <si>
    <t>48 ciemny tytan</t>
  </si>
  <si>
    <t>48 sötét titánium</t>
  </si>
  <si>
    <t>48 titánová tmavá</t>
  </si>
  <si>
    <t>48 Titanium donker</t>
  </si>
  <si>
    <t>48 Titan temen</t>
  </si>
  <si>
    <t>48 mörk titan</t>
  </si>
  <si>
    <t>48 Titanium mørk</t>
  </si>
  <si>
    <t>48 mørk titan</t>
  </si>
  <si>
    <t>48 tamni titan</t>
  </si>
  <si>
    <t>Befestigung auf Metallunterkonstruktion</t>
  </si>
  <si>
    <t>fastening on metal supporting substrate</t>
  </si>
  <si>
    <t>fixation sur sous-construction métallique</t>
  </si>
  <si>
    <t>Fissaggio alla sottostruttura metallica</t>
  </si>
  <si>
    <t>Připevnění na kovovou spodní konstrukci</t>
  </si>
  <si>
    <t>Mocowanie do konstrukcji nośnej z metalu</t>
  </si>
  <si>
    <t>rögzítés fém alátétszerkezeten</t>
  </si>
  <si>
    <t>upevnenie na kovový nosný rošt</t>
  </si>
  <si>
    <t>Bevestiging op metalen onderconstructie</t>
  </si>
  <si>
    <t>Pritrditev na kovinsko podkonstrukcijo</t>
  </si>
  <si>
    <t>infästning på metallunderlag</t>
  </si>
  <si>
    <t>Fastgørelse til metalunderkonstruktion</t>
  </si>
  <si>
    <t>Feste på underkonstruksjon i metall</t>
  </si>
  <si>
    <t>Pričvršćivanje na metalnu potkonstrukciju</t>
  </si>
  <si>
    <t>Befestigung auf Holzunterkonstruktion</t>
  </si>
  <si>
    <t>fastening on timber supporting substrate</t>
  </si>
  <si>
    <t>fixation sur sous-construction en bois</t>
  </si>
  <si>
    <t>Fissaggio alla sottostruttura in legno</t>
  </si>
  <si>
    <t>Připevnění na dřevěnou spodní konstrukci</t>
  </si>
  <si>
    <t>Mocowanie do konstrukcji nośnej z drewna</t>
  </si>
  <si>
    <t>rögzítés fa alátétszerkezeten</t>
  </si>
  <si>
    <t>upevnenie na drevený nosný rošt</t>
  </si>
  <si>
    <t>Bevestiging op houten onderconstructie</t>
  </si>
  <si>
    <t>Pritrditev na leseno podkosntrukcijo</t>
  </si>
  <si>
    <t>Infästning i träkonstruktion</t>
  </si>
  <si>
    <t>Fastgørelse til træunderkonstruktion</t>
  </si>
  <si>
    <t>Feste på underkonstruksjon i tre</t>
  </si>
  <si>
    <t>Pričvršćivanje na drvenu potkonstrukciju</t>
  </si>
  <si>
    <t>Kopfdurchmesser:</t>
  </si>
  <si>
    <t>head diameter:</t>
  </si>
  <si>
    <t>diamètre de la tête :</t>
  </si>
  <si>
    <t>Diametro della testa:</t>
  </si>
  <si>
    <t>Průměr hlavy:</t>
  </si>
  <si>
    <t>Średnica łba nitu</t>
  </si>
  <si>
    <t>fejátmérő:</t>
  </si>
  <si>
    <t>Priemer hlavičky:</t>
  </si>
  <si>
    <t>Hoofddiameter:</t>
  </si>
  <si>
    <t>Premer glave:</t>
  </si>
  <si>
    <t>huvudets diameter:</t>
  </si>
  <si>
    <t>Hoveddiameter:</t>
  </si>
  <si>
    <t>Hodediameter:</t>
  </si>
  <si>
    <t>Promjer glave:</t>
  </si>
  <si>
    <t>Festpunkthülse für Fixpunkt (⌀ 9,5 × 5,1 mm)</t>
  </si>
  <si>
    <t>fixed point bushing for fixed point (⌀ 9.5 × 5,1 mm)</t>
  </si>
  <si>
    <t>douille de guidage pour point fixe (⌀ 9,5 × 5,1 mm)</t>
  </si>
  <si>
    <t>Pouzdro pro pevný bod (9,5 × ⌀ 5,1 mm)</t>
  </si>
  <si>
    <t>Tuleja do punktu stałego (⌀ 9,5 × 5,1 mm)</t>
  </si>
  <si>
    <t>központosító hüvely fixponthoz (⌀ 9,5 × 5,1 mm)</t>
  </si>
  <si>
    <t>fixovacia objímka pre pevný bod (⌀ 9,5 × 5,1 mm)</t>
  </si>
  <si>
    <t>Huls vaste punt voor bevestigingspunt (⌀ 9,5 × 5,1 mm)</t>
  </si>
  <si>
    <t>Tulec za fiksno točko (⌀ 9,5 × 5,1 mm)</t>
  </si>
  <si>
    <t>fixpunktshylsa för fixpunkt (⌀ 9,5 × 5,1 mm)</t>
  </si>
  <si>
    <t>Fastpunktmuffe til fixpunkt (⌀ 9,5 × 5,1 mm)</t>
  </si>
  <si>
    <t>Fastpunkthylse til fastpunkt (⌀ 9,5 × 5,1 mm)</t>
  </si>
  <si>
    <t>Rukav s fiksnom točkom za fiksnu točku (⌀ 9,5 × 5,1 mm)</t>
  </si>
  <si>
    <t>Bügelbohrvorrichtung für Metallunterkonstruktion</t>
  </si>
  <si>
    <t>bracket boring fixture for metal supporting substrates</t>
  </si>
  <si>
    <t>étrier pour rivet (pour les sous-constructions métalliques)</t>
  </si>
  <si>
    <t>Dispositivo di foratura a staffa per sottostruttura metallica</t>
  </si>
  <si>
    <t>Vrtací přípravek (držadlo) pro kovové spodní konstrukce</t>
  </si>
  <si>
    <t>Kabłąk przyrządu wiertarskiego do konstrukcji z metalu</t>
  </si>
  <si>
    <t>központosító segédeszköz fúráshoz fém alátétszerkezetekhez</t>
  </si>
  <si>
    <t>prípravok na vŕtanie pre kovový nosný rošt</t>
  </si>
  <si>
    <t>Beugelboorinrichting voor metalen onderconstructie</t>
  </si>
  <si>
    <t>Nastavek za vrtanje v kovinsko podkonstrukcijo</t>
  </si>
  <si>
    <t>fästborranordning för metallunderkonstruktion</t>
  </si>
  <si>
    <t>Borebeslag til metalunderkonstruktion</t>
  </si>
  <si>
    <t>Bøyleboreanordning til underkonstruksjoner i metall</t>
  </si>
  <si>
    <t>Drška – naprava za bušenje za metalne potkonstrukcije</t>
  </si>
  <si>
    <t>Plattenmundstück für Fassadenniete</t>
  </si>
  <si>
    <t>rivet nosepiece for façade rivet</t>
  </si>
  <si>
    <t>embout de riveteuse pour rivet de façade</t>
  </si>
  <si>
    <t>Piastra per rivettatrice per rivetti da facciata</t>
  </si>
  <si>
    <t>Nástavec pro fasádní nýty</t>
  </si>
  <si>
    <t>Uchwyt do nitów do elewacji</t>
  </si>
  <si>
    <t>szegecselő talp homlokzati szegecshez</t>
  </si>
  <si>
    <t>plochá nitovacia špička pre fasádne nity</t>
  </si>
  <si>
    <t>Plaatmondstuk voor gevelklinknagels</t>
  </si>
  <si>
    <t>Ploščati ustnik za fasadne zakovice</t>
  </si>
  <si>
    <t>plåtmunstycke för fasadnitar</t>
  </si>
  <si>
    <t>Plademundstykke til facadenitte</t>
  </si>
  <si>
    <t>Platemunnstykke til fasadeskjøter</t>
  </si>
  <si>
    <t>Umetak za fasadne zakovice</t>
  </si>
  <si>
    <t>Außendurchmesser:</t>
  </si>
  <si>
    <t>outer diameter:</t>
  </si>
  <si>
    <t>diamètre extérieur :</t>
  </si>
  <si>
    <t>Diametro esterno:</t>
  </si>
  <si>
    <t>Vnější průměr:</t>
  </si>
  <si>
    <t>Średnica zewnętrzna:</t>
  </si>
  <si>
    <t>külső átmérő:</t>
  </si>
  <si>
    <t>Vonkajší priemer:</t>
  </si>
  <si>
    <t>Buitendiameter:</t>
  </si>
  <si>
    <t>Zunanji premer:</t>
  </si>
  <si>
    <t>Ytterdiameter:</t>
  </si>
  <si>
    <t>Udvendig diameter:</t>
  </si>
  <si>
    <t>Utvendig diameter:</t>
  </si>
  <si>
    <t>Vanjski promjer:</t>
  </si>
  <si>
    <t>Plattenmundstück für Balkonniete</t>
  </si>
  <si>
    <t>rivet nosepiece for balcony rivet</t>
  </si>
  <si>
    <t>embout de riveteuse pour rivet de balcon</t>
  </si>
  <si>
    <t>Piastra per rivettatrice per rivetti da balcone</t>
  </si>
  <si>
    <t>Nástavec pro balkónové nýty</t>
  </si>
  <si>
    <t>Uchwyt do nitów do balkonów</t>
  </si>
  <si>
    <t>szegecselő talp rozsdamentes szegecshez</t>
  </si>
  <si>
    <t>plochá nitovacia špička pre balkónové nity</t>
  </si>
  <si>
    <t>Plaatmondstuk voor balkonklinknagels</t>
  </si>
  <si>
    <t>Ploščati ustnik za balkonske zakovice</t>
  </si>
  <si>
    <t>plåtmunstycke för balkongnitar</t>
  </si>
  <si>
    <t>Plademundstykke til balkonnitte</t>
  </si>
  <si>
    <t>Platemunnstykke til balkongskjøter</t>
  </si>
  <si>
    <t>Umetak za balkonske zakovice</t>
  </si>
  <si>
    <t>Einhand-Federbohrvorrichtung</t>
  </si>
  <si>
    <t>spring-loaded boring fixture</t>
  </si>
  <si>
    <t>mandrin de perçage manuel</t>
  </si>
  <si>
    <t>Dispositivo di foratura a molla monocomando</t>
  </si>
  <si>
    <t>Jednoruční vrtací přípravek s pružinou</t>
  </si>
  <si>
    <t>Nawiertnik do przyrządu wiertarskiego</t>
  </si>
  <si>
    <t>egykezes rúgós fúró</t>
  </si>
  <si>
    <t>jednoručný pružinový vŕtací nástroj</t>
  </si>
  <si>
    <t>Eenhandig veerboorapparaat</t>
  </si>
  <si>
    <t>Ročni vzmetni vrtalnik</t>
  </si>
  <si>
    <t>enhands fjäderborranordning</t>
  </si>
  <si>
    <t>Enhånds-fjederboreanordning</t>
  </si>
  <si>
    <t>Fjærboreanordning til enhånds bruk</t>
  </si>
  <si>
    <t>Jednoručni uređaj za bušenje s oprugom</t>
  </si>
  <si>
    <t>Spezialbohrer für Metallunterkonstruktion (⌀ 5,1 × 85 mm)</t>
  </si>
  <si>
    <t>special drill bit for metal supporting substrates (⌀ 5.1 × 85 mm)</t>
  </si>
  <si>
    <t>foret spécial pour sous-construction métallique (⌀ 5,1 × 85 mm)</t>
  </si>
  <si>
    <t>Trapano speciale per sottostruttura metallica (⌀ 5.1 × 85 mm)</t>
  </si>
  <si>
    <t>Speciální vrták pro hliníkovou spodní konstrukci (⌀ 5,1 × 85 mm)</t>
  </si>
  <si>
    <t>Wiertło specjalne do konstrukcji nośnej z metalu (⌀ 5,1 × 85 mm)</t>
  </si>
  <si>
    <t>speciális fúrószár fém alátétszerkezetekhez (⌀ 5,1 × 85 mm)</t>
  </si>
  <si>
    <t>špeciálny vrták pre kovový nosný rošt (⌀ 5,1 × 85 mm)</t>
  </si>
  <si>
    <t>Speciale boor voor metalen onderconstructie (⌀ 5,1 × 85 mm)</t>
  </si>
  <si>
    <t>Poseben sveder za kovinsko podkonstrukcijo (⌀ 5,1 × 85 mm)</t>
  </si>
  <si>
    <t>specialborr för metallunderkonstruktion (⌀ 5,1 × 85 mm)</t>
  </si>
  <si>
    <t>Specialbor til metalunderkonstruktion (⌀ 5,1 × 85 mm)</t>
  </si>
  <si>
    <t>Spesialbor til underkonstruksjoner i metall (⌀ 5,1 × 85 mm)</t>
  </si>
  <si>
    <t>Specijalno svrdlo za metalnu potkonstrukciju (⌀ 5,1 × 85 mm)</t>
  </si>
  <si>
    <t>Festpunkthülse für Fixpunkt (⌀ 8,5 × 5,1 mm)</t>
  </si>
  <si>
    <t>fixed point bushing for fixed point (⌀ 8.5 × 5,1 mm)</t>
  </si>
  <si>
    <t>douille de guidage pour point fixe (⌀ 8,5 × 5,1 mm)</t>
  </si>
  <si>
    <t>Giunto per punto fisso (⌀ 8,5 × ⌀ 5,1 mm)</t>
  </si>
  <si>
    <t>Pouzdro pro pevný bod (⌀ 8,5 × 5,1 mm)</t>
  </si>
  <si>
    <t>Tuleja do punktu stałego (⌀ 8,5 × 5,1 mm)</t>
  </si>
  <si>
    <t>központosító hüvely fixponthoz (⌀ 8,5 × 5,1 mm)</t>
  </si>
  <si>
    <t>fixovacia objímka pre pevný bod (⌀ 8,5 × 5,1 mm)</t>
  </si>
  <si>
    <t>Huls vaste punt voor bevestigingspunt (⌀ 8,5 × 5,1 mm)</t>
  </si>
  <si>
    <t>Tulec za fiksno točko (⌀ 8,5 × 5,1 mm)</t>
  </si>
  <si>
    <t>fixpunktshylsa för fixpunkt (⌀ 8,5 × 5,1 mm)</t>
  </si>
  <si>
    <t>Fastpunktmuffe til fixpunkt (⌀ 8,5 × 5,1 mm)</t>
  </si>
  <si>
    <t>Fastpunkthylse til fastpunkt (⌀ 8,5 × 5,1 mm)</t>
  </si>
  <si>
    <t>Rukav s fiksnom točkom za fiksnu točku (⌀ 8,5 × 5,1 mm)</t>
  </si>
  <si>
    <t>Fassadenzentrierdichtring (⌀ 14 × 4 mm)</t>
  </si>
  <si>
    <t>façade-centring joint  (⌀ 14 × 4 mm)</t>
  </si>
  <si>
    <t>joint d’étanchéité (⌀ 14 × 4 mm)</t>
  </si>
  <si>
    <t>Anello di tenuta di centraggio per facciata (⌀ 14 × 4 mm)</t>
  </si>
  <si>
    <t>Středicí těsnicí kroužek pro fasády (⌀ 14 × 4 mm)</t>
  </si>
  <si>
    <t>Pierścień uszczelniający (⌀ 14 × 4 mm)</t>
  </si>
  <si>
    <t>homlokzati központosító tömítőgyűrű (⌀ 14 × 4 mm)</t>
  </si>
  <si>
    <t>fasádna centrovacia tesniaca podložka (⌀ 14 × 4 mm)</t>
  </si>
  <si>
    <t>Gevelcentrering afdichtingsring (⌀ 14 × 4 mm)</t>
  </si>
  <si>
    <t>Fasadni centrirni tesnilni obroč (⌀ 14 × 4 mm)</t>
  </si>
  <si>
    <t>fasadcentrerande tätningsring (⌀ 14 × 4 mm)</t>
  </si>
  <si>
    <t>Facadecentreringsring (⌀ 14 × 4 mm)</t>
  </si>
  <si>
    <t>Tetningsring for fasadesentrering (⌀ 14 × 4 mm)</t>
  </si>
  <si>
    <t>Prsten za centriranje fasade (⌀ 14 × 4 mm)</t>
  </si>
  <si>
    <t>EPDM-Fugenband (einseitig selbstklebend)</t>
  </si>
  <si>
    <t>EPDM joint tape (self-adhesive on one side)</t>
  </si>
  <si>
    <t>joint EPDM (un côté adhésif)</t>
  </si>
  <si>
    <t>Nastro coprifuga in EPDM (autoadesivo su un lato)</t>
  </si>
  <si>
    <t>Dilatační páska EPDM (jednostranná, samolepicí)</t>
  </si>
  <si>
    <t>Taśma EPDM do fug (jednostronnie samoprzylepna)</t>
  </si>
  <si>
    <t>EPDM-fugaszalag (egy oldalon öntapadó)</t>
  </si>
  <si>
    <t>EPDM utesňovací pás (z jednej strany samolepiaci)</t>
  </si>
  <si>
    <t>EPDM-voegband (eenzijdig zelfklevend)</t>
  </si>
  <si>
    <t>EPDM Trak za fuge (na eni strani samolepilni)</t>
  </si>
  <si>
    <t>EPDM fogband (självhäftande på ena sidan)</t>
  </si>
  <si>
    <t>EPDM-fugebånd (klæbende på den ene side)</t>
  </si>
  <si>
    <t>EPDM-fugebånd (selvklebende på én side)</t>
  </si>
  <si>
    <t>EPDM traka za reške (jednostrano samoljepljiva)</t>
  </si>
  <si>
    <t>EPDM-Fugenband (nicht selbstklebend)</t>
  </si>
  <si>
    <t>EPDM joint tape (not self-adhesive)</t>
  </si>
  <si>
    <t>joint EPDM (non adhésif)</t>
  </si>
  <si>
    <t>Nastro coprifuga in EPDM (non adesivo)</t>
  </si>
  <si>
    <t>Dilatační páska EPDM (není samolepicí)</t>
  </si>
  <si>
    <t>Taśma EPDM do fug (bez kleju)</t>
  </si>
  <si>
    <t>EPDM-fugaszalag (nem öntapadó)</t>
  </si>
  <si>
    <t>EPDM utesňovací pás (nie je samolepiaci)</t>
  </si>
  <si>
    <t>EPDM-voegband (niet zelfklevend)</t>
  </si>
  <si>
    <t>EPDM Trak za fuge (brez lepila)</t>
  </si>
  <si>
    <t>EPDM fogband (ej självhäftande)</t>
  </si>
  <si>
    <t>EPDM-fugebånd (ikke-selvklæbende)</t>
  </si>
  <si>
    <t>EPDM-fugebånd (ikke selvklebende)</t>
  </si>
  <si>
    <t>EPDM traka za reške (nije samoljepljiva)</t>
  </si>
  <si>
    <t>Spezialbohrer für Holzunterkonstruktion (⌀ 3,3 mm; DIN 338)</t>
  </si>
  <si>
    <t>special drill bit for timber supporting substrates (⌀ 3.3 mm; DIN 338)</t>
  </si>
  <si>
    <t>foret spécial pour sous-construction bois (⌀ 3,3 mm ; DIN 338)</t>
  </si>
  <si>
    <t>Trapano speciale per sottostruttura in legno (⌀ 3.3 × 338 mm)</t>
  </si>
  <si>
    <t>Speciální vrták pro dřevěnou spodní konstrukci (⌀ 3,3 × 338 mm)</t>
  </si>
  <si>
    <t>Wiertło specjalne do konstrukcji nośnej z metalu (⌀ 3,3 DIN 338 mm)</t>
  </si>
  <si>
    <t>speciális fúrószár fa alátétszerkezetekhez (⌀ 3,3 mm; DIN 338)</t>
  </si>
  <si>
    <t>špeciálny vrták pre drevený nosný rošt (⌀ 3,3 mm; DIN 338)</t>
  </si>
  <si>
    <t>Speciale boor voor houten onderconstructie (⌀ 3,3; DIN 338)</t>
  </si>
  <si>
    <t>Poseben sveder za leseno podkonstrukcijo (⌀ 3,3 × 338 mm)</t>
  </si>
  <si>
    <t>specialborr för träunderkonstruktion (⌀ 3,3 mm; DIN 338)</t>
  </si>
  <si>
    <t>Specialbor til træunderkonstruktion (⌀ 3,3 mm; DIN 338)</t>
  </si>
  <si>
    <t>Spesialbor til underkonstruksjoner i tre (⌀ 3,3 × 338 mm)</t>
  </si>
  <si>
    <t>Specijalno svrdlo za drvenu potkonstrukciju (⌀ 3,3 × 338 mm)</t>
  </si>
  <si>
    <t>Bügelbohrvorrichtung für Holzunterkonstruktion</t>
  </si>
  <si>
    <t>bracket boring fixture for timber supporting substrates</t>
  </si>
  <si>
    <t>étrier pour rivet (pour les sous-construction bois)</t>
  </si>
  <si>
    <t>Dispositivo di foratura a staffa per sottostruttura in legno</t>
  </si>
  <si>
    <t>Vrtací přípravek (držadlo) pro dřevěné spodní konstrukce</t>
  </si>
  <si>
    <t>Kabłąk przyrządu wiertarskiego do konstrukcji z drewna</t>
  </si>
  <si>
    <t>központosító segédeszköz fúráshoz fa alátétszerkezethez</t>
  </si>
  <si>
    <t>prípravok na vŕtanie pre drevený nosný rošt</t>
  </si>
  <si>
    <t>Beugelboorinrichting voor houten onderconstructie</t>
  </si>
  <si>
    <t>Nastavek za vrtanje v leseno podkonstrukcijo</t>
  </si>
  <si>
    <t>fästborranordning för träunderkonstruktion</t>
  </si>
  <si>
    <t>Borebeslag til træunderkonstruktion</t>
  </si>
  <si>
    <t>Bøyleboreanordning til underkonstruksjoner i tre</t>
  </si>
  <si>
    <t>Drška – naprava za bušenje za drvene potkonstrukcije</t>
  </si>
  <si>
    <t>F-Profil für PREFABOND</t>
  </si>
  <si>
    <t>F-profile for PREFABOND panels</t>
  </si>
  <si>
    <t>profil en F pour panneaux PREFABOND</t>
  </si>
  <si>
    <t>Profilo F per PREFABOND</t>
  </si>
  <si>
    <t>F profil pro PREFABOND</t>
  </si>
  <si>
    <t>Profil F do płyt PREFABOND</t>
  </si>
  <si>
    <t>PREFABOND F-profil</t>
  </si>
  <si>
    <t>F-profil pre PREFABOND</t>
  </si>
  <si>
    <t>F-profiel voor PREFABOND</t>
  </si>
  <si>
    <t>F-profil za PREFABOND</t>
  </si>
  <si>
    <t>F-Profil för PREFABOND</t>
  </si>
  <si>
    <t>F-profil til PREFABOND</t>
  </si>
  <si>
    <t>U-Profil für PREFABOND</t>
  </si>
  <si>
    <t>U-profile for PREFABOND panels</t>
  </si>
  <si>
    <t>profil en U pour panneaux PREFABOND</t>
  </si>
  <si>
    <t>Profilo U per PREFABOND</t>
  </si>
  <si>
    <t>U profil pro PREFABOND</t>
  </si>
  <si>
    <t>Profil U do płyt PREFABOND</t>
  </si>
  <si>
    <t>PREFABOND U-profil</t>
  </si>
  <si>
    <t>U-profil pre PREFABOND</t>
  </si>
  <si>
    <t>U-profiel voor PREFABOND</t>
  </si>
  <si>
    <t>U-profil za PREFABOND</t>
  </si>
  <si>
    <t>U-Profil för PREFABOND</t>
  </si>
  <si>
    <t>U-profil til PREFABOND</t>
  </si>
  <si>
    <t>90° V-Nut-Fräser</t>
  </si>
  <si>
    <t>90° V-slot milling cutter</t>
  </si>
  <si>
    <t>fraise à rainurer en V à 90°</t>
  </si>
  <si>
    <t>Fresa per scanalature a V a 90°</t>
  </si>
  <si>
    <t>90° fréza na drážku V</t>
  </si>
  <si>
    <t>Frez 90°</t>
  </si>
  <si>
    <t>90° V-nút marófej</t>
  </si>
  <si>
    <t>90° frézovač V drážky</t>
  </si>
  <si>
    <t>90° V-groeffrees</t>
  </si>
  <si>
    <t>Rezkar V-utora 90°</t>
  </si>
  <si>
    <t>90° V-spårfräs</t>
  </si>
  <si>
    <t>90° V-notfræser</t>
  </si>
  <si>
    <t>90°-fres</t>
  </si>
  <si>
    <t>90° glodalo</t>
  </si>
  <si>
    <t>135° V-Nut-Fräser</t>
  </si>
  <si>
    <t>135° V-slot milling cutter</t>
  </si>
  <si>
    <t>fraise à rainurer en V à 135°</t>
  </si>
  <si>
    <t>Fresa per scanalature a V a 135°</t>
  </si>
  <si>
    <t>135° fréza na drážku V</t>
  </si>
  <si>
    <t>Frez 135°</t>
  </si>
  <si>
    <t>135° V-nút marófej</t>
  </si>
  <si>
    <t>135° frézovač V drážky</t>
  </si>
  <si>
    <t>135° V-groeffrees</t>
  </si>
  <si>
    <t>Rezkar V-utora 135°</t>
  </si>
  <si>
    <t>135° V-spårfräs</t>
  </si>
  <si>
    <t>135° V-notfræser</t>
  </si>
  <si>
    <t>135°-fres</t>
  </si>
  <si>
    <t>135° glodalo</t>
  </si>
  <si>
    <t>Stufenbohrer (⌀ 9,5 × 5,1 mm)</t>
  </si>
  <si>
    <t>step drill bit (⌀ 9.5 × 5.1 mm)</t>
  </si>
  <si>
    <t>foret étagé (⌀ 9,5 × 5,1 mm)</t>
  </si>
  <si>
    <t>Trapano a gradini (⌀ 9,5 × 5,1 mm)</t>
  </si>
  <si>
    <t>Stupňovitý vrták (⌀ 9,5 × 5,1 mm)</t>
  </si>
  <si>
    <t>Wiertło stopniowe (⌀ 9,5 × 5,1 mm)</t>
  </si>
  <si>
    <t>lépcsős fúrószár (⌀ 9,5 × 5,1 mm)</t>
  </si>
  <si>
    <t>stupňovitý vrták (⌀ 9,5 × 5,1 mm)</t>
  </si>
  <si>
    <t>Trappenboor (⌀ 9,5 × 5,1 mm)</t>
  </si>
  <si>
    <t>Stopenjski sveder (⌀ 9,5 × 5,1 mm)</t>
  </si>
  <si>
    <t>stegborr (⌀ 9,5 × 5,1 mm)</t>
  </si>
  <si>
    <t>Trinbor (⌀ 9,5 × 5,1 mm)</t>
  </si>
  <si>
    <t>Trinnbor (⌀ 9,5 × 5,1 mm)</t>
  </si>
  <si>
    <t>Stupnjevito svrdlo (⌀ 9,5 × 5,1 mm)</t>
  </si>
  <si>
    <t>Tiefenanschlag für Stufenbohrer (⌀ 9,5 × 5,1 mm)</t>
  </si>
  <si>
    <t>step drill bit depth stop (⌀ 9.5 × 5.1 mm)</t>
  </si>
  <si>
    <t>butée de profondeur pour foret étagé (⌀ 9,5 × 5,1 mm)</t>
  </si>
  <si>
    <t>Arresto di profondità per trapano a gradini (⌀ 9,5 × 5,1 mm)</t>
  </si>
  <si>
    <t>Hloubkový doraz pro stupňovitý vrták (⌀ 9,5 × 5,1 mm)</t>
  </si>
  <si>
    <t>Ogranicznik głębokości do wiertła stopniowego (⌀ 9,5 × 5,1 mm)</t>
  </si>
  <si>
    <t>mélységütköző lépcsős fúróhoz (⌀ 9,5 × 5,1 mm)</t>
  </si>
  <si>
    <t>hĺbkový doraz pre stupňovitý vrták (⌀ 9,5 × 5,1 mm)</t>
  </si>
  <si>
    <t>Diepteaanslag voor trappenboor (⌀ 9,5 × 5,1 mm)</t>
  </si>
  <si>
    <t>Globinski omejevalnik za stopenjske svedre (⌀ 9,5 × 5,1 mm)</t>
  </si>
  <si>
    <t>djupstopp för stegborr (⌀ 9,5 × 5,1 mm)</t>
  </si>
  <si>
    <t>Dybdeanslag til trinbor (⌀ 9,5 × 5,1 mm)</t>
  </si>
  <si>
    <t>Dybdeanslag for trinnbor (⌀ 9,5 × 5,1 mm)</t>
  </si>
  <si>
    <t>Dubinski graničnik za stupnjevito svrdlo (⌀ 9,5 × 5,1 mm)</t>
  </si>
  <si>
    <t>Entgraterstiel</t>
  </si>
  <si>
    <t>deburring tool handle</t>
  </si>
  <si>
    <t>manche pour ébavureur</t>
  </si>
  <si>
    <t>Impugnatura per sbavatore</t>
  </si>
  <si>
    <t>Držadlo odhrotovačky</t>
  </si>
  <si>
    <t>Uchwyt do gratownika</t>
  </si>
  <si>
    <t>sorjázó nyél</t>
  </si>
  <si>
    <t>orezávač hrán</t>
  </si>
  <si>
    <t>Afbramer</t>
  </si>
  <si>
    <t>Ročaj za strgalo</t>
  </si>
  <si>
    <t>avgradningshandtag</t>
  </si>
  <si>
    <t>Afgrater</t>
  </si>
  <si>
    <t>Skaft til avgrader</t>
  </si>
  <si>
    <t>Drška strugala</t>
  </si>
  <si>
    <t>Klingen für Entgraterstiel</t>
  </si>
  <si>
    <t>blades for deburring tool handle</t>
  </si>
  <si>
    <t>lames pour ébavureur</t>
  </si>
  <si>
    <t>Lama per sbavatore</t>
  </si>
  <si>
    <t>Nástavce do držadla odhrotovačky</t>
  </si>
  <si>
    <t>Ostrza do gratownika</t>
  </si>
  <si>
    <t>kések sorjázó nyélhez</t>
  </si>
  <si>
    <t>čepele pre orezávač hrán</t>
  </si>
  <si>
    <t>Klinknagels voor afbramer</t>
  </si>
  <si>
    <t>Strgalo</t>
  </si>
  <si>
    <t>Blad för avgradningshandtag</t>
  </si>
  <si>
    <t>Klinger til afgrater</t>
  </si>
  <si>
    <t>Blad til avgraderskaft</t>
  </si>
  <si>
    <t>Noževi za dršku strugala</t>
  </si>
  <si>
    <t>Folienschneider</t>
  </si>
  <si>
    <t>film cutter</t>
  </si>
  <si>
    <t>couteau</t>
  </si>
  <si>
    <t>Taglierina per fogli di alluminio</t>
  </si>
  <si>
    <t>Řezačka fólie</t>
  </si>
  <si>
    <t>Obcinarka do folii</t>
  </si>
  <si>
    <t>fólialyukasztó</t>
  </si>
  <si>
    <t>vyrezávač fólie</t>
  </si>
  <si>
    <t>Foliesnijder</t>
  </si>
  <si>
    <t>Rezilo za folije</t>
  </si>
  <si>
    <t>folieskärare</t>
  </si>
  <si>
    <t>Folieskærer</t>
  </si>
  <si>
    <t>Foliekutter</t>
  </si>
  <si>
    <t>Rezač folije</t>
  </si>
  <si>
    <t>Montagehilfe PREFABOND</t>
  </si>
  <si>
    <t>PREFABOND mounting aid</t>
  </si>
  <si>
    <t>cale d’espacement pour PREFABOND</t>
  </si>
  <si>
    <t>Ausilio per montaggio PREFABOND</t>
  </si>
  <si>
    <t>Montážní pomůcka pro PREFABOND</t>
  </si>
  <si>
    <t>Przyrząd montażowy PREFABOND</t>
  </si>
  <si>
    <t>PREFABOND fugabeállító eszköz</t>
  </si>
  <si>
    <t>montážna pomôcka PREFABOND</t>
  </si>
  <si>
    <t>Montagehulp PREFABOND</t>
  </si>
  <si>
    <t>Pripomoček za montažo PREFABOND</t>
  </si>
  <si>
    <t>Monteringshjälp PREFABOND</t>
  </si>
  <si>
    <t>Monteringshjælp PREFABOND</t>
  </si>
  <si>
    <t>Monteringshjelp PREFABOND</t>
  </si>
  <si>
    <t>Pomagalo za montažu PREFABOND</t>
  </si>
  <si>
    <t>Saugnapf und Mutter</t>
  </si>
  <si>
    <t>suction cup with nut</t>
  </si>
  <si>
    <t>ventouse et écrou</t>
  </si>
  <si>
    <t>Ventosa e dado</t>
  </si>
  <si>
    <t>Přísavka a matice</t>
  </si>
  <si>
    <t>Przyssawka i nakrętka</t>
  </si>
  <si>
    <t>vákuumkorong és anya</t>
  </si>
  <si>
    <t>prísavka a matica</t>
  </si>
  <si>
    <t>Zuignap en moer</t>
  </si>
  <si>
    <t>Vakumski nastavek in matica</t>
  </si>
  <si>
    <t>sugkopp och mutter</t>
  </si>
  <si>
    <t>Sugekop og møtrik</t>
  </si>
  <si>
    <t>Sugekopp og mutter</t>
  </si>
  <si>
    <t>Usisna čašica i matica</t>
  </si>
  <si>
    <t>Balkonniete</t>
  </si>
  <si>
    <t>balcony rivet</t>
  </si>
  <si>
    <t>rivet de balcon</t>
  </si>
  <si>
    <t>Rivetti per balcone</t>
  </si>
  <si>
    <t>Balkónové nýty</t>
  </si>
  <si>
    <t>Nit do balkonów</t>
  </si>
  <si>
    <t>rozsdamentes szegecs</t>
  </si>
  <si>
    <t>balkónové nity</t>
  </si>
  <si>
    <t>Balkonklinknagel</t>
  </si>
  <si>
    <t>Balkonska kovica</t>
  </si>
  <si>
    <t>balkongnit</t>
  </si>
  <si>
    <t>Balkonnitte</t>
  </si>
  <si>
    <t>Balkongskjøter</t>
  </si>
  <si>
    <t>Balkonska zakovica</t>
  </si>
  <si>
    <t>Befestigung für Balkonverkleidung</t>
  </si>
  <si>
    <t>fastening for balcony cladding</t>
  </si>
  <si>
    <t>fixation pour habillages de balcon</t>
  </si>
  <si>
    <t>Fissaggio per rivestimento di balconi</t>
  </si>
  <si>
    <t>Připevnění pro obložení balkónu</t>
  </si>
  <si>
    <t>Mocowanie do okładzin balkonowych</t>
  </si>
  <si>
    <t>rögzítés erkélyburkolathoz</t>
  </si>
  <si>
    <t>upevnenie pre obloženie balkóna</t>
  </si>
  <si>
    <t>Bevestiging voor balkonbekleding</t>
  </si>
  <si>
    <t>Pritrditev za balkonsko oblogo</t>
  </si>
  <si>
    <t>infästning för balkongbeklädnad</t>
  </si>
  <si>
    <t>Fastgørelse til balkonbeklædning</t>
  </si>
  <si>
    <t>Feste av balkongkledning</t>
  </si>
  <si>
    <t>Pričvršćivač za balkonsku oblogu</t>
  </si>
  <si>
    <t>Ansprechperson:</t>
  </si>
  <si>
    <t>Point of contact:</t>
  </si>
  <si>
    <t>Contact :</t>
  </si>
  <si>
    <t>Interlocutore:</t>
  </si>
  <si>
    <t>Kontaktní osoba:</t>
  </si>
  <si>
    <t>Osoba kontaktowa:</t>
  </si>
  <si>
    <t>Kontaktná osoba:</t>
  </si>
  <si>
    <t>Kontaktna oseba:</t>
  </si>
  <si>
    <t>Verschnitt:</t>
  </si>
  <si>
    <t>Offcuts:</t>
  </si>
  <si>
    <t>Déchets de coupe :</t>
  </si>
  <si>
    <t>Taglio:</t>
  </si>
  <si>
    <t>Prořez:</t>
  </si>
  <si>
    <t>Ścinki:</t>
  </si>
  <si>
    <t>vágott anyag:</t>
  </si>
  <si>
    <t>Stratné:</t>
  </si>
  <si>
    <t>Mengsel:</t>
  </si>
  <si>
    <t>Razrez:</t>
  </si>
  <si>
    <t>avfallsbitar:</t>
  </si>
  <si>
    <t>Affald:</t>
  </si>
  <si>
    <t>Snitt:</t>
  </si>
  <si>
    <t>Pogrešan rez:</t>
  </si>
  <si>
    <t>Platten</t>
  </si>
  <si>
    <t>panels</t>
  </si>
  <si>
    <t>panneaux</t>
  </si>
  <si>
    <t>Lastre</t>
  </si>
  <si>
    <t>Desky</t>
  </si>
  <si>
    <t>Płyty</t>
  </si>
  <si>
    <t>lemezek</t>
  </si>
  <si>
    <t>dosky</t>
  </si>
  <si>
    <t>Platen</t>
  </si>
  <si>
    <t>Plošče</t>
  </si>
  <si>
    <t>plattor</t>
  </si>
  <si>
    <t>Plader</t>
  </si>
  <si>
    <t>Plater</t>
  </si>
  <si>
    <t>Ploče</t>
  </si>
  <si>
    <t>bearbeitet:</t>
  </si>
  <si>
    <t>processed:</t>
  </si>
  <si>
    <t>façonné :</t>
  </si>
  <si>
    <t>lavorato:</t>
  </si>
  <si>
    <t>opracováno:</t>
  </si>
  <si>
    <t>obrobione:</t>
  </si>
  <si>
    <t>megmunkálva:</t>
  </si>
  <si>
    <t>opracované:</t>
  </si>
  <si>
    <t>bewerkt:</t>
  </si>
  <si>
    <t>obdelane:</t>
  </si>
  <si>
    <t>bearbetade:</t>
  </si>
  <si>
    <t>bearbejdet:</t>
  </si>
  <si>
    <t>Bearbeidet:</t>
  </si>
  <si>
    <t>obrađeno:</t>
  </si>
  <si>
    <t>unbearbeitet:</t>
  </si>
  <si>
    <t>unprocessed:</t>
  </si>
  <si>
    <t>non façonné :</t>
  </si>
  <si>
    <t>non lavorato:</t>
  </si>
  <si>
    <t>neopracováno:</t>
  </si>
  <si>
    <t>nieobrobione:</t>
  </si>
  <si>
    <t>megmunkálás nélkül:</t>
  </si>
  <si>
    <t>neopracované:</t>
  </si>
  <si>
    <t>onbewerkt:</t>
  </si>
  <si>
    <t>neobdelane:</t>
  </si>
  <si>
    <t>obearbetade:</t>
  </si>
  <si>
    <t>ubearbejdet:</t>
  </si>
  <si>
    <t>Ubearbeidet:</t>
  </si>
  <si>
    <t>neobrađeno:</t>
  </si>
  <si>
    <t>Lagerfarben</t>
  </si>
  <si>
    <t>in-stock colours</t>
  </si>
  <si>
    <t>couleurs en stock</t>
  </si>
  <si>
    <t>Colori a magazzino</t>
  </si>
  <si>
    <t>Barvy na skladě</t>
  </si>
  <si>
    <t>Kolory elementów dostępnych w magazynie</t>
  </si>
  <si>
    <t>Raktározott színek</t>
  </si>
  <si>
    <t>farby na sklade</t>
  </si>
  <si>
    <t>Voorraadkleuren</t>
  </si>
  <si>
    <t>Skladiščne barve</t>
  </si>
  <si>
    <t>lagerfärger</t>
  </si>
  <si>
    <t>Lagerfarver</t>
  </si>
  <si>
    <t>Lagerfarger</t>
  </si>
  <si>
    <t>Boje na skladištu</t>
  </si>
  <si>
    <t>Befestigung</t>
  </si>
  <si>
    <t>fastening</t>
  </si>
  <si>
    <t>fixation</t>
  </si>
  <si>
    <t>Fissaggio</t>
  </si>
  <si>
    <t>Připevnění</t>
  </si>
  <si>
    <t>Mocowanie</t>
  </si>
  <si>
    <t>rögzítés</t>
  </si>
  <si>
    <t>upevnenie</t>
  </si>
  <si>
    <t>Bevestiging</t>
  </si>
  <si>
    <t>infästning</t>
  </si>
  <si>
    <t>Fastgørelse</t>
  </si>
  <si>
    <t>Feste</t>
  </si>
  <si>
    <t>Pričvršćivač</t>
  </si>
  <si>
    <t>Anzahl:</t>
  </si>
  <si>
    <t>Number:</t>
  </si>
  <si>
    <t>Nombre :</t>
  </si>
  <si>
    <t>Quantità:</t>
  </si>
  <si>
    <t>Počet:</t>
  </si>
  <si>
    <t>Liczba:</t>
  </si>
  <si>
    <t>darabszám:</t>
  </si>
  <si>
    <t>Aantal:</t>
  </si>
  <si>
    <t>Število:</t>
  </si>
  <si>
    <t>Antal:</t>
  </si>
  <si>
    <t>Antall:</t>
  </si>
  <si>
    <t>Broj:</t>
  </si>
  <si>
    <t>Eine genaue Ermittlung kann erst nach Übermittlung der Naturmaße des Verlegers erfolgen.</t>
  </si>
  <si>
    <t>An exact determination can only be made after the roofer has provided the actual dimensions.</t>
  </si>
  <si>
    <t>Une estimation précise n’est possible qu’après communication par le couvreur des dimensions concrètes.</t>
  </si>
  <si>
    <t>Una determinazione esatta può essere fatta solo dopo che il posatore ha fornito le dimensioni naturali.</t>
  </si>
  <si>
    <t>Přesné určení lze provést až poté, co pokrývač dodá skutečné rozměry.</t>
  </si>
  <si>
    <t>Dokładnego określenia można dokonać dopiero po podaniu przez montera wymiarów naturalnych.</t>
  </si>
  <si>
    <t>Pontos számítás csak azután lehetséges, hogy a burkoló a természetes méreteket megadta.</t>
  </si>
  <si>
    <t>Presné určenie je možné až po získaní skutočných rozmerov od montážnej firmy.</t>
  </si>
  <si>
    <t>Een exacte bepaling kan pas worden gedaan nadat de uitgever de natuurlijke afmetingen heeft verstrekt.</t>
  </si>
  <si>
    <t>Natančna določitev se lahko izvede šele, ko polagalec posreduje dejanske dimenzije.</t>
  </si>
  <si>
    <t>En exakt bestämning kan göras först efter att installatören har skickat måtten.</t>
  </si>
  <si>
    <t>En nøjagtig beregning kan først ske efter overførsel af de reelle mål.</t>
  </si>
  <si>
    <t>En nøyaktig bestemmelse kan først gjøres etter at installatøren har sendt oss naturmålene.</t>
  </si>
  <si>
    <t>Točna se procjena može napraviti tek nakon prijenosa stvarnih dimenzija izdavača.</t>
  </si>
  <si>
    <t>PREFA übernimmt keinerlei Garantie bezüglich Material- und Verschnittangaben.</t>
  </si>
  <si>
    <t>PREFA assumes no guarantee whatsoever for material and offcut specifications.</t>
  </si>
  <si>
    <t>PREFA ne se porte aucunement garante des données précises sur le matériau et les déchets de coupe.</t>
  </si>
  <si>
    <t>PREFA non fornisce alcuna garanzia riguardo alle specifiche del materiale e del taglio.</t>
  </si>
  <si>
    <t>PREFA neručí za údaje o prořezu a potřebném množství materiálu.</t>
  </si>
  <si>
    <t>Firma PREFA nie udziela żadnej gwarancji w odniesieniu do specyfikacji materiałów i ilości odpadów.</t>
  </si>
  <si>
    <t>A PREFA a vágott anyagok méretadataira vonatkozóan garanciát nem vállal.</t>
  </si>
  <si>
    <t>PREFA nepreberá žiadnu záruku za údaje o materiáli a stratnom.</t>
  </si>
  <si>
    <t>PREFA geeft geen garantie met betrekking tot materiaal- en afsnijspecificaties.</t>
  </si>
  <si>
    <t>PREFA ne prevzema nikakršnega jamstva glede informacij o materialu in razrezih.</t>
  </si>
  <si>
    <t>PREFA lämnar ingen som helst garanti med avseende på material- och avfallsinformation.</t>
  </si>
  <si>
    <t>PREFA påtager sig ingen garanti med hensyn til materiale- og tilskæringsoplysninger.</t>
  </si>
  <si>
    <t>PREFA giir ingen garanti med hensyn til material- og snittinformasjon.</t>
  </si>
  <si>
    <t>PREFA ne preuzima nikakva jamstva u pogledu informacija o materijalu i otpadu.</t>
  </si>
  <si>
    <t>Diese sind ausschließlich vom Verarbeiter zu berechnen und zu kontrollieren!</t>
  </si>
  <si>
    <t>They must be calculated and checked by the roofer.</t>
  </si>
  <si>
    <t>Il appartient exclusivement au couvreur de les calculer et de les vérifier !</t>
  </si>
  <si>
    <t>Devono essere calcolati e controllati esclusivamente da chi li elabora!</t>
  </si>
  <si>
    <t>Tyto údaje musí spočítat a zkontrolovat zpracovatel!</t>
  </si>
  <si>
    <t>Powinny one być obliczane i sprawdzane wyłącznie przez przetwarzającego!</t>
  </si>
  <si>
    <t>Ezeket kiszámítása és ellenőrzése a burkoló kizárólagos feladata!</t>
  </si>
  <si>
    <t>Musí ich vypočítať a skontrolovať výlučne realizátor!</t>
  </si>
  <si>
    <t>Deze moeten uitsluitend door de verwerker worden berekend en gecontroleerd!</t>
  </si>
  <si>
    <t>Te mora izračunati in preveriti izključno obdelovalec!</t>
  </si>
  <si>
    <t>Dessa ska endast beräknas och kontrolleras av utföraren!</t>
  </si>
  <si>
    <t>Disse skal udelukkende beregnes og kontrolleres af brugeren!</t>
  </si>
  <si>
    <t>Denne skal beregnes og kontrolleres av håndverkeren!</t>
  </si>
  <si>
    <t>To mora izračunati i provjeriti isključivo obrađivač!</t>
  </si>
  <si>
    <t>Summe</t>
  </si>
  <si>
    <t>total</t>
  </si>
  <si>
    <t>somme</t>
  </si>
  <si>
    <t>Somma</t>
  </si>
  <si>
    <t>összeg</t>
  </si>
  <si>
    <t>suma</t>
  </si>
  <si>
    <t>Som</t>
  </si>
  <si>
    <t>Vsota</t>
  </si>
  <si>
    <t>summa</t>
  </si>
  <si>
    <t>Sum</t>
  </si>
  <si>
    <t>Schnittlänge</t>
  </si>
  <si>
    <t>cutting length</t>
  </si>
  <si>
    <t>longueur de coupe</t>
  </si>
  <si>
    <t>Lunghezza di taglio</t>
  </si>
  <si>
    <t>Délka řezu</t>
  </si>
  <si>
    <t>Długość cięcia</t>
  </si>
  <si>
    <t>vágási hossz</t>
  </si>
  <si>
    <t>dĺžka rezu</t>
  </si>
  <si>
    <t>Snijlengte</t>
  </si>
  <si>
    <t>Dolžina reza</t>
  </si>
  <si>
    <t>skärlängd</t>
  </si>
  <si>
    <t>Snitlængde</t>
  </si>
  <si>
    <t>Snittlengde</t>
  </si>
  <si>
    <t>Duljina rezanja</t>
  </si>
  <si>
    <t>Fräslänge</t>
  </si>
  <si>
    <t>milling length</t>
  </si>
  <si>
    <t>longueur de fraisage</t>
  </si>
  <si>
    <t>Lunghezza di fresatura</t>
  </si>
  <si>
    <t>Délka frézování</t>
  </si>
  <si>
    <t>Długość frezowania</t>
  </si>
  <si>
    <t>marási hossz</t>
  </si>
  <si>
    <t>dĺžka frézovania</t>
  </si>
  <si>
    <t>Freeslengte</t>
  </si>
  <si>
    <t>Dolžina rezkanja</t>
  </si>
  <si>
    <t>fräslängd</t>
  </si>
  <si>
    <t>Fræselængde</t>
  </si>
  <si>
    <t>Freselengde</t>
  </si>
  <si>
    <t>Duljina glodanja</t>
  </si>
  <si>
    <t>Fräslänge (gesamt)</t>
  </si>
  <si>
    <t>milling length (total)</t>
  </si>
  <si>
    <t>longueur de fraisage (totale)</t>
  </si>
  <si>
    <t>Lunghezza di fresatura (totale)</t>
  </si>
  <si>
    <t>Délka frézování (celkem)</t>
  </si>
  <si>
    <t>Długość frezowania (razem)</t>
  </si>
  <si>
    <t>marási hossz (összesen)</t>
  </si>
  <si>
    <t>dĺžka frézovania (celkom)</t>
  </si>
  <si>
    <t>Freeslengte (totaal)</t>
  </si>
  <si>
    <t>Dolžina rezkanja (skupaj)</t>
  </si>
  <si>
    <t>fräslängd (totalt)</t>
  </si>
  <si>
    <t>Fræselængde (i alt)</t>
  </si>
  <si>
    <t>Freselengde (samlet)</t>
  </si>
  <si>
    <t>Duljina glodanja (ukupno)</t>
  </si>
  <si>
    <t>Ausklinkungen</t>
  </si>
  <si>
    <t>notches</t>
  </si>
  <si>
    <t>encoches</t>
  </si>
  <si>
    <t>Tacche</t>
  </si>
  <si>
    <t>Výřezy</t>
  </si>
  <si>
    <t>Nacięcia</t>
  </si>
  <si>
    <t>bemetszések</t>
  </si>
  <si>
    <t>vyseknutia</t>
  </si>
  <si>
    <t>Inkepingen</t>
  </si>
  <si>
    <t>Zareze</t>
  </si>
  <si>
    <t>urtag</t>
  </si>
  <si>
    <t>Udklinkning</t>
  </si>
  <si>
    <t>Skårskjæring</t>
  </si>
  <si>
    <t>Urezi</t>
  </si>
  <si>
    <t>Bohrungen</t>
  </si>
  <si>
    <t>holes</t>
  </si>
  <si>
    <t>trous</t>
  </si>
  <si>
    <t>Fori</t>
  </si>
  <si>
    <t>Otvory</t>
  </si>
  <si>
    <t>Wiercone otwory</t>
  </si>
  <si>
    <t>furatok</t>
  </si>
  <si>
    <t>vŕtania</t>
  </si>
  <si>
    <t>Boringen</t>
  </si>
  <si>
    <t>Izvrtine</t>
  </si>
  <si>
    <t>borrningar</t>
  </si>
  <si>
    <t>Boringer</t>
  </si>
  <si>
    <t>Borehull</t>
  </si>
  <si>
    <t>Rupe od bušenja</t>
  </si>
  <si>
    <t>Bohrungen (gesamt)</t>
  </si>
  <si>
    <t>holes (total)</t>
  </si>
  <si>
    <t>trous (total)</t>
  </si>
  <si>
    <t>Fori (totali)</t>
  </si>
  <si>
    <t>Otvory (celkem)</t>
  </si>
  <si>
    <t>Wiercone otwory (razem)</t>
  </si>
  <si>
    <t>furatok (összes)</t>
  </si>
  <si>
    <t>vŕtania (celkom)</t>
  </si>
  <si>
    <t>Boringen (totaal)</t>
  </si>
  <si>
    <t>Izvrtine (skupaj)</t>
  </si>
  <si>
    <t>borrningar (totalt)</t>
  </si>
  <si>
    <t>Boringer (i alt)</t>
  </si>
  <si>
    <t>Borehull (samlet)</t>
  </si>
  <si>
    <t>Rupe od bušenja (ukupno)</t>
  </si>
  <si>
    <t>Konturfräslängen</t>
  </si>
  <si>
    <t>contour milling lengths</t>
  </si>
  <si>
    <t>longueurs de détourage</t>
  </si>
  <si>
    <t>Lunghezze di fresatura dei contorni</t>
  </si>
  <si>
    <t>Délky frézování kontur</t>
  </si>
  <si>
    <t>Długość frezowania konturu</t>
  </si>
  <si>
    <t>kontúrmarás hossza</t>
  </si>
  <si>
    <t>dĺžky frézovania kontúr</t>
  </si>
  <si>
    <t>Contour freeslengtes</t>
  </si>
  <si>
    <t>Dolžine rezkanja kontur</t>
  </si>
  <si>
    <t>konturfräsningslängder</t>
  </si>
  <si>
    <t>Konturfræselængder</t>
  </si>
  <si>
    <t>Konturfreselengder</t>
  </si>
  <si>
    <t>Duljine konturnog glodanja</t>
  </si>
  <si>
    <t>Konturfräslängen (gesamt)</t>
  </si>
  <si>
    <t>contour milling lengths (total)</t>
  </si>
  <si>
    <t>longueurs de détourage (total)</t>
  </si>
  <si>
    <t>Lunghezze di fresatura dei contorni (totale)</t>
  </si>
  <si>
    <t>Délky frézování kontur (celkem)</t>
  </si>
  <si>
    <t>Długość frezowania konturu (razem)</t>
  </si>
  <si>
    <t>kontúrmarás hossza (összesen)</t>
  </si>
  <si>
    <t>dĺžky frézovania kontúr (celkom)</t>
  </si>
  <si>
    <t>Contour freeslengtes (totaal)</t>
  </si>
  <si>
    <t>Dolžine rezkanja kontur (skupaj)</t>
  </si>
  <si>
    <t>konturfräsningslängder (totalt)</t>
  </si>
  <si>
    <t>Konturfræselængder (i alt)</t>
  </si>
  <si>
    <t>Konturfreselengder (samlet)</t>
  </si>
  <si>
    <t>Duljine konturnog glodanja (ukupno)</t>
  </si>
  <si>
    <r>
      <t>Folienschneider für Fixpunkt (</t>
    </r>
    <r>
      <rPr>
        <sz val="11"/>
        <color rgb="FF000000"/>
        <rFont val="Arial"/>
        <family val="2"/>
      </rPr>
      <t>⌀ 5,1 mm)</t>
    </r>
  </si>
  <si>
    <r>
      <t>couteau pour point fixe (</t>
    </r>
    <r>
      <rPr>
        <sz val="11"/>
        <color rgb="FF000000"/>
        <rFont val="Arial"/>
        <family val="2"/>
      </rPr>
      <t>⌀ 5,1 mm)</t>
    </r>
  </si>
  <si>
    <r>
      <t>Folienschneider für Gleitpunkt (</t>
    </r>
    <r>
      <rPr>
        <sz val="11"/>
        <color rgb="FF000000"/>
        <rFont val="Arial"/>
        <family val="2"/>
      </rPr>
      <t>⌀ 9,5 mm)</t>
    </r>
  </si>
  <si>
    <r>
      <t>couteau pour point coulissant (</t>
    </r>
    <r>
      <rPr>
        <sz val="11"/>
        <color rgb="FF000000"/>
        <rFont val="Arial"/>
        <family val="2"/>
      </rPr>
      <t>⌀ 9,5 mm)</t>
    </r>
  </si>
  <si>
    <t>Montagehilfe PREFABOND (Fugenbreite: 8 mm)</t>
  </si>
  <si>
    <t>PREFABOND mounting aid (joint width: 8 mm)</t>
  </si>
  <si>
    <t>cale d’espacement pour PREFABOND (largeur de joint : 8 mm)</t>
  </si>
  <si>
    <t>Ausilio per montaggio PREFABOND (larghezza delle fughe: 8 mm)</t>
  </si>
  <si>
    <t>Montážní pomůcka pro PREFABOND (šířka spáry: 8 mm)</t>
  </si>
  <si>
    <t>Przyrząd montażowy PREFABOND (szerokość szczeliny: 8 mm)</t>
  </si>
  <si>
    <t>szerelési segédeszköz PREFABOND (fugaszélesség: 8 mm)</t>
  </si>
  <si>
    <t>montážna pomôcka PREFABOND (šírka škáry: 8 mm)</t>
  </si>
  <si>
    <t>Montagehulp PREFABOND (voegbreedte: 8 mm)</t>
  </si>
  <si>
    <t>Pripomoček za montažo PREFABOND (širina fuge: 8 mm)</t>
  </si>
  <si>
    <t>PREFABOND monteringshjälp (fogbredd: 8 mm)</t>
  </si>
  <si>
    <t>Monteringshjælp PREFABOND (fugebredde: 8 mm)</t>
  </si>
  <si>
    <t>Monteringshjelp PREFABOND (fugebredde: 8 mm)</t>
  </si>
  <si>
    <t>PREFABOND pomagalo za montažu (širina fuga: 8 mm)</t>
  </si>
  <si>
    <t>Montagehilfe PREFABOND (Fugenbreite: 10 mm)</t>
  </si>
  <si>
    <t>PREFABOND mounting aid (joint width: 10 mm)</t>
  </si>
  <si>
    <t>cale d’espacement pour PREFABOND (largeur de joint : 10 mm)</t>
  </si>
  <si>
    <t>Ausilio per montaggio PREFABOND (larghezza delle fughe: 10 mm)</t>
  </si>
  <si>
    <t>Montážní pomůcka pro PREFABOND (šířka spáry: 10 mm)</t>
  </si>
  <si>
    <t>Przyrząd montażowy PREFABOND (szerokość szczeliny: 10 mm)</t>
  </si>
  <si>
    <t>szerelési segédeszköz PREFABOND (fugaszélesség: 10 mm)</t>
  </si>
  <si>
    <t>montážna pomôcka PREFABOND (šírka škáry: 10 mm)</t>
  </si>
  <si>
    <t>Montagehulp PREFABOND (voegbreedte: 10 mm)</t>
  </si>
  <si>
    <t>Pripomoček za montažo PREFABOND (širina fuge: 10 mm)</t>
  </si>
  <si>
    <t>PREFABOND monteringshjälp (fogbredd: 10 mm)</t>
  </si>
  <si>
    <t>Monteringshjælp PREFABOND (fugebredde: 10 mm)</t>
  </si>
  <si>
    <t>Monteringshjelp PREFABOND (fugebredde: 10 mm)</t>
  </si>
  <si>
    <t>PREFABOND pomagalo za montažu (širina fuga: 10 mm)</t>
  </si>
  <si>
    <t>Bitte wählen</t>
  </si>
  <si>
    <t>Please select</t>
  </si>
  <si>
    <t>Veuillez sélectionner</t>
  </si>
  <si>
    <t>scegliere per favore</t>
  </si>
  <si>
    <t>Prosím vybrat</t>
  </si>
  <si>
    <t>Proszę wybrać</t>
  </si>
  <si>
    <t>Kérjük, válasszon</t>
  </si>
  <si>
    <t>Prosím, vyberte</t>
  </si>
  <si>
    <t>Selecteer</t>
  </si>
  <si>
    <t>Izberite</t>
  </si>
  <si>
    <t>Välj</t>
  </si>
  <si>
    <t>Vælg venligst</t>
  </si>
  <si>
    <t>Vennligst velg</t>
  </si>
  <si>
    <t>Molimo odabrati</t>
  </si>
  <si>
    <t>mitliefern</t>
  </si>
  <si>
    <t>to be delivered</t>
  </si>
  <si>
    <t>livrer</t>
  </si>
  <si>
    <t>consegnare insieme</t>
  </si>
  <si>
    <t>součást dodávky</t>
  </si>
  <si>
    <t>uwzględnić</t>
  </si>
  <si>
    <t>szállítás része</t>
  </si>
  <si>
    <t>dodať súčasne</t>
  </si>
  <si>
    <t>meeleveren</t>
  </si>
  <si>
    <t>dobaviti</t>
  </si>
  <si>
    <t>medlevereras</t>
  </si>
  <si>
    <t>leveres</t>
  </si>
  <si>
    <t>Medfølger</t>
  </si>
  <si>
    <t>dostaviti</t>
  </si>
  <si>
    <t>nicht mitliefern</t>
  </si>
  <si>
    <t>not to be delivered</t>
  </si>
  <si>
    <t>ne pas livrer</t>
  </si>
  <si>
    <t>non consegnare insieme</t>
  </si>
  <si>
    <t>není součástí dodávky</t>
  </si>
  <si>
    <t>nie uwzględniać</t>
  </si>
  <si>
    <t>nem a szállítás része</t>
  </si>
  <si>
    <t>nedodať súčasne</t>
  </si>
  <si>
    <t>niet meeleveren</t>
  </si>
  <si>
    <t>ne dobaviti</t>
  </si>
  <si>
    <t>medlevereras ej</t>
  </si>
  <si>
    <t>leveres ikke</t>
  </si>
  <si>
    <t>Medfølger ikke</t>
  </si>
  <si>
    <t>ne dostaviti</t>
  </si>
  <si>
    <t>Einsatzmaterial [mm]</t>
  </si>
  <si>
    <t>material required [mm]</t>
  </si>
  <si>
    <t>matériau requis [mm]</t>
  </si>
  <si>
    <t>Materiale da inserire [mm]</t>
  </si>
  <si>
    <t>Použitý materiál [mm]</t>
  </si>
  <si>
    <t>Materiał wsadowy [mm]</t>
  </si>
  <si>
    <t>felhasznált anyag [mm]</t>
  </si>
  <si>
    <t>použitý materiál [mm]</t>
  </si>
  <si>
    <t>Inzetmateriaal [mm]</t>
  </si>
  <si>
    <t>Vložek [mm]</t>
  </si>
  <si>
    <t>material [mm]</t>
  </si>
  <si>
    <t>Råmateriale [mm]</t>
  </si>
  <si>
    <t>Bruksmaterial [mm]</t>
  </si>
  <si>
    <t>Potrebno materijala [mm]</t>
  </si>
  <si>
    <t>Breite</t>
  </si>
  <si>
    <t>width</t>
  </si>
  <si>
    <t>largeur</t>
  </si>
  <si>
    <t>Larghezza</t>
  </si>
  <si>
    <t>Šířka</t>
  </si>
  <si>
    <t>Szerokość</t>
  </si>
  <si>
    <t>szélesség</t>
  </si>
  <si>
    <t>šírka</t>
  </si>
  <si>
    <t>Breedte</t>
  </si>
  <si>
    <t>bredd</t>
  </si>
  <si>
    <t>Bredde</t>
  </si>
  <si>
    <t>Schrauben</t>
  </si>
  <si>
    <t>screws</t>
  </si>
  <si>
    <t>vis</t>
  </si>
  <si>
    <t>Viti</t>
  </si>
  <si>
    <t>Šrouby</t>
  </si>
  <si>
    <t>Śruby</t>
  </si>
  <si>
    <t>csavarozás</t>
  </si>
  <si>
    <t>skrutky</t>
  </si>
  <si>
    <t>Schroeven</t>
  </si>
  <si>
    <t>Vijaki</t>
  </si>
  <si>
    <t>skruvar</t>
  </si>
  <si>
    <t>Skruer</t>
  </si>
  <si>
    <t>Vijci</t>
  </si>
  <si>
    <t>Nieten</t>
  </si>
  <si>
    <t>rivets</t>
  </si>
  <si>
    <t>Nýty</t>
  </si>
  <si>
    <t>Nity</t>
  </si>
  <si>
    <t>szegecselés</t>
  </si>
  <si>
    <t>nity</t>
  </si>
  <si>
    <t>Klinknagels</t>
  </si>
  <si>
    <t>Zakovice</t>
  </si>
  <si>
    <t>nitar</t>
  </si>
  <si>
    <t>Nitter</t>
  </si>
  <si>
    <t>Spiker</t>
  </si>
  <si>
    <t>lfm</t>
  </si>
  <si>
    <t>ml</t>
  </si>
  <si>
    <t>d/m</t>
  </si>
  <si>
    <t>Ausklinkungen (gesamt)</t>
  </si>
  <si>
    <t>notches (total)</t>
  </si>
  <si>
    <t>encoches (total)</t>
  </si>
  <si>
    <t>Tacche (totale)</t>
  </si>
  <si>
    <t>Výřezy (celkem)</t>
  </si>
  <si>
    <t>Nacięcia (razem)</t>
  </si>
  <si>
    <t>bemetszések (összes)</t>
  </si>
  <si>
    <t>vyseknutia (celkom)</t>
  </si>
  <si>
    <t>Inkepingen (totaal)</t>
  </si>
  <si>
    <t>Zareze (skupaj)</t>
  </si>
  <si>
    <t>urtag (totalt)</t>
  </si>
  <si>
    <t>Hak (i alt)</t>
  </si>
  <si>
    <t>Skårskjæring (samlet)</t>
  </si>
  <si>
    <t>Urezi (ukupno)</t>
  </si>
  <si>
    <t>Allgemeine Information</t>
  </si>
  <si>
    <t>General information</t>
  </si>
  <si>
    <t>Informations générales</t>
  </si>
  <si>
    <t>Informazione generali</t>
  </si>
  <si>
    <t>Obecné informace</t>
  </si>
  <si>
    <t>Informacje ogólne</t>
  </si>
  <si>
    <t>Általános információk</t>
  </si>
  <si>
    <t>všeobecná informácia</t>
  </si>
  <si>
    <t>Algemene informatie</t>
  </si>
  <si>
    <t>Splošne informacije</t>
  </si>
  <si>
    <t>Allmän information</t>
  </si>
  <si>
    <t>Generelle oplysninger</t>
  </si>
  <si>
    <t>Generell informasjon</t>
  </si>
  <si>
    <t>Opće informacije</t>
  </si>
  <si>
    <t>Passend für alle gängigen Kamintypen und für rechteckige Durchdringungen.</t>
  </si>
  <si>
    <t>Suitable for all standard chimney types as well as for rectangular roof penetrations.</t>
  </si>
  <si>
    <t>Compatible avec tous les types de cheminée courants ainsi qu’avec les pénétrations rectangulaires.</t>
  </si>
  <si>
    <t>Adatto a tutti i tipi di camino comuni e a penetrazioni rettangolari.</t>
  </si>
  <si>
    <t>Vhodné pro všechny běžné typy komínů a hranaté průchody.</t>
  </si>
  <si>
    <t>Pasuje do wszystkich popularnych typów kominów i do przepustów prostokątnych.</t>
  </si>
  <si>
    <t>Minden elterjedt kéménytípushoz és négyszögletes átvezetéshez alkalmas.</t>
  </si>
  <si>
    <t>Vhodné pre všetky bežné typy komína a pravouhlé prestupy.</t>
  </si>
  <si>
    <t>Geschikt voor alle gangbare schoorsteentypes en voor rechthoekige doorvoeren.</t>
  </si>
  <si>
    <t>Primerno za vse običajne vrste dimnikov in za pravokotne preboje.</t>
  </si>
  <si>
    <t>Lämplig för alla vanliga skorstenstyper och för rektangulära genomföringar.</t>
  </si>
  <si>
    <t>Egnet til alle gængse skorstenstyper og til rektangulære gennemføringer.</t>
  </si>
  <si>
    <t>Passer til alle vanlige kamintyper og til rektangulære gjennomføringer.</t>
  </si>
  <si>
    <t>Prikladno za sve uobičajene tipove dimnjaka i za pravokutne otvore.</t>
  </si>
  <si>
    <t>Passend für PREFA Dachsysteme (Kleinformat)</t>
  </si>
  <si>
    <t>Suitable for the PREFA roof systems (small format products)</t>
  </si>
  <si>
    <t>Compatible avec les systèmes de toiture PREFA (produits petit format)</t>
  </si>
  <si>
    <t>Adatto ai sistemi di copertura PREFA (formato piccolo)</t>
  </si>
  <si>
    <t>Vhodné pro střešní systémy PREFA (malý formát)</t>
  </si>
  <si>
    <t>Pasuje do systemów dachowych PREFA (mały format)</t>
  </si>
  <si>
    <t>PREFA tetőfedő rendszerekhez alkalmas (kis formátumú elemek)</t>
  </si>
  <si>
    <t>Vhodné pre strešné systémy PREFA (maloformát)</t>
  </si>
  <si>
    <t>Geschikt voor PREFA-daksystemen (klein formaat)</t>
  </si>
  <si>
    <t>Primerno za strešne sisteme PREFA (majhen format)</t>
  </si>
  <si>
    <t>Lämplig för PREFA taksystem (mindre format)</t>
  </si>
  <si>
    <t>Egent til PREFA tagsystemer (mindre format)</t>
  </si>
  <si>
    <t>Passer til PREFA-taksystemer (småformat)</t>
  </si>
  <si>
    <t>Prikladno za PREFA krovne sustave (mali format)</t>
  </si>
  <si>
    <t>Klebebereich</t>
  </si>
  <si>
    <t>bonding area</t>
  </si>
  <si>
    <t>surface de collage</t>
  </si>
  <si>
    <t>Area di incollaggio</t>
  </si>
  <si>
    <t>Powierzchnia klejenia</t>
  </si>
  <si>
    <t>ragasztási felület</t>
  </si>
  <si>
    <t>lepená oblasť</t>
  </si>
  <si>
    <t>Lijmbereik</t>
  </si>
  <si>
    <t>Območje lepljenja</t>
  </si>
  <si>
    <t>klistringsområde</t>
  </si>
  <si>
    <t>Klæbeområde</t>
  </si>
  <si>
    <t>Limeområde</t>
  </si>
  <si>
    <t>Područje lijepljenja</t>
  </si>
  <si>
    <t>Solarhalter PREFALZ Vario</t>
  </si>
  <si>
    <t>solar bracket PREFALZ Vario</t>
  </si>
  <si>
    <t>support solaire PREFALZ Vario</t>
  </si>
  <si>
    <t>Staffa per pannelli solari Vario PREFALZ</t>
  </si>
  <si>
    <t>Uchwyt do paneli fotowoltaicznych PREFALZ Vario</t>
  </si>
  <si>
    <t>PREFALZ Vario napelemtartó</t>
  </si>
  <si>
    <t>solárny držiak PREFALZ Vario</t>
  </si>
  <si>
    <t>Solarhouder PREFALZ Vario</t>
  </si>
  <si>
    <t>Držalo za solarni panel PREFALZ Vario</t>
  </si>
  <si>
    <t>Solhållare PREFALZ Vario</t>
  </si>
  <si>
    <t>Solcelleholder PREFALZ Vario</t>
  </si>
  <si>
    <t>Holder for solcellepanel PREFALZ, variabel</t>
  </si>
  <si>
    <t>Solar džač PREFALZ Vario</t>
  </si>
  <si>
    <t>dauerelastische Wartungsfuge</t>
  </si>
  <si>
    <t>permanently elastic sealing joint</t>
  </si>
  <si>
    <t>joint d’étanchéité à élasticité permanente</t>
  </si>
  <si>
    <t>Fuga di manutenzione elastica</t>
  </si>
  <si>
    <t>trvale pružná údržbová spára</t>
  </si>
  <si>
    <t>trwale elastyczne złącze konserwacyjne</t>
  </si>
  <si>
    <t>tartósan rugalmas karbantartási fuga</t>
  </si>
  <si>
    <t>trvalo elastická servisná škára</t>
  </si>
  <si>
    <t>permanent elastische onderhoudsvoeg</t>
  </si>
  <si>
    <t>trajno elastična vzdrževalna fuga</t>
  </si>
  <si>
    <t>permanent elastisk underhållsfog</t>
  </si>
  <si>
    <t>permanent elastisk vedligeholdelsesfuge</t>
  </si>
  <si>
    <t>Permanent elastisk vedlikeholdsfuge</t>
  </si>
  <si>
    <t>trajno elastična fuga za održavanje</t>
  </si>
  <si>
    <t>Fensterbankhalter</t>
  </si>
  <si>
    <t>window ledge flashing strip</t>
  </si>
  <si>
    <t>Staffa per davanzale</t>
  </si>
  <si>
    <t>Držák okenního parapetu</t>
  </si>
  <si>
    <t>Uchwyt do parapetu okiennego</t>
  </si>
  <si>
    <t>ablakpárkánytartó</t>
  </si>
  <si>
    <t>držiak parapetu</t>
  </si>
  <si>
    <t>Vensterbankhouder</t>
  </si>
  <si>
    <t>Držalo za okensko polico</t>
  </si>
  <si>
    <t>fönsterbrädeshållare</t>
  </si>
  <si>
    <t>Vindueskarmholder</t>
  </si>
  <si>
    <t>Vinduskarmholder</t>
  </si>
  <si>
    <t>Držač daske za prozor</t>
  </si>
  <si>
    <t>Vertikalschnitt – Verlegemaß</t>
  </si>
  <si>
    <t>vertical cross-section — installation dimension</t>
  </si>
  <si>
    <t>section verticale — ourne</t>
  </si>
  <si>
    <t>Sezione verticale - Misura di posa</t>
  </si>
  <si>
    <t>Vertikální řez – Rozměr pokládky</t>
  </si>
  <si>
    <t>Przekrój pionowy – wymiar montażowy</t>
  </si>
  <si>
    <t>függőleges metszet – fektetési méret</t>
  </si>
  <si>
    <t>vertikálny rez – rozmery pokládky</t>
  </si>
  <si>
    <t>Verticale doorsnede - installatieafmeting</t>
  </si>
  <si>
    <t>Vertikalni rez – dimenzija polaganja</t>
  </si>
  <si>
    <t>Vertikal sektion - läggningsmått</t>
  </si>
  <si>
    <t>Tværsnit – lægningsmål</t>
  </si>
  <si>
    <t>Vertikalsnitt – leggemål</t>
  </si>
  <si>
    <t>Okomiti presjek – dimenzije postavljanja</t>
  </si>
  <si>
    <t>VERLEGEMASS</t>
  </si>
  <si>
    <t>INSTALLATION DIMENSION</t>
  </si>
  <si>
    <t>OURNE</t>
  </si>
  <si>
    <t>ROZMĚR POKLÁDKY</t>
  </si>
  <si>
    <t>WYMIAR MONTAŻOWY</t>
  </si>
  <si>
    <t>FEKTETÉSI MÉRET</t>
  </si>
  <si>
    <t>ROZMERY POKLÁDKY</t>
  </si>
  <si>
    <t>Installatieafmeting</t>
  </si>
  <si>
    <t>DIMENZIJA POLAGANJA</t>
  </si>
  <si>
    <t>INSTALLATIONSMÅTT</t>
  </si>
  <si>
    <t>LÆGNINGSMÅL</t>
  </si>
  <si>
    <t>LEGGEMÅL</t>
  </si>
  <si>
    <t>DIMENZIJE POSTAVLJANJA</t>
  </si>
  <si>
    <t>Konterlatte - Hinterlüftung</t>
  </si>
  <si>
    <t>counter batten - ventilation gap</t>
  </si>
  <si>
    <t>contre-latte - lame d’air ventilée</t>
  </si>
  <si>
    <t>Controlistello - Retroventilazione</t>
  </si>
  <si>
    <t>Kontrłata – wentylowana pustka powietrzna</t>
  </si>
  <si>
    <t>ellenléc - átszellőztetés</t>
  </si>
  <si>
    <t>kontralata – prevetrávaná medzera</t>
  </si>
  <si>
    <t>Contralat - ventilatie achterkant</t>
  </si>
  <si>
    <t>Kontra letev - prezračevanje zadaj</t>
  </si>
  <si>
    <t>motläkt - bakventilation</t>
  </si>
  <si>
    <t>Modlægte - ventilation</t>
  </si>
  <si>
    <t>Motlekte – baklufting</t>
  </si>
  <si>
    <t>Kontra letva – stražnja ventilacija</t>
  </si>
  <si>
    <t>Außenecke</t>
  </si>
  <si>
    <t>external corner</t>
  </si>
  <si>
    <t>angle sortant</t>
  </si>
  <si>
    <t>Angolo esterno</t>
  </si>
  <si>
    <t>Vnější roh</t>
  </si>
  <si>
    <t>Narożnik zewnętrzny</t>
  </si>
  <si>
    <t>külső sarok</t>
  </si>
  <si>
    <t>vonkajší rohový profil</t>
  </si>
  <si>
    <t>Buitenhoek</t>
  </si>
  <si>
    <t>Zunanji vogal</t>
  </si>
  <si>
    <t>ytterhörn</t>
  </si>
  <si>
    <t>Yderhjørne</t>
  </si>
  <si>
    <t>Ytterhjørne</t>
  </si>
  <si>
    <t>Fensterlaibung</t>
  </si>
  <si>
    <t>window reveals</t>
  </si>
  <si>
    <t>tableau de fenêtre</t>
  </si>
  <si>
    <t>Intradosso della finestra</t>
  </si>
  <si>
    <t>Ostění okna</t>
  </si>
  <si>
    <t>Oścież okienna</t>
  </si>
  <si>
    <t>ablakkáva</t>
  </si>
  <si>
    <t>ostenie okna</t>
  </si>
  <si>
    <t>Raamopening</t>
  </si>
  <si>
    <t>Okenska špaleta</t>
  </si>
  <si>
    <t>fönstersmyg</t>
  </si>
  <si>
    <t>Vindusåpning</t>
  </si>
  <si>
    <t>Niša prozora</t>
  </si>
  <si>
    <t>Fenstersturz</t>
  </si>
  <si>
    <t>window lintel</t>
  </si>
  <si>
    <t>linteau</t>
  </si>
  <si>
    <t>Architrave della finestra</t>
  </si>
  <si>
    <t>Okenní překlad</t>
  </si>
  <si>
    <t>Nadproże okienne</t>
  </si>
  <si>
    <t>ablaktok</t>
  </si>
  <si>
    <t>okenný preklad</t>
  </si>
  <si>
    <t>Vensterlatei</t>
  </si>
  <si>
    <t>Previs okna</t>
  </si>
  <si>
    <t>överliggare</t>
  </si>
  <si>
    <t>Vinduesoverligger</t>
  </si>
  <si>
    <t>Overligger</t>
  </si>
  <si>
    <t>Nadvoj za prozor</t>
  </si>
  <si>
    <t>Oberer Abschluss</t>
  </si>
  <si>
    <t>top connection</t>
  </si>
  <si>
    <t>raccordement supérieur</t>
  </si>
  <si>
    <t>Raccordo alla testa</t>
  </si>
  <si>
    <t>Horní ukončení</t>
  </si>
  <si>
    <t>Zakończenie górne</t>
  </si>
  <si>
    <t>felső záróelem</t>
  </si>
  <si>
    <t>horné ukončenie</t>
  </si>
  <si>
    <t>Bovenste aansluiting</t>
  </si>
  <si>
    <t>Zgornji zaključek</t>
  </si>
  <si>
    <t>Övre avslutning</t>
  </si>
  <si>
    <t>Øvre afslutning</t>
  </si>
  <si>
    <t>Øvre avslutning</t>
  </si>
  <si>
    <t>Gornji završetak</t>
  </si>
  <si>
    <t>Unterer Anschluss</t>
  </si>
  <si>
    <t>bottom connection</t>
  </si>
  <si>
    <t>raccordement inférieur</t>
  </si>
  <si>
    <t>Raccordo al piede</t>
  </si>
  <si>
    <t>Dolní napojení</t>
  </si>
  <si>
    <t>Połączenie dolne</t>
  </si>
  <si>
    <t>alsó záróelem</t>
  </si>
  <si>
    <t>spodné ukončenie</t>
  </si>
  <si>
    <t>Onderste aansluiting</t>
  </si>
  <si>
    <t>Spodnji priključek</t>
  </si>
  <si>
    <t>Nedre anslutning</t>
  </si>
  <si>
    <t>Nedre tilslutning</t>
  </si>
  <si>
    <t>Nedre tilkobling</t>
  </si>
  <si>
    <t>Donji spoj</t>
  </si>
  <si>
    <t>138 mm x 0,7 mm</t>
  </si>
  <si>
    <t>138 mm x 0,7 mm</t>
  </si>
  <si>
    <t>138 mm × 0,7 mm</t>
  </si>
  <si>
    <t>200 mm x 1,0 mm</t>
  </si>
  <si>
    <t>200 mm x 1,0 mm</t>
  </si>
  <si>
    <t>200 mm × 1,0 mm</t>
  </si>
  <si>
    <t>300 mm x 1,0 mm*</t>
  </si>
  <si>
    <t>300 mm x 1,0 mm*</t>
  </si>
  <si>
    <t>300 mm × 1,0 mm*</t>
  </si>
  <si>
    <t>300 mm x 1,2 mm</t>
  </si>
  <si>
    <t>300 mm x 1,2 mm</t>
  </si>
  <si>
    <t>300 mm × 1,2 mm</t>
  </si>
  <si>
    <t>400 mm x 1,0 mm*</t>
  </si>
  <si>
    <t>400 mm x 1,0 mm*</t>
  </si>
  <si>
    <t>400 mm × 1,0 mm*</t>
  </si>
  <si>
    <t>400 mm x 1,2 mm *</t>
  </si>
  <si>
    <t>400 mm x 1,2 mm*</t>
  </si>
  <si>
    <t>400 mm × 1,2 mm *</t>
  </si>
  <si>
    <t>400 mm x 1,2 mm *</t>
  </si>
  <si>
    <t>Abdeckung für Innenecke</t>
  </si>
  <si>
    <t>cover for internal corner</t>
  </si>
  <si>
    <t>cache d’angle rentrant</t>
  </si>
  <si>
    <t>Copertura per angolo interno</t>
  </si>
  <si>
    <t>Kryt pro vnitřní roh</t>
  </si>
  <si>
    <t>Pokrycie wewnętrznego narożnika</t>
  </si>
  <si>
    <t>takaróelem a belső sarokhoz</t>
  </si>
  <si>
    <t>krycí profil pre vnútorný rohový profil</t>
  </si>
  <si>
    <t>Afdekking voor binnenhoek</t>
  </si>
  <si>
    <t>Pokrov za notranji vogal</t>
  </si>
  <si>
    <t>beklädnad för innerhörn</t>
  </si>
  <si>
    <t>Afdækning til inderhjørne</t>
  </si>
  <si>
    <t>Tildekking for innerhjørne</t>
  </si>
  <si>
    <t>Pokrov za unutarnji kut</t>
  </si>
  <si>
    <t>Abdeckung für Stoßausbildung</t>
  </si>
  <si>
    <t>cover for joint connection</t>
  </si>
  <si>
    <t>cache de joint</t>
  </si>
  <si>
    <t>Copertura per giunto di testa</t>
  </si>
  <si>
    <t>Kryt pro provedení styku</t>
  </si>
  <si>
    <t>Pokrycie formowania połączeń</t>
  </si>
  <si>
    <t>takaróelem az illesztéses kialakításhoz</t>
  </si>
  <si>
    <t>krycí profil na vytvorenie styku</t>
  </si>
  <si>
    <t>Afdekking voor stootvoeg</t>
  </si>
  <si>
    <t>Pokrov za oblikovani spoj</t>
  </si>
  <si>
    <t>beklädnad för fogbildning</t>
  </si>
  <si>
    <t>Afdækning til samling</t>
  </si>
  <si>
    <t>Tildekking for falsoppbygging</t>
  </si>
  <si>
    <t>Pokrov za zglobni spoj</t>
  </si>
  <si>
    <t>AUF ALUMINIUM-UNTERKONSTRUKTION</t>
  </si>
  <si>
    <t>ON ALUMINIUM SUPPORTING SUBSTRATES</t>
  </si>
  <si>
    <t>SUR SOUS-CONSTRUCTION EN ALUMINIUM</t>
  </si>
  <si>
    <t>NA HLINÍKOVOU SPODNÍ KONSTRUKCI</t>
  </si>
  <si>
    <t>NA ALUMINIOWEJ KONSTRUKCJI NOŚNEJ</t>
  </si>
  <si>
    <t>ALUMÍNIUM ALÁTÉTSZERKEZETEN</t>
  </si>
  <si>
    <t>NA HLINÍKOVOM NOSNOM ROŠTE</t>
  </si>
  <si>
    <t>OP ALUMINIUM ONDERCONSTRUCTIE</t>
  </si>
  <si>
    <t>NA ALUMINIJASTI PODKONSTRUKCIJI</t>
  </si>
  <si>
    <t>PÅ ALUMINIUMUNDERKONSTRUKTION</t>
  </si>
  <si>
    <t>PÅ ALUMINIUM-UNDERKONSTRUKTION</t>
  </si>
  <si>
    <t>PÅ UNDERKONSTRUKSJON I ALUMINIUM</t>
  </si>
  <si>
    <t>NA ALUMINIJSKOJ POTKONSTRUKCIJI</t>
  </si>
  <si>
    <t>AUSSENECKE</t>
  </si>
  <si>
    <t>VNĚJŠÍ ROH</t>
  </si>
  <si>
    <t>NAROŻNIK ZEWNĘTRZNY</t>
  </si>
  <si>
    <t>KÜLSŐ SAROK</t>
  </si>
  <si>
    <t>VONKAJŠÍ ROHOVÝ PROFIL</t>
  </si>
  <si>
    <t>BUITENHOEK</t>
  </si>
  <si>
    <t>ZUNANJI VOGAL</t>
  </si>
  <si>
    <t>YTTERHÖRN</t>
  </si>
  <si>
    <t>YDERHJØRNE</t>
  </si>
  <si>
    <t>YTTERHJØRNE</t>
  </si>
  <si>
    <t>VANJSKI KUT</t>
  </si>
  <si>
    <t>external corner flashing (two parts)</t>
  </si>
  <si>
    <t>Eckprofil für Zackenprofil</t>
  </si>
  <si>
    <t>corner profile for serrated profile</t>
  </si>
  <si>
    <t>profil d’angle pour profil triangle</t>
  </si>
  <si>
    <t>Profilo angolare per profilo a zeta</t>
  </si>
  <si>
    <t>Rohový profil pro pilový profil</t>
  </si>
  <si>
    <t>Profil kątowy do profilu trójkątnego</t>
  </si>
  <si>
    <t>sarokprofil fogazott profilhoz</t>
  </si>
  <si>
    <t>rohový profil na prelamovaný profil</t>
  </si>
  <si>
    <t>Hoekprofiel voor zakprofiel</t>
  </si>
  <si>
    <t>Vogalni profil za zobčast profil</t>
  </si>
  <si>
    <t>startprofil för tandad profil</t>
  </si>
  <si>
    <t>Hjørneprofil til takket profil</t>
  </si>
  <si>
    <t>Hjørneprofil for sikksakkprofil</t>
  </si>
  <si>
    <t>Kutni profil za zupčasti profil</t>
  </si>
  <si>
    <t>Laibungsblech (Variante)</t>
  </si>
  <si>
    <t>jamb flashing  — variant</t>
  </si>
  <si>
    <t>habillage de tableau  (variante)</t>
  </si>
  <si>
    <t>Lamiera di rivestimento (variante)</t>
  </si>
  <si>
    <t>Profil ostění (varianta)</t>
  </si>
  <si>
    <t>Blacha podsufitowa (wariant)</t>
  </si>
  <si>
    <t>ablakkáva profil (változat)</t>
  </si>
  <si>
    <t>plech na ostenie (variant)</t>
  </si>
  <si>
    <t>Dakplaat (variant)</t>
  </si>
  <si>
    <t>Pločevina za špaleto (različica)</t>
  </si>
  <si>
    <t>fönstersmygplåt (variant)</t>
  </si>
  <si>
    <t>Vinduesplade (variant)</t>
  </si>
  <si>
    <t>Åpningsplate (variant)</t>
  </si>
  <si>
    <t>Lim za nišu (varijanta)</t>
  </si>
  <si>
    <t>Für die Notwendigkeit des Sturmsicherungsclips: siehe PREFA Verlegerichtlinien Fassade.</t>
  </si>
  <si>
    <t>Regarding the need for storm-proof clips: refer to the PREFA installation instructions for façades.</t>
  </si>
  <si>
    <t>En ce qui concerne la nécessité de monter des clips tempête : reportez-vous au Guide de pose PREFA relatif aux façades.</t>
  </si>
  <si>
    <t>Per sapere quando è necessario installare clip antivento: vedi le linee guida per l'installazione delle facciate PREFA.</t>
  </si>
  <si>
    <t>Ohledně nutnosti pojistného klipu proti větru viz zásady PREFA pro instalaci fasády.</t>
  </si>
  <si>
    <t>Konieczność zastosowania klipsów zabezpieczeń odgromowych: patrz wytyczne montażu elewacji PREFA.</t>
  </si>
  <si>
    <t>A viharkapocs szükségességével kapcsolatban: lásd PREFA homlokzati kivitelezési útmutató.</t>
  </si>
  <si>
    <t>Pre potrebu poistných veterných klipov: Pozri montážne smernice PREFA Fasáda.</t>
  </si>
  <si>
    <t>Voor de noodzaak van de stormbeveiligingsclip: zie de PREFA-gevelmontagerichtlijnen.</t>
  </si>
  <si>
    <t>Za nujnost varnostne sponke: glejte navodila za namestitev fasade PREFA.</t>
  </si>
  <si>
    <t>För krav på stormsäkerhetsklämmor: se PREFA monteringsanvisningar fasad.</t>
  </si>
  <si>
    <t>Om nødvendigheden af ​​stormsikringsclipsen: se PREFA monteringsvejledning Facade.</t>
  </si>
  <si>
    <t>For nødvendigheten av stormsikringsklips: se PREFA-legeretningslinje for fasade.</t>
  </si>
  <si>
    <t>Za nužnost držača za zaštitu od olujnog nevremena: pogledajte PREFA smjernice za postavljanje na fasadu.</t>
  </si>
  <si>
    <t>Horizontalschnitt – Stoßausbildung</t>
  </si>
  <si>
    <t>horizontal cross-section – joint connection</t>
  </si>
  <si>
    <t>section horizontale — réalisation des joints</t>
  </si>
  <si>
    <t>Sezione orizzontale - Giunto di testa</t>
  </si>
  <si>
    <t>Przekrój poziomy – formowanie połączeń</t>
  </si>
  <si>
    <t>vízszintes metszet – illesztéses kialakítás</t>
  </si>
  <si>
    <t>horizontálny rez – vytvorenie styku</t>
  </si>
  <si>
    <t>Horizontale doorsnede - stootvoeg</t>
  </si>
  <si>
    <t>Horizontalni rez – oblikovanje spoja</t>
  </si>
  <si>
    <t>Horisontell sektion – fogbildning</t>
  </si>
  <si>
    <t>Vandret snit – samling</t>
  </si>
  <si>
    <t>Horisontalsnitt – falsoppbygging</t>
  </si>
  <si>
    <t>Vodoravni presjek – zglobni spoj</t>
  </si>
  <si>
    <t>STOSSAUSBILDUNG</t>
  </si>
  <si>
    <t>joint connection</t>
  </si>
  <si>
    <t>FORMOWANIE POŁĄCZEŃ</t>
  </si>
  <si>
    <t>ILLESZTÉSES KIALAKÍTÁS</t>
  </si>
  <si>
    <t>VYTVORENIE STYKU</t>
  </si>
  <si>
    <t>STOOTVOEG</t>
  </si>
  <si>
    <t>OBLIKOVANJE SPOJA</t>
  </si>
  <si>
    <t>FOGBILDNING</t>
  </si>
  <si>
    <t>SAMLING</t>
  </si>
  <si>
    <t>FALSOPPBYGGING</t>
  </si>
  <si>
    <t>ZGLOBNA VEZA</t>
  </si>
  <si>
    <t>MAUERWINKEL</t>
  </si>
  <si>
    <t>WALL BRACKET</t>
  </si>
  <si>
    <t>ÚHEL (ZDIVO)</t>
  </si>
  <si>
    <t>NAROŻNIK ŚCIANY</t>
  </si>
  <si>
    <t>FALI SZÖGIDOM</t>
  </si>
  <si>
    <t>ROH MURIVA</t>
  </si>
  <si>
    <t>MUURHOEK</t>
  </si>
  <si>
    <t>ZIDNI KOT</t>
  </si>
  <si>
    <t>VÄGGVINKEL</t>
  </si>
  <si>
    <t>MURVINKEL</t>
  </si>
  <si>
    <t>ZIDNI KUTNI ELEMENT</t>
  </si>
  <si>
    <t>Siding &amp; Siding.X</t>
  </si>
  <si>
    <t>siding &amp; siding.X</t>
  </si>
  <si>
    <t>Siding et Siding.X</t>
  </si>
  <si>
    <t>Doga e Doga.X</t>
  </si>
  <si>
    <t>Siding och Siding.X</t>
  </si>
  <si>
    <t>Siding og Siding.X</t>
  </si>
  <si>
    <t>Fasadna kazeta i Fasadna kazeta.X</t>
  </si>
  <si>
    <t>SIDING &amp; SIDING.X (horizontal)</t>
  </si>
  <si>
    <t>SIDING and SIDING.X (horizontal)</t>
  </si>
  <si>
    <t>SIDING et SIDING.X (horizontal)</t>
  </si>
  <si>
    <t>SIDING &amp; SIDING.X (horizontální)</t>
  </si>
  <si>
    <t>SIDING &amp; SIDING.X (poziomo)</t>
  </si>
  <si>
    <t>SIDING &amp; SIDING.X (vízszintes)</t>
  </si>
  <si>
    <t>SIDING &amp; SIDING.X (horizontálny)</t>
  </si>
  <si>
    <t>SIDING &amp; SIDING.X (horizontaal)</t>
  </si>
  <si>
    <t>SIDING &amp; SIDING.X (horizontalno)</t>
  </si>
  <si>
    <t>SIDING OCH SIDING.X (horisontell)</t>
  </si>
  <si>
    <t>SIDING &amp; SIDING.X (horisontal)</t>
  </si>
  <si>
    <t>SIDING og SIDING.X (horisontal)</t>
  </si>
  <si>
    <t>FASADNA KAZETA I FASADNA KAZETA.X (vodoravne)</t>
  </si>
  <si>
    <t>mit Schattenfuge</t>
  </si>
  <si>
    <t>with shadow gap (PREFA)</t>
  </si>
  <si>
    <t>avec joint creux</t>
  </si>
  <si>
    <t>con fuga</t>
  </si>
  <si>
    <t>se spárou</t>
  </si>
  <si>
    <t>z fugami cieniowymi</t>
  </si>
  <si>
    <t>árnyékfugával</t>
  </si>
  <si>
    <t>s tieňovou špárou</t>
  </si>
  <si>
    <t>met schaduwvoeg</t>
  </si>
  <si>
    <t>s senčno fugo</t>
  </si>
  <si>
    <t>med skuggfog</t>
  </si>
  <si>
    <t>med skyggefuge</t>
  </si>
  <si>
    <t>med skyggespalte</t>
  </si>
  <si>
    <t>s naglašenim spojem</t>
  </si>
  <si>
    <t>ohne Schattenfuge</t>
  </si>
  <si>
    <t>without shadow gap (PREFA)</t>
  </si>
  <si>
    <t>sans joint creux</t>
  </si>
  <si>
    <t>senza fuga</t>
  </si>
  <si>
    <t>bez spáry</t>
  </si>
  <si>
    <t>bez fug cieniowych</t>
  </si>
  <si>
    <t>árnyékfuga nélkül</t>
  </si>
  <si>
    <t>bez tieňovej špáry</t>
  </si>
  <si>
    <t>zonder schaduwvoeg</t>
  </si>
  <si>
    <t>brez senčne fuge</t>
  </si>
  <si>
    <t>utan skuggfog</t>
  </si>
  <si>
    <t>uden skyggefuge</t>
  </si>
  <si>
    <t>uten skyggespalte</t>
  </si>
  <si>
    <t>bez naglašenog spoja</t>
  </si>
  <si>
    <t>SIDING MIT UZ-PROFIL</t>
  </si>
  <si>
    <t>SIDING WITH UZ-PROFILE</t>
  </si>
  <si>
    <t>SIDING AVEC PROFIL UZ</t>
  </si>
  <si>
    <t>SIDING S PROFILEM UZ</t>
  </si>
  <si>
    <t>SIDING Z PROFILEM UZ</t>
  </si>
  <si>
    <t>SIDING UZ-PROFILLAL</t>
  </si>
  <si>
    <t>SIDING S UZ-PROFILOM</t>
  </si>
  <si>
    <t>SIDING MET UZ-PROFIEL</t>
  </si>
  <si>
    <t>SIDING Z UZ-PROFILOM</t>
  </si>
  <si>
    <t>SIDING MED UZ-PROFIL</t>
  </si>
  <si>
    <t>FASADNA KAZETA S UZ PROFILOM</t>
  </si>
  <si>
    <t>Clip antivento</t>
  </si>
  <si>
    <t>Pojistný klip proti větru</t>
  </si>
  <si>
    <t>Klips zabezpieczeń odgromowych</t>
  </si>
  <si>
    <t>viharkapocs</t>
  </si>
  <si>
    <t>poistný veterný klip</t>
  </si>
  <si>
    <t>Stormbeveiligingsclip</t>
  </si>
  <si>
    <t>stormsäkerhetsklämma</t>
  </si>
  <si>
    <t>Stormsikringsclips</t>
  </si>
  <si>
    <t>Stormsikringsklips</t>
  </si>
  <si>
    <t>Džač za zaštitu od olujnog nevremena</t>
  </si>
  <si>
    <t>Vertikalschnitt – Oberer Abschluss</t>
  </si>
  <si>
    <t>Vertikální řez – Horní ukončení</t>
  </si>
  <si>
    <t>Przekrój pionowy – zakończenie górne</t>
  </si>
  <si>
    <t>vertikálny rez – horné ukončenie</t>
  </si>
  <si>
    <t>Verticale doorsnede - bovenste afsluiting</t>
  </si>
  <si>
    <t>Vertikalni rez – zgornji zaključek</t>
  </si>
  <si>
    <t>Vertikal sektion – övre anslutning</t>
  </si>
  <si>
    <t>Tværsnit – øvre afslutning</t>
  </si>
  <si>
    <t>Vertikalsnitt – øvre avslutning</t>
  </si>
  <si>
    <t>Okomiti presjek – gornji završetak</t>
  </si>
  <si>
    <t>Vertikalschnitt – Produktübersicht</t>
  </si>
  <si>
    <t>vertical cross-section — product overview</t>
  </si>
  <si>
    <t>Section verticale — Aperçu des produits</t>
  </si>
  <si>
    <t>Sezione verticale - Panoramica dei prodotti</t>
  </si>
  <si>
    <t>Vertikální řez – Přehled produktů</t>
  </si>
  <si>
    <t>Przekrój pionowy – przegląd produktów</t>
  </si>
  <si>
    <t>függőleges metszet – termékek áttekintése</t>
  </si>
  <si>
    <t>vertikálny rez – prehľad produktov</t>
  </si>
  <si>
    <t>Verticale doorsnede - productoverzicht</t>
  </si>
  <si>
    <t>Vertikalni rez – pregled izdelkov</t>
  </si>
  <si>
    <t>Vertikal sektion – produktöversikt</t>
  </si>
  <si>
    <t>Tværsnit – produktoversigt</t>
  </si>
  <si>
    <t>Vertikalsnitt – produktoversikt</t>
  </si>
  <si>
    <t>Okomiti presjek – pregled proizvoda</t>
  </si>
  <si>
    <t>horizontal</t>
  </si>
  <si>
    <t>orizzontale</t>
  </si>
  <si>
    <t>horizontální</t>
  </si>
  <si>
    <t>poziomy</t>
  </si>
  <si>
    <t>vízszintes</t>
  </si>
  <si>
    <t>horizontálny</t>
  </si>
  <si>
    <t>horizontaal</t>
  </si>
  <si>
    <t>horizontalno</t>
  </si>
  <si>
    <t>horisontell</t>
  </si>
  <si>
    <t>horisontal</t>
  </si>
  <si>
    <t>vodoravno</t>
  </si>
  <si>
    <t>SIDING &amp; SIDING.X (vertikal)</t>
  </si>
  <si>
    <t>SIDING and SIDING.X (vertical)</t>
  </si>
  <si>
    <t>SIDING et SIDING.X (vertical)</t>
  </si>
  <si>
    <t>SIDING &amp; SIDING.X (vertikální)</t>
  </si>
  <si>
    <t>Siding &amp; Siding.X (pionowy)</t>
  </si>
  <si>
    <t>SIDING &amp; SIDING.X (függőleges)</t>
  </si>
  <si>
    <t>SIDING &amp; SIDING.X (vertikálny)</t>
  </si>
  <si>
    <t>SIDING &amp; SIDING.X (verticaal)</t>
  </si>
  <si>
    <t>SIDING &amp; SIDING.X (vertikalno)</t>
  </si>
  <si>
    <t>SIDING OCH SIDING.X (vertikal)</t>
  </si>
  <si>
    <t>SIDING og SIDING.X (vertikal)</t>
  </si>
  <si>
    <t>FASADNA KAZETA i FASADNA KAZETA.X (okomito)</t>
  </si>
  <si>
    <t>AUSSENECKE (Variante 1)</t>
  </si>
  <si>
    <t>EXTERNAL CORNER (variant 1)</t>
  </si>
  <si>
    <t>ANGLE SORTANT (variante 1)</t>
  </si>
  <si>
    <t>VNĚJŠÍ ROH (varianta 1)</t>
  </si>
  <si>
    <t>NAROŻNIK ZEWNĘTRZNY (wariant 1)</t>
  </si>
  <si>
    <t>KÜLSŐ SAROK (1. változat)</t>
  </si>
  <si>
    <t>VONKAJŠÍ ROHOVÝ PROFIL (variant 1)</t>
  </si>
  <si>
    <t>BUITENHOEK (variant 1)</t>
  </si>
  <si>
    <t>ZUNANJI VOGAL (različica 1)</t>
  </si>
  <si>
    <t>YTTERHÖRN (Variant 1)</t>
  </si>
  <si>
    <t>YDERHJØRNE (variant 1)</t>
  </si>
  <si>
    <t>YTTERHJØRNE (variant 1)</t>
  </si>
  <si>
    <t>VANJSKI KUT (varijanta 1)</t>
  </si>
  <si>
    <t>AUSSENECKE (Variante 2)</t>
  </si>
  <si>
    <t>EXTERNAL CORNER (variant 2)</t>
  </si>
  <si>
    <t>ANGLE SORTANT (variante 2)</t>
  </si>
  <si>
    <t>VNĚJŠÍ ROH (varianta 2)</t>
  </si>
  <si>
    <t>NAROŻNIK ZEWNĘTRZNY (wariant 2)</t>
  </si>
  <si>
    <t>KÜLSŐ SAROK (2. változat)</t>
  </si>
  <si>
    <t>VONKAJŠÍ ROHOVÝ PROFIL (variant 2)</t>
  </si>
  <si>
    <t>BUITENHOEK (variant 2)</t>
  </si>
  <si>
    <t>ZUNANJI VOGAL (različica 2)</t>
  </si>
  <si>
    <t>YTTERHÖRN (Variant 2)</t>
  </si>
  <si>
    <t>YDERHJØRNE (variant 2)</t>
  </si>
  <si>
    <t>YTTERHJØRNE (variant 2)</t>
  </si>
  <si>
    <t>VANJSKI KUT (varijanta 2)</t>
  </si>
  <si>
    <t>FENSTERSTURZ MIT RAFFSTORE</t>
  </si>
  <si>
    <t>WINDOW LINTEL WITH BLINDS</t>
  </si>
  <si>
    <t>LINTEAU AVEC STORE À LAMELLES</t>
  </si>
  <si>
    <t>OKENNÍ PŘEKLAD S VENKOVNÍ ŽALUZIÍ</t>
  </si>
  <si>
    <t>NADPROŻE OKIENNE Z ŻALUZJĄ ZEWNĘTRZNĄ</t>
  </si>
  <si>
    <t>ABLAKTOK REDŐNNYEL</t>
  </si>
  <si>
    <t>OKENNÝ PREKLAD S VONKAJŠOU ŽALÚZIOU RAFFSTORE</t>
  </si>
  <si>
    <t>VENSTERLATEI MET EXTERNE JALOEZIEËN</t>
  </si>
  <si>
    <t>PREVIS OKNA Z ŽALUZIJO</t>
  </si>
  <si>
    <t>ÖVERLIGGARE MED PERSIENN</t>
  </si>
  <si>
    <t>VINDUESOVERLIGGER MED PERSIENNE</t>
  </si>
  <si>
    <t>OVERLIGGER MED PERSIENNE</t>
  </si>
  <si>
    <t>NADVOJ ZA PROZOR SA ŽALUZINAMA</t>
  </si>
  <si>
    <t>Horizontalschnitt – AUSSENECKE (Variante 1)</t>
  </si>
  <si>
    <t>horizontal cross-section — EXTERNAL CORNER (variant 1)</t>
  </si>
  <si>
    <t>section horizontale — ANGLE SORTANT (variante 1)</t>
  </si>
  <si>
    <t>Horizontální řez – VNĚJŠÍ ROH (varianta 1)</t>
  </si>
  <si>
    <t>Przekrój poziomy – NAROŻNIK ZEWNĘTRZNY (wariant 1)</t>
  </si>
  <si>
    <t>vízszintes metszet – KÜLSŐ SAROK (1. változat)</t>
  </si>
  <si>
    <t>horizontálny rez – VONKAJŠÍ ROHOVÝ PROFIL (variant 1)</t>
  </si>
  <si>
    <t>Horizontale doorsnede - BUITENHOEK (variant 1)</t>
  </si>
  <si>
    <t>Horizontalni rez – ZUNANJI VOGAL (različica 1)</t>
  </si>
  <si>
    <t>Horisontell sektion – YTTERHÖRN (variant 1)</t>
  </si>
  <si>
    <t>Vandret snit – YDERHJØRNE (variant 1)</t>
  </si>
  <si>
    <t>Horisontalt snitt – YTTERHJØRNE (variant 1)</t>
  </si>
  <si>
    <t>Vodoravni presjek – VANJSKI KUT (varijanta 1)</t>
  </si>
  <si>
    <t>Horizontalschnitt – AUSSENECKE (Variante 2)</t>
  </si>
  <si>
    <t>horizontal cross-section — EXTERNAL CORNER (variant 2)</t>
  </si>
  <si>
    <t>section horizontale — ANGLE SORTANT (variante 2)</t>
  </si>
  <si>
    <t>Horizontální řez – VNĚJŠÍ ROH (varianta 2)</t>
  </si>
  <si>
    <t>Przekrój poziomy – NAROŻNIK ZEWNĘTRZNY (wariant 2)</t>
  </si>
  <si>
    <t>vízszintes metszet – KÜLSŐ SAROK (2. változat)</t>
  </si>
  <si>
    <t>horizontálny rez – VONKAJŠÍ ROHOVÝ PROFIL (variant 2)</t>
  </si>
  <si>
    <t>Horizontale doorsnede - BUITENHOEK (variant 2)</t>
  </si>
  <si>
    <t>Horizontalni rez – ZUNANJI VOGAL (različica 2)</t>
  </si>
  <si>
    <t>Horisontell sektion – YTTERHÖRN (variant 2)</t>
  </si>
  <si>
    <t>Vandret snit – YDERHJØRNE (variant 2)</t>
  </si>
  <si>
    <t>Horisontalt snitt – YTTERHJØRNE (variant 2)</t>
  </si>
  <si>
    <t>Vodoravni presjek – VANJSKI KUT (varijanta 2)</t>
  </si>
  <si>
    <t>offene Fugen</t>
  </si>
  <si>
    <t>open joints</t>
  </si>
  <si>
    <t>joints creux</t>
  </si>
  <si>
    <t>fughe aperte</t>
  </si>
  <si>
    <t>otevřené spáry</t>
  </si>
  <si>
    <t>fugi otwarte</t>
  </si>
  <si>
    <t>nyitott fugák</t>
  </si>
  <si>
    <t>otvorené škáry</t>
  </si>
  <si>
    <t>Open voegen</t>
  </si>
  <si>
    <t>Odprta fuga</t>
  </si>
  <si>
    <t>öppna fogar</t>
  </si>
  <si>
    <t>åbne fuger</t>
  </si>
  <si>
    <t>Åpne fuger</t>
  </si>
  <si>
    <t>otvorene fuge</t>
  </si>
  <si>
    <t>PREFABOND</t>
  </si>
  <si>
    <t>PREFABOND (geklebt)</t>
  </si>
  <si>
    <t>PREFABOND (glued)</t>
  </si>
  <si>
    <t>PREFABOND (collé)</t>
  </si>
  <si>
    <t>PREFABOND (incollato)</t>
  </si>
  <si>
    <t>PREFABOND (lepené)</t>
  </si>
  <si>
    <t>PREFABOND (klejone)</t>
  </si>
  <si>
    <t>PREFABOND (ragasztott)</t>
  </si>
  <si>
    <t>PREFABOND (lepený)</t>
  </si>
  <si>
    <t>PREFABOND (gelijmd)</t>
  </si>
  <si>
    <t>PREFABOND (lepljeno)</t>
  </si>
  <si>
    <t>PREFABOND (limmad)</t>
  </si>
  <si>
    <t>PREFABOND (limet)</t>
  </si>
  <si>
    <t>PREFABOND (limt)</t>
  </si>
  <si>
    <t>PREFABOND (lijepljeno)</t>
  </si>
  <si>
    <t>Vertikalschnitt – Wandanschluss</t>
  </si>
  <si>
    <t>vertical cross-section – wall connection</t>
  </si>
  <si>
    <t>section verticale —raccordement de couloir latéral</t>
  </si>
  <si>
    <t>Sezione verticale - Raccordo a parete</t>
  </si>
  <si>
    <t>Vertikální řez – Napojení na zeď</t>
  </si>
  <si>
    <t>Przekrój pionowy – połączenie ściany</t>
  </si>
  <si>
    <t>függőleges metszet – fali csatlakozás</t>
  </si>
  <si>
    <t>vertikálny rez – ukončenie pri stene</t>
  </si>
  <si>
    <t>Verticale doorsnede - wandaansluiting</t>
  </si>
  <si>
    <t>Vertikalni rez – stenski priključek</t>
  </si>
  <si>
    <t>Vertikal sektion – vägganslutning</t>
  </si>
  <si>
    <t>Tværsnit – vægtilslutning</t>
  </si>
  <si>
    <t>Vertikalt snitt – veggtilkobling</t>
  </si>
  <si>
    <t>Okomiti presjek – zidni spoj</t>
  </si>
  <si>
    <t>FENSTERLAIBUNG (Variante 1)</t>
  </si>
  <si>
    <t>window reveals (variant 1)</t>
  </si>
  <si>
    <t>tableau de fenêtre (variante 1)</t>
  </si>
  <si>
    <t>OSTĚNÍ OKNA (varianta 1)</t>
  </si>
  <si>
    <t>OŚCIEŻ OKIENNA (wariant 1)</t>
  </si>
  <si>
    <t>ABLAKKÁVA (1. változat)</t>
  </si>
  <si>
    <t>OSTENIE OKNA (variant 1)</t>
  </si>
  <si>
    <t>RAAMOPENING (variant 1)</t>
  </si>
  <si>
    <t>OKENSKA ŠPALETA (različica 1)</t>
  </si>
  <si>
    <t>FÖNSTERSMYG (variant 1)</t>
  </si>
  <si>
    <t>VINDUESKARM (Variant 1)</t>
  </si>
  <si>
    <t>VINDUSÅPNING (variant 1)</t>
  </si>
  <si>
    <t>NIŠA PROZORA (varijanta 1)</t>
  </si>
  <si>
    <t>FENSTERLAIBUNG (Variante 2)</t>
  </si>
  <si>
    <t>window reveals (variant 2)</t>
  </si>
  <si>
    <t>tableau de fenêtre (variante 2)</t>
  </si>
  <si>
    <t>OSTĚNÍ OKNA (varianta 2)</t>
  </si>
  <si>
    <t>OŚCIEŻ OKIENNA (wariant 2)</t>
  </si>
  <si>
    <t>ABLAKKÁVA (2. változat)</t>
  </si>
  <si>
    <t>OSTENIE OKNA (variant 2)</t>
  </si>
  <si>
    <t>RAAMOPENING (variant 2)</t>
  </si>
  <si>
    <t>OKENSKA ŠPALETA (različica 2)</t>
  </si>
  <si>
    <t>FÖNSTERSMYG (variant 2)</t>
  </si>
  <si>
    <t>VINDUESKARM (Variant 2)</t>
  </si>
  <si>
    <t>VINDUSÅPNING (variant 2)</t>
  </si>
  <si>
    <t>NIŠA PROZORA (varijanta 2)</t>
  </si>
  <si>
    <t>Horizontalschnitt – FENSTERLAIBUNG (Variante 1)</t>
  </si>
  <si>
    <t>horizontal cross-section — window reveals (variant 1)</t>
  </si>
  <si>
    <t>section horizontale — tableau de fenêtre (variante 1)</t>
  </si>
  <si>
    <t>Horizontální řez – OSTĚNÍ OKNA (varianta 1)</t>
  </si>
  <si>
    <t>Przekrój poziomy – OŚCIEŻE OKIENNE (wariant 1)</t>
  </si>
  <si>
    <t>vízszintes metszet – ABLAKKÁVA (1. változat)</t>
  </si>
  <si>
    <t>horizontálny rez – OSTENIE OKNA (variant 1)</t>
  </si>
  <si>
    <t>Horizontale doorsnede - RAAMOPENING (variant 1)</t>
  </si>
  <si>
    <t>Horizontalni rez – OKENSKA ŠPALETA (različica 1)</t>
  </si>
  <si>
    <t>horisontalsektion – FÖNSTERSMYG (variant 1)</t>
  </si>
  <si>
    <t>Vandret snit – VINDUESKARM (variant 1)</t>
  </si>
  <si>
    <t>Horisontalt snitt – VINDUSÅPNING (variant 1)</t>
  </si>
  <si>
    <t>Vodoravni presjek – NIŠA PROZORA (varijanta 1)</t>
  </si>
  <si>
    <t>Horizontalschnitt – FENSTERLAIBUNG (Variante 2)</t>
  </si>
  <si>
    <t>horizontal cross-section — window reveals (variant 2)</t>
  </si>
  <si>
    <t>section horizontale — tableau de fenêtre (variante 2)</t>
  </si>
  <si>
    <t>Horizontální řez – OSTĚNÍ OKNA (varianta 2)</t>
  </si>
  <si>
    <t>Przekrój poziomy – OŚCIEŻE OKIENNE (wariant 2)</t>
  </si>
  <si>
    <t>vízszintes metszet – ABLAKKÁVA (2. változat)</t>
  </si>
  <si>
    <t>horizontálny rez – OSTENIE OKNA (variant 2)</t>
  </si>
  <si>
    <t>Horizontale doorsnede - RAAMOPENING (variant 2)</t>
  </si>
  <si>
    <t>Horizontalni rez – OKENSKA ŠPALETA (različica 2)</t>
  </si>
  <si>
    <t>horisontalsektion – FÖNSTERSMYG (variant 2)</t>
  </si>
  <si>
    <t>Vandret snit – VINDUESKARM (variant 2)</t>
  </si>
  <si>
    <t>Horisontalt snitt – VINDUSÅPNING (variant 2)</t>
  </si>
  <si>
    <t>Vodoravni presjek – NIŠA PROZORA (varijanta 2)</t>
  </si>
  <si>
    <t>PREFABOND (mechanisch befestigt)</t>
  </si>
  <si>
    <t>PREFABOND (fastened mechanically)</t>
  </si>
  <si>
    <t>PREFABOND (fixation mécanique)</t>
  </si>
  <si>
    <t>PREFABOND (fissato meccanicamente)</t>
  </si>
  <si>
    <t>PREFABOND (mechanicky připevněný)</t>
  </si>
  <si>
    <t>PREFABOND (mocowanie mechaniczne)</t>
  </si>
  <si>
    <t>PREFABOND (mechanikusan rögzítve)</t>
  </si>
  <si>
    <t>PREFABOND (mechanicky kotvený)</t>
  </si>
  <si>
    <t>PREFABOND (mechanisch bevestigd)</t>
  </si>
  <si>
    <t>PREFABOND (mehanska pritrditev)</t>
  </si>
  <si>
    <t>PREFABOND (mekaniskt fäst)</t>
  </si>
  <si>
    <t>PREFABOND (mekanisk fastgjort)</t>
  </si>
  <si>
    <t>PREFABOND (mekanisk festet)</t>
  </si>
  <si>
    <t>PREFABOND (mehanički pričvršćeno)</t>
  </si>
  <si>
    <t>Abschlussprofil</t>
  </si>
  <si>
    <t>profil de fin</t>
  </si>
  <si>
    <t>Zaključni profil</t>
  </si>
  <si>
    <t>Taschenprofil für Eckwinkel außen</t>
  </si>
  <si>
    <t>channel profile for external corner</t>
  </si>
  <si>
    <t>profil replié pour équerre d’angle sortant</t>
  </si>
  <si>
    <t>Profilo ripiegato per angolare esterno</t>
  </si>
  <si>
    <t>Ukončovací profil pro rohový úhelník vnější</t>
  </si>
  <si>
    <t>Profil kieszeniowy dla narożnika zewnętrznego</t>
  </si>
  <si>
    <t>zsebes profil külső sarokszeglethez</t>
  </si>
  <si>
    <t>kapsový profil pre vonkajší rohový profil</t>
  </si>
  <si>
    <t>Zakprofiel voor buitenhoek</t>
  </si>
  <si>
    <t>Žepni profil za kotnik zunaj</t>
  </si>
  <si>
    <t>fickprofil för utvändiga hörnfästen</t>
  </si>
  <si>
    <t>Taskeprofil til ydre hjørnevinkel</t>
  </si>
  <si>
    <t>Lommeprofil for hjørnevinkel utvendig</t>
  </si>
  <si>
    <t>C profil za kutni element, vanjski</t>
  </si>
  <si>
    <t>Taschenprofil für Eckwinkel innen</t>
  </si>
  <si>
    <t>channel profile for internal corner</t>
  </si>
  <si>
    <t>profil replié pour équerre d’angle rentrant</t>
  </si>
  <si>
    <t>Profilo ripiegato per angolare interno</t>
  </si>
  <si>
    <t>Ukončovací profil pro rohový úhelník vnitřní</t>
  </si>
  <si>
    <t>Profil kieszeniowy dla narożnika wewnętrznego</t>
  </si>
  <si>
    <t>zsebes profil belső sarokszeglethez</t>
  </si>
  <si>
    <t>kapsový profil pre vnútorný rohový profil</t>
  </si>
  <si>
    <t>Zakprofiel voor binnenhoek</t>
  </si>
  <si>
    <t>Žepni profil za kotnik znotraj</t>
  </si>
  <si>
    <t>fickprofil för invändiga hörnfästen</t>
  </si>
  <si>
    <t>Taskeprofil til indre hjørnevinkel</t>
  </si>
  <si>
    <t>Lommeprofil for hjørnevinkel innvendig</t>
  </si>
  <si>
    <t>C profil za kutni element, unutarnji</t>
  </si>
  <si>
    <t>Wandraute 44 × 44</t>
  </si>
  <si>
    <t>rhomboid façade tile 44 × 44 (PREFA)</t>
  </si>
  <si>
    <t>losange de façade 44 × 44</t>
  </si>
  <si>
    <t>Scaglia per facciata 44 × 44</t>
  </si>
  <si>
    <t>Fasádní šablona 44 × 44</t>
  </si>
  <si>
    <t>Romb fasadowy 44 × 44</t>
  </si>
  <si>
    <t>homlokzatburkoló rombusz 44 × 44</t>
  </si>
  <si>
    <t>fasádna šablóna 44 × 44</t>
  </si>
  <si>
    <t>Wandspant 44 x 44</t>
  </si>
  <si>
    <t>Stenski romb 44 × 44</t>
  </si>
  <si>
    <t>väggdiamant 44 × 44</t>
  </si>
  <si>
    <t>Vægrombe 44 × 44</t>
  </si>
  <si>
    <t>Veggrombe 44 × 44</t>
  </si>
  <si>
    <t>Zidni romb 44 × 44</t>
  </si>
  <si>
    <t>SCHNÜRMASS</t>
  </si>
  <si>
    <t>CHALK-LINE SPACING</t>
  </si>
  <si>
    <t>TRAÇAGE</t>
  </si>
  <si>
    <t>MÍRA (PROVÁZEK)</t>
  </si>
  <si>
    <t>WYMIAR OBRYSU</t>
  </si>
  <si>
    <t>ZSINÓRMÉRET</t>
  </si>
  <si>
    <t>ROZMER ŠNÚROVANIA</t>
  </si>
  <si>
    <t>Vetersluiting</t>
  </si>
  <si>
    <t>VRVIČNA MERA</t>
  </si>
  <si>
    <t>SNÖRMÅTT</t>
  </si>
  <si>
    <t>MÅL</t>
  </si>
  <si>
    <t>SNORMÅL</t>
  </si>
  <si>
    <t>DIMENZIJE VEZA</t>
  </si>
  <si>
    <t>Startplatte für Wandraute 44 × 44</t>
  </si>
  <si>
    <t>leading plate for rhomboid façade tile 44 × 44 (PREFA)</t>
  </si>
  <si>
    <t>demi-losange de départ 44 × 44 (façade)</t>
  </si>
  <si>
    <t>Scaglia di partenza per scaglia per copertura 44 × 44</t>
  </si>
  <si>
    <t>Startovací fasádní šablona 44 × 44</t>
  </si>
  <si>
    <t>Dachówka początkowa dla rombu ściennego 44 × 44</t>
  </si>
  <si>
    <t>indítóelem 44 × 44-as homlokzatburkoló rombuszhoz</t>
  </si>
  <si>
    <t>štartovacia šablóna pre fasádnu šablónu 44 × 44</t>
  </si>
  <si>
    <t>Startplaat voor wandspant 44 x 44</t>
  </si>
  <si>
    <t>Začetna plošča za stenski romb 44 × 44</t>
  </si>
  <si>
    <t>startplåt för väggdiamant 44 × 44</t>
  </si>
  <si>
    <t>Startplade til vægrombe 44 × 44</t>
  </si>
  <si>
    <t>Startplate for veggrombe 44 × 44</t>
  </si>
  <si>
    <t>Početna ploča za zidni romb 44 × 44</t>
  </si>
  <si>
    <t>Abdeckstreifen (Variante 1)</t>
  </si>
  <si>
    <t>cover flashing (variant 1)</t>
  </si>
  <si>
    <t>bande de recouvrement (variante 1)</t>
  </si>
  <si>
    <t>Bandella di copertura (variante 1)</t>
  </si>
  <si>
    <t>Krycí pás (varianta 1)</t>
  </si>
  <si>
    <t>Maskownica (wariant 1)</t>
  </si>
  <si>
    <t>takarócsík (1. változat)</t>
  </si>
  <si>
    <t>krycí pásik (variant 1)</t>
  </si>
  <si>
    <t>Afdekstroken (variant 1)</t>
  </si>
  <si>
    <t>Prekrivni trak (različica 1)</t>
  </si>
  <si>
    <t>maskeringsremsor (variant 1)</t>
  </si>
  <si>
    <t>Afdækningsstrimler (variant 1)</t>
  </si>
  <si>
    <t>Dekklister (variant 1)</t>
  </si>
  <si>
    <t>Pokrovna traka (varijanta 1)</t>
  </si>
  <si>
    <t>external corner for ripple profile</t>
  </si>
  <si>
    <t>sliding clip for ripple profile</t>
  </si>
  <si>
    <t>Taschenprofil für Eckprofil</t>
  </si>
  <si>
    <t>channel profile for corner profile</t>
  </si>
  <si>
    <t>profil replié pour profil d’angle</t>
  </si>
  <si>
    <t>Profilo ripiegato per profilo angolare</t>
  </si>
  <si>
    <t>Ukončovací profil pro rohový profil</t>
  </si>
  <si>
    <t>Profil kieszeniowy dla narożnika</t>
  </si>
  <si>
    <t>zsebes profil sarokprofilhoz</t>
  </si>
  <si>
    <t>kapsový profil pre rohový profil</t>
  </si>
  <si>
    <t>Zakprofiel voor hoekprofiel</t>
  </si>
  <si>
    <t>Žepni profil za vogalni profil</t>
  </si>
  <si>
    <t>fickprofil för hörnprofil</t>
  </si>
  <si>
    <t>Taskeprofil til hjørnevinkel</t>
  </si>
  <si>
    <t>Lommeprofil for hjørneprofil</t>
  </si>
  <si>
    <t>C profil za kutni profil</t>
  </si>
  <si>
    <t>Abdeckung für senkrechte Stoßausbildung</t>
  </si>
  <si>
    <t>cover for vertical joint connection</t>
  </si>
  <si>
    <t>cache de joint vertical</t>
  </si>
  <si>
    <t>Copertura per giunto di testa verticale</t>
  </si>
  <si>
    <t>Kryt pro svislé provedení styku</t>
  </si>
  <si>
    <t>Pokrycie formowania połączeń pionowych</t>
  </si>
  <si>
    <t>takaróelem függőleges illesztéses kialakításhoz</t>
  </si>
  <si>
    <t>krycí profil na zvislé vytvorenie styku</t>
  </si>
  <si>
    <t>Afdekking voor verticale stootvoeg</t>
  </si>
  <si>
    <t>Pokrov za navpični oblikovani spoj</t>
  </si>
  <si>
    <t>beklädnad för vertikal fogbildning</t>
  </si>
  <si>
    <t>Afdækning til lodret samling</t>
  </si>
  <si>
    <t>Tildekking for vinkelrett falsoppbygging</t>
  </si>
  <si>
    <t>Pokrov za okomiti zglobni spoj</t>
  </si>
  <si>
    <t>Abschlussprofil für Zackenprofil</t>
  </si>
  <si>
    <t>profil de fin pour profil triangle</t>
  </si>
  <si>
    <t>Profilo di chiusura per profilo a zeta</t>
  </si>
  <si>
    <t>Ukončovací profil pro pilový profil</t>
  </si>
  <si>
    <t>Profil końcowy do profilu trójkątnego</t>
  </si>
  <si>
    <t>záróprofil fogazott profilhoz</t>
  </si>
  <si>
    <t>ukončovací profil pre prelamovaný profil</t>
  </si>
  <si>
    <t>Afsluitprofiel voor zakprofiel</t>
  </si>
  <si>
    <t>Zaključni profil za zobčast profil</t>
  </si>
  <si>
    <t>ändprofil för tandad profil</t>
  </si>
  <si>
    <t>Afslutningsprofil til takket profil</t>
  </si>
  <si>
    <t>Endeprofil for sikksakkprofil</t>
  </si>
  <si>
    <t>Završni profil za zupčasti profil</t>
  </si>
  <si>
    <t>sliding clip for serrated profile</t>
  </si>
  <si>
    <t>GESCHOSSTRENNUNG</t>
  </si>
  <si>
    <t>STOREY SEPARATION</t>
  </si>
  <si>
    <t>SÉPARATION D’ÉTAGES</t>
  </si>
  <si>
    <t>ODDĚLENÍ PATRA</t>
  </si>
  <si>
    <t>ODDZIELENIE PODŁOGI</t>
  </si>
  <si>
    <t>EMELETELVÁLASZTÓ</t>
  </si>
  <si>
    <t>ODDELENIE POSCHODIA</t>
  </si>
  <si>
    <t>VLOERAFSCHEIDING</t>
  </si>
  <si>
    <t>LOČITEV NADSTROPJA</t>
  </si>
  <si>
    <t>VÅNINGSSEPARATION</t>
  </si>
  <si>
    <t>ETAGEADSKILLELSE</t>
  </si>
  <si>
    <t>ETASJESKILLE</t>
  </si>
  <si>
    <t>ODVAJANJE KATOVA</t>
  </si>
  <si>
    <t>Höhe</t>
  </si>
  <si>
    <t>height</t>
  </si>
  <si>
    <t>Altezza</t>
  </si>
  <si>
    <t>Výška</t>
  </si>
  <si>
    <t>Wysokość</t>
  </si>
  <si>
    <t>magasság</t>
  </si>
  <si>
    <t>výška</t>
  </si>
  <si>
    <t>Hoogte</t>
  </si>
  <si>
    <t>Višina</t>
  </si>
  <si>
    <t>höjd</t>
  </si>
  <si>
    <t>Højde</t>
  </si>
  <si>
    <t>Høyde</t>
  </si>
  <si>
    <t>Visina</t>
  </si>
  <si>
    <t>Bauteil</t>
  </si>
  <si>
    <t>construction part</t>
  </si>
  <si>
    <t>Elemento costruttivo</t>
  </si>
  <si>
    <t>Díl</t>
  </si>
  <si>
    <t>Komponent</t>
  </si>
  <si>
    <t>szerkezeti elem</t>
  </si>
  <si>
    <t>konštrukčný diel</t>
  </si>
  <si>
    <t>Bouwdeel</t>
  </si>
  <si>
    <t>Komponenta</t>
  </si>
  <si>
    <t>komponent</t>
  </si>
  <si>
    <t>Byggedel</t>
  </si>
  <si>
    <t>Gesamtfläche</t>
  </si>
  <si>
    <t>overall area</t>
  </si>
  <si>
    <t>surface totale</t>
  </si>
  <si>
    <t>Superficie totale</t>
  </si>
  <si>
    <t>Celková plocha</t>
  </si>
  <si>
    <t>Powierzchnia całkowita</t>
  </si>
  <si>
    <t>összfelület</t>
  </si>
  <si>
    <t>celková plocha</t>
  </si>
  <si>
    <t>Totale oppervlakte</t>
  </si>
  <si>
    <t>Skupna površina</t>
  </si>
  <si>
    <t>totalarea</t>
  </si>
  <si>
    <t>Samlet overflade</t>
  </si>
  <si>
    <t>Samlet areal</t>
  </si>
  <si>
    <t>Ukupna površina</t>
  </si>
  <si>
    <t>Stückverhältnis auswählen</t>
  </si>
  <si>
    <t>choose proportion</t>
  </si>
  <si>
    <t>sélectionner la proportion</t>
  </si>
  <si>
    <t>Selezionare il rapporto dei pezzi</t>
  </si>
  <si>
    <t>Zvolit poměr kusů</t>
  </si>
  <si>
    <t>Wybór proporcji sztuk</t>
  </si>
  <si>
    <t>darabarány kiválasztása</t>
  </si>
  <si>
    <t>Zvoliť pomer kusov</t>
  </si>
  <si>
    <t>Stukverhouding kiezen</t>
  </si>
  <si>
    <t>Izberite razmerje kosov</t>
  </si>
  <si>
    <t>Välj styckförhållande</t>
  </si>
  <si>
    <t>Vælg stykforhold</t>
  </si>
  <si>
    <t>Velg stykkforhold</t>
  </si>
  <si>
    <t>Odaberite omjer komada</t>
  </si>
  <si>
    <t>Schritt</t>
  </si>
  <si>
    <t>step</t>
  </si>
  <si>
    <t>Fase</t>
  </si>
  <si>
    <t>Krok</t>
  </si>
  <si>
    <t>lépés</t>
  </si>
  <si>
    <t>krok</t>
  </si>
  <si>
    <t>Stap</t>
  </si>
  <si>
    <t>Korak</t>
  </si>
  <si>
    <t>steg</t>
  </si>
  <si>
    <t>Trin</t>
  </si>
  <si>
    <t>Skritt</t>
  </si>
  <si>
    <t>Abmessungen (Länge und Höhe) der zu berechnenden Fläche eintragen</t>
  </si>
  <si>
    <t xml:space="preserve">Dimensions (length and heigth) </t>
  </si>
  <si>
    <t>indiquer les dimensions (longueur et hauteur) de la surface à calculer</t>
  </si>
  <si>
    <t>Inserire le dimensioni (lunghezza e altezza) della superficie da calcolare</t>
  </si>
  <si>
    <t>Zapsat rozměry (délka a výška) plochy, která se musí vypočítat</t>
  </si>
  <si>
    <t>Wprowadzić wymiary (długość i wysokość) powierzchni do obliczenia.</t>
  </si>
  <si>
    <t>A kiszámítandó felület méreteinek megadása (hossz és magasság)</t>
  </si>
  <si>
    <t>Zapísať rozmery (dĺžka a výška) počítanej plochy</t>
  </si>
  <si>
    <t>Voer de afmetingen (lengte en hoogte) in van de te berekenen oppervlakte</t>
  </si>
  <si>
    <t>Vnesite dimenzije (dolžino in višino) površine, ki jo želite izračunati</t>
  </si>
  <si>
    <t>Ange måtten (längd och höjd) för området som ska beräknas</t>
  </si>
  <si>
    <t>Indtast målene (længde og højde) for det område, der skal beregnes</t>
  </si>
  <si>
    <t>Angi mål (lengde og høyde) for flaten som skal beregnes</t>
  </si>
  <si>
    <t>Unesite dimenzije (duljinu i visinu) površine koju treba izračunati</t>
  </si>
  <si>
    <t>Abdeckung V 25, entgratet</t>
  </si>
  <si>
    <t>Cover V 25, deburred</t>
  </si>
  <si>
    <t>cache de protection V 25, ébavuré</t>
  </si>
  <si>
    <t>Coperchio V 25, sbavato</t>
  </si>
  <si>
    <t>Kryt V 25, zafixování</t>
  </si>
  <si>
    <t>Osłona V 25, okrawana</t>
  </si>
  <si>
    <t>Takaróelem V 25, sorjázott</t>
  </si>
  <si>
    <t>krycí profil V 25, očistený</t>
  </si>
  <si>
    <t>Afdekking V 25, ontbraamd</t>
  </si>
  <si>
    <t>Zaščita V 25, odstranjeni robovi</t>
  </si>
  <si>
    <t>beklädnad V 25, avgradad</t>
  </si>
  <si>
    <t>Afdækning V 25, afgratet</t>
  </si>
  <si>
    <t>Tildekking V 25, avgradert</t>
  </si>
  <si>
    <t>Pokrov V 25, obrađen</t>
  </si>
  <si>
    <t>Abdeckung VO 25, entgratet</t>
  </si>
  <si>
    <t>Cover VO 25, deburred</t>
  </si>
  <si>
    <t>cache de protection VO 25, ébavuré</t>
  </si>
  <si>
    <t>Coperchio VO 25, sbavato</t>
  </si>
  <si>
    <t>Kryt VO 25, zafixování</t>
  </si>
  <si>
    <t>Osłona VO 25, okrawana</t>
  </si>
  <si>
    <t>Takaróelem VO 25, sorjázott</t>
  </si>
  <si>
    <t>krycí profil VO 25, očistený</t>
  </si>
  <si>
    <t>Afdekking VO 25, ontbraamd</t>
  </si>
  <si>
    <t>Zaščita VO 25, odstranjeni robovi</t>
  </si>
  <si>
    <t>beklädnad VO 25, avgradad</t>
  </si>
  <si>
    <t>Afdækning VO 25, afgratet</t>
  </si>
  <si>
    <t>Tildekking VO 25, avgradert</t>
  </si>
  <si>
    <t>Pokrov VO 25, obrađen</t>
  </si>
  <si>
    <t>[EH]</t>
  </si>
  <si>
    <t>[U]</t>
  </si>
  <si>
    <t>[UM]</t>
  </si>
  <si>
    <t>[m.j.]</t>
  </si>
  <si>
    <t>[j.m.]</t>
  </si>
  <si>
    <t>[eenheid]</t>
  </si>
  <si>
    <t>[Enh.]</t>
  </si>
  <si>
    <t>[Enhed]</t>
  </si>
  <si>
    <t>[L] Innenlichte</t>
  </si>
  <si>
    <t>[L] interior lights</t>
  </si>
  <si>
    <t>[E] vide lumière</t>
  </si>
  <si>
    <t>[L] luce netta</t>
  </si>
  <si>
    <t>[L] světlá šířka</t>
  </si>
  <si>
    <t>[L] wymiar wewnętrzny w świetle</t>
  </si>
  <si>
    <t>[L] svetlá šírka</t>
  </si>
  <si>
    <t>[dm] dagmaat</t>
  </si>
  <si>
    <t>[L] Inre öppning</t>
  </si>
  <si>
    <t>[L] Indvendigt lys</t>
  </si>
  <si>
    <t>[L] Taklys</t>
  </si>
  <si>
    <t>[L] Unutrašnja širina</t>
  </si>
  <si>
    <t>[lfm]</t>
  </si>
  <si>
    <t>[rm]</t>
  </si>
  <si>
    <t>[m]</t>
  </si>
  <si>
    <t>[bm]</t>
  </si>
  <si>
    <t>[mb]</t>
  </si>
  <si>
    <t>[strekkende meter]</t>
  </si>
  <si>
    <t>[löpm]</t>
  </si>
  <si>
    <t>[løb. meter]</t>
  </si>
  <si>
    <t>[lm]</t>
  </si>
  <si>
    <t>[d/m]</t>
  </si>
  <si>
    <t>[mm]</t>
  </si>
  <si>
    <t>[Paar]</t>
  </si>
  <si>
    <t>[pair]</t>
  </si>
  <si>
    <t>[paire]</t>
  </si>
  <si>
    <t>[paio]</t>
  </si>
  <si>
    <t>[pár]</t>
  </si>
  <si>
    <t>[para]</t>
  </si>
  <si>
    <t>[paar-]</t>
  </si>
  <si>
    <t>[par]</t>
  </si>
  <si>
    <t>[Stk]</t>
  </si>
  <si>
    <t>[pcs]</t>
  </si>
  <si>
    <t>[pc.]</t>
  </si>
  <si>
    <t>[pz]</t>
  </si>
  <si>
    <t>[ks]</t>
  </si>
  <si>
    <t>[szt.]</t>
  </si>
  <si>
    <t>[stuks]</t>
  </si>
  <si>
    <t>[st]</t>
  </si>
  <si>
    <t>[Stk.]</t>
  </si>
  <si>
    <t>[stk.]</t>
  </si>
  <si>
    <t>[kom]</t>
  </si>
  <si>
    <t>[VPE]</t>
  </si>
  <si>
    <t>[packaging unit]</t>
  </si>
  <si>
    <t>[UE]</t>
  </si>
  <si>
    <t>[CF]</t>
  </si>
  <si>
    <t>[bal.]</t>
  </si>
  <si>
    <t>[CSE]</t>
  </si>
  <si>
    <t>[balenie]</t>
  </si>
  <si>
    <t>[Verpakking]</t>
  </si>
  <si>
    <t>[förpackningsenhet]</t>
  </si>
  <si>
    <t>[emballageenhed]</t>
  </si>
  <si>
    <t>[pakningsenhet]</t>
  </si>
  <si>
    <t>[PA]</t>
  </si>
  <si>
    <t>+20 % MwSt.</t>
  </si>
  <si>
    <t>+7.7 % TVA</t>
  </si>
  <si>
    <t>+27% áfával</t>
  </si>
  <si>
    <t>25/200mm</t>
  </si>
  <si>
    <t>25/200 mm</t>
  </si>
  <si>
    <t>25/200 mm</t>
  </si>
  <si>
    <t>50/150mm</t>
  </si>
  <si>
    <t>50/150 mm</t>
  </si>
  <si>
    <t>50/150 mm</t>
  </si>
  <si>
    <t>50/200mm</t>
  </si>
  <si>
    <t>50/200 mm</t>
  </si>
  <si>
    <t>50/200 mm</t>
  </si>
  <si>
    <t>80/200mm</t>
  </si>
  <si>
    <t>80/200 mm</t>
  </si>
  <si>
    <t>80/200 mm</t>
  </si>
  <si>
    <t>Abbildung 1</t>
  </si>
  <si>
    <t>Figure 1</t>
  </si>
  <si>
    <t>Illustration 1</t>
  </si>
  <si>
    <t>disegno  1</t>
  </si>
  <si>
    <t>Obr. 1</t>
  </si>
  <si>
    <t>Rysunek 1</t>
  </si>
  <si>
    <t>1. ábra</t>
  </si>
  <si>
    <t>Obrázok 1</t>
  </si>
  <si>
    <t>Afbeelding 1</t>
  </si>
  <si>
    <t>Figur 1</t>
  </si>
  <si>
    <t>Bilde 1</t>
  </si>
  <si>
    <t>Slika 1</t>
  </si>
  <si>
    <t>Abdeckung</t>
  </si>
  <si>
    <t>Cover</t>
  </si>
  <si>
    <t>cache de protection</t>
  </si>
  <si>
    <t xml:space="preserve">Kryt </t>
  </si>
  <si>
    <t>Osłona</t>
  </si>
  <si>
    <t>Takaróelem</t>
  </si>
  <si>
    <t>Kryt</t>
  </si>
  <si>
    <t>Afdekking</t>
  </si>
  <si>
    <t>Täckplåt</t>
  </si>
  <si>
    <t>TILDEKKING</t>
  </si>
  <si>
    <t>Abdeckung V 25, gebohrt und entgratet</t>
  </si>
  <si>
    <t>Cover V 25, drilled and deburred</t>
  </si>
  <si>
    <t>cache de protection V 25, percé et ébavuré</t>
  </si>
  <si>
    <t>Coperchio V 25, forato e sbavato</t>
  </si>
  <si>
    <t>Kryt V 25, svrtaný pro zafixování</t>
  </si>
  <si>
    <t>Osłona V 25, nawiercona i okrawana</t>
  </si>
  <si>
    <t>Takaróelem V 25, furatolt és sorjázott</t>
  </si>
  <si>
    <t>Kryt V 25, navŕtaný a odhrotovaný</t>
  </si>
  <si>
    <t>Afdekking V 25, geboord en afgebraamd</t>
  </si>
  <si>
    <t xml:space="preserve">Täckplåt rak 25, förborrad </t>
  </si>
  <si>
    <t>Afdækning V 25, forboret og afgratet</t>
  </si>
  <si>
    <t>TILDEKKING V 25, boret og avgradet</t>
  </si>
  <si>
    <t>Pokrov V 25, bušen i s obrađenim rubovima</t>
  </si>
  <si>
    <t>Abdeckung V 50, gebohrt und entgratet</t>
  </si>
  <si>
    <t>Cover V 50, drilled and deburred</t>
  </si>
  <si>
    <t>cache de protection V 50, percé et ébavuré</t>
  </si>
  <si>
    <t>Coperchio V 50, forato e sbavato</t>
  </si>
  <si>
    <t>Kryt V 50, svrtaný pro zafixování</t>
  </si>
  <si>
    <t>Osłona V 50, nawiercona i okrawana</t>
  </si>
  <si>
    <t>Takaróelem V 50, furatolt és sorjázott</t>
  </si>
  <si>
    <t>Kryt V 50, navŕtaný a odhrotovaný</t>
  </si>
  <si>
    <t>Afdekking V 50, geboord en afgebraamd</t>
  </si>
  <si>
    <t xml:space="preserve">Täckplåt rak 50, förborrad </t>
  </si>
  <si>
    <t>Afdækning V 50, forboret og afgratet</t>
  </si>
  <si>
    <t>TILDEKKING V 50, boret og avgradet</t>
  </si>
  <si>
    <t>Pokrov V 50, bušen i s obrađenim rubovima</t>
  </si>
  <si>
    <t>Abdeckung V 80, gebohrt und entgratet</t>
  </si>
  <si>
    <t>Cover V 80, drilled and deburred</t>
  </si>
  <si>
    <t>cache de protection V 80, percé et ébavuré</t>
  </si>
  <si>
    <t>Coperchio V 80, forato e sbavato</t>
  </si>
  <si>
    <t>Kryt V 80, svrtaný pro zafixování</t>
  </si>
  <si>
    <t>Osłona V 80, nawiercona i okrawana</t>
  </si>
  <si>
    <t>Takaróelem V 80, furatolt és sorjázott</t>
  </si>
  <si>
    <t>Kryt V 80, navŕtaný a odhrotovaný</t>
  </si>
  <si>
    <t>Afdekking V 80, geboord en afgebraamd</t>
  </si>
  <si>
    <t>Täckplåt rak 80, förborrad</t>
  </si>
  <si>
    <t>Afdækning V 80, forboret og afgratet</t>
  </si>
  <si>
    <t>TILDEKKING V 80, boret og avgradet</t>
  </si>
  <si>
    <t>Pokrov V 80, bušen i s obrađenim rubovima</t>
  </si>
  <si>
    <t>Abdeckung VO 25, gebohrt und entgratet</t>
  </si>
  <si>
    <t>Cover VO 25, drilled and deburred</t>
  </si>
  <si>
    <t>cache de protection VO 25, percé et ébavuré</t>
  </si>
  <si>
    <t>Coperchio VO 25, forato e sbavato</t>
  </si>
  <si>
    <t>Kryt VO 25, svrtaný pro zafixování</t>
  </si>
  <si>
    <t>Osłona VO 25, nawiercona i okrawana</t>
  </si>
  <si>
    <t>Takaróelem VO 25, furatolt és sorjázott</t>
  </si>
  <si>
    <t>Kryt VO 25, navŕtaný a odhrotovaný</t>
  </si>
  <si>
    <t>Afdekking VO 25, geboord en afgebraamd</t>
  </si>
  <si>
    <t>Täckplåt m, vinkel 25, förborrad</t>
  </si>
  <si>
    <t>Afdækning VO 25, forboret og afgratet</t>
  </si>
  <si>
    <t>TILDEKKING VO 25, boret og avgradet</t>
  </si>
  <si>
    <t>Pokrov VO 25, bušen i s obrađenim rubovima</t>
  </si>
  <si>
    <t>Abdeckung VO 50, gebohrt und entgratet</t>
  </si>
  <si>
    <t>Cover VO 50, drilled and deburred</t>
  </si>
  <si>
    <t>cache de protection VO 50, percé et ébavuré</t>
  </si>
  <si>
    <t>Coperchio VO 50, forato e sbavato</t>
  </si>
  <si>
    <t>Kryt VO 50, svrtaný pro zafixování</t>
  </si>
  <si>
    <t>Osłona VO 50, nawiercona i okrawana</t>
  </si>
  <si>
    <t>Takaróelem VO 50, furatolt és sorjázott</t>
  </si>
  <si>
    <t>Kryt VO 50, navŕtaný a odhrotovaný</t>
  </si>
  <si>
    <t>Afdekking VO 50, geboord en afgebraamd</t>
  </si>
  <si>
    <t>Täckplåt m, vinkel 50, förborrad</t>
  </si>
  <si>
    <t>Afdækning VO 50, forboret og afgratet</t>
  </si>
  <si>
    <t>TILDEKKING VO 50, boret og avgradet</t>
  </si>
  <si>
    <t>Pokrov VO 50, bušen i s obrađenim rubovima</t>
  </si>
  <si>
    <t>Abdeckung VO 80, gebohrt und entgratet</t>
  </si>
  <si>
    <t>Cover VO 80, drilled and deburred</t>
  </si>
  <si>
    <t>cache de protection VO 80, percé et ébavuré</t>
  </si>
  <si>
    <t>Coperchio VO 80, forato e sbavato</t>
  </si>
  <si>
    <t>Kryt VO 80, svrtaný pro zafixování</t>
  </si>
  <si>
    <t>Osłona VO 80, nawiercona i okrawana</t>
  </si>
  <si>
    <t>Takaróelem VO 80, furatolt és sorjázott</t>
  </si>
  <si>
    <t>Kryt VO 80, navŕtaný a odhrotovaný</t>
  </si>
  <si>
    <t>Afdekking VO 80, geboord en afgebraamd</t>
  </si>
  <si>
    <t>Täckplåt m, vinkel 80, förborrad</t>
  </si>
  <si>
    <t>Afdækning VO 80, forboret og afgratet</t>
  </si>
  <si>
    <t>TILDEKKING VO 80, boret og avgradet</t>
  </si>
  <si>
    <t>Pokrov VO 80, bušen i s obrađenim rubovima</t>
  </si>
  <si>
    <t>Achtung! Maximallänge bei Beschichtung 3000mm</t>
  </si>
  <si>
    <t>Caution! Maximum length with coating 3000 mm</t>
  </si>
  <si>
    <t>attenzione, lunghezza max per elementi verniciati 3000mm</t>
  </si>
  <si>
    <t>Pozor! Maximální délka pro lakování 3000mm</t>
  </si>
  <si>
    <t>Uwaga: Maksymalna długość elementu lakierowanego 3000 mm</t>
  </si>
  <si>
    <t>Figyelem! A porszórt elemek maximális hossza 3000mm</t>
  </si>
  <si>
    <t>Pozor! Maximálna dĺžka pri nátere 3 000 mm</t>
  </si>
  <si>
    <t>Let op! Maximale lengte bij coating 3000 mm</t>
  </si>
  <si>
    <t>Observera! Maxlängd lackering 3 000mm</t>
  </si>
  <si>
    <t>Obs! Maksimal længde ved beklædning 3000 mm</t>
  </si>
  <si>
    <t>Advarsel! Maksimal lengde ved belegg 3000 mm</t>
  </si>
  <si>
    <t>Pozor! Maksimalna duljina pri plastifikaciji 3000mm</t>
  </si>
  <si>
    <t>ACHTUNG: zu viele Rundprofile gewählt</t>
  </si>
  <si>
    <t>CAUTION: too many round profiles have been selected</t>
  </si>
  <si>
    <t>ATTENTION ! Vous avez sélectionné trop de profils ronds.</t>
  </si>
  <si>
    <t>ATTENZIONE: troppi montanti circolari selezionati</t>
  </si>
  <si>
    <t>POZOR: vybráno příliš mnoho kruhových profilů</t>
  </si>
  <si>
    <t>UWAGA: wybrano zbyt dużo profili okrągłych</t>
  </si>
  <si>
    <t>FIGYELEM: túl sok körprofilt választott</t>
  </si>
  <si>
    <t>POZOR: je zvolených priveľa kruhových profilov</t>
  </si>
  <si>
    <t>LET OP: te veel rondprofielen geselecteerd</t>
  </si>
  <si>
    <t>Observera: För många rundprofiler har valts</t>
  </si>
  <si>
    <t>OBS! For mange runde profiler er valgt</t>
  </si>
  <si>
    <t>ADVARSEL: for mange rundprofiler valgt</t>
  </si>
  <si>
    <t>POZOR: odabrano previše okruglih profila</t>
  </si>
  <si>
    <t>Aluminium</t>
  </si>
  <si>
    <t>aluminium</t>
  </si>
  <si>
    <t>alluminio</t>
  </si>
  <si>
    <t>Alumínium</t>
  </si>
  <si>
    <t>Hliník</t>
  </si>
  <si>
    <t>Aluminij</t>
  </si>
  <si>
    <t>Anprall von Treibgut (nur bei Eingabe von Anströmwinkel)</t>
  </si>
  <si>
    <t>Impact of floating debris (only where it enters from the angle of the inflow)</t>
  </si>
  <si>
    <t>impact des débris flottants (requiert la saisie de l’angle d’incidence)</t>
  </si>
  <si>
    <t>Urto da detriti (solo inserendo l'angolo di afflusso)</t>
  </si>
  <si>
    <t>náraz plovoucího předmětu (pouze při zadání přítokového úhlu)</t>
  </si>
  <si>
    <t>Uderzenie od wody z zanieczyszczeniami (tylko przy wprowadzeniu kąta natarcia)</t>
  </si>
  <si>
    <t>Uszadék nekicsapódása (csak a beesési szög megadása esetén)</t>
  </si>
  <si>
    <t>Náraz plávajúceho predmetu (len ak smeruje z prítokového uhla)</t>
  </si>
  <si>
    <t>Stootkracht van drijvend materiaal (alleen bij invoer van invalshoek)</t>
  </si>
  <si>
    <t>Påtryckning/belastning, av flytande skräp (bara vid inmatning av infallsvinkel)</t>
  </si>
  <si>
    <t>Påvirkning fra drivende genstande (kun ved indtastning af tilstrømningsvinklen)</t>
  </si>
  <si>
    <t>Sammenstøt med drivgods (kun ved inntasting av tilstrømmingsvinkel)</t>
  </si>
  <si>
    <t>Udar naplavina (samo ako je unesen kut pritjecanja)</t>
  </si>
  <si>
    <t>anprallende Treibgutmasse:</t>
  </si>
  <si>
    <t>Impacting mass of flotsam:</t>
  </si>
  <si>
    <t>Masse des débris flottants :</t>
  </si>
  <si>
    <t>massa detriti impattanti:</t>
  </si>
  <si>
    <t>náraz plovoucího předmětu váhy:</t>
  </si>
  <si>
    <t>nekisodródó uszadék:</t>
  </si>
  <si>
    <t>Hmotnosť narážajúceho predmetu:</t>
  </si>
  <si>
    <t>Massa van aanstotend drijfmateriaal:</t>
  </si>
  <si>
    <t>Masa naplavin:</t>
  </si>
  <si>
    <t>Påtryckande flytande skräpmassa:</t>
  </si>
  <si>
    <t>Påvirkning fra drivende genstande:</t>
  </si>
  <si>
    <t>Drivgodsmasse som støter imot:</t>
  </si>
  <si>
    <t>Udarajuća masa naplavina:</t>
  </si>
  <si>
    <t>anprallende Treibgutmasse: m</t>
  </si>
  <si>
    <t>Impacting mass of flotsam: m</t>
  </si>
  <si>
    <t>Masse des débris flottants : m</t>
  </si>
  <si>
    <t>massa detriti impattanti: m</t>
  </si>
  <si>
    <t>náraz plovoucího předmětu váhy: m</t>
  </si>
  <si>
    <t>oddziaływanie masy zanieczyszczeń: m</t>
  </si>
  <si>
    <t>Becsapódó uszadék: m</t>
  </si>
  <si>
    <t>Hmotnosť narážajúceho predmetu: m</t>
  </si>
  <si>
    <t>Massa van aanstotend drijfmateriaal: m</t>
  </si>
  <si>
    <t>Påtryckande flytande skräpmassa: m</t>
  </si>
  <si>
    <t>Påvirkning fra drivende genstande: m</t>
  </si>
  <si>
    <t>Drivgodsmasse som støter imot: m</t>
  </si>
  <si>
    <t>Udarajuća masa naplavina: m</t>
  </si>
  <si>
    <t>Anströmwinkel [°]:</t>
  </si>
  <si>
    <t>Inflow angle [°]:</t>
  </si>
  <si>
    <t>Angle d’incidence [°] :</t>
  </si>
  <si>
    <t>angolo di afflusso [°]:</t>
  </si>
  <si>
    <t>Přítokový úhel [°]:</t>
  </si>
  <si>
    <t>Kąt padania [°]:</t>
  </si>
  <si>
    <t>Beesési szög [°]:</t>
  </si>
  <si>
    <t>Prítokový uhol [°]:</t>
  </si>
  <si>
    <t>Invalshoek [°]:</t>
  </si>
  <si>
    <t>Infallsvinkel [°]:</t>
  </si>
  <si>
    <t>Indstrømningsvinkel [°]:</t>
  </si>
  <si>
    <t>Tilstrømmingsvinkel [°]:</t>
  </si>
  <si>
    <t>Kut pritjecanja [°]:</t>
  </si>
  <si>
    <t>Anströmwinkel:</t>
  </si>
  <si>
    <t>Inflow angle:</t>
  </si>
  <si>
    <t>Angle d’incidence :</t>
  </si>
  <si>
    <t>Angolo di afflusso:</t>
  </si>
  <si>
    <t>Přítokový úhel:</t>
  </si>
  <si>
    <t>Kąt natarcia:</t>
  </si>
  <si>
    <t>Beesési szög:</t>
  </si>
  <si>
    <t>Prítokový uhol:</t>
  </si>
  <si>
    <t>Invalshoek:</t>
  </si>
  <si>
    <t>Vpadni kot:</t>
  </si>
  <si>
    <t>Infallsvinkel:</t>
  </si>
  <si>
    <t>Indstrømningsvinkel:</t>
  </si>
  <si>
    <t>Tilstrømmingsvinkel:</t>
  </si>
  <si>
    <t>Kut pritjecanja:</t>
  </si>
  <si>
    <t>Anzahl der Felder:</t>
  </si>
  <si>
    <t>Number of fields:</t>
  </si>
  <si>
    <t>Nombre de travées :</t>
  </si>
  <si>
    <t>numero campate:</t>
  </si>
  <si>
    <t>Počet polí:</t>
  </si>
  <si>
    <t>Liczba przęłseł:</t>
  </si>
  <si>
    <t>Mezők száma:</t>
  </si>
  <si>
    <t>Aantal velden:</t>
  </si>
  <si>
    <t>Antal fält:</t>
  </si>
  <si>
    <t>Antal felter:</t>
  </si>
  <si>
    <t>Antall felter:</t>
  </si>
  <si>
    <t>Broj polja:</t>
  </si>
  <si>
    <t>Anzahl der gleichen Systeme:</t>
  </si>
  <si>
    <t>Number of the same systems:</t>
  </si>
  <si>
    <t>Nombre de systèmes identiques :</t>
  </si>
  <si>
    <t>numero campate uguali:</t>
  </si>
  <si>
    <t>Počet stejných systémů:</t>
  </si>
  <si>
    <t>Liczba identycznych systemów:</t>
  </si>
  <si>
    <t>Azonos rendszerek száma:</t>
  </si>
  <si>
    <t>Počet rovnakých systémov:</t>
  </si>
  <si>
    <t>Aantal gelijke systemen:</t>
  </si>
  <si>
    <t>Antal identiska system:</t>
  </si>
  <si>
    <t>Antal tilsvarende systemer:</t>
  </si>
  <si>
    <t>Antall like systemer:</t>
  </si>
  <si>
    <t>Broj istih sustava:</t>
  </si>
  <si>
    <t>Surcharge for groove milling of side sections for stop logs</t>
  </si>
  <si>
    <t>Supplément pour fraisage des parties latérales des batardeaux</t>
  </si>
  <si>
    <t>sovrapprezzo per fresatura montanti laterali</t>
  </si>
  <si>
    <t>Příplatek za odfrézování bočních dílů pro hrázní bloky</t>
  </si>
  <si>
    <t>Dopłata za frezowanie części bocznych belek zaporowych</t>
  </si>
  <si>
    <t>Oldalsó elemek kimarásának felára</t>
  </si>
  <si>
    <t>Príplatok za vyfrézovanie bočných dielov pre hradidlá</t>
  </si>
  <si>
    <t>Toeslag uitfrezen zijdelen voor Dambalk</t>
  </si>
  <si>
    <t>Pristillägg urfräsning profiler för DÄMMBALK</t>
  </si>
  <si>
    <t>Tillæg for udfræsning af sidevanger til dæmningsbjælker</t>
  </si>
  <si>
    <t>Pristillegg utfresning av sidedeler for bjelkestengsler</t>
  </si>
  <si>
    <t>Doplata za obradu frezom bočnih dijelova za dasku brane</t>
  </si>
  <si>
    <t>Surcharge for length adjustment of side sections</t>
  </si>
  <si>
    <t>Supplément pour modification de longueur des parties latérales</t>
  </si>
  <si>
    <t>sovrapprezzo per modifiche di lunghezza dei montanti</t>
  </si>
  <si>
    <t xml:space="preserve">Příplatek za nestandardní délky bočních dílů </t>
  </si>
  <si>
    <t>Dopłata za zmianę długości profili ściennych</t>
  </si>
  <si>
    <t>Oldalsó elemek hosszméret-módosításának felára</t>
  </si>
  <si>
    <t>Príplatok za zmenu dĺžky bočných dielov</t>
  </si>
  <si>
    <t>Toeslag lengtewijziging zijdelen</t>
  </si>
  <si>
    <t>Pristillägg annan längd profiler</t>
  </si>
  <si>
    <t>Tillæg for ændring af sidevangernes længde</t>
  </si>
  <si>
    <t>Pristillegg lengdeendring av sidedeler</t>
  </si>
  <si>
    <t>Doplata za promjenu duljine bočnih dijelova</t>
  </si>
  <si>
    <t>Aufpreis Planungsstunde</t>
  </si>
  <si>
    <t>Surcharge for planning appointment</t>
  </si>
  <si>
    <t>Supplément pour heure d’étude et de conception</t>
  </si>
  <si>
    <t>sovrapprezzo per ora di progettazione</t>
  </si>
  <si>
    <t>Příplatek za hodinu projekční práce</t>
  </si>
  <si>
    <t>Dopłata godzinna za projektowanie</t>
  </si>
  <si>
    <t>Tervezési óra felára</t>
  </si>
  <si>
    <t>Príplatok za hodinu plánovania</t>
  </si>
  <si>
    <t>Toeslag planning (per uur)</t>
  </si>
  <si>
    <t>Pristillägg planeringstid</t>
  </si>
  <si>
    <t>Tillæg for timer til planlægning</t>
  </si>
  <si>
    <t>Pristillegg planleggingstime</t>
  </si>
  <si>
    <t>Doplata za sat planiranja</t>
  </si>
  <si>
    <t>Aufpreis Verankerung aufgeschweißt (a 300mm)</t>
  </si>
  <si>
    <t>Surcharge for anchoring to be welded (300 mm)</t>
  </si>
  <si>
    <t>Supplément pour soudure du système d’ancrage (300 mm)</t>
  </si>
  <si>
    <t>sovrapprezzo per saldatura ancoraggio (a 300mm)</t>
  </si>
  <si>
    <t>Příplatek za přivařené kotevní trny (á 300mm)</t>
  </si>
  <si>
    <t>Dopłata za zakotwienie spawane (za 300 mm)</t>
  </si>
  <si>
    <t>Hegesztett lehorgonyzóelem felára (á 300mm)</t>
  </si>
  <si>
    <t>Príplatok za privarenie ukotvenia (každých 300 mm)</t>
  </si>
  <si>
    <t>Toeslag verankering vastgelast (300 mm)</t>
  </si>
  <si>
    <t>Pristillägg svetsad förankring (300 mm)</t>
  </si>
  <si>
    <t>Tillæg for påsvejset forankring (hver 300 mm)</t>
  </si>
  <si>
    <t>Pristillegg påsveiset forankring (300 mm)</t>
  </si>
  <si>
    <t>Doplata za navareno usidrenje (300mm)</t>
  </si>
  <si>
    <t>Surcharge for side sections for stop logs</t>
  </si>
  <si>
    <t>Fraisage des parties latérales des batardeaux</t>
  </si>
  <si>
    <t>fresatura sulle sponde</t>
  </si>
  <si>
    <t>Odfrézování bočních dílů pro hrázní bloky</t>
  </si>
  <si>
    <t>Frezowanie części bocznych belek zapór</t>
  </si>
  <si>
    <t>Oldalsó elemek kimarása gátgerendához</t>
  </si>
  <si>
    <t>Vyfrézovanie bočných dielov pre hradidlá</t>
  </si>
  <si>
    <t>Uitfrezen zijdelen voor SP</t>
  </si>
  <si>
    <t>Urfräsning  profiler för DB</t>
  </si>
  <si>
    <t>Udfræsning af sidevanger til dæmningsbjælker</t>
  </si>
  <si>
    <t>Utfresning av sidedeler for DB</t>
  </si>
  <si>
    <t>Obrada frezom bočnih dijelova za dasku brane</t>
  </si>
  <si>
    <t>Ausführungsart</t>
  </si>
  <si>
    <t>Design type</t>
  </si>
  <si>
    <t>Type de mise en œuvre</t>
  </si>
  <si>
    <t>tipo di esecuzione</t>
  </si>
  <si>
    <t>Typ provedení</t>
  </si>
  <si>
    <t>Sposób wykonania</t>
  </si>
  <si>
    <t>Kialakítás</t>
  </si>
  <si>
    <t>Typ vyhotovenia</t>
  </si>
  <si>
    <t>Uitvoeringswijze</t>
  </si>
  <si>
    <t>Konstruktionstyp</t>
  </si>
  <si>
    <t>Arten af udførelsen</t>
  </si>
  <si>
    <t>Utførelsesmåte</t>
  </si>
  <si>
    <t>Način izvedbe</t>
  </si>
  <si>
    <t>Ausnutzung HD:</t>
  </si>
  <si>
    <t>Utilisation of HD:</t>
  </si>
  <si>
    <t>Charge statique HD :</t>
  </si>
  <si>
    <t>Utilizzo HD:</t>
  </si>
  <si>
    <t>Využití HD:</t>
  </si>
  <si>
    <t>Wykorzystanie HD:</t>
  </si>
  <si>
    <t>Kihasználtság HD:</t>
  </si>
  <si>
    <t>Využitie HD:</t>
  </si>
  <si>
    <t>Benutting HD:</t>
  </si>
  <si>
    <t>Izkoristek HD:</t>
  </si>
  <si>
    <t>Utnyttjande HD:</t>
  </si>
  <si>
    <t>Udnyttelse HD:</t>
  </si>
  <si>
    <t>Utnyttelse HD:</t>
  </si>
  <si>
    <t>Iskorištenje HD:</t>
  </si>
  <si>
    <t>Ausnutzung HD+HS:</t>
  </si>
  <si>
    <t>Utilisation of HD + HS:</t>
  </si>
  <si>
    <t>Charge statique HD + HS :</t>
  </si>
  <si>
    <t>Utilizzo HD+HS:</t>
  </si>
  <si>
    <t>Využití HD+HS:</t>
  </si>
  <si>
    <t>Wykorzystanie HD+HS</t>
  </si>
  <si>
    <t>Kihasználtság HD+HS:</t>
  </si>
  <si>
    <t>Využitie HD+HS:</t>
  </si>
  <si>
    <t>Benutting HD+HS:</t>
  </si>
  <si>
    <t>Izkoristek HD+HS:</t>
  </si>
  <si>
    <t>Utnyttjande HD+HS:</t>
  </si>
  <si>
    <t>Udnyttelse HD+HS:</t>
  </si>
  <si>
    <t>Utnyttelse HD+HS:</t>
  </si>
  <si>
    <t>Iskorištenje HD+HS:</t>
  </si>
  <si>
    <t>Ausnutzung HS:</t>
  </si>
  <si>
    <t>Utilisation of HS:</t>
  </si>
  <si>
    <t>Charge statique HS :</t>
  </si>
  <si>
    <t>Utilizzo HS:</t>
  </si>
  <si>
    <t>Využití HS:</t>
  </si>
  <si>
    <t>Wykorzystanie HS:</t>
  </si>
  <si>
    <t>Kihasználtság HS:</t>
  </si>
  <si>
    <t>Využitie HS:</t>
  </si>
  <si>
    <t>Benutting HS:</t>
  </si>
  <si>
    <t>Izkoristek HS:</t>
  </si>
  <si>
    <t>Utnyttjande HS:</t>
  </si>
  <si>
    <t>Udnyttelse HS:</t>
  </si>
  <si>
    <t>Utnyttelse HS:</t>
  </si>
  <si>
    <t>Iskorištenje HS:</t>
  </si>
  <si>
    <t>Ausnutzung zufolge</t>
  </si>
  <si>
    <t>Utilisation according to</t>
  </si>
  <si>
    <t>en fonction de la charge statique</t>
  </si>
  <si>
    <t>Utilizzo in conformità</t>
  </si>
  <si>
    <t>Využití od</t>
  </si>
  <si>
    <t>Wykorzystanie zgodnie z</t>
  </si>
  <si>
    <t>Kihasználtság a köv. következtében</t>
  </si>
  <si>
    <t>Využitie v dôsledku</t>
  </si>
  <si>
    <t>Benutting overeenkomstig</t>
  </si>
  <si>
    <t>Izkoristek kot posledica</t>
  </si>
  <si>
    <t>Utnyttjande beroende på</t>
  </si>
  <si>
    <t>Udnyttelse som følge af</t>
  </si>
  <si>
    <t>Utnyttelse i følge</t>
  </si>
  <si>
    <t>Iskorištenje prema</t>
  </si>
  <si>
    <t>Ausnutzung:</t>
  </si>
  <si>
    <t>Utilisation:</t>
  </si>
  <si>
    <t>Charge statique :</t>
  </si>
  <si>
    <t>Utilizzo:</t>
  </si>
  <si>
    <t>Využití:</t>
  </si>
  <si>
    <t>Wykorzystanie:</t>
  </si>
  <si>
    <t>Kihasználtság:</t>
  </si>
  <si>
    <t>Využitie:</t>
  </si>
  <si>
    <t>Benutting:</t>
  </si>
  <si>
    <t>Izkoristek:</t>
  </si>
  <si>
    <t>Utnyttjande:</t>
  </si>
  <si>
    <t>Udnyttelse:</t>
  </si>
  <si>
    <t>Utnyttelse:</t>
  </si>
  <si>
    <t>Iskorištenje:</t>
  </si>
  <si>
    <t>Bei nicht fachgerechter Montage und/oder Wartung oder bei Benutzung von nicht originalem Zubehör übernimmt PREFA keinerlei Haftung.</t>
  </si>
  <si>
    <t>PREFA assumes no liability in the event of incorrect installation and/or maintenance, or in cases where non-original accessories are used.</t>
  </si>
  <si>
    <t>Toute responsabilité de PREFA est également exclue en cas de défaut de construction (notamment si le gros œuvre pose des problèmes d’étanchéité)</t>
  </si>
  <si>
    <t>in caso di installazione e/o manutenzione impropria o se vengono utilizzati accessori non originali, PREFA non si assume alcuna responsabilità.</t>
  </si>
  <si>
    <t>Při neodborné montáži a/nebo údržbě nebo při použití neoriginálního příslušenství nepřebírá PREFA žádnou záruku.</t>
  </si>
  <si>
    <t>PREFA nie przejmuje żadnej odpowiedzialności za niewłaściwy montaż i/lub konserwację lub zastosowanie nieoryginalnych akcesoriów.</t>
  </si>
  <si>
    <t xml:space="preserve">A rendszer szakszerűtlen beépítéséből és/vagy karbantartásából, vagy a nem gyári alkatrészek használatából eredő károkért a PREFA semmilyen felelősséget nem vállal. </t>
  </si>
  <si>
    <t>Pri neodbornej montáži a/alebo údržbe alebo pri použití iného ako originálneho príslušenstva nepreberá PREFA žiadnu záruku.</t>
  </si>
  <si>
    <t>Bij ondeskundige montage/onderhoud of bij gebruik van niet-originele toebehoren is PREFA niet aansprakelijk.</t>
  </si>
  <si>
    <t>Om montering och/eller underhåll inte utförs fackmannamässigt, eller tillbehör som inte är originaldelar används, har PREFA inget ansvar.</t>
  </si>
  <si>
    <t>I tilfælde af ukorrekt installation og/eller vedligeholdelse, eller ved brug af ikke-originalt tilbehør, påtager PREFA sig intet ansvar.</t>
  </si>
  <si>
    <t>Ved ikke fagmessig montering og/eller vedlikehold eller ved bruk av ikke-originalt tilbehør, fraskriver PREFA seg alt ansvar.</t>
  </si>
  <si>
    <t>U slučaju nestručne montaže i/ili održavanja ili u slučaju korištenja neoriginalnih dijelova PREFA ne preuzima nikakvu odgovornost.</t>
  </si>
  <si>
    <t>Bei System 25 nur 1 Feld möglich!</t>
  </si>
  <si>
    <t>Only 1 field possible for system 25!</t>
  </si>
  <si>
    <t>Une seule travée possible pour le système 25 !</t>
  </si>
  <si>
    <t>con il sistema 25 è realizzabile solamente la campata singola!</t>
  </si>
  <si>
    <t>U systému 25 možné pouze 1 pole!</t>
  </si>
  <si>
    <t>Przy systemie 25 możliwe tylko jedno pole!</t>
  </si>
  <si>
    <t>25-s rendszernél csak 1 mező lehetséges!</t>
  </si>
  <si>
    <t>Pre systém 25 je možné len 1 pole!</t>
  </si>
  <si>
    <t>Bij systeem 25 slechts 1 veld mogelijk!</t>
  </si>
  <si>
    <t>Med system 25 är bara 1 fält möjligt!</t>
  </si>
  <si>
    <t>Med system 25 er kun 1 felt muligt!</t>
  </si>
  <si>
    <t>Ved system 25 kun 1 felt mulig!</t>
  </si>
  <si>
    <t>Za sustav 25 moguće samo 1 polje!</t>
  </si>
  <si>
    <t>Bemaßung</t>
  </si>
  <si>
    <t>Dimensions (length and height)</t>
  </si>
  <si>
    <t>Dimensionnement</t>
  </si>
  <si>
    <t>Quotatura</t>
  </si>
  <si>
    <t>Wymiarowanie</t>
  </si>
  <si>
    <t>Méretezés</t>
  </si>
  <si>
    <t>Maatvoering</t>
  </si>
  <si>
    <t>Dimenzioniranje</t>
  </si>
  <si>
    <t>dimensioner</t>
  </si>
  <si>
    <t>Dimensjonering</t>
  </si>
  <si>
    <t>Bemessungsmoment HD:</t>
  </si>
  <si>
    <t>Rated torque HD:</t>
  </si>
  <si>
    <t>Moment de calcul HD :</t>
  </si>
  <si>
    <t>Coppia nominale HD:</t>
  </si>
  <si>
    <t>Výpočtový moment HD:</t>
  </si>
  <si>
    <t>Moment kalkulacji HD:</t>
  </si>
  <si>
    <t>Mértékadó nyomaték HD:</t>
  </si>
  <si>
    <t>Menovitý krútiaci moment HD:</t>
  </si>
  <si>
    <t>Meetmoment HD:</t>
  </si>
  <si>
    <t>Nazivni navor HD:</t>
  </si>
  <si>
    <t>Mätmoment HD:</t>
  </si>
  <si>
    <t>Beregningsmoment HD:</t>
  </si>
  <si>
    <t>Kalibreringsmoment HD:</t>
  </si>
  <si>
    <t>Projektirani moment HD:</t>
  </si>
  <si>
    <t>Bemessungsmoment HD+HS:</t>
  </si>
  <si>
    <t>Rated torque HD + HS:</t>
  </si>
  <si>
    <t>Moment de calcul HD + HS :</t>
  </si>
  <si>
    <t>Coppia nominale HD+HS:</t>
  </si>
  <si>
    <t>Výpočtový moment HD+HS:</t>
  </si>
  <si>
    <t>Moment kalkulacji HD+HS:</t>
  </si>
  <si>
    <t>Mértékadó nyomaték HD+HS:</t>
  </si>
  <si>
    <t>Menovitý krútiaci moment HD+HS:</t>
  </si>
  <si>
    <t>Meetmoment HD+HS:</t>
  </si>
  <si>
    <t>Nazivni navor HD+HS:</t>
  </si>
  <si>
    <t>Mätmoment HD+HS:</t>
  </si>
  <si>
    <t>Beregningsmoment HD+HS:</t>
  </si>
  <si>
    <t>Kalibreringsmoment HD+HS:</t>
  </si>
  <si>
    <t>Projektirani moment HD+HS:</t>
  </si>
  <si>
    <t>Bemessungsmoment HS:</t>
  </si>
  <si>
    <t>Rated torque HS:</t>
  </si>
  <si>
    <t>Moment de calcul HS :</t>
  </si>
  <si>
    <t>Coppia nominale HS:</t>
  </si>
  <si>
    <t>Výpočtový moment HS:</t>
  </si>
  <si>
    <t>Moment kalkulacji HS:</t>
  </si>
  <si>
    <t>Mértékadó nyomaték HS:</t>
  </si>
  <si>
    <t>Menovitý krútiaci moment HS:</t>
  </si>
  <si>
    <t>Meetmoment HS:</t>
  </si>
  <si>
    <t>Nazivni navor HS:</t>
  </si>
  <si>
    <t>Mätmoment HS:</t>
  </si>
  <si>
    <t>Beregningsmoment HS:</t>
  </si>
  <si>
    <t>Kalibreringsmoment HS:</t>
  </si>
  <si>
    <t>Projektirani moment HS:</t>
  </si>
  <si>
    <t>Bemessungsmoment Treibgut:</t>
  </si>
  <si>
    <t>Rated torque of flotsam:</t>
  </si>
  <si>
    <t>Moment de calcul des débris flottants :</t>
  </si>
  <si>
    <t>Coppia nominale detriti:</t>
  </si>
  <si>
    <t>Výpočtový moment plovoucí předmět:</t>
  </si>
  <si>
    <t>Moment kalkulacji, materiał naniesiony:</t>
  </si>
  <si>
    <t>Mértékadó nyomaték uszadék:</t>
  </si>
  <si>
    <t>Menovitý krútiaci moment plávajúceho predmetu:</t>
  </si>
  <si>
    <t>Meetmoment drijfmateriaal:</t>
  </si>
  <si>
    <t>Nazivni navor naplavin:</t>
  </si>
  <si>
    <t>Mätmoment för flytande skräp:</t>
  </si>
  <si>
    <t>Beregningsmoment drivende genstande:</t>
  </si>
  <si>
    <t>Kalibreringsmoment drivgods:</t>
  </si>
  <si>
    <t>Projektirani moment naplavine:</t>
  </si>
  <si>
    <t>Bemessungsmoment:</t>
  </si>
  <si>
    <t>Rated torque:</t>
  </si>
  <si>
    <t>Moment de calcul :</t>
  </si>
  <si>
    <t>Coppia nominale:</t>
  </si>
  <si>
    <t>Výpočtový moment:</t>
  </si>
  <si>
    <t>Moment kalkulacji:</t>
  </si>
  <si>
    <t>Mértékadó nyomaték:</t>
  </si>
  <si>
    <t>Menovitý krútiaci moment:</t>
  </si>
  <si>
    <t>Meetmoment:</t>
  </si>
  <si>
    <t>Nazivni navor:</t>
  </si>
  <si>
    <t>Mätmoment:</t>
  </si>
  <si>
    <t>Beregningsmoment:</t>
  </si>
  <si>
    <t>Kalibreringsmoment:</t>
  </si>
  <si>
    <t>Projektirani moment:</t>
  </si>
  <si>
    <t>Berechnung U-Profilhöhe bei Montage in Leibung zum Einfädeln</t>
  </si>
  <si>
    <t>Calcul du profil U-pour le montage en embrasure, vide lumière</t>
  </si>
  <si>
    <t>Calcolo dell'altezza dei profili a U per l'inserimento</t>
  </si>
  <si>
    <t>Určení výšky U-Profilu pro umožnění zasunutí hrázního bloku při montáži "zapuštěné do ostění"</t>
  </si>
  <si>
    <t>Obliczenie wysokości profilu U do montażu w otworze w celu gwintowania</t>
  </si>
  <si>
    <t xml:space="preserve">U-profilok magasságának számítása nyílásban történő beépítésnél, a gerendák behelyezhetőségének ellenőrzéséhez. </t>
  </si>
  <si>
    <t>Výpočet výšky U-profilu pri montáži na vloženie do ostenia</t>
  </si>
  <si>
    <t>Beräkning U-profilhöjd vid diagonal inpassning av dämmbalk</t>
  </si>
  <si>
    <t>beschichtet</t>
  </si>
  <si>
    <t>Coated</t>
  </si>
  <si>
    <t>Thermolaqué</t>
  </si>
  <si>
    <t>verniciato</t>
  </si>
  <si>
    <t>lakovaný</t>
  </si>
  <si>
    <t>powlekany</t>
  </si>
  <si>
    <t>Bevonatos</t>
  </si>
  <si>
    <t>S povrchovou úpravou</t>
  </si>
  <si>
    <t>Gecoat</t>
  </si>
  <si>
    <t>Belagd</t>
  </si>
  <si>
    <t>Beklædt</t>
  </si>
  <si>
    <t>Med belegg</t>
  </si>
  <si>
    <t>plastificirano</t>
  </si>
  <si>
    <t>Beschichtung</t>
  </si>
  <si>
    <t>Coating</t>
  </si>
  <si>
    <t>verniciatura</t>
  </si>
  <si>
    <t>Lakování</t>
  </si>
  <si>
    <t>powłoka</t>
  </si>
  <si>
    <t xml:space="preserve">Bevonat  </t>
  </si>
  <si>
    <t>Povrchová úprava</t>
  </si>
  <si>
    <t>Beläggning</t>
  </si>
  <si>
    <t>Beklædning</t>
  </si>
  <si>
    <t>Belegg</t>
  </si>
  <si>
    <t>Plastifikacija</t>
  </si>
  <si>
    <t>BHW = Bemessungshochwasser</t>
  </si>
  <si>
    <t>BHW = Flood water measurement</t>
  </si>
  <si>
    <t>BHW : hauteur de retenue d’eau</t>
  </si>
  <si>
    <t>BHW = Misura del livello di piena</t>
  </si>
  <si>
    <t>BHW = návrhová výška vzdutí</t>
  </si>
  <si>
    <t>BHW = powódź projektowa </t>
  </si>
  <si>
    <t>MÁSZ = mértékadó árvízszint</t>
  </si>
  <si>
    <t>BHW = menovitá výška hladiny vody</t>
  </si>
  <si>
    <t>BHW = maatgevende hoogwaterstand</t>
  </si>
  <si>
    <t>BHW = Högsta högvattennivå</t>
  </si>
  <si>
    <t>BHW = Design-højvandsstand</t>
  </si>
  <si>
    <t>BHW = flommåling</t>
  </si>
  <si>
    <t>BHW = projektna poplava</t>
  </si>
  <si>
    <t>blank</t>
  </si>
  <si>
    <t>aluminium naturel</t>
  </si>
  <si>
    <t>alluminio naturale</t>
  </si>
  <si>
    <t>přírodní</t>
  </si>
  <si>
    <t>naturalny</t>
  </si>
  <si>
    <t>Natúr alumínium</t>
  </si>
  <si>
    <t>Prírodný hliník</t>
  </si>
  <si>
    <t>Blank</t>
  </si>
  <si>
    <t>Blank / Blankt</t>
  </si>
  <si>
    <t>prirodni aluminij</t>
  </si>
  <si>
    <t>Bodendichtung 25</t>
  </si>
  <si>
    <t>Ground seal 25</t>
  </si>
  <si>
    <t>joint au sol 25</t>
  </si>
  <si>
    <t>guarnizione a pavimento 25</t>
  </si>
  <si>
    <t>Spodní těsnění 25</t>
  </si>
  <si>
    <t>Uszczelmienie dolne 25</t>
  </si>
  <si>
    <t>Talajtömítés 25</t>
  </si>
  <si>
    <t>Spodné tesnenie 25</t>
  </si>
  <si>
    <t>Bodemafdichting 25</t>
  </si>
  <si>
    <t>GOLVTÄTNING 25</t>
  </si>
  <si>
    <t>Bundtætning 25</t>
  </si>
  <si>
    <t>Bunntetning 25</t>
  </si>
  <si>
    <t>Brtvljenje prema tlu 25</t>
  </si>
  <si>
    <t>Bodendichtung 50</t>
  </si>
  <si>
    <t>Ground seal 50</t>
  </si>
  <si>
    <t>joint au sol 50</t>
  </si>
  <si>
    <t>guarnizione a pavimento 50</t>
  </si>
  <si>
    <t>Spodní těsnění 50</t>
  </si>
  <si>
    <t>Uszczelmienie dolne 50</t>
  </si>
  <si>
    <t>Talajtömítés 50</t>
  </si>
  <si>
    <t>Spodné tesnenie 50</t>
  </si>
  <si>
    <t>Bodemafdichting 50</t>
  </si>
  <si>
    <t>GOLVTÄTNING 50</t>
  </si>
  <si>
    <t>Bundtætning 50</t>
  </si>
  <si>
    <t>Bunntetning 50</t>
  </si>
  <si>
    <t>Brtvljenje prema tlu 50</t>
  </si>
  <si>
    <t>Bodendichtung 80</t>
  </si>
  <si>
    <t>Ground seal 80</t>
  </si>
  <si>
    <t>joint au sol 80</t>
  </si>
  <si>
    <t>guarnizione a pavimento 80</t>
  </si>
  <si>
    <t>Spodní těsnění 80</t>
  </si>
  <si>
    <t>Uszczelmienie dolne 80</t>
  </si>
  <si>
    <t>Talajtömítés 80</t>
  </si>
  <si>
    <t>Spodné tesnenie 80</t>
  </si>
  <si>
    <t>Bodemafdichting 80</t>
  </si>
  <si>
    <t>GOLVTÄTNING 80</t>
  </si>
  <si>
    <t>Bundtætning 80</t>
  </si>
  <si>
    <t>Bunntetning 80</t>
  </si>
  <si>
    <t>Brtvljenje prema tlu 80</t>
  </si>
  <si>
    <t>Bodenhülse</t>
  </si>
  <si>
    <t>Ground sleeve</t>
  </si>
  <si>
    <t>douille de sol</t>
  </si>
  <si>
    <t>piantone</t>
  </si>
  <si>
    <t>Zemní pouzdro</t>
  </si>
  <si>
    <t>Tuleja do mocowania kolumny</t>
  </si>
  <si>
    <t xml:space="preserve">Padlóhüvely  </t>
  </si>
  <si>
    <t>Zemné puzdro</t>
  </si>
  <si>
    <t>Bodemhuls</t>
  </si>
  <si>
    <t>Markhylsa</t>
  </si>
  <si>
    <t>Bundmuffe</t>
  </si>
  <si>
    <t>JORDANKER</t>
  </si>
  <si>
    <t>Podna čaška</t>
  </si>
  <si>
    <t>Bodenhülse 50/80 Aluminium beschichtet inkl. Deckel mit Dichtung</t>
  </si>
  <si>
    <t>Ground sleeve 50/80 aluminium-coated incl. cover with seal</t>
  </si>
  <si>
    <t>douille de sol 50/80 ; aluminium prélaqué, fourni avec couvercle et joint</t>
  </si>
  <si>
    <t>piantone 50/80 alluminio verniciato, compreso coperchio con guarnizione</t>
  </si>
  <si>
    <t>Zemní pouzdro 50/80, lakovaný hliník vč. víka s těsněním</t>
  </si>
  <si>
    <t>Tuleja 50/80 do mocowania kolumny, aluminum powlekane z deklem i uszczelnieniem</t>
  </si>
  <si>
    <t xml:space="preserve">Padlóhüvely 50/80 bevonatos alumínium, tömített fedéllel  </t>
  </si>
  <si>
    <t>Zemné puzdro 50/80 hliník s povrchovou úpravou vrát. veka s tesnením</t>
  </si>
  <si>
    <t>Bodemhuls 50/80 aluminium coating incl. deksel met afdichting</t>
  </si>
  <si>
    <t>Bundmuffe 50/80 aluminiumbeklædt, inkl. dæksel med tætning</t>
  </si>
  <si>
    <t>JORDANKER 50/80 aluminium med belegg inkl. lokk med tetning</t>
  </si>
  <si>
    <t>Podna čaška 50/80 plastificirani aluminij uklj. poklopac s brtvom</t>
  </si>
  <si>
    <t>Bodenhülse 50/80 Edelstahl beschichtet inkl. Deckel mit Dichtung</t>
  </si>
  <si>
    <t>Ground sleeve 50/80 stainless steel-coated incl. cover with seal</t>
  </si>
  <si>
    <t>douille de sol 50/80 ; acier inoxydable prélaqué, fourni avec couvercle et joint</t>
  </si>
  <si>
    <t>piantone 50/80 acciaio inox verniciato, compreso coperchio con guarnizione</t>
  </si>
  <si>
    <t>Zemní pouzdro 50/80, lakovaný nerez vč. víka s těsněním</t>
  </si>
  <si>
    <t>Tuleja 50/80 do mocowania kolumny, stal nierdzewna powlekana z deklem i uszczelnieniem</t>
  </si>
  <si>
    <t xml:space="preserve">Padlóhüvely 50/80 rozsdamentes acél, tömített fedéllel  </t>
  </si>
  <si>
    <t>Zemné puzdro 50/80 ušľachtilá oceľ s povrchovou úpravou vrát. veka s tesnením</t>
  </si>
  <si>
    <t>Bodemhuls 50/80 rvs coating incl. deksel met afdichting</t>
  </si>
  <si>
    <t>Bundmuffe 50/80 beklædt med rustfrit stål, inkl. dæksel med tætning</t>
  </si>
  <si>
    <t>JORDANKER 50/80 rustfritt stål med belegg inkl. lokk med tetning</t>
  </si>
  <si>
    <t>Podna čaška 50/80 plastificirani nehrđajući čelik uklj. poklopac s brtvom</t>
  </si>
  <si>
    <t>Bodenhülse 50/80 Vario Aluminium beschichtet inkl. Deckel mit Dichtung</t>
  </si>
  <si>
    <t>Ground sleeve 50/80 Vario aluminium-coated incl. cover with seal</t>
  </si>
  <si>
    <t>douille de sol 50/80 Vario ; aluminium prélaqué, fourni avec couvercle et joint</t>
  </si>
  <si>
    <t>piantone 50/80 Vario alluminio verniciato, compreso coperchio con guarnizione</t>
  </si>
  <si>
    <t>Zemní pouzdro 50/80 Vario, lakovaný hliník vč. víka s těsněním</t>
  </si>
  <si>
    <t>Tuleja 50/80 VARIO do mocowania kolumny, aluminum powlekane z deklem i uszczelnieniem</t>
  </si>
  <si>
    <t xml:space="preserve">Padlóhüvely Vario 50/80 bevonatos alumínium, tömített fedéllel  </t>
  </si>
  <si>
    <t>Zemné puzdro 50/80 Vario, hliník s povrchovou úpravou vrát. veka s tesnením</t>
  </si>
  <si>
    <t>Bodemhuls 50/80 Vario aluminium coating incl. deksel met afdichting</t>
  </si>
  <si>
    <t>Bundmuffe 50/80 beklædt med Vario aluminium, inkl. dæksel med tætning</t>
  </si>
  <si>
    <t>JORDANKER 50/80 Vario aluminium med belegg inkl. lokk med tetning</t>
  </si>
  <si>
    <t>Podna čaška 50/80 vario plastificirani aluminij uklj. poklopac s brtvom</t>
  </si>
  <si>
    <t>Bodenhülse 50/80 Vario Edelstahl beschichtet inkl. Deckel mit Dichtung</t>
  </si>
  <si>
    <t>Ground sleeve 50/80 Vario stainless steel-coated incl. cover with seal</t>
  </si>
  <si>
    <t>douille de sol 50/80 Vario ; acier inoxydable prélaqué, fourni avec couvercle et joint</t>
  </si>
  <si>
    <t>piantone 50/80 Vario acciaio inox verniciato, compreso coperchio con guarnizione</t>
  </si>
  <si>
    <t>Zemní pouzdro 50/80 Vario, lakovaný nerez vč. víka s těsněním</t>
  </si>
  <si>
    <t>Tuleja 50/80 VARIO do mocowania kolumny, stal nierdzewna powlekana z deklem i uszczelnieniem</t>
  </si>
  <si>
    <t xml:space="preserve">Padlóhüvely Vario 50/80 rozsdamentes acél, tömített fedéllel  </t>
  </si>
  <si>
    <t>Zemné puzdro 50/80 Vario, ušľachtilá oceľ s povrchovou úpravou vrát. veka s tesnením</t>
  </si>
  <si>
    <t>Bodemhuls 50/80 Vario rvs coating incl. deksel met afdichting</t>
  </si>
  <si>
    <t>Bundmuffe 50/80 beklædt med Vario rustfrit stål, inkl. dæksel med tætning</t>
  </si>
  <si>
    <t>JORDANKER 50/80 Vario rustfritt stål med belegg inkl. lokk med tetning</t>
  </si>
  <si>
    <t>Podna čaška 50/80 vario plastificirani nehrđajući čelik uklj. poklopac s brtvom</t>
  </si>
  <si>
    <t>Bodenhülsendeckel</t>
  </si>
  <si>
    <t>Ground sleeve cover</t>
  </si>
  <si>
    <t>couvercle de douille de sol</t>
  </si>
  <si>
    <t>coperchio per piantone</t>
  </si>
  <si>
    <t>Víko zemního pouzdra</t>
  </si>
  <si>
    <t>Pokrywa tulei do mocowania kolumny</t>
  </si>
  <si>
    <t>Padlóhüvely-fedél</t>
  </si>
  <si>
    <t>Veko zemného puzdra</t>
  </si>
  <si>
    <t>Bodemhulsdeksel</t>
  </si>
  <si>
    <t>Lock till Markhylsa</t>
  </si>
  <si>
    <t>Dæksel til bundmuffe</t>
  </si>
  <si>
    <t>Jordankerlokk</t>
  </si>
  <si>
    <t>Poklopac podne čaške</t>
  </si>
  <si>
    <t>Bündig</t>
  </si>
  <si>
    <t>Flush</t>
  </si>
  <si>
    <t>intégré dans l’embrasure</t>
  </si>
  <si>
    <t>a filo</t>
  </si>
  <si>
    <t>Zapuštěný v ostění</t>
  </si>
  <si>
    <t>Falsíkba süllyesztett</t>
  </si>
  <si>
    <t>Zapustené</t>
  </si>
  <si>
    <t>Geïntegreerd</t>
  </si>
  <si>
    <t>Slät</t>
  </si>
  <si>
    <t>På niveau</t>
  </si>
  <si>
    <t>I flukt</t>
  </si>
  <si>
    <t>U ravnini</t>
  </si>
  <si>
    <t>Dammbalken</t>
  </si>
  <si>
    <t>Stop logs</t>
  </si>
  <si>
    <t>batardeau</t>
  </si>
  <si>
    <t>sponda</t>
  </si>
  <si>
    <t>Hrázní blok</t>
  </si>
  <si>
    <t>Belka zapory</t>
  </si>
  <si>
    <t>Gátgerenda</t>
  </si>
  <si>
    <t>Hradidlo</t>
  </si>
  <si>
    <t>Dambalk</t>
  </si>
  <si>
    <t>DÄMMBALK</t>
  </si>
  <si>
    <t>Dæmningsbjælker</t>
  </si>
  <si>
    <t>Bjelkestengsler / FLOMSIKRINGSELEMENT</t>
  </si>
  <si>
    <t>Daska brane</t>
  </si>
  <si>
    <t>Dammbalken 25/200 exkl. Dichtung, gesägt und entgratet</t>
  </si>
  <si>
    <t>Stop logs 25/200 excl. seal, cut to size and deburred</t>
  </si>
  <si>
    <t>batardeau 25/200, fourni sans joint, scié et ébavuré</t>
  </si>
  <si>
    <t>sponda 25/200 esclusa guarnizione, segato e sbavato</t>
  </si>
  <si>
    <t>Hrázní blok 25/200, bez těsnění, řezaný na délku, bez otřepů</t>
  </si>
  <si>
    <t>Belka zapory 25/200, bez uszczelnienia, docięta i okrawana</t>
  </si>
  <si>
    <t>Gátgerenda 25/200 tömítés nélkül, méretre vágva, sorjázva</t>
  </si>
  <si>
    <t>Hradidlo 25/200 bez tesnenia, pílené a odhrotované</t>
  </si>
  <si>
    <t>Dambalk 25/200 excl. afdichting, gezaagd en afgebraamd</t>
  </si>
  <si>
    <t>DÄMMBALK 25/200 exkl. tätning, kapad &amp; avgradad</t>
  </si>
  <si>
    <t>Dæmningsbjælker 25/200 ekskl. tætning, savet og afgratet</t>
  </si>
  <si>
    <t>FLOMSIKRINGSELEMENT 25/200 ekskl. tetning, saget og avgradet</t>
  </si>
  <si>
    <t>Daska brane 25/200 bez brtve, piljena i s obrađenim rubovima</t>
  </si>
  <si>
    <t>Dammbalken 50/150 exkl. Dichtung, gesägt und entgratet</t>
  </si>
  <si>
    <t>Stop logs 50/150 excl. seal, cut to size and deburred</t>
  </si>
  <si>
    <t>batardeau 50/150, fourni sans joint, scié et ébavuré</t>
  </si>
  <si>
    <t>sponda 50/150 esclusa guarnizione, segato e sbavato</t>
  </si>
  <si>
    <t>Hrázní blok 50/150, bez těsnění, řezaný na délku, bez otřepů</t>
  </si>
  <si>
    <t>Belka zapory 50/150, bez uszczelnienia, docięta i okrawana</t>
  </si>
  <si>
    <t>Gátgerenda 50/150 tömítés nélkül, méretre vágva, sorjázva</t>
  </si>
  <si>
    <t>Hradidlo 50/150 bez tesnenia, pílené a odhrotované</t>
  </si>
  <si>
    <t>Dambalk 50/150 excl. afdichting, gezaagd en afgebraamd</t>
  </si>
  <si>
    <t>DÄMMBALK 50/150 exkl. tätning, kapad &amp; avgradad</t>
  </si>
  <si>
    <t>Dæmningsbjælker 50/150 ekskl. tætning, savet og afgratet</t>
  </si>
  <si>
    <t>FLOMSIKRINGSELEMENT 50/150 ekskl. tetning, saget og avgradet</t>
  </si>
  <si>
    <t>Daska brane 50/150 bez brtve, piljena i s obrađenim rubovima</t>
  </si>
  <si>
    <t>Dammbalken 50/200 exkl. Dichtung, gesägt und entgratet</t>
  </si>
  <si>
    <t>Stop logs 50/200 excl. seal, cut to size and deburred</t>
  </si>
  <si>
    <t>batardeau 50/200, fourni sans joint, scié et ébavuré</t>
  </si>
  <si>
    <t>sponda 50/200 esclusa guarnizione, segato e sbavato</t>
  </si>
  <si>
    <t>Hrázní blok 50/200, bez těsnění, řezaný na délku, bez otřepů</t>
  </si>
  <si>
    <t>Belka zapory 50/200, bez uszczelnienia, docięta i okrawana</t>
  </si>
  <si>
    <t>Gátgerenda 50/200 tömítés nélkül, méretre vágva, sorjázva</t>
  </si>
  <si>
    <t>Hradidlo 50/200 bez tesnenia, pílené a odhrotované</t>
  </si>
  <si>
    <t>Dambalk 50/200 excl. afdichting, gezaagd en afgebraamd</t>
  </si>
  <si>
    <t>Dæmningsbjælker 50/200 ekskl. tætning, savet og afgratet</t>
  </si>
  <si>
    <t>FLOMSIKRINGSELEMENT 50/200 ekskl. tetning, saget og avgradet</t>
  </si>
  <si>
    <t>Daska brane 50/200 bez brtve, piljena i s obrađenim rubovima</t>
  </si>
  <si>
    <t>Dammbalken 80/200 exkl. Dichtung, gesägt und entgratet</t>
  </si>
  <si>
    <t>Stop logs 80/200 excl. seal, cut to size and deburred</t>
  </si>
  <si>
    <t>batardeau 80/200, fourni sans joint, scié et ébavuré</t>
  </si>
  <si>
    <t>sponda 80/200 esclusa guarnizione, segato e sbavato</t>
  </si>
  <si>
    <t>Hrázní blok 80/200, bez těsnění, řezaný na délku, bez otřepů</t>
  </si>
  <si>
    <t>Belka zapory 80/200, bez uszczelnienia, docięta i okrawana</t>
  </si>
  <si>
    <t>Gátgerenda 80/200 tömítés nélkül, méretre vágva, sorjázva</t>
  </si>
  <si>
    <t>Hradidlo 80/200 bez tesnenia, pílené a odhrotované</t>
  </si>
  <si>
    <t>Dambalk 80/200 excl. afdichting, gezaagd en afgebraamd</t>
  </si>
  <si>
    <t>Dæmningsbjælker 80/200 ekskl. tætning, savet og afgratet</t>
  </si>
  <si>
    <t>FLOMSIKRINGSELEMENT 80/200 ekskl. tetning, saget og avgradet</t>
  </si>
  <si>
    <t>Daska brane 80/200 bez brtve, piljena i s obrađenim rubovima</t>
  </si>
  <si>
    <t>Dammbalkendichtung (25)</t>
  </si>
  <si>
    <t>Stop log seal (25)</t>
  </si>
  <si>
    <t>joint de batardeau (25)</t>
  </si>
  <si>
    <t>guarnizione per sponde (25)</t>
  </si>
  <si>
    <t>Těsnění hrázního bloku (25)</t>
  </si>
  <si>
    <t>Uszczelka belki zapory (25)</t>
  </si>
  <si>
    <t>Gátgerenda tömítés (25)</t>
  </si>
  <si>
    <t>Tesnenie hradidla (25)</t>
  </si>
  <si>
    <t>Dambalkafdichting (25)</t>
  </si>
  <si>
    <t>Dämmbalkstätning (25)</t>
  </si>
  <si>
    <t>Dæmningsbjælketætning (25)</t>
  </si>
  <si>
    <t>FLOMSIRKINGSELEMENTTETNING (25)</t>
  </si>
  <si>
    <t>Brtvljenje daske brane (25)</t>
  </si>
  <si>
    <t>Dammbalkendichtung (50+80)</t>
  </si>
  <si>
    <t>Stop log seal (50+80)</t>
  </si>
  <si>
    <t>joint de batardeau (50 + 80)</t>
  </si>
  <si>
    <t>guarnizione per sponde (50+80)</t>
  </si>
  <si>
    <t>Těsnění hrázního bloku (50+80)_CZ</t>
  </si>
  <si>
    <t>Uszczelka belki zapory (50+80)</t>
  </si>
  <si>
    <t>Gátgerenda tömítés (50+80)</t>
  </si>
  <si>
    <t>Tesnenie hradidla (50+80)</t>
  </si>
  <si>
    <t>Dambalkafdichting (50+80)</t>
  </si>
  <si>
    <t>Dämmbalkstätning (50+80)</t>
  </si>
  <si>
    <t>Dæmningsbjælketætning (50 + 80)</t>
  </si>
  <si>
    <t>FLOMSIRKINGSELEMENTTETNING (50+80)</t>
  </si>
  <si>
    <t>Brtvljenje daske brane (50+80)</t>
  </si>
  <si>
    <t>Dammbalkenhaken</t>
  </si>
  <si>
    <t>Crochet pour batardeau</t>
  </si>
  <si>
    <t>Gancio per sponde</t>
  </si>
  <si>
    <t>Hák hrázního bloku</t>
  </si>
  <si>
    <t>Haki belki zapory</t>
  </si>
  <si>
    <t>Hák na hradidlo</t>
  </si>
  <si>
    <t>Dambalkhaak</t>
  </si>
  <si>
    <t>Kavelj za iztisnjen profil</t>
  </si>
  <si>
    <t>DÄMMBALKSKROK</t>
  </si>
  <si>
    <t>Dæmningsbjælkekrog</t>
  </si>
  <si>
    <t>Kroker til flomsikringselement</t>
  </si>
  <si>
    <t>Kuka za dasku brane</t>
  </si>
  <si>
    <t>Dammbalkenlänge:</t>
  </si>
  <si>
    <t>Longueur du batardeau</t>
  </si>
  <si>
    <t>Lunghezza sponde:</t>
  </si>
  <si>
    <t>Délka hrázního bloku:</t>
  </si>
  <si>
    <t>Długość belki zapory:</t>
  </si>
  <si>
    <t>Gátgerenda hosszméret:</t>
  </si>
  <si>
    <t>Dĺžka hradidla:</t>
  </si>
  <si>
    <t>Dambalklengte:</t>
  </si>
  <si>
    <t>Dolžina izstisnjenega profila:</t>
  </si>
  <si>
    <t>DÄMMBALKLÄNDG:</t>
  </si>
  <si>
    <t>Dæmningsbjælkelængde:</t>
  </si>
  <si>
    <t>Lengde på flomsikringselement:</t>
  </si>
  <si>
    <t>Duljina daske brane:</t>
  </si>
  <si>
    <t>darunter auch Beschädigung durch mechanische Einwirkung von Personen oder Gegenständen, ausschlussgebend für eine Haftung seitens PREFA.</t>
  </si>
  <si>
    <t>including damage caused by the mechanical actions of persons or objects.</t>
  </si>
  <si>
    <t xml:space="preserve"> — ce qui inclut tout dommage causé par l’action mécanique de personnes ou d’objets.</t>
  </si>
  <si>
    <t>così come danni causati dall'azione meccanica di persone o oggetti, costituiscono una esclusione di responsabilità da parte di PREFA.</t>
  </si>
  <si>
    <t>jakož i poškození mechanickým působením osob nebo předmětů.</t>
  </si>
  <si>
    <t>w tym uszkodzenia spowodowane działaniem mechanicznym osób lub przedmiotów, z wyłączeniem wszelkiej odpowiedzialności firmy PREFA. </t>
  </si>
  <si>
    <t>valamint azon sérülésekre, melyeket emberek, vagy tárgyak okoztak, szintén kizáró oknak minősülnek a PREFA garanciavállalására.</t>
  </si>
  <si>
    <t>ako aj poškodenia mechanickým pôsobením osôb alebo predmetov nepodliehajú záruke zo strany firmy PREFA.</t>
  </si>
  <si>
    <t>waaronder ook beschadiging als gevolg van mechanische inwerking door personen of voorwerpen.</t>
  </si>
  <si>
    <t>bland annat skada p.g.a. personers eller föremåls mekanisk påverkan, är avgörande faktorer för huruvida PREFA är ansvarigt.</t>
  </si>
  <si>
    <t>herunder skader forårsaget af mekaniske handlinger udført af personer eller genstande.</t>
  </si>
  <si>
    <t>herunder også skader på grunn av mekanisk påvirkning fra personer eller gjenstander, er heller ikke PREFAs ansvar.</t>
  </si>
  <si>
    <t>u što se također ubraja oštećenje mehaničkim djelovanjem osoba ili predmeta, također su razlog za isključenje odgovornosti od strane tvrtke PREFA.</t>
  </si>
  <si>
    <t>Das Berechnungstool berücksichtigt die Anforderungen des Merkblattes 6/BWK Ausgabe Dezember 2005:</t>
  </si>
  <si>
    <t>The calculation tool takes into account the requirements outlined in leaflet 6/BWK December 2005 edition:</t>
  </si>
  <si>
    <t>Cet outil prend en compte les exigences de la fiche technique 6 du BWK (Association allemande des ingénieurs spécialisés dans la gestion de l’eau, des déchets et des sols) — édition de décembre 2005.</t>
  </si>
  <si>
    <t xml:space="preserve">Lo strumento di calcolo tiene conto dei requisiti del foglio illustrativo 6/BWK edizione 12/2005: </t>
  </si>
  <si>
    <t>Výpočet zohledňuje požadavky na návrh dle návodu Merkblatt BWK/6, vydání prosinec 2005:</t>
  </si>
  <si>
    <t>Narzędzie obliczeniowe uwzględnia wymagania ulotki 6 / BWK, wydanie grudzień 2005:</t>
  </si>
  <si>
    <t>A segédlet által figyelembe vett követelmények: Merkblatt 6/BWK Ausgabe Dezember 2005:</t>
  </si>
  <si>
    <t>Výpočtový nástroj zohľadňuje požiadavky uvedené v návode Merkblatt 6/BWK, vydanie december 2005:</t>
  </si>
  <si>
    <t>De berekeningstool voldoet aan de relevante Duits normen voor hoogwaterbescherming (Merkblatt 6 BWK, editie dec. 2005):</t>
  </si>
  <si>
    <t>Beräkningsverktyget tar hänsyn till kraven i cirkulär 6 från BWK (tyska förbundet för ingenjörer inom vattenförvaltning etc.) från december 2005:</t>
  </si>
  <si>
    <t>Beregningsværktøjet tager højde for kravene i datablad 6/BWK udgave december 2005:</t>
  </si>
  <si>
    <t>Beregningsverktøy tar hensyn til kravene i memorandum 6/BWK, utgave desember 2005:</t>
  </si>
  <si>
    <t>Proračunski alat uzima u obzir zahtjeve naputka 6/BWK izdanje prosinac 2005:</t>
  </si>
  <si>
    <t>Das Berechnungstool bezieht sich ausschließlich auf PREFA Hochwasserschutzsysteme.</t>
  </si>
  <si>
    <t>The calculation tool relates exclusively to PREFA flood protection systems.</t>
  </si>
  <si>
    <t>L’outil de calcul se réfère exclusivement aux systèmes de protection contre les crues PREFA.</t>
  </si>
  <si>
    <t>Lo strumento di calcolo si riferisce esclusivamente ai sistemi PREFA di protezione contro le inondazioni.</t>
  </si>
  <si>
    <t>Výpočtový nástroj se vztahuje výlučně na PREFA protipovodňové systémy.</t>
  </si>
  <si>
    <t>Narzędzie obliczeniowe odnosi się wyłącznie do systemów ochrony przeciwpowodziowej PREFA.</t>
  </si>
  <si>
    <t>A számítási segédlet kizárólag PREFA árvízvédelmi rendszerhez alkalmazható.</t>
  </si>
  <si>
    <t>Výpočtový nástroj sa vzťahuje výlučne na protipovodňové systémy PREFA.</t>
  </si>
  <si>
    <t>De berekeningstool heeft uitsluitend betrekking op PREFA-systemen.</t>
  </si>
  <si>
    <t>Beregningsværktøjet vedrører udelukkende PREFA højvandsbeskyttelsessystemer.</t>
  </si>
  <si>
    <t>Beregningsverktøyet gjelder kun for flombeskyttelsessystemer fra PREFA.</t>
  </si>
  <si>
    <t>Proračunski alat odnosi se isključivo na PREFA sustave za zaštitu od poplave.</t>
  </si>
  <si>
    <t>Dateneingabe</t>
  </si>
  <si>
    <t>Data entry</t>
  </si>
  <si>
    <t>Saisie des données</t>
  </si>
  <si>
    <t>inserimento dati</t>
  </si>
  <si>
    <t>Zadání údajů</t>
  </si>
  <si>
    <t>Wprowadzanie danych</t>
  </si>
  <si>
    <t>Adatok megadása</t>
  </si>
  <si>
    <t>Zadanie údajov</t>
  </si>
  <si>
    <t>Gegevensinvoer</t>
  </si>
  <si>
    <t>Datainmatning</t>
  </si>
  <si>
    <t>Dataindlæsning</t>
  </si>
  <si>
    <t>Inntasting av data</t>
  </si>
  <si>
    <t>Unos podataka</t>
  </si>
  <si>
    <t>Dauerbodendichtung 25</t>
  </si>
  <si>
    <t>Permanent base seal 50</t>
  </si>
  <si>
    <t>Joint au sol permanent 25</t>
  </si>
  <si>
    <t>guarnizione a pavimento a lunga durata 50</t>
  </si>
  <si>
    <t>Trvalé spodní těsnění 25</t>
  </si>
  <si>
    <t>Stałe uszczelnienie podłogowe 25</t>
  </si>
  <si>
    <t>Bentmaradó talajtömítés 25</t>
  </si>
  <si>
    <t>Trvalo pružné spodné tesnenie 25</t>
  </si>
  <si>
    <t>Duurzame Bodemafdichting 25</t>
  </si>
  <si>
    <t>Trajno talno tesnilo 25</t>
  </si>
  <si>
    <t>PERMANENTGOLVTÄTNING 25</t>
  </si>
  <si>
    <t>Permanent bundtætning 25</t>
  </si>
  <si>
    <t>Permanent bunntetning 25</t>
  </si>
  <si>
    <t>Trajno brtvljenje prema tlu 25</t>
  </si>
  <si>
    <t>Dauerbodendichtung 50</t>
  </si>
  <si>
    <t>Joint au sol permanent 50</t>
  </si>
  <si>
    <t>Trvalé spodní těsnění 50</t>
  </si>
  <si>
    <t>Stałe uszczelnienie podłogowe 50</t>
  </si>
  <si>
    <t>Bentmaradó talajtömítés 50</t>
  </si>
  <si>
    <t>Trvalo pružné spodné tesnenie 50</t>
  </si>
  <si>
    <t>Duurzame Bodemafdichting 50</t>
  </si>
  <si>
    <t>PERMANENTGOLVTÄTNING 50</t>
  </si>
  <si>
    <t>Permanent bundtætning 50</t>
  </si>
  <si>
    <t>Permanent bunntetning 50</t>
  </si>
  <si>
    <t>Trajno brtvljenje prema tlu 50</t>
  </si>
  <si>
    <t>Dauerbodendichtung 80</t>
  </si>
  <si>
    <t>Permanent base seal 80</t>
  </si>
  <si>
    <t>Joint au sol permanent 80</t>
  </si>
  <si>
    <t>guarnizione a pavimento a lunga durata 80</t>
  </si>
  <si>
    <t>Trvalé spodní těsnění 80</t>
  </si>
  <si>
    <t>Stałe uszczelnienie podłogowe 80</t>
  </si>
  <si>
    <t>Bentmaradó talajtömítés 80</t>
  </si>
  <si>
    <t>Trvalo pružné spodné tesnenie 80</t>
  </si>
  <si>
    <t>Duurzame Bodemafdichting 80</t>
  </si>
  <si>
    <t>PERMANENTGOLVTÄTNING 80</t>
  </si>
  <si>
    <t>Permanent bundtætning 80</t>
  </si>
  <si>
    <t>Permanent bunntetning 80</t>
  </si>
  <si>
    <t>Trajno brtvljenje prema tlu 80</t>
  </si>
  <si>
    <t>Definition Feld Innenlichte:</t>
  </si>
  <si>
    <t>Definition of field interior lights:</t>
  </si>
  <si>
    <t>Définition de l’entraxe (espacement) entre les travées :</t>
  </si>
  <si>
    <t>definizione campo luce netta:</t>
  </si>
  <si>
    <t>Definice vnitřní světlosti pole:</t>
  </si>
  <si>
    <t>Definicja pola w świetle:</t>
  </si>
  <si>
    <t>Mező fesztávolsága:</t>
  </si>
  <si>
    <t>Definícia poľa svetlej šírky:</t>
  </si>
  <si>
    <t>Definitie veld dagmaat:</t>
  </si>
  <si>
    <t>Definition av fält inre öppning:</t>
  </si>
  <si>
    <t>Definition af felt for indvendigt lys:</t>
  </si>
  <si>
    <t>Definisjonsfelt taklys:</t>
  </si>
  <si>
    <t>Definicija polja unutrašnje širine:</t>
  </si>
  <si>
    <t>Dichte Wasser inkl. Geschiebe:</t>
  </si>
  <si>
    <t>Density of water incl. bed load:</t>
  </si>
  <si>
    <t>Masse volumique de l’eau (avec matériaux de charriage) :</t>
  </si>
  <si>
    <t>Densità dell'acqua incl. sedimenti:</t>
  </si>
  <si>
    <t>hustota vody vč. příměsí</t>
  </si>
  <si>
    <t>Gęsta woda z materiałem gleby:</t>
  </si>
  <si>
    <t>Víz fajsúlya hordalékkal::</t>
  </si>
  <si>
    <t>Hustota vody vrát. prímesí:</t>
  </si>
  <si>
    <t>Dichtheid water incl. meegevoerd materiaal:</t>
  </si>
  <si>
    <t>Gostota vode, vključno s prodnim nanosom:</t>
  </si>
  <si>
    <t>Vattendensitet inkl. slam:</t>
  </si>
  <si>
    <t>Vandtæthed, inkl. sediment:</t>
  </si>
  <si>
    <t>Tetthet for vann inkl. rullestein:</t>
  </si>
  <si>
    <t>Gustoća vode uklj. nanose:</t>
  </si>
  <si>
    <r>
      <t>Dichte Wasser inkl. Geschiebe:  r</t>
    </r>
    <r>
      <rPr>
        <vertAlign val="subscript"/>
        <sz val="11"/>
        <rFont val="Arial"/>
        <family val="2"/>
      </rPr>
      <t>w</t>
    </r>
  </si>
  <si>
    <t>Masse volumique de l’eau (avec matériaux de charriage) : rw</t>
  </si>
  <si>
    <t>Densità dell'acqua incl. sedimenti  rw</t>
  </si>
  <si>
    <t>hustota vody vč. příměsí:  rw</t>
  </si>
  <si>
    <t>Gęstość wody włącznie z transportowanym materiałem:  rw</t>
  </si>
  <si>
    <t>Víz sűrűsége hordalékkal:  rw</t>
  </si>
  <si>
    <t>Dichtheid water incl. meegevoerd materiaal:  rw</t>
  </si>
  <si>
    <t>Dichtung für Deckel und Bodenhülse gross DM 230 mm</t>
  </si>
  <si>
    <t>Seal for cover and ground sleeve, large Ø 230 mm</t>
  </si>
  <si>
    <t>joint pour couvercle et grande douille de sol (diamètre : 230 mm)</t>
  </si>
  <si>
    <t>guarnizione per coperchio e piantone grande D230 mm</t>
  </si>
  <si>
    <t>Těsnění pro víko a zemní pouzdro velké Ø 230mm</t>
  </si>
  <si>
    <t>Uszczelka do pokrywy i tulei duża DM 230 mm</t>
  </si>
  <si>
    <t>Tesnenie pre veko a zemné puzdro veľké, priemer 230 mm</t>
  </si>
  <si>
    <t>Afdichting voor deksel en bodemhuls groot diam. 230 mm</t>
  </si>
  <si>
    <t>Tätning för lock och markhylsa, stor Ø 230 mm</t>
  </si>
  <si>
    <t>Tætning til dæksel og bundmuffe stor Ø 230 mm</t>
  </si>
  <si>
    <t>Tetning for lokk og jordanker stor Ø 230 mm</t>
  </si>
  <si>
    <t>Brtva za poklopac i podnu čašku velika promj. 230 mm</t>
  </si>
  <si>
    <t>Dichtung für Deckel und Bodenhülse klein DM 170 mm</t>
  </si>
  <si>
    <t>Seal for cover and ground sleeve, small Ø 170 mm</t>
  </si>
  <si>
    <t>joint pour couvercle et petite douille de sol (diamètre : 170 mm)</t>
  </si>
  <si>
    <t>guarnizione per coperchio e piantone piccolo D170 mm</t>
  </si>
  <si>
    <t>Těsnění pro víko a zemní pouzdro malé Ø 170mm</t>
  </si>
  <si>
    <t>Uszczelka do pokrywy i tulei mała DM 170 mm</t>
  </si>
  <si>
    <t>Tömítés padlóhüvely-fedélhez kicsi ø DM 170 mm</t>
  </si>
  <si>
    <t>Tesnenie pre veko a zemné puzdro malé, priemer 170 mm</t>
  </si>
  <si>
    <t>Afdichting voor deksel en bodemhuls klein diam. 170 mm</t>
  </si>
  <si>
    <t>Tätning för lock och markhylsa, liten Ø 170 mm</t>
  </si>
  <si>
    <t>Tætning til dæksel og bundmuffe lille Ø 170 mm</t>
  </si>
  <si>
    <t>Tetning for lokk og jordanker liten Ø 170 mm</t>
  </si>
  <si>
    <t>Brtva za poklopac i podnu čašku mala promj. 170 mm</t>
  </si>
  <si>
    <t>Dichtungsroller 25/50</t>
  </si>
  <si>
    <t>Pressure roller 25/50</t>
  </si>
  <si>
    <t>rouleau de pression 25/50</t>
  </si>
  <si>
    <t>Rullo di pressione 25/50</t>
  </si>
  <si>
    <t>Pomůcka pro zatlačování izolace 25/50</t>
  </si>
  <si>
    <t>Rolka uszczelniająca 25/50</t>
  </si>
  <si>
    <t>tesniaci valček 25/50</t>
  </si>
  <si>
    <t>Pakkingrol 25/50</t>
  </si>
  <si>
    <t>Valjček za tesnilo 25/50</t>
  </si>
  <si>
    <t>tätningsvals 25/50</t>
  </si>
  <si>
    <t>Tætningsvalse 25/50</t>
  </si>
  <si>
    <t>Tetningsrulle 25/50</t>
  </si>
  <si>
    <t>Brtveni valjak 25/50</t>
  </si>
  <si>
    <t>Dichtungsroller 80</t>
  </si>
  <si>
    <t>Pressure roller 80</t>
  </si>
  <si>
    <t>rouleau de pression 80</t>
  </si>
  <si>
    <t>Rullo di pressione 80</t>
  </si>
  <si>
    <t>Pomůcka pro zatlačování izolace 80</t>
  </si>
  <si>
    <t>Rolka uszczelniająca 80</t>
  </si>
  <si>
    <t>tesniaci valček 80</t>
  </si>
  <si>
    <t>Pakkingrol 80</t>
  </si>
  <si>
    <t>Valjček za tesnilo 80</t>
  </si>
  <si>
    <t>tätningsvals 80</t>
  </si>
  <si>
    <t>Tætningsvalse 80</t>
  </si>
  <si>
    <t>Tetningsrulle 80</t>
  </si>
  <si>
    <t>Brtveni valjak 80</t>
  </si>
  <si>
    <t>Die Berechnungsergebnisse sind nicht auf andere Produkte oder Einsätze anwendbar.</t>
  </si>
  <si>
    <t>The calculation results cannot be used for other products or applications.</t>
  </si>
  <si>
    <t>Les résultats des calculs ne sont valables ni pour d’autres produits ni pour d’autres applications.</t>
  </si>
  <si>
    <t>I risultati del calcolo non sono applicabili ad altri prodotti.</t>
  </si>
  <si>
    <t>Výsledky výpočtu nelze použít pro jiné produkty nebo aplikace.</t>
  </si>
  <si>
    <t>Wyniki obliczeń nie mają zastosowania do innych produktów lub zastosowań. </t>
  </si>
  <si>
    <t>A számítási eredmények nem érvényesek más termékre, vagy eltérő felhasználásra.</t>
  </si>
  <si>
    <t>Výsledky výpočtov sa nedajú aplikovať na iné produkty alebo spôsoby použitia.</t>
  </si>
  <si>
    <t>De berekeningsresultaten zijn niet op andere producten of situaties van toepassing.</t>
  </si>
  <si>
    <t>Beregningsresultaterne kan ikke overføres til andre produkter eller anvendelser.</t>
  </si>
  <si>
    <t>Beregningsresultatene kan ikke brukes for andre produkter eller andre typer bruk.</t>
  </si>
  <si>
    <t>Rezultati proračuna nisu primjenjivi na druge proizvode ili primjene.</t>
  </si>
  <si>
    <t>Die Berechnungsergebnisse sind nur für das von den Eingabedaten erfassten Hochwasserschutzsystem heranzuziehen.</t>
  </si>
  <si>
    <t>The calculation results are only to be used for the flood protection system covered by the data provided.</t>
  </si>
  <si>
    <t>Les résultats obtenus ne peuvent servir de base que pour le système de protection contre les crues correspondant aux données saisies.</t>
  </si>
  <si>
    <t>I risultati del calcolo devono essere utilizzati solo per il sistema di protezione contro le inondazioni relativo ai dati inseriti.</t>
  </si>
  <si>
    <t>Výsledky výpočtu lze použít pouze na protipovodňový systém dle zadaných údajů.</t>
  </si>
  <si>
    <t>Wyniki obliczeń mogą być wykorzystywane tylko dla systemu ochrony przeciwpowodziowej zapisanego przez dane wejściowe.</t>
  </si>
  <si>
    <t>A számítási eredmények kizárólag a beírt adatok alapján számított árvízvédelmi rendszerre érvényesek.</t>
  </si>
  <si>
    <t>Výsledky výpočtov sa majú používať len na protipovodňový systém podľa zadaných údajov.</t>
  </si>
  <si>
    <t>De berekeningsresultaten zijn alleen van toepassing op het specifieke hoogwaterbeschermingssysteem waarvoor de gegevens zijn ingevoerd.</t>
  </si>
  <si>
    <t>Resultaterne af beregningerne kan kun anvendes til oversvømmelsessystemet, der er omfattet af inputdataene.</t>
  </si>
  <si>
    <t>Beregningsresultatene gjelder kun for flombeskyttelsessystemet som er beregnet basert på dataene som er lagt inn.</t>
  </si>
  <si>
    <t>Rezultati proračuna smiju se koristiti samo za sustav za zaštitu od poplave, na koji se odnose uneseni podaci.</t>
  </si>
  <si>
    <t>Die hinterlegten Preise gelten bis Neuauflage der Preisliste vorbehaltlich vorgezogener Preisanpassungen</t>
  </si>
  <si>
    <t>The stated prices are valid until a new price list is issued and are subject to early price adjustments</t>
  </si>
  <si>
    <t>I prezzi inseriti sono validi fino alla prossima revisione del Listino Prezzi o al prossimo aggiornamento prezzi.</t>
  </si>
  <si>
    <t>Uvedené ceny platí do nového ceníku s výhradou dřívějších cenových úprav</t>
  </si>
  <si>
    <t>Zamieszczone w nim ceny obowiązują do czasu opublikowania nowego cennika, z zastrzeżeniem możliwości wcześniejszych korekt cenowych</t>
  </si>
  <si>
    <t>Az elmentett árak az új árlista kiadásáig, de az előzetes árváltoztatás jogát fenntartva érvényesek.</t>
  </si>
  <si>
    <t>Uvedené ceny sú platné do vydania nového cenníka, pričom je vyhradené právo na skoršie zmeny.</t>
  </si>
  <si>
    <t>De vermelde prijzen zijn geldig tot heruitgave van de prijslijst, behoudens tussentijdse prijswijzigingen</t>
  </si>
  <si>
    <t>Navedene cene veljajo do novo izdaje cenika s pridržkom predčasnih prilagoditev cen</t>
  </si>
  <si>
    <t>Visade priser gäller t.o.m. ny upplaga av prislistan, med förbehåll för tidiga prisanpassningar</t>
  </si>
  <si>
    <t>De oplyste priser gælder, indtil ny version af prislisten foreligger – med forbehold for forudgående pristilpasninger</t>
  </si>
  <si>
    <t>Prisene gjelder til det kommer en ny prisliste, med forbehold om prioriterte prisjusteringer</t>
  </si>
  <si>
    <t>Navedene cijene vrijede do novog izdanja cjenika uz pridržavanje prava prethodne prilagodbe cijena</t>
  </si>
  <si>
    <t>Die vom Anwender eingegebenen Daten werden vom Berechnungstool automatisch verarbeitet ohne auf deren Richtigkeit überprüft werden zu können.</t>
  </si>
  <si>
    <t>The data provided by the user is processed automatically by the calculation tool. However, the tool is unable to check that the data entered is correct.</t>
  </si>
  <si>
    <t>Les données saisies par l’utilisateur sont traitées automatiquement par l’outil de calcul sans que leur exactitude puisse être vérifiée.</t>
  </si>
  <si>
    <t>I dati inseriti dall'utente vengono elaborati automaticamente dallo strumento di calcolo senza essere in grado di verificarne la correttezza.</t>
  </si>
  <si>
    <t>Uživatelem zadané údaje jsou výpočtem automaticky zpracovány. Výpočtový nástroj nemá možnost kontroly správnosti zadaných dat.</t>
  </si>
  <si>
    <t>Dane wprowadzane przez użytkownika są przetwarzane automatycznie przez narzędzie obliczeniowe bez możliwości sprawdzenia ich poprawności.</t>
  </si>
  <si>
    <t>A felhasználó által beírt adatokat a segédlet automatikusan átveszi, azok helyességét nem ellenőrzi.</t>
  </si>
  <si>
    <t>Údaje zadané používateľom automaticky spracuje výpočtový nástroj, ktorý však nemôže skontrolovať ich správnosť.</t>
  </si>
  <si>
    <t>De door de gebruiker ingevoerde gegevens worden door de berekeningstool automatisch verwerkt, zonder dat ze op juistheid kunnen worden gecontroleerd.</t>
  </si>
  <si>
    <t>Data som användaren har matat in bearbetas automatiskt av beräkningsverktyget utan att kunna kontrollera dem med avseende på riktighet.</t>
  </si>
  <si>
    <t>De data, som brugeren indtaster, behandles automatisk af beregningsværktøjet uden at deres rigtighed kontrolleres.</t>
  </si>
  <si>
    <t>Dataene som er oppgitt av brukeren, behandles automatisk av beregningsverktøyet uten at riktigheten av dem kan kontrolleres.</t>
  </si>
  <si>
    <t>Proračunski alat automatski obrađuje podatke, koje je unio korisnik, bez mogućnosti provjere njihove točnosti.</t>
  </si>
  <si>
    <t>Durchbiegung</t>
  </si>
  <si>
    <t>Deflection</t>
  </si>
  <si>
    <t>flèche</t>
  </si>
  <si>
    <t>freccia</t>
  </si>
  <si>
    <t>Průhyb</t>
  </si>
  <si>
    <t>Ugięcie</t>
  </si>
  <si>
    <t>Kihajlás</t>
  </si>
  <si>
    <t>Prehyb</t>
  </si>
  <si>
    <t>Doorbuiging</t>
  </si>
  <si>
    <t>Nedböjning</t>
  </si>
  <si>
    <t>Nedbøjning</t>
  </si>
  <si>
    <t>Nedbøyning</t>
  </si>
  <si>
    <t>Progib</t>
  </si>
  <si>
    <t>Durchbiegung HD:</t>
  </si>
  <si>
    <t>Deflection HD:</t>
  </si>
  <si>
    <t>Flèche HD :</t>
  </si>
  <si>
    <t>Freccia HD:</t>
  </si>
  <si>
    <t>Průhyb HD:</t>
  </si>
  <si>
    <t>Ugięcie HD:</t>
  </si>
  <si>
    <t>Kihajlás HD:</t>
  </si>
  <si>
    <t>Prehyb HD:</t>
  </si>
  <si>
    <t>Doorbuiging HD:</t>
  </si>
  <si>
    <t>Upogibanje HD:</t>
  </si>
  <si>
    <t>Nedböjning HD:</t>
  </si>
  <si>
    <t>Nedbøjning HD:</t>
  </si>
  <si>
    <t>Nedbøyning HD:</t>
  </si>
  <si>
    <t>Progib HD:</t>
  </si>
  <si>
    <t>Durchbiegung HD+HS:</t>
  </si>
  <si>
    <t>Deflection HD + HS:</t>
  </si>
  <si>
    <t>Flèche HD + HS :</t>
  </si>
  <si>
    <t>Freccia HD+HS:</t>
  </si>
  <si>
    <t>Průhyb HD+HS:</t>
  </si>
  <si>
    <t>Ugięcie HD+HS:</t>
  </si>
  <si>
    <t>Kihajlás HD+HS:</t>
  </si>
  <si>
    <t>Prehyb HD+HS:</t>
  </si>
  <si>
    <t>Doorbuiging HD+HS:</t>
  </si>
  <si>
    <t>Upogibanje HD+HS:</t>
  </si>
  <si>
    <t>Nedböjning HD+HS:</t>
  </si>
  <si>
    <t>Nedbøjning HD+HS:</t>
  </si>
  <si>
    <t>Nedbøyning HD+HS:</t>
  </si>
  <si>
    <t>Progib HD+HS:</t>
  </si>
  <si>
    <t>Durchbiegung HS:</t>
  </si>
  <si>
    <t>Deflection HS:</t>
  </si>
  <si>
    <t>Flèche HS :</t>
  </si>
  <si>
    <t>Freccia HS:</t>
  </si>
  <si>
    <t>Průhyb HS:</t>
  </si>
  <si>
    <t>Ugięcie HS:</t>
  </si>
  <si>
    <t>Kihajlás HS:</t>
  </si>
  <si>
    <t>Prehyb HS:</t>
  </si>
  <si>
    <t>Doorbuiging HS:</t>
  </si>
  <si>
    <t>Upogibanje HS:</t>
  </si>
  <si>
    <t>Nedböjning HS:</t>
  </si>
  <si>
    <t>Nedbøjning HS:</t>
  </si>
  <si>
    <t>Nedbøyning HS:</t>
  </si>
  <si>
    <t>Progib HS:</t>
  </si>
  <si>
    <t>Durchbiegung:</t>
  </si>
  <si>
    <t>Deflection:</t>
  </si>
  <si>
    <t>Flèche :</t>
  </si>
  <si>
    <t>Freccia:</t>
  </si>
  <si>
    <t>Průhyb:</t>
  </si>
  <si>
    <t>Ugięcie:</t>
  </si>
  <si>
    <t>Kihajlás:</t>
  </si>
  <si>
    <t>Prehyb:</t>
  </si>
  <si>
    <t>Doorbuiging:</t>
  </si>
  <si>
    <t>Upogibanje:</t>
  </si>
  <si>
    <t>Nedböjning:</t>
  </si>
  <si>
    <t>Nedbøjning:</t>
  </si>
  <si>
    <t>Nedbøyning:</t>
  </si>
  <si>
    <t>Progib:</t>
  </si>
  <si>
    <t>Dynamische Daten:</t>
  </si>
  <si>
    <t>Dynamic data:</t>
  </si>
  <si>
    <t>Données dynamiques :</t>
  </si>
  <si>
    <t>Dati dinamici:</t>
  </si>
  <si>
    <t>Dynamické hodnoty:</t>
  </si>
  <si>
    <t>Dane dynamiczne:</t>
  </si>
  <si>
    <t>Dinamikai adatok:</t>
  </si>
  <si>
    <t>Dynamické údaje:</t>
  </si>
  <si>
    <t>Dynamische gegevens:</t>
  </si>
  <si>
    <t>Dinamični podatki:</t>
  </si>
  <si>
    <t>Dynamiska data:</t>
  </si>
  <si>
    <t>Dynamiske data:</t>
  </si>
  <si>
    <t>Dinamički podaci:</t>
  </si>
  <si>
    <t>E Modul: EAL</t>
  </si>
  <si>
    <t>E module: EAL</t>
  </si>
  <si>
    <t>E modul</t>
  </si>
  <si>
    <t>E modul: EAL</t>
  </si>
  <si>
    <t>Elektrische module: EAL</t>
  </si>
  <si>
    <t>E-modul: EAL</t>
  </si>
  <si>
    <t>Ebenso sind bauliche Mängel, insbesondere nicht entsprechend wasserdichte Bausubstanz des Bauwerks, hydrostatische Krafteinwirkung und unsachgemäße Handhabung der Bauteile,</t>
  </si>
  <si>
    <t>Structural defects, in particular where the structure is made from inadequately water-resistant building materials, also exempt PREFA from liability, as do hydrostatic forces and improper handling of the components,</t>
  </si>
  <si>
    <t>et en cas de dommages dus aux forces hydrostatiques ou à une manipulation inappropriée des éléments</t>
  </si>
  <si>
    <t>Allo stesso modo i difetti strutturali, in particolare la non impermeabilità del materiale di costruzione, la forza idrostatica e la manipolazione impropria dei componenti,</t>
  </si>
  <si>
    <t>Rovněž tak vylučující záruku ze strany PREFA jsou stavební závady, především nedostatečně těsné stavební součásti stavebního objektu, hydrostatické působení a neodborná manipulace s komponenty,</t>
  </si>
  <si>
    <t>Pod uwagę brane są również wady konstrukcyjne, w szczególności nieodpowiednio nieprzemakalna konstrukcyjna budynku, siły hydrostatyczne i niewłaściwe obchodzenie się z elementami składowymi, </t>
  </si>
  <si>
    <t>Azon építési hibák, különös tekintettel a nem megfelelően vízzáró aljzatra, hidrosztatikai hatásokra és a termékek szíkszerűtlen kezelésére,</t>
  </si>
  <si>
    <t>Rovnako aj stavebné nedostatky, predovšetkým nedostatočne tesné súčasti stavebného objektu, hydrostatické pôsobenie a neprimerané zaobchádzanie so stavebnými dielmi,</t>
  </si>
  <si>
    <t>PREFA is evenmin aansprakelijk voor bouwkundige gebreken, in het bijzonder de gebrekkige waterdichtheid van bestaande constructies, de hydrostatische krachtinwerking en ondeskundige omgang met bouwonderdelen,</t>
  </si>
  <si>
    <t>Tilsvarende fralægger PREFA sig ethvert ansvar ved strukturelle mangler, navnlig ikke-overensstemmende byggematerialer i bygningsstrukturen, hydrostatisk kraft og ukorrekt håndtering af komponenterne,</t>
  </si>
  <si>
    <t>Bygningsmessige feil, spesielt hvis byggverkets boligmasse ikke er tilstrekkelig vanntett, ved hydrostatisk kraftpåvirkning og ufagmessig behandling av komponentene,</t>
  </si>
  <si>
    <t>Isto tako, konstrukcijski nedostaci, posebice ako na građevini nije korišten odgovarajući vodonepropusni građevinski materijal, djelovanje hidrostatskih sila i nepropisno rukovanje komponentama,</t>
  </si>
  <si>
    <t>Edelstahl</t>
  </si>
  <si>
    <t>Stainless steel</t>
  </si>
  <si>
    <t>acier inoxydable</t>
  </si>
  <si>
    <t>acciaio inox</t>
  </si>
  <si>
    <t>Nerez</t>
  </si>
  <si>
    <t>Stal nierdzewna</t>
  </si>
  <si>
    <t>Rozsdamentes acél</t>
  </si>
  <si>
    <t>Ušľachtilá oceľ</t>
  </si>
  <si>
    <t>Rvs</t>
  </si>
  <si>
    <t>Rostfritt stål</t>
  </si>
  <si>
    <t>Rustfrit stål</t>
  </si>
  <si>
    <t>Rustfritt stål</t>
  </si>
  <si>
    <t>Nehrđajući čelik</t>
  </si>
  <si>
    <t>Einverständniserklärung</t>
  </si>
  <si>
    <t>Declaration of consent</t>
  </si>
  <si>
    <t>Déclaration de consentement</t>
  </si>
  <si>
    <t>consenso</t>
  </si>
  <si>
    <t>Prohlášení o souhlasu</t>
  </si>
  <si>
    <t>deklaracja zgody</t>
  </si>
  <si>
    <t>Beleegyező nyilatkozat</t>
  </si>
  <si>
    <t>Vyhlásenie o súhlase</t>
  </si>
  <si>
    <t>Instemmingsverklaring</t>
  </si>
  <si>
    <t>Godkännande</t>
  </si>
  <si>
    <t>Samtykkeerklæring</t>
  </si>
  <si>
    <t>Izjava o suglasnosti</t>
  </si>
  <si>
    <t>eMail:</t>
  </si>
  <si>
    <t>Email :</t>
  </si>
  <si>
    <t>E-mailadres:</t>
  </si>
  <si>
    <t>E-postadress:</t>
  </si>
  <si>
    <t>e-post:</t>
  </si>
  <si>
    <t>e-pošta:</t>
  </si>
  <si>
    <t>Endsumme</t>
  </si>
  <si>
    <t>Final total</t>
  </si>
  <si>
    <t>Somme totale</t>
  </si>
  <si>
    <t>totale</t>
  </si>
  <si>
    <t>Celková suma</t>
  </si>
  <si>
    <t>suma końcowa</t>
  </si>
  <si>
    <t>Végösszeg</t>
  </si>
  <si>
    <t>Eindtotaal</t>
  </si>
  <si>
    <t>Slutsumma</t>
  </si>
  <si>
    <t>Slutsum</t>
  </si>
  <si>
    <t>Sluttsum</t>
  </si>
  <si>
    <t>Konačni zbroj</t>
  </si>
  <si>
    <t>Endsumme exkl. MwSt.</t>
  </si>
  <si>
    <t>Total sum ex. Tax</t>
  </si>
  <si>
    <t>Somme total sans TVA</t>
  </si>
  <si>
    <t>Totale IVA esclusa</t>
  </si>
  <si>
    <t>Celková suma bez DPH</t>
  </si>
  <si>
    <t>Suma końcowa bez VAT</t>
  </si>
  <si>
    <t>Végösszeg áfa nélkül</t>
  </si>
  <si>
    <t>koncová suma bez DPH</t>
  </si>
  <si>
    <t>Eindbedrag excl. btw</t>
  </si>
  <si>
    <t>Končni znesek brez DDV</t>
  </si>
  <si>
    <t>Totalt exklusive moms</t>
  </si>
  <si>
    <t>Slutbeløb eks. moms</t>
  </si>
  <si>
    <t>Totalsum ekskl. MVA</t>
  </si>
  <si>
    <t>Ukupno bez PDV-a</t>
  </si>
  <si>
    <t>Endsumme inkl. MwSt.</t>
  </si>
  <si>
    <t>Total sum incl. Tax</t>
  </si>
  <si>
    <t>Somme total avec TVA</t>
  </si>
  <si>
    <t>Totale IVA inclusa</t>
  </si>
  <si>
    <t>Celková suma vč. DPH</t>
  </si>
  <si>
    <t>Suma końcowa z VAT</t>
  </si>
  <si>
    <t>Végösszeg áfával</t>
  </si>
  <si>
    <t>koncová suma s DPH</t>
  </si>
  <si>
    <t>Eindbedrag incl. btw</t>
  </si>
  <si>
    <t>Končni znesek vklj. z DDV</t>
  </si>
  <si>
    <t>Totalt inklusive moms</t>
  </si>
  <si>
    <t>Slutbeløb inkl. moms</t>
  </si>
  <si>
    <t>Totalsum inkl. MVA</t>
  </si>
  <si>
    <t>Ukupno uključujući PDV</t>
  </si>
  <si>
    <t>erf. Profilhöhe f. Spanner:</t>
  </si>
  <si>
    <t>Profile height:</t>
  </si>
  <si>
    <t>Hauteur de profil requise pour les pièces de serrage :</t>
  </si>
  <si>
    <t>altezza del profilo per elemento di bloccaggio:</t>
  </si>
  <si>
    <t>nutná výška pro napínák</t>
  </si>
  <si>
    <t>Wysokość profilu:</t>
  </si>
  <si>
    <t>Profilmagasság:</t>
  </si>
  <si>
    <t>Potrebná Výška profilu pre napinák:</t>
  </si>
  <si>
    <t>Profielhoogte:</t>
  </si>
  <si>
    <t>Profilhöjd:</t>
  </si>
  <si>
    <t>Profilhøjde:</t>
  </si>
  <si>
    <t>Profilhøyde:</t>
  </si>
  <si>
    <t>Visina profila:</t>
  </si>
  <si>
    <t>Ersatzfedersteifigkeit:</t>
  </si>
  <si>
    <t>Rigidity of replacement spring:</t>
  </si>
  <si>
    <t>Résistance à la flexion :</t>
  </si>
  <si>
    <t>Rigidità del ricambio molla</t>
  </si>
  <si>
    <t>Ekvivalentní pružinová tuhost:</t>
  </si>
  <si>
    <t>Sztywność zastępcza:</t>
  </si>
  <si>
    <t>Helyettesítő rugómerevség:</t>
  </si>
  <si>
    <t>Ekvivalent tuhosti pružiny:</t>
  </si>
  <si>
    <t>Equivalent van veerstijfheid:</t>
  </si>
  <si>
    <t>Trdnost nadomestne vzmeti:</t>
  </si>
  <si>
    <t>Ekvivalent fjäderstyvhet:</t>
  </si>
  <si>
    <t>Reservefjederstivhed:</t>
  </si>
  <si>
    <t>Stivhet for reservefjær:</t>
  </si>
  <si>
    <t>Ekvivalentna elastična krutost:</t>
  </si>
  <si>
    <t>Ersatzlast für Treibgutanprall:</t>
  </si>
  <si>
    <t>Replacement load for flotsam impact:</t>
  </si>
  <si>
    <t>Charge de l’impact des débris flottants :</t>
  </si>
  <si>
    <t>Scambio di carico per detriti impattanti</t>
  </si>
  <si>
    <t>Zatížení od nárazu plov. předmětu:</t>
  </si>
  <si>
    <t>Obciążenie zastępcze w przypadku uderzenia naniesionym materiałem:</t>
  </si>
  <si>
    <t>Uszadékot helyettesítő teher:</t>
  </si>
  <si>
    <t>Ekvivalent záťaže pri náraze plávajúceho predmetu:</t>
  </si>
  <si>
    <t>Equivalente belasting van aanstotend drijfmateriaal:</t>
  </si>
  <si>
    <t>Nadomestna obremenitev za nalet naplavin:</t>
  </si>
  <si>
    <t>Ekvivalent last för påtryckning av flytande skräp:</t>
  </si>
  <si>
    <t>Erstatningslast for påvirkning fra drivende genstande:</t>
  </si>
  <si>
    <t>Reservebelastning for sammenstøt med drivgods:</t>
  </si>
  <si>
    <t>Ekvivalentno opterećenje za udar naplavina:</t>
  </si>
  <si>
    <t>exkl. MwSt.</t>
  </si>
  <si>
    <t>excl. Tax</t>
  </si>
  <si>
    <t>Sans TVA</t>
  </si>
  <si>
    <t>IVA esclusa</t>
  </si>
  <si>
    <t>ÁFA nélkül</t>
  </si>
  <si>
    <t>Fahrtkosten</t>
  </si>
  <si>
    <t>Travel expenses</t>
  </si>
  <si>
    <t>frais de déplacement</t>
  </si>
  <si>
    <t>Spese di viaggio</t>
  </si>
  <si>
    <t>Jízdní náklady</t>
  </si>
  <si>
    <t>Koszty podróży</t>
  </si>
  <si>
    <t>útiköltségek</t>
  </si>
  <si>
    <t>cestovné náklady</t>
  </si>
  <si>
    <t>Reiskosten</t>
  </si>
  <si>
    <t>Potni stroški</t>
  </si>
  <si>
    <t>körkostnader</t>
  </si>
  <si>
    <t>Kørselsomkostninger</t>
  </si>
  <si>
    <t>Kjørekostnader</t>
  </si>
  <si>
    <t>Troškovi vožnje</t>
  </si>
  <si>
    <t>FB = Freibord</t>
  </si>
  <si>
    <t>FB = Free board</t>
  </si>
  <si>
    <t>FB : franc-bord</t>
  </si>
  <si>
    <t>FB = Bordo libero</t>
  </si>
  <si>
    <t>FB = volný bok</t>
  </si>
  <si>
    <t>SZO = szabadoldal</t>
  </si>
  <si>
    <t>FB = voľný diel</t>
  </si>
  <si>
    <t>VB = Vrijboord</t>
  </si>
  <si>
    <t>FB = Fribord</t>
  </si>
  <si>
    <t>FB = fribord</t>
  </si>
  <si>
    <t>FB = nadvođe</t>
  </si>
  <si>
    <t>Feld</t>
  </si>
  <si>
    <t>Field</t>
  </si>
  <si>
    <t>Travée</t>
  </si>
  <si>
    <t>Campata nr.</t>
  </si>
  <si>
    <t>Pole</t>
  </si>
  <si>
    <t>Mező</t>
  </si>
  <si>
    <t>Veld</t>
  </si>
  <si>
    <t>Polje</t>
  </si>
  <si>
    <t>Fält</t>
  </si>
  <si>
    <t>Felt</t>
  </si>
  <si>
    <t>Feld Nr.</t>
  </si>
  <si>
    <t>Field no</t>
  </si>
  <si>
    <t>Nº de travée</t>
  </si>
  <si>
    <t>Pole nr.</t>
  </si>
  <si>
    <t>Mező ssz.</t>
  </si>
  <si>
    <t>Č. poľa</t>
  </si>
  <si>
    <t>Veldnr.</t>
  </si>
  <si>
    <t>Fält, nr</t>
  </si>
  <si>
    <t>Felt nr.</t>
  </si>
  <si>
    <t>Br. polja</t>
  </si>
  <si>
    <t>Fließgeschwindigkeit:</t>
  </si>
  <si>
    <t>Flow speed:</t>
  </si>
  <si>
    <t>Vitesse d’écoulement :</t>
  </si>
  <si>
    <t>Velocità di flusso:</t>
  </si>
  <si>
    <t>rychlost toku:</t>
  </si>
  <si>
    <t>Prędkość przepływu:</t>
  </si>
  <si>
    <t xml:space="preserve">Folyási sebesség:  </t>
  </si>
  <si>
    <t>Rýchlosť toku:</t>
  </si>
  <si>
    <t>Stroomsnelheid:</t>
  </si>
  <si>
    <t>Hitrost pretoka:</t>
  </si>
  <si>
    <t>Flödeshastighet:</t>
  </si>
  <si>
    <t>Strømningshastighed:</t>
  </si>
  <si>
    <t>Strømningshastighet:</t>
  </si>
  <si>
    <t>Brzina toka:</t>
  </si>
  <si>
    <t>Fließgeschwindigkeit: v</t>
  </si>
  <si>
    <t>Flow speed: v</t>
  </si>
  <si>
    <t>Vitesse d’écoulement : v</t>
  </si>
  <si>
    <t>velocità di flusso: v</t>
  </si>
  <si>
    <t>Natężenie przepływu: v</t>
  </si>
  <si>
    <t>Folyási sebesség: v</t>
  </si>
  <si>
    <t>Rýchlosť toku: v</t>
  </si>
  <si>
    <t>Stroomsnelheid: v</t>
  </si>
  <si>
    <t>Flödeshastighet: v</t>
  </si>
  <si>
    <t>Strømningshastighed: v</t>
  </si>
  <si>
    <t>Strømningshastighet: v</t>
  </si>
  <si>
    <t>Brzina toka: v</t>
  </si>
  <si>
    <t>Folgende Nachweise werden berechnet bzw berücksichtigt:</t>
  </si>
  <si>
    <t>Proof of the following is calculated or taken into account:</t>
  </si>
  <si>
    <t>Le seguenti verifiche sono state calcolate / considerate:</t>
  </si>
  <si>
    <t>Ve výpočtu jsou posuzeny tyto možnosti:</t>
  </si>
  <si>
    <t>Następujące dowody są obliczane lub brane pod uwagę: </t>
  </si>
  <si>
    <t>A következő tényezőket számoljuk ki, illetve vesszük figyelembe:</t>
  </si>
  <si>
    <t>Pri výpočte sa používa, resp. zohľadňuje táto evidencia:</t>
  </si>
  <si>
    <t>De volgende factoren worden meegenomen in de berekeningen:</t>
  </si>
  <si>
    <t>Följande underlag beräknas eller tas hänsyn till:</t>
  </si>
  <si>
    <t>Følgende data beregnes eller tages i betragtning:</t>
  </si>
  <si>
    <t>Følgende dokumentasjon beregnes eller tas hensyn til:</t>
  </si>
  <si>
    <t>Izračunavaju se, odnosno uzimaju u obzir sljedeći atesti:</t>
  </si>
  <si>
    <t>Frachtkosten</t>
  </si>
  <si>
    <t>frais de transport</t>
  </si>
  <si>
    <t>Spese di trasporto</t>
  </si>
  <si>
    <t>Náklady na dopravu</t>
  </si>
  <si>
    <t>Koszty transportu</t>
  </si>
  <si>
    <t>szállítási költségek</t>
  </si>
  <si>
    <t>dopravné náklady</t>
  </si>
  <si>
    <t>Vrachtkosten</t>
  </si>
  <si>
    <t>Stroški dostave</t>
  </si>
  <si>
    <t>fraktkostnader</t>
  </si>
  <si>
    <t>Fragtpris</t>
  </si>
  <si>
    <t>Fraktkostnader</t>
  </si>
  <si>
    <t>Vozarina</t>
  </si>
  <si>
    <t>Freibord [mm]:</t>
  </si>
  <si>
    <t>Free board [mm]:</t>
  </si>
  <si>
    <t>Franc-bord [mm] :</t>
  </si>
  <si>
    <t>Bordo libero [mm]:</t>
  </si>
  <si>
    <t>Volný bok [mm]:</t>
  </si>
  <si>
    <t>Wolna burta [mm]:</t>
  </si>
  <si>
    <t>Szabadoldal [mm]:</t>
  </si>
  <si>
    <t>Voľný diel [mm]:</t>
  </si>
  <si>
    <t>Vrijboord [mm]:</t>
  </si>
  <si>
    <t>Fribord [mm]:</t>
  </si>
  <si>
    <t>Nadvođe [mm]:</t>
  </si>
  <si>
    <t>Gerade V</t>
  </si>
  <si>
    <t>Straight V</t>
  </si>
  <si>
    <t>droit V</t>
  </si>
  <si>
    <t>dritto V</t>
  </si>
  <si>
    <t>rovný V</t>
  </si>
  <si>
    <t>prosty V</t>
  </si>
  <si>
    <t>Egyenes V</t>
  </si>
  <si>
    <t>Rovný V</t>
  </si>
  <si>
    <t>Recht V</t>
  </si>
  <si>
    <t>ravno V</t>
  </si>
  <si>
    <t>Rak V</t>
  </si>
  <si>
    <t>Lige V</t>
  </si>
  <si>
    <t>Rett V</t>
  </si>
  <si>
    <t>Ravno V</t>
  </si>
  <si>
    <t>Gesamt Länge</t>
  </si>
  <si>
    <t>Total length</t>
  </si>
  <si>
    <t>longueur totale</t>
  </si>
  <si>
    <t>lunghezza totale</t>
  </si>
  <si>
    <t>Celková délka</t>
  </si>
  <si>
    <t>długość całkowita</t>
  </si>
  <si>
    <t>Teljes hossz</t>
  </si>
  <si>
    <t>Celková dĺžka</t>
  </si>
  <si>
    <t>Totale lengte</t>
  </si>
  <si>
    <t>Total längd</t>
  </si>
  <si>
    <t>Samlet længde</t>
  </si>
  <si>
    <t>Total lengde</t>
  </si>
  <si>
    <t>Ukupna duljina</t>
  </si>
  <si>
    <t>Grundprofil 50 (H-Profil v.d.L.) exkl. Dichtung, gebohrt und entgratet</t>
  </si>
  <si>
    <t>Base profile 50 (H profile in front of soffit) excl. seal, drilled and deburred</t>
  </si>
  <si>
    <t>profil en applique 50 (profil en h monté en applique), fourni sans joint, percé et ébavuré</t>
  </si>
  <si>
    <t>montante per parete 50 (profilo ad H dav. apert.) esclusa guarnizione, forato e sbavato</t>
  </si>
  <si>
    <t>Základní profil 50 (h-Profil před ostění), bez těsnění, vrtaný, bez otřepů</t>
  </si>
  <si>
    <t>Profil podstawowy 50 (profil H v. d. L. ) bez uszczelnienia, nawiercony i okrawany</t>
  </si>
  <si>
    <t>H-profil 50, tömítés nélkül, furatolva és sorjázva</t>
  </si>
  <si>
    <t>Základný profil 50 (H-profil pred ostením) bez tesnenia, navŕtaný a odhrotovaný</t>
  </si>
  <si>
    <t>Basisprofiel 50 (H-profiel op de dag) excl. afdichting, geboord en afgebraamd</t>
  </si>
  <si>
    <t>Grundprofil 50 (H-profil framför öppning) exkl. tätning, borrad och avgradad</t>
  </si>
  <si>
    <t>Grundprofil 50 (H-profil foran pladeunderside) ekskl. tætning, forboret og afgratet</t>
  </si>
  <si>
    <t>Grunnprofil 50 (H-profil f.å.) ekskl. tetning, boret og avgradet</t>
  </si>
  <si>
    <t>Osnovni profil 50 (H profil ispred otvora) bez brtve, bušen i s obrađenim rubovima</t>
  </si>
  <si>
    <t>Grundprofil 50 (H-Profil v.d.L.) Sonderlänge exkl. Dichtung, (Stangenware)</t>
  </si>
  <si>
    <t>Base profile 50 (H profile in front of soffit) Special length excl. seal, drilled and deburred</t>
  </si>
  <si>
    <t>profil en applique 50 (profil en h monté en applique), longueur personnalisée, fourni sans joint, percé et ébavuré</t>
  </si>
  <si>
    <t>montante per parete 50 (profilo ad H dav. apert.) lunghezza fuori standard esclusa guarnizione, forato e sbavato</t>
  </si>
  <si>
    <t>Základní profil 50 (h-Profil před ostění), zvláštní délka, bez těsnění, vrtaný, bez otřepů</t>
  </si>
  <si>
    <t>Profil podstawowy 50 (profil H v. d. L. ), długość specjalna bez uszczelnienia, nawiercony i okrawany</t>
  </si>
  <si>
    <t>H-profil 50, egyedi hosszméret, tömítés nélkül, furatolva és sorjázva</t>
  </si>
  <si>
    <t>Základný profil 50 (H-profil pred ostením), neštandardná dĺžka, bez tesnenia, navŕtaný a odhrotovaný</t>
  </si>
  <si>
    <t>Basisprofiel 50 (H-profiel op de dag) Aangepaste lengte excl. afdichting, geboord en afgebraamd</t>
  </si>
  <si>
    <t>Grundprofil 50 (H-Profil framför öppning) Speciallängd exkl. tätning, borrad och avgradad</t>
  </si>
  <si>
    <t>Grundprofil 50 (H-profil foran pladeunderside) Speciallængde ekskl. tætning, forboret og afgratet</t>
  </si>
  <si>
    <t>Grunnprofil50 (H-profil f.å.) Spesiallengde ekskl. tetning, boret og avgradet</t>
  </si>
  <si>
    <t>Osnovni profil 50 (H profil ispred otvora) posebna duljina bez brtve, bušen i s obrađenim rubovima</t>
  </si>
  <si>
    <t>Grundprofil 50 (H-Profil v.d.L.) Stangenware exkl. Dichtung, gebohrt und entgratet</t>
  </si>
  <si>
    <t>Base profile 50 (H profile in front of soffit) Ready-made excl. seal, drilled and deburred</t>
  </si>
  <si>
    <t>profil en applique 50 (profil en h monté en applique), profilés, fourni sans joint, percé et ébavuré</t>
  </si>
  <si>
    <t>montante per parete 50 (profilo ad H dav. apert.) profilati in barre esclusa guarnizione, forato e sbavato</t>
  </si>
  <si>
    <t>Základní profil 50 (h-Profil před ostění), tyčové zboží, bez těsnění, vrtaný, bez otřepů</t>
  </si>
  <si>
    <t>Profil podstawowy 50 (profil H v. d. L. ), długość sztaby bez uszczelnienia, nawiercony i okrawany</t>
  </si>
  <si>
    <t>H-profil 50, szálban, tömítés nélkül, furatolva és sorjázva</t>
  </si>
  <si>
    <t>Základný profil 50 (H-profil pred ostením), tyčový tovar, bez tesnenia, navŕtaný a odhrotovaný</t>
  </si>
  <si>
    <t>Basisprofiel 50 (H-profiel op de dag) Standaardlengte excl. afdichting, geboord en afgebraamd</t>
  </si>
  <si>
    <t>Grundprofil 50 (H-Profil framför öppning) Standardlängd exkl. tätning, borrad och avgradad</t>
  </si>
  <si>
    <t>Grundprofil 50 (H-profil foran pladeunderside) Afskårne længder ekskl. tætning, forboret og afgratet</t>
  </si>
  <si>
    <t>Grunnprofil 50 (H-profil f.å.) Stangvare ekskl. tetning, boret og avgradet</t>
  </si>
  <si>
    <t>Osnovni profil 50 (H profil ispred otvora) šipka bez brtve, bušen i s obrađenim rubovima</t>
  </si>
  <si>
    <t>Grundprofil 80 (H-Profil v.d.L.) exkl. Dichtung, gebohrt und entgratet</t>
  </si>
  <si>
    <t>Base profile 80 (H profile in front of soffit) excl. seal, drilled and deburred</t>
  </si>
  <si>
    <t>profil en applique 80 (profil en h monté en applique), fourni sans joint, percé et ébavuré</t>
  </si>
  <si>
    <t>montante per parete 80 (profilo ad H dav. apert.) esclusa guarnizione, forate e sbavato</t>
  </si>
  <si>
    <t>Základní profil 80 (h-Profil před ostění), bez těsnění, vrtaný, bez otřepů</t>
  </si>
  <si>
    <t>Profil podstawowy 80 (profil H v. d. L. ) bez uszczelnienia, nawiercony i okrawany</t>
  </si>
  <si>
    <t>H-profil 80, tömítés nélkül, furatolva és sorjázva</t>
  </si>
  <si>
    <t>Základný profil 80 (H-profil pred ostením) bez tesnenia, navŕtaný a odhrotovaný</t>
  </si>
  <si>
    <t>Basisprofiel 80 (H-profiel op de dag) excl. afdichting, geboord en afgebraamd</t>
  </si>
  <si>
    <t>Grundprofil 80 (H-profil framför öppning) exkl. tätning, borrad och avgradad</t>
  </si>
  <si>
    <t>Grundprofil 80 (H-profil foran pladeunderside) ekskl. tætning, forboret og afgratet</t>
  </si>
  <si>
    <t>Grunnprofil 80 (H-profil f.å.) ekskl. tetning, boret og avgradet</t>
  </si>
  <si>
    <t>Osnovni profil 80 (H profil ispred otvora) bez brtve, bušen i s obrađenim rubovima</t>
  </si>
  <si>
    <t>Grundprofil 80 (H-Profil v.d.L.) Sonderlänge exkl. Dichtung, (Stangenware)</t>
  </si>
  <si>
    <t>Base profile 80 (H profile in front of soffit) Special length excl. seal, drilled and deburred</t>
  </si>
  <si>
    <t>profil en applique 80 (profil en h monté en applique), longueur personnalisée, fourni sans joint, percé et ébavuré</t>
  </si>
  <si>
    <t>montante per parete 80 (profilo ad H dav. apert.) lunghezza fuori standard esclusa guarnizione, forate e sbavato</t>
  </si>
  <si>
    <t>Základní profil 80 (h-Profil před ostění), zvláštní délka, bez těsnění, vrtaný, bez otřepů</t>
  </si>
  <si>
    <t>Profil podstawowy 80 (profil H v. d. L. ), długość specjalna bez uszczelnienia, nawiercony i okrawany</t>
  </si>
  <si>
    <t>H-profil 80, egyedi hosszméret, tömítés nélkül, furatolva és sorjázva</t>
  </si>
  <si>
    <t>Základný profil 80 (H-profil pred ostením), neštandardná dĺžka, bez tesnenia, navŕtaný a odhrotovaný</t>
  </si>
  <si>
    <t>Basisprofiel 80 (H-profiel op de dag) Aangepaste lengte excl. afdichting, geboord en afgebraamd</t>
  </si>
  <si>
    <t>Grundprofil 80 (H-Profil framför öppning) Speciallängd exkl. tätning, borrad och avgradad</t>
  </si>
  <si>
    <t>Grundprofil 80 (H-profil foran pladeunderside) Speciallængde ekskl. tætning, forboret og afgratet</t>
  </si>
  <si>
    <t>Grunnprofil 80 (H-profil f.å.) Spesiallengde ekskl. tetning, boret og avgradet</t>
  </si>
  <si>
    <t>Osnovni profil 80 (H profil ispred otvora) posebna duljina bez brtve, bušen i s obrađenim rubovima</t>
  </si>
  <si>
    <t>Grundprofil 80 (H-Profil v.d.L.) Stangenware exkl. Dichtung, gebohrt und entgratet</t>
  </si>
  <si>
    <t>Base profile 80 (H profile in front of soffit) Ready-made excl. seal, drilled and deburred</t>
  </si>
  <si>
    <t>profil en applique 80 (profil en h monté en applique), profilés, fourni sans joint, percé et ébavuré</t>
  </si>
  <si>
    <t>montante per parete 80 (profilo ad H dav. apert.) profilati in barre esclusa guarnizione, forate e sbavato</t>
  </si>
  <si>
    <t>Základní profil 80 (h-Profil před ostění), tyčové zboží, bez těsnění, vrtaný, bez otřepů</t>
  </si>
  <si>
    <t>Profil podstawowy 80 (profil H v. d. L. ), długość sztaby bez uszczelnienia, nawiercony i okrawany</t>
  </si>
  <si>
    <t>H-profil 80, szálban, tömítés nélkül, furatolva és sorjázva</t>
  </si>
  <si>
    <t>Základný profil 80 (H-profil pred ostením), tyčový tovar, bez tesnenia, navŕtaný a odhrotovaný</t>
  </si>
  <si>
    <t>Basisprofiel 80 (H-profiel op de dag) Standaardlengte excl. afdichting, geboord en afgebraamd</t>
  </si>
  <si>
    <t>Grundprofil 80 (H-Profil framför öppning) Standardlängd exkl. tätning, borrad och avgradad</t>
  </si>
  <si>
    <t>Grundprofil 80 (H-profil foran pladeunderside) Afskårne længder ekskl. tætning, forboret og afgratet</t>
  </si>
  <si>
    <t>Grunnprofil 80 (H-profil f.å.) Stangvare ekskl. tetning, boret og avgradet</t>
  </si>
  <si>
    <t>Osnovni profil 80 (H profil ispred otvora) šipka bez brtve, bušen i s obrađenim rubovima</t>
  </si>
  <si>
    <t>Grundprofildichtung</t>
  </si>
  <si>
    <t>Base profile seal</t>
  </si>
  <si>
    <t>joint de profil en applique</t>
  </si>
  <si>
    <t>guarnizione per montante</t>
  </si>
  <si>
    <t>Těsnění do základního profilu</t>
  </si>
  <si>
    <t>Uszczelka profilu podstawowego</t>
  </si>
  <si>
    <t>H-profil tömítés</t>
  </si>
  <si>
    <t>Tesnenie základného profilu</t>
  </si>
  <si>
    <t>Basisprofielafdichting</t>
  </si>
  <si>
    <t>Grundprofiltätning</t>
  </si>
  <si>
    <t>Tætning til grundprofil</t>
  </si>
  <si>
    <t>Grunnprofiltetning</t>
  </si>
  <si>
    <t>Brtva osnovnog profila</t>
  </si>
  <si>
    <t>Halterung für Dammbalken</t>
  </si>
  <si>
    <t>Bracket for stop logs</t>
  </si>
  <si>
    <t>console murale pour batardeaux</t>
  </si>
  <si>
    <t>staffa di stoccaggio per sponde</t>
  </si>
  <si>
    <t>Konzole pro hrázní bloky</t>
  </si>
  <si>
    <t>Uchwyt ścienny do belek</t>
  </si>
  <si>
    <t>Konzolový držiak na hradidlá</t>
  </si>
  <si>
    <t>Houder voor Dambalk</t>
  </si>
  <si>
    <t>Hållare för DÄMMBALK</t>
  </si>
  <si>
    <t>Holder til dæmningsbjælker</t>
  </si>
  <si>
    <t>Holder for bjelkestengsel</t>
  </si>
  <si>
    <t>Nosač za daske brane</t>
  </si>
  <si>
    <t>Brackets for stop log</t>
  </si>
  <si>
    <t>support pour partie latérale de batardeau</t>
  </si>
  <si>
    <t>Staffa di stoccaggio per sponde - Parte laterale</t>
  </si>
  <si>
    <t>Konzole pro hrázní bloky, boční díl</t>
  </si>
  <si>
    <t>Wspornik dla części bocznej belki zaporowej</t>
  </si>
  <si>
    <t>tartóelem a gátgerenda oldalsó részéhez</t>
  </si>
  <si>
    <t>držiak pre hradidlo bočný diel</t>
  </si>
  <si>
    <t>Beugel voor zijdeel van de dambalk</t>
  </si>
  <si>
    <t>Nosilci za jezovni tram stranski del</t>
  </si>
  <si>
    <t>fäste för sidopanel stoppstock</t>
  </si>
  <si>
    <t>Holder til dæmningsbjælker sidedel</t>
  </si>
  <si>
    <t>Holder for flomsikringselement, sidedel</t>
  </si>
  <si>
    <t>Držač za bočni dio daske brane</t>
  </si>
  <si>
    <t>Halterungen Dammbalken:</t>
  </si>
  <si>
    <t>Brackets for stop logs:</t>
  </si>
  <si>
    <t>Consoles murales pour batardeaux :</t>
  </si>
  <si>
    <t>staffe di stoccaggio per sponde:</t>
  </si>
  <si>
    <t>Wspornik belki</t>
  </si>
  <si>
    <t>Konzolové držiaky na hradidlá:</t>
  </si>
  <si>
    <t>Houders voor Dambalk:</t>
  </si>
  <si>
    <t>Hållare DÄMMBALK:</t>
  </si>
  <si>
    <t>Holdere dæmningsbjælker:</t>
  </si>
  <si>
    <t>Holdere bjelkestenglser:</t>
  </si>
  <si>
    <t>Nosači dasaka brane:</t>
  </si>
  <si>
    <t>Hebehilfe</t>
  </si>
  <si>
    <t>Lifting aid</t>
  </si>
  <si>
    <t>levier</t>
  </si>
  <si>
    <t>leva</t>
  </si>
  <si>
    <t>Zvedací pomůcka</t>
  </si>
  <si>
    <t>Podnośnik</t>
  </si>
  <si>
    <t>Pomôcka na zdvíhanie</t>
  </si>
  <si>
    <t>Hijshulp</t>
  </si>
  <si>
    <t>Lyfthjälpmedel</t>
  </si>
  <si>
    <t>Løfteassistance</t>
  </si>
  <si>
    <t>Løftehjelp</t>
  </si>
  <si>
    <t>Pomagalo za dizanje</t>
  </si>
  <si>
    <t>Hinweis: Preisgültigkeit 1 Monat; Lieferzeit auf Anfrage; kein Montagematerial enthalten</t>
  </si>
  <si>
    <t>conditions: price validity 1 month, Lead time on request, no fixing material included.</t>
  </si>
  <si>
    <t>Remarque : prix valable 1 mois ; délai de livraison sur demande ; aucun matériel de montage inclus</t>
  </si>
  <si>
    <t>Nota: Validità del prezzo 1 mese; tempi di consegna su richiesta; nessun materiale di montaggio incluso</t>
  </si>
  <si>
    <t>Upozornění: Cenová nabídka platí 1 měsíc; termín dodání na požádání; nabídka nezahrnuje montážní materiál</t>
  </si>
  <si>
    <t>Wskazówka: Cena obowiązuje: 1 miesiąc; termin dostawy: prosimy o zapytanie; nie obejmuje materiałów montażowych</t>
  </si>
  <si>
    <t>Megjegyzés: Az ár érvényessége 1 hónap; szállítási idő kérésre; a szerelési anyagot nem tartalmazza</t>
  </si>
  <si>
    <t>Upozornenie: Platnosť ceny 1 mesiac: Dodacia lehota na požiadanie; nie je zahrnutý žiadny montážny materiál</t>
  </si>
  <si>
    <t>Opmerking: Prijs geldig voor 1 maand; levertijd op aanvraag; geen montagemateriaal inbegrepen</t>
  </si>
  <si>
    <t>Napotek: veljavnost cene je 1 mesec; Čas dostave na zahtevo; material za montažo ni vključen</t>
  </si>
  <si>
    <t>Information: Pris giltighet 1 månad; everanstid på begäran; inget monteringsmaterial ingår</t>
  </si>
  <si>
    <t>Bemærk: Pris gyldighed 1 måned; leveringstid på forespørgsel; intet monteringsmateriale medfølger</t>
  </si>
  <si>
    <t>Merknad: Pris er gyldig i 1 måned, leveringstid får på forespørsel, intet monteringsmateriale medfølger</t>
  </si>
  <si>
    <t>Uputa: Rok važenja cijene 1 mjesec; Vrijeme isporuke na upit; nije uključen materijal za montažu</t>
  </si>
  <si>
    <t>Hochwasser-schutzsystemes und möglicher fehlerhafter Eingabe der Berechnungsgrundlagen nur unverbindliche Empfehlungen darstellen.</t>
  </si>
  <si>
    <t>flood protection system and the possibility of calculations being based on data that was entered incorrectly, they can only constitute non-binding recommendations.</t>
  </si>
  <si>
    <t xml:space="preserve"> i risultati del calcolo possono essere letti solamente raccomandazioni indicative.</t>
  </si>
  <si>
    <t>protipovodňového systému a možného chybného zadání považovány pouze za nezávazná doporučení.</t>
  </si>
  <si>
    <t>System ochrony przeciwpowodziowej i ewentualne błędne wprowadzenie podstaw obliczeniowych są tylko niewiążącymi zaleceniami.</t>
  </si>
  <si>
    <t xml:space="preserve">és a lehetséges adatbeviteli hibák következtében felelősséget nem vállalunk. </t>
  </si>
  <si>
    <t>protipovodňového systému a na možné chybné zadanie, považovať len za nezáväzné odporúčania.</t>
  </si>
  <si>
    <t>systeem en vanwege eventueel verkeerd ingevoerde gegevens slechts als vrijblijvende aanbeveling.</t>
  </si>
  <si>
    <t>PREFA-högvattenskyddssystem individuella konstruktionsdetaljer, och eventuellt felaktig inmatning av beräkningsgrundlagen, bara utgöra icke-bindande rekommendationer.</t>
  </si>
  <si>
    <t>for hvert højvandsbeskyttelsessystem og eventuel fejlagtig indtastning af beregningsgrundlaget kun opfattes som ikke-bindende anbefalinger.</t>
  </si>
  <si>
    <t>flombeskyttelsessystem og muligheten for feil inntasting av beregningsgrunnlaget, kun gi uforpliktende anbefalinger.</t>
  </si>
  <si>
    <t>sustava za zaštitu od poplave i mogućeg pogrešnog unosa osnova za proračun, predstavljati samo neobvezujuće preporuke.</t>
  </si>
  <si>
    <t>Hydrodynamisch (HD) &amp; Hydrostatisch (HS)</t>
  </si>
  <si>
    <t>Hydrodynamic (HD) &amp; hydrostatic (HS)</t>
  </si>
  <si>
    <t>Hydrodynamique (HD) et hydrostatique (HS)</t>
  </si>
  <si>
    <t>Idrodinamica (HD) &amp; Idrostatica (HS)</t>
  </si>
  <si>
    <t>Hydrodynamický (HD) &amp; Hydrostatický (HS)</t>
  </si>
  <si>
    <t>Hydrodynamiczne (HD) i hydrostatyczne (HS)</t>
  </si>
  <si>
    <t>Hidrodinamikai (HD) &amp; hidrosztatikai (HS)</t>
  </si>
  <si>
    <t>Hydrodynamický (HD) a hydrostatický (HS)</t>
  </si>
  <si>
    <t>Hydrodynamisch (HD) en hydrostatisch (HS)</t>
  </si>
  <si>
    <t>Hidrodinamično (HD) in hidrostatično (HS)</t>
  </si>
  <si>
    <t>Hydrodynamisk (HD) och hydrostatisk (HS)</t>
  </si>
  <si>
    <t>Hydrodynamisk (HD) &amp; hydrostatisk (HS)</t>
  </si>
  <si>
    <t>Hydrodynamisk (HD) og hydrostatisk (HS)</t>
  </si>
  <si>
    <t>Hidrodinamički (HD) i hidrostatski (HS)</t>
  </si>
  <si>
    <t>Hydrodynamische Einwirkung</t>
  </si>
  <si>
    <t>Hydrodynamic effects</t>
  </si>
  <si>
    <t>action hydrodynamique</t>
  </si>
  <si>
    <t>azione idrodinamica</t>
  </si>
  <si>
    <t>hydrodynamické působení</t>
  </si>
  <si>
    <t>Oddziaływanie hydrodynamiczne </t>
  </si>
  <si>
    <t>Hidrodinamikai hatás</t>
  </si>
  <si>
    <t>Hydrodynamické pôsobenie</t>
  </si>
  <si>
    <t>Hydrodynamische inwerking</t>
  </si>
  <si>
    <t>Hydrodynamisk verkan</t>
  </si>
  <si>
    <t>Hydrodynamisk påvirkning</t>
  </si>
  <si>
    <t>Hidrodinamičko djelovanje</t>
  </si>
  <si>
    <t>Hydrodynamischer Druck am Balken:</t>
  </si>
  <si>
    <t>Hydrodynamic pressure on panel:</t>
  </si>
  <si>
    <t>Pression hydrodynamique exercée sur le batardeau :</t>
  </si>
  <si>
    <t>Carico idrodinamico sulle sponde:</t>
  </si>
  <si>
    <t>Hydrodynamický tlak na hrázní bloky:</t>
  </si>
  <si>
    <t>Ciśnienie hydrodynamiczne oddziałujące na belkę:</t>
  </si>
  <si>
    <t>Hidrodinamikai nyomás a gerendán:</t>
  </si>
  <si>
    <t>Hydrodynamický tlak na hradidlá:</t>
  </si>
  <si>
    <t>Hydrodynamische druk op de balk:</t>
  </si>
  <si>
    <t>Hidrodinamični tlak na prečniku:</t>
  </si>
  <si>
    <t>Hydrodynamiskt tryck på bjälksätt:</t>
  </si>
  <si>
    <t>Hydrodynamisk tryk på bjælke:</t>
  </si>
  <si>
    <t>Hydrodynamisk trykk på bjelken:</t>
  </si>
  <si>
    <t>Hidrodinamički tlak na daski:</t>
  </si>
  <si>
    <t>Hydrodynamischer Druck am Steher:</t>
  </si>
  <si>
    <t>Hydrodynamic pressure on column:</t>
  </si>
  <si>
    <t>Pression hydrodynamique exercée sur le poteau :</t>
  </si>
  <si>
    <t>Carico idrodinamico sui montanti:</t>
  </si>
  <si>
    <t>Hydrodynamický tlak na sloupky:</t>
  </si>
  <si>
    <t>Ciśnienie hydrodynamiczne oddziałujące na stojak:</t>
  </si>
  <si>
    <t>Hidrodinamikai nyomás az oszlopon:</t>
  </si>
  <si>
    <t>Hydrodynamický tlak na stĺpy:</t>
  </si>
  <si>
    <t>Hydrodynamische druk op de pijler:</t>
  </si>
  <si>
    <t>Hidrodinamični tlak na nosilcu:</t>
  </si>
  <si>
    <t>Hydrodynamiskt tryck på påle:</t>
  </si>
  <si>
    <t>Hydrodynamisk tryk på pæl:</t>
  </si>
  <si>
    <t>Hydrodynamisk trykk på bukken:</t>
  </si>
  <si>
    <t>Hidrodinamički tlak na stupu:</t>
  </si>
  <si>
    <t>Hydrostatisch &amp; -dynamisch</t>
  </si>
  <si>
    <t>Hydrostatic &amp; dynamic</t>
  </si>
  <si>
    <t>Hydrostatique et hydrodynamique</t>
  </si>
  <si>
    <t>idrostatico e idrodinamico</t>
  </si>
  <si>
    <t>hydrostatyczny &amp; -dynamiczny</t>
  </si>
  <si>
    <t>Hidrosztatikai és dinamikus</t>
  </si>
  <si>
    <t>Hydrostatický a hydrodynamický</t>
  </si>
  <si>
    <t>Hydrostatisch en -dynamisch</t>
  </si>
  <si>
    <t>Hydrostatisk och -dynamisk</t>
  </si>
  <si>
    <t>Hydrostatisk og dynamisk</t>
  </si>
  <si>
    <t>Hydrostatisk og -dynamisk</t>
  </si>
  <si>
    <t>Hidrostatski i hidrodinamički</t>
  </si>
  <si>
    <t>Hydrostatische Einwirkung</t>
  </si>
  <si>
    <t>Hydrostatic effects</t>
  </si>
  <si>
    <t>action hydrostatique</t>
  </si>
  <si>
    <t>azione idrostatica</t>
  </si>
  <si>
    <t>hydrostatické působení</t>
  </si>
  <si>
    <t>Oddziaływanie hydrostatyczne </t>
  </si>
  <si>
    <t>Hidrosztatikai hatás</t>
  </si>
  <si>
    <t>Hydrostatické pôsobenie</t>
  </si>
  <si>
    <t>Hydrostatische inwerking</t>
  </si>
  <si>
    <t>Hydrostatisk verkan</t>
  </si>
  <si>
    <t>Hydrostatisk påvirkning</t>
  </si>
  <si>
    <t>Hidrostatsko djelovanje</t>
  </si>
  <si>
    <t>Hydrostatischer + Hydrodynamischer Druck am Balken:</t>
  </si>
  <si>
    <t>Hydrostatic + hydrodynamic pressure on panel:</t>
  </si>
  <si>
    <t>Pressions hydrostatique et hydrodynamique exercées sur le batardeau :</t>
  </si>
  <si>
    <t>Carico idrostatico + idrodinamico sulle sponde:</t>
  </si>
  <si>
    <t>Hydrostatický + hydrodynamický tlak na hrázní bloky:</t>
  </si>
  <si>
    <t>Ciśnienie hydrostatyczne + hydrodynamiczne oddziałujące na belkę:</t>
  </si>
  <si>
    <t>Hidrosztatikai és hidrodinamikai nyomás a gerendán:</t>
  </si>
  <si>
    <t>Hydrostatický + hydrodynamický tlak na hradidlá:</t>
  </si>
  <si>
    <t>Hydrostatische en hydrodynamische druk op de balk:</t>
  </si>
  <si>
    <t>Hidrostatični + hidrodinamični tlak na prečniku:</t>
  </si>
  <si>
    <t>Hydrostatiskt + hydrodynamiskt tryck på bjälksätt:</t>
  </si>
  <si>
    <t>Hydrostatisk + hydrodynamisk tryk på bjælke:</t>
  </si>
  <si>
    <t>Hydrostatisk og hydrodynamisk trykk på bjelken:</t>
  </si>
  <si>
    <t>Hidrostatski + hidrodinamički tlak na daski:</t>
  </si>
  <si>
    <t>Hydrostatischer Druck am Balken:</t>
  </si>
  <si>
    <t>Hydrostatic pressure on panel:</t>
  </si>
  <si>
    <t>Pression hydrostatique exercée sur le batardeau :</t>
  </si>
  <si>
    <t>Carico idrostatico sulle sponde</t>
  </si>
  <si>
    <t>Hydrostatický tlak na hrázní bloky:</t>
  </si>
  <si>
    <t>Ciśnienie hydrostatyczne oddziałujące na belkę:</t>
  </si>
  <si>
    <t>Hidrosztatikai nyomás a gerendán:</t>
  </si>
  <si>
    <t>Hydrostatický tlak na hradidlá:</t>
  </si>
  <si>
    <t>Hydrostatische druk op de balk:</t>
  </si>
  <si>
    <t>Hidrostatični tlak na prečniku:</t>
  </si>
  <si>
    <t>Hydrostatiskt tryck på bjälksätt:</t>
  </si>
  <si>
    <t>Hydrostatisk tryk på bjælke:</t>
  </si>
  <si>
    <t>Hydrostatisk trykk på bjelken:</t>
  </si>
  <si>
    <t>Hidrostatski tlak na daski:</t>
  </si>
  <si>
    <t>Hydrostatischer Druck am Steher:</t>
  </si>
  <si>
    <t>Hydrostatic pressure on column:</t>
  </si>
  <si>
    <t>Pression hydrostatique exercée sur le poteau :</t>
  </si>
  <si>
    <t>Carico idrostatico sui montanti:</t>
  </si>
  <si>
    <t>Hydrostatický tlak na sloupky:</t>
  </si>
  <si>
    <t>Ciśnienie hydrostatyczne oddziałujące na stojak:</t>
  </si>
  <si>
    <t>Hidrosztatikai nyomás a z oszlopon:</t>
  </si>
  <si>
    <t>Hydrostatický tlak na stĺpy:</t>
  </si>
  <si>
    <t>Hydrostatische druk op de pijler:</t>
  </si>
  <si>
    <t>Hidrostatični tlak na nosilcu:</t>
  </si>
  <si>
    <t>Hydrostatiskt tryck på påle:</t>
  </si>
  <si>
    <t>Hydrostatisk tryk på pæl:</t>
  </si>
  <si>
    <t>Hydrostatisk trykk på bukken:</t>
  </si>
  <si>
    <t>Hidrostatski tlak na stupu:</t>
  </si>
  <si>
    <t>In der Leibung</t>
  </si>
  <si>
    <t>In the soffit</t>
  </si>
  <si>
    <t>Dans l’embrasure</t>
  </si>
  <si>
    <t>Incassato nell'intradosso</t>
  </si>
  <si>
    <t>V ostění</t>
  </si>
  <si>
    <t>Síkban</t>
  </si>
  <si>
    <t>V ostení</t>
  </si>
  <si>
    <t>In de dag</t>
  </si>
  <si>
    <t>Öppning invändigt</t>
  </si>
  <si>
    <t>I pladeunderside</t>
  </si>
  <si>
    <t>I åpningen</t>
  </si>
  <si>
    <t>U otvoru</t>
  </si>
  <si>
    <t>inkl. MwSt.</t>
  </si>
  <si>
    <t>IVA inclusa</t>
  </si>
  <si>
    <t>ÁFÁval</t>
  </si>
  <si>
    <t>KALKULATION</t>
  </si>
  <si>
    <t>ESTIMATE</t>
  </si>
  <si>
    <t>CALCUL</t>
  </si>
  <si>
    <t>KALKULACE</t>
  </si>
  <si>
    <t>KALKULACJA</t>
  </si>
  <si>
    <t>SZÁMÍTÁS</t>
  </si>
  <si>
    <t>VÝPOČET</t>
  </si>
  <si>
    <t>CALCULATIE</t>
  </si>
  <si>
    <t>KALKYLERING</t>
  </si>
  <si>
    <t>KALKULASJON</t>
  </si>
  <si>
    <t>KALKULACIJA</t>
  </si>
  <si>
    <t>keine</t>
  </si>
  <si>
    <t>none</t>
  </si>
  <si>
    <t>aucun(e)</t>
  </si>
  <si>
    <t>nessuna</t>
  </si>
  <si>
    <t>žádný</t>
  </si>
  <si>
    <t>nincs</t>
  </si>
  <si>
    <t>Žiadny</t>
  </si>
  <si>
    <t>Geen</t>
  </si>
  <si>
    <t>ingen</t>
  </si>
  <si>
    <t>nema</t>
  </si>
  <si>
    <t>kg/m³</t>
  </si>
  <si>
    <t>kg/Stk</t>
  </si>
  <si>
    <t>kg/pcs</t>
  </si>
  <si>
    <t>kg/pc.</t>
  </si>
  <si>
    <t>kg/pezzo</t>
  </si>
  <si>
    <t>kg/ks</t>
  </si>
  <si>
    <t>kg/szt.</t>
  </si>
  <si>
    <t>kg/db</t>
  </si>
  <si>
    <t>Kg/stuk</t>
  </si>
  <si>
    <t>kg/st.</t>
  </si>
  <si>
    <t>Kg/stk.</t>
  </si>
  <si>
    <t>kg/stk.</t>
  </si>
  <si>
    <t>kg/kom</t>
  </si>
  <si>
    <t>kN/m³</t>
  </si>
  <si>
    <t>Kombination Hydrodynamisch + Hydrostatisch + Treibgut</t>
  </si>
  <si>
    <t>Combination of hydrodynamic + hydrostatic + flotsam</t>
  </si>
  <si>
    <t>Combinaison hydrodynamique + hydrostatique + débris flottants</t>
  </si>
  <si>
    <t>Combinazione Idrodinamica + Idrostatica + detriti</t>
  </si>
  <si>
    <t>Kombinace hydrodyn. + hadrostat. + plovoucí předmět</t>
  </si>
  <si>
    <t>Kombinacja hydrodynamiczna + hydrostatyczna + naniesiony materiał</t>
  </si>
  <si>
    <t>Hidrodinamikai + hidrosztatikai + uszadék kombinációja</t>
  </si>
  <si>
    <t>Kombinácia hydrodynamika + hydrostatika + plávajúci predmet</t>
  </si>
  <si>
    <t>Combinatie hydrodynamisch + hydrostatisch + drijfmateriaal</t>
  </si>
  <si>
    <t>Kombinacija hidrodinamični tlak + hidrostatični tlak + naplavina</t>
  </si>
  <si>
    <t>Kombination hydrostatiskt + hydrodynamiskt + flytande skräp</t>
  </si>
  <si>
    <t>Kombination hydrodynamisk + hydrostatisk + drivende genstande</t>
  </si>
  <si>
    <t>Kombinasjon hydrodynamisk + hydrostatisk + drivgods</t>
  </si>
  <si>
    <t>Kombinacija hidrodinamički + hidrostatski + naplavine</t>
  </si>
  <si>
    <t>Kombinationsbeiwert:</t>
  </si>
  <si>
    <t>Combination coefficient:</t>
  </si>
  <si>
    <t>Coefficient de combinaison :</t>
  </si>
  <si>
    <t>Součinitel kombinace:</t>
  </si>
  <si>
    <t>Współczynnik łączny:</t>
  </si>
  <si>
    <t>Kombinációs együttható:</t>
  </si>
  <si>
    <t>Koeficient kombinácie:</t>
  </si>
  <si>
    <t>Combinatiefactor:</t>
  </si>
  <si>
    <t>Kombinacijski koeficient:</t>
  </si>
  <si>
    <t>Kombinationskoefficient:</t>
  </si>
  <si>
    <t>Kombinasjonsparameter:</t>
  </si>
  <si>
    <t>Koeficijent kombinacije:</t>
  </si>
  <si>
    <t>können die Berechnungsergebnisse zufolge der individuellen konstruktiven Besonderheiten jedes</t>
  </si>
  <si>
    <t>However, due to the calculation results being based on the individual design features of each</t>
  </si>
  <si>
    <t>Emises à titre indicatif et sans aucun engagement de la part de PREFA en raison des spécificités de chaque système de protection contre les crues et des éventuelles erreurs de saisie des données servant de base aux calculs.</t>
  </si>
  <si>
    <t>date le caratteristiche specifiche di ogni singolo progetto ed un possibile inserimento errato dei  dati,</t>
  </si>
  <si>
    <t>Přesto však mohou být výsledky s ohledem na individuální konstrukční zvláštnost každého</t>
  </si>
  <si>
    <t>wyniki obliczeń mogą być obliczane zgodnie z indywidualnym icharakterystykami projektowymi każdegoz nich. </t>
  </si>
  <si>
    <t>a számítási eredményekért az egyes árvízvédelmi rendszerek egyedi kialakítási sajátosságai miatt</t>
  </si>
  <si>
    <t>Napriek tomu sa môžu výsledky výpočtov, vzhľadom na individuálne zvláštnosti konštrukcie každého</t>
  </si>
  <si>
    <t>dienen de berekeningsresultaten vanwege individuele bouwkundige bijzonderheden van elk</t>
  </si>
  <si>
    <t>kan beräkningsresultaten, beroende på varje</t>
  </si>
  <si>
    <t>så kan beregningsresultaterne på grund af de enkelte konstruktioners individuelle særpræg</t>
  </si>
  <si>
    <t>kan resultatene på grunn av individuelle, konstruksjonsmessige forskjeller for hvert</t>
  </si>
  <si>
    <t>rezultati proračuna mogu, zbog individualnih konstrukcijskih posebnosti svakog</t>
  </si>
  <si>
    <t>Contact person:</t>
  </si>
  <si>
    <t>Personne de contacte;</t>
  </si>
  <si>
    <t>Kontakt személy:</t>
  </si>
  <si>
    <t>Kundennummer:</t>
  </si>
  <si>
    <t>Reference number:</t>
  </si>
  <si>
    <t>Numéro de client :</t>
  </si>
  <si>
    <t>Numero cliente:</t>
  </si>
  <si>
    <t>Číslo zákazníka:</t>
  </si>
  <si>
    <t>Numer klienta:</t>
  </si>
  <si>
    <t>Vevő szám:</t>
  </si>
  <si>
    <t>Č. zákazníka:</t>
  </si>
  <si>
    <t>Klantnummer:</t>
  </si>
  <si>
    <t>Številka stranke:</t>
  </si>
  <si>
    <t>Kundnummer:</t>
  </si>
  <si>
    <t>Kundenummer:</t>
  </si>
  <si>
    <t>Broj kupca:</t>
  </si>
  <si>
    <t>Lagerabdeckung</t>
  </si>
  <si>
    <t>Warehouse cover</t>
  </si>
  <si>
    <t>cage de protection</t>
  </si>
  <si>
    <t>coperchio per stoccaggio sponde</t>
  </si>
  <si>
    <t>Skladovací kryt</t>
  </si>
  <si>
    <t>Pokrywa ochronna</t>
  </si>
  <si>
    <t>Tartódoboz takaróelem</t>
  </si>
  <si>
    <t>Kryt úložiska</t>
  </si>
  <si>
    <t>Opbergbox</t>
  </si>
  <si>
    <t>Förvaringslåda</t>
  </si>
  <si>
    <t>Lejeafdækning</t>
  </si>
  <si>
    <t>Lagerdeksel</t>
  </si>
  <si>
    <t>Skladišni pokrov</t>
  </si>
  <si>
    <t>Landschaftsschutz</t>
  </si>
  <si>
    <t>Landscape protection</t>
  </si>
  <si>
    <t>protection des paysages</t>
  </si>
  <si>
    <t>protezione aree esterne</t>
  </si>
  <si>
    <t>Ochrana území</t>
  </si>
  <si>
    <t>Ochrona krajobrazu</t>
  </si>
  <si>
    <t>Tájvédelem</t>
  </si>
  <si>
    <t>Ochrana životného prostredia</t>
  </si>
  <si>
    <t>Landschapsbescherming</t>
  </si>
  <si>
    <t>Landskapsskydd</t>
  </si>
  <si>
    <t>Beskyttelse af landskaber</t>
  </si>
  <si>
    <t>Landskapsvern</t>
  </si>
  <si>
    <t>Zaštita okoline</t>
  </si>
  <si>
    <t>Length adjustment of side sections</t>
  </si>
  <si>
    <t>modification de longueur des parties latérales</t>
  </si>
  <si>
    <t>modifica lunghezza montanti laterali</t>
  </si>
  <si>
    <t>Úprava délky bočního dílu</t>
  </si>
  <si>
    <t>Zmiany wymiarów części bocznych</t>
  </si>
  <si>
    <t>Oldalelemek hosszváltozása</t>
  </si>
  <si>
    <t>Zmena dĺžky bočných dielov</t>
  </si>
  <si>
    <t>Lengtewijziging zijdelen</t>
  </si>
  <si>
    <t xml:space="preserve">Annan längd "sidodelar"? </t>
  </si>
  <si>
    <t>Ændring af sidevangernes længde</t>
  </si>
  <si>
    <t>Lengdeendring sidedeler</t>
  </si>
  <si>
    <t>Promjena duljine bočnih dijelova</t>
  </si>
  <si>
    <t>Lichteweite [mm]:</t>
  </si>
  <si>
    <t>Desired system length [mm]:</t>
  </si>
  <si>
    <t>Vide lumière [mm] :</t>
  </si>
  <si>
    <t>lunghezza prevista del sistema [mm]:</t>
  </si>
  <si>
    <t>Světlá délka [mm]:</t>
  </si>
  <si>
    <t>Oczekiwana długość systemu</t>
  </si>
  <si>
    <t>tervezett rendszerhossz [mm]:</t>
  </si>
  <si>
    <t>Svetelná šírka [mm]:</t>
  </si>
  <si>
    <t>Gewenste systeemlengte [mm]:</t>
  </si>
  <si>
    <t>Önskad systemlängd [mm]:</t>
  </si>
  <si>
    <t>Ønsket systemlængde [mm]:</t>
  </si>
  <si>
    <t>Ønsket systemlengde [mm]:</t>
  </si>
  <si>
    <t>željena duljina sustava [mm]:</t>
  </si>
  <si>
    <t>Links</t>
  </si>
  <si>
    <t>Left</t>
  </si>
  <si>
    <t>gauche</t>
  </si>
  <si>
    <t>sinistra</t>
  </si>
  <si>
    <t>nalevo</t>
  </si>
  <si>
    <t>lewo</t>
  </si>
  <si>
    <t>Bal</t>
  </si>
  <si>
    <t>Vľavo</t>
  </si>
  <si>
    <t>Vänster</t>
  </si>
  <si>
    <t>Venstre</t>
  </si>
  <si>
    <t>Linkovi</t>
  </si>
  <si>
    <t>m/s</t>
  </si>
  <si>
    <t>m/sek.</t>
  </si>
  <si>
    <t>Materialdaten:</t>
  </si>
  <si>
    <t>Material data:</t>
  </si>
  <si>
    <t>Informations relatives au matériau :</t>
  </si>
  <si>
    <t>Specifiche del materiale:</t>
  </si>
  <si>
    <t>Materiálové hodnoty:</t>
  </si>
  <si>
    <t>Dane materiału:</t>
  </si>
  <si>
    <t>Alapanyag adatok:</t>
  </si>
  <si>
    <t>Údaje o materiáli:</t>
  </si>
  <si>
    <t>Materiaalgegevens:</t>
  </si>
  <si>
    <t>Podatki o materialu:</t>
  </si>
  <si>
    <t>Materialdata:</t>
  </si>
  <si>
    <t>Materialedata:</t>
  </si>
  <si>
    <t>Podaci o materijalu:</t>
  </si>
  <si>
    <t>Maximale Durchbiegung Dammbalken (1/150 = Standard)</t>
  </si>
  <si>
    <t>max. Deflection Stop logs (1/150 = Standard)</t>
  </si>
  <si>
    <t>Flèch maximale du batardeau (1/150 = Standard)</t>
  </si>
  <si>
    <t>Freccia max delle sponde (1/150 = Standard)</t>
  </si>
  <si>
    <t>maximální průhyb hrázních bloků (1/150 = Standard)</t>
  </si>
  <si>
    <t>Maksymalne ugięcie belki zaporowej (1/150 = standard)</t>
  </si>
  <si>
    <t>max. Kihajlás Gátgerenda (1/150 = Standard)</t>
  </si>
  <si>
    <t>Maximálny prehyb hradidla (1/150 = štandard)</t>
  </si>
  <si>
    <t>max. Doorbuiging Dambalk (1/150 = Standard)</t>
  </si>
  <si>
    <t>najv. Upogibanje Zajezitvene lamele (1/150 = Standard)</t>
  </si>
  <si>
    <t>max. Nedböjning DÄMMBALK (1/150 = Standard)</t>
  </si>
  <si>
    <t>maks. Nedbøjning Dæmningsbjælker (1/150 = Standard)</t>
  </si>
  <si>
    <t>maks. Nedbøyning Bjelkestengsler / FLOMSIKRINGSELEMENT (1/150 = Standard)</t>
  </si>
  <si>
    <t>maks. Progib Daska brane (1/150 = Standard)</t>
  </si>
  <si>
    <t>Maximale Durchbiegung Rundsteher (1/150 = Standard)</t>
  </si>
  <si>
    <t>max. Deflection Round profile (1/150 = Standard)</t>
  </si>
  <si>
    <t>Flèche maximale du profil rond (1/150 = Standard)</t>
  </si>
  <si>
    <t>Freccia max del montante  (1/150 = Standard)</t>
  </si>
  <si>
    <t>maximální průhyb sloupků (1/150 = Standard)</t>
  </si>
  <si>
    <t>Maksymalne ugięcie słupka pionowego (1/150 = standard)</t>
  </si>
  <si>
    <t>max. Kihajlás Körprofil (1/150 = Standard)</t>
  </si>
  <si>
    <t>Maximálny prehyb okrúhleho stĺpa (1/150 = štandard)</t>
  </si>
  <si>
    <t>max. Doorbuiging Rondprofiel (1/150 = Standard)</t>
  </si>
  <si>
    <t>najv. Upogibanje Okrogli profil (1/150 = Standard)</t>
  </si>
  <si>
    <t>max. Nedböjning Rundprofil (1/150 = Standard)</t>
  </si>
  <si>
    <t>maks. Nedbøjning Rund profil (1/150 = Standard)</t>
  </si>
  <si>
    <t>maks. Nedbøyning Rundprofil (1/150 = Standard)</t>
  </si>
  <si>
    <t>maks. Progib Okrugli profil (1/150 = Standard)</t>
  </si>
  <si>
    <t>Mindestüberstand über Stauhöhe:</t>
  </si>
  <si>
    <t>Minimum projection above water level:</t>
  </si>
  <si>
    <t>Dépassement minimal au-dessus de la hauteur de retenue :</t>
  </si>
  <si>
    <t>Sbalzo minimo sopra il livello di accumulo</t>
  </si>
  <si>
    <t>Minimální přesah přes výšku vzdutí:</t>
  </si>
  <si>
    <t>Minimalny wysięg powyżej wysokości wody:</t>
  </si>
  <si>
    <t>Minimális kinyúlás a védelmi magasság felett</t>
  </si>
  <si>
    <t>Minimálna výška nad hladinou vody:</t>
  </si>
  <si>
    <t>Minimum overstek boven stuwhoogte:</t>
  </si>
  <si>
    <t>Najmanjši previs nad vodno gladino:</t>
  </si>
  <si>
    <t>Minimihöjd över vattennivå:</t>
  </si>
  <si>
    <t>Minimum udhæng over vandstand:</t>
  </si>
  <si>
    <t>Minste høyde over vannstand:</t>
  </si>
  <si>
    <t>Minimalni višak iznad usporne visine:</t>
  </si>
  <si>
    <t>mit Treibgut</t>
  </si>
  <si>
    <t>with floating debris</t>
  </si>
  <si>
    <t>avec débris flottants</t>
  </si>
  <si>
    <t>con detriti</t>
  </si>
  <si>
    <t>s plovoucími předměty</t>
  </si>
  <si>
    <t>ze szczątkami niesionymi przez wodę</t>
  </si>
  <si>
    <t>hordalékkal</t>
  </si>
  <si>
    <t>S plávajúcimi predmetmi</t>
  </si>
  <si>
    <t>Met drijvend materiaal</t>
  </si>
  <si>
    <t>Flytande skräp</t>
  </si>
  <si>
    <t>med drivende genstande</t>
  </si>
  <si>
    <t>Med drivgods</t>
  </si>
  <si>
    <t>s naplavinom</t>
  </si>
  <si>
    <t>Moment zufolge Gesamtdruck:</t>
  </si>
  <si>
    <t>Torque due to total pressure:</t>
  </si>
  <si>
    <t>Moment en fonction de la pression totale :</t>
  </si>
  <si>
    <t>Coppia dovuta alla pressione totale:</t>
  </si>
  <si>
    <t>Moment od celkového tlaku:</t>
  </si>
  <si>
    <t>Chwilowo zależności od ciśnienia całkowitego:</t>
  </si>
  <si>
    <t>Teljes nyomásra fellépő nyomaték:</t>
  </si>
  <si>
    <t>Moment v dôsledku celkového tlaku:</t>
  </si>
  <si>
    <t>Moment overeenkomstig totale druk:</t>
  </si>
  <si>
    <t>Navor zaradi skupnega tlaka:</t>
  </si>
  <si>
    <t>Moment beroende på totalt tryck:</t>
  </si>
  <si>
    <t>Moment som følge af samlet tryk:</t>
  </si>
  <si>
    <t>Moment iht. totalt trykk:</t>
  </si>
  <si>
    <t>Moment prema ukupnom tlaku:</t>
  </si>
  <si>
    <t>Moment zufolge HD:</t>
  </si>
  <si>
    <t>Torque due to HD:</t>
  </si>
  <si>
    <t>Moment en fonction de HD :</t>
  </si>
  <si>
    <t>Coppia dovuta a HD:</t>
  </si>
  <si>
    <t>Moment od HD:</t>
  </si>
  <si>
    <t>Chwilowo HD:</t>
  </si>
  <si>
    <t>HD nyomaték:</t>
  </si>
  <si>
    <t>Moment v dôsledku HD:</t>
  </si>
  <si>
    <t>Moment overeenkomstig HD:</t>
  </si>
  <si>
    <t>Navor zaradi HD:</t>
  </si>
  <si>
    <t>Moment beroende på HD:</t>
  </si>
  <si>
    <t>Moment som følge af HD:</t>
  </si>
  <si>
    <t>Moment iht. HD:</t>
  </si>
  <si>
    <t>Moment prema HD:</t>
  </si>
  <si>
    <t>Moment zufolge HD+HS:</t>
  </si>
  <si>
    <t>Torque due to HD + HS:</t>
  </si>
  <si>
    <t>Moment en fonction de HD + HS :</t>
  </si>
  <si>
    <t>Coppia dovuta a HD+HS:</t>
  </si>
  <si>
    <t>Moment od HD+HS:</t>
  </si>
  <si>
    <t>Chwilowo HD+HS:</t>
  </si>
  <si>
    <t>HD+HS nyomaték:</t>
  </si>
  <si>
    <t>Moment v dôsledku HD+HS:</t>
  </si>
  <si>
    <t>Moment overeenkomstig HD+HS:</t>
  </si>
  <si>
    <t>Navor zaradi HD+HS:</t>
  </si>
  <si>
    <t>Moment beroende på HD+HS:</t>
  </si>
  <si>
    <t>Moment som følge af HD+HS:</t>
  </si>
  <si>
    <t>Moment iht. HD+HS:</t>
  </si>
  <si>
    <t>Moment prema HD+HS:</t>
  </si>
  <si>
    <t>Moment zufolge HS:</t>
  </si>
  <si>
    <t>Torque due to HS:</t>
  </si>
  <si>
    <t>Moment en fonction de HS :</t>
  </si>
  <si>
    <t>Coppia dovuta a HS:</t>
  </si>
  <si>
    <t>Moment od HS:</t>
  </si>
  <si>
    <t>Chwilowo HS:</t>
  </si>
  <si>
    <t>HS nyomaték:</t>
  </si>
  <si>
    <t>Moment v dôsledku HS:</t>
  </si>
  <si>
    <t>Moment overeenkomstig HS:</t>
  </si>
  <si>
    <t>Navor zaradi HS:</t>
  </si>
  <si>
    <t>Moment beroende på HS:</t>
  </si>
  <si>
    <t>Moment som følge af HS:</t>
  </si>
  <si>
    <t>Moment iht. HS:</t>
  </si>
  <si>
    <t>Moment prema HS:</t>
  </si>
  <si>
    <t>Moment zufolge Treibgut:</t>
  </si>
  <si>
    <t>Torque due to flotsam:</t>
  </si>
  <si>
    <t>Moment en fonction des débris flottants :</t>
  </si>
  <si>
    <t>Coppia dovuta a detriti:</t>
  </si>
  <si>
    <t>Moment od plovoucího předmětu:</t>
  </si>
  <si>
    <t>Chwilowo, materiał naniesiony:</t>
  </si>
  <si>
    <t>Uszadék okozta nyomaték:</t>
  </si>
  <si>
    <t>Moment v dôsledku plávajúceho predmetu:</t>
  </si>
  <si>
    <t>Moment overeenkomstig drijfmateriaal:</t>
  </si>
  <si>
    <t>Navor zaradi naplavin:</t>
  </si>
  <si>
    <t>Moment beroende på flytande skräp:</t>
  </si>
  <si>
    <t>Moment som følge af drivende genstande:</t>
  </si>
  <si>
    <t>Moment iht. drivgods:</t>
  </si>
  <si>
    <t>Moment prema naplavini:</t>
  </si>
  <si>
    <t>Montage</t>
  </si>
  <si>
    <t>Montaż</t>
  </si>
  <si>
    <t>Szerelés</t>
  </si>
  <si>
    <t>Montageart</t>
  </si>
  <si>
    <t>Type of assembly</t>
  </si>
  <si>
    <t>Type de pose</t>
  </si>
  <si>
    <t>tipo di montaggio</t>
  </si>
  <si>
    <t>Způsob montáže</t>
  </si>
  <si>
    <t>Sposób montażu</t>
  </si>
  <si>
    <t>Beépítési mód</t>
  </si>
  <si>
    <t>Spôsob montáže</t>
  </si>
  <si>
    <t>Montagewijze</t>
  </si>
  <si>
    <t>Monteringstyp</t>
  </si>
  <si>
    <t>Arten af montering</t>
  </si>
  <si>
    <t>Monteringstype</t>
  </si>
  <si>
    <t>Način montaže</t>
  </si>
  <si>
    <t>Montagehilfe Bodenhülse</t>
  </si>
  <si>
    <t>Assembly aid ground sleeve</t>
  </si>
  <si>
    <t>aide à la pose de la douille de sol</t>
  </si>
  <si>
    <t>dima di montaggio per i piantoni</t>
  </si>
  <si>
    <t>Montážní pomůcka pro zemní pouzdro</t>
  </si>
  <si>
    <t>Przyrząd montażowy tulei</t>
  </si>
  <si>
    <t xml:space="preserve">Padlóhüvely beépítősablon  </t>
  </si>
  <si>
    <t>Pomôcka na montáž zemného puzdra</t>
  </si>
  <si>
    <t>Montagehulp bodemhuls</t>
  </si>
  <si>
    <t>Monteringshjälpmedel markhylsa</t>
  </si>
  <si>
    <t>MONTAGEHJÆLP TIL bundmuffer</t>
  </si>
  <si>
    <t>Monteringshjelp jordanker</t>
  </si>
  <si>
    <t>Pomagalo za montažu podne čaške</t>
  </si>
  <si>
    <t>Montagematerial</t>
  </si>
  <si>
    <t>Installation accessories</t>
  </si>
  <si>
    <t>matériel de montage</t>
  </si>
  <si>
    <t>Materiale di montaggio</t>
  </si>
  <si>
    <t>Montážní materiál</t>
  </si>
  <si>
    <t>Materiał montażowy</t>
  </si>
  <si>
    <t>Szerelőanyag</t>
  </si>
  <si>
    <t>montážny materiál</t>
  </si>
  <si>
    <t>Montagemateriaal</t>
  </si>
  <si>
    <t>Material za montažo</t>
  </si>
  <si>
    <t>monteringsmaterial</t>
  </si>
  <si>
    <t>Monteringsmateriale</t>
  </si>
  <si>
    <t>Montažni materijal</t>
  </si>
  <si>
    <t>Multiplikator</t>
  </si>
  <si>
    <t>Multiplier</t>
  </si>
  <si>
    <t>Coefficient multiplicateur</t>
  </si>
  <si>
    <t>moltiplicatore</t>
  </si>
  <si>
    <t>Násobitel</t>
  </si>
  <si>
    <t>mnożnik</t>
  </si>
  <si>
    <t>Szorzó</t>
  </si>
  <si>
    <t>Násobiteľ</t>
  </si>
  <si>
    <t>Multiplicator</t>
  </si>
  <si>
    <t>Nach Ablauf des Datums (noch</t>
  </si>
  <si>
    <t>After date (</t>
  </si>
  <si>
    <t>Après cette date (encore</t>
  </si>
  <si>
    <t>Dopo la data (ancora</t>
  </si>
  <si>
    <t>Po datu (zbývají</t>
  </si>
  <si>
    <t>Po upływie terminu (jeszcze</t>
  </si>
  <si>
    <t>Dátum lejárata után (még</t>
  </si>
  <si>
    <t>Po uplynutí dátumu (ešte</t>
  </si>
  <si>
    <t>Na passeren van de datum (nog</t>
  </si>
  <si>
    <t>Po preteku datuma (še</t>
  </si>
  <si>
    <t>Efter datumet (fortfarande</t>
  </si>
  <si>
    <t>Efter datoens udløb (endnu</t>
  </si>
  <si>
    <t>Etter at datoen er utløpt (gjenstående</t>
  </si>
  <si>
    <t>Nakon isteka datuma (još</t>
  </si>
  <si>
    <t>Niederhalter Dammbalken:max.1750</t>
  </si>
  <si>
    <t>Downholder for stop logs: max. 1750</t>
  </si>
  <si>
    <t>Poteau intermédiaire de renfort pour les batardeaux : max. 1 750 mm</t>
  </si>
  <si>
    <t>paletto di rinforzo sponde:max.1750</t>
  </si>
  <si>
    <t>Podpěrné táhlo hrázních bloků: max. 1750mm</t>
  </si>
  <si>
    <t>Element trzymający belki: maks. 1750 mm</t>
  </si>
  <si>
    <t>Gátgerenda leszorítóelem:max.1750</t>
  </si>
  <si>
    <t>Kotviace zariadenie na hradidlo: max. 1 750</t>
  </si>
  <si>
    <t>Neerhouder dambalk: max. 1750</t>
  </si>
  <si>
    <t>NEDHÅLLARE DÄMMBALK: max. 1 750</t>
  </si>
  <si>
    <t>MELLEM SPÆNDESTYKKE dæmningsbjælker:maks.1750</t>
  </si>
  <si>
    <t>KLEMSTYKKE MIDT FLOMSIKRINGSELEMENT: maks. 1750</t>
  </si>
  <si>
    <t>Zatezni držač daske brane: maks.1750</t>
  </si>
  <si>
    <t>Niederhalter inkl. Spannstück, Verbundanker und Gewindestange</t>
  </si>
  <si>
    <t>Downholder incl. clamping element, embedded anchor and threaded rod</t>
  </si>
  <si>
    <t>Poteau intermédiaire de renfort ; pièce de serrage, dispositif d’ancrage et tige filetée compris</t>
  </si>
  <si>
    <t>paletto di rinforzo incl. tenditore, vite di ancoraggio e asta filettata</t>
  </si>
  <si>
    <t>Podpěrné táhlo vč. napínáku, svorníkové kotvy a závitové tyče</t>
  </si>
  <si>
    <t>Zacisk przytrzymujący wraz zelementem zaciskowym, kotwą zespoloną i prętem gwintowanym </t>
  </si>
  <si>
    <t>Leszorítóelem feszítőelemmel, lehorgonyzóval és menetes szárral</t>
  </si>
  <si>
    <t>Kotviace zariadenie vrátane upevňovacej zarážky, spájacej kotvy a závitovej tyče</t>
  </si>
  <si>
    <t>Neerhouder incl. Fixeerstuk, verbindingsanker en draadstang</t>
  </si>
  <si>
    <t>NEDHÅLLARE inkl. spännstycke, kemankare och gängstång</t>
  </si>
  <si>
    <t>MELLEM SPÆNDESTYKKE inkl. spændeskive, kompositanker og gevindstang</t>
  </si>
  <si>
    <t>KLEMSTYKKE MIDT inkl. KLEMSTYKKE SIDE, komposittanker og gjengestang</t>
  </si>
  <si>
    <t>Zatezni držač uklj. zatezni element, spojno sidro i šipku s navojem</t>
  </si>
  <si>
    <t>Objektschutz</t>
  </si>
  <si>
    <t>Building protection</t>
  </si>
  <si>
    <t>protection des bâtiments</t>
  </si>
  <si>
    <t>protezione singola apertura</t>
  </si>
  <si>
    <t>Ochrana objektu</t>
  </si>
  <si>
    <t>Ochrona obiektowa</t>
  </si>
  <si>
    <t>Épületvédelem</t>
  </si>
  <si>
    <t>Objectbescherming</t>
  </si>
  <si>
    <t>Objektskydd</t>
  </si>
  <si>
    <t>Beskyttelse mod genstande</t>
  </si>
  <si>
    <t>Objektvern</t>
  </si>
  <si>
    <t>Zaštita objekata</t>
  </si>
  <si>
    <t>Obwohl das Berechnungstool von PREFA mit größtmöglicher Sorgfalt erstellt wurde,</t>
  </si>
  <si>
    <t>PREFA’s calculation tool has been created with the utmost care.</t>
  </si>
  <si>
    <t>sebbene lo strumento di calcolo PREFA sia stato creato con la massima cura,</t>
  </si>
  <si>
    <t xml:space="preserve">Výpočtový nástroj od PREFA byl vytvořen s nejvyšší pečlivostí. </t>
  </si>
  <si>
    <t>Chociaż narzędzie obliczeniowe zostało stworzone przez PREFA z największą możliwą starannością, </t>
  </si>
  <si>
    <t>Bár a PREFA számítási segédlete a legnagyobb körültekintéssel készült,</t>
  </si>
  <si>
    <t>Výpočtový nástroj od PREFA bol vytvorený mimoriadne starostlivo.</t>
  </si>
  <si>
    <t>Hoewel de berekeningstool door PREFA met de grootst mogelijke zorg is samengesteld,</t>
  </si>
  <si>
    <t>Även om PREFA har framställt beräkningsverktyget med största noggrannhet</t>
  </si>
  <si>
    <t>Selvom PREFAs beregningsværktøj er blevet udviklet med største omhu,</t>
  </si>
  <si>
    <t>Selv om beregningsverktøyet fra PREFA er utformet med stor nøyaktighet,</t>
  </si>
  <si>
    <t>Iako je PREFA izradila proračunski alat s najvećom mogućom pažnjom,</t>
  </si>
  <si>
    <t>Pa</t>
  </si>
  <si>
    <t>Plan-Dammbalken</t>
  </si>
  <si>
    <t>Stop logs plan</t>
  </si>
  <si>
    <t>Longueur du batardeau pour la commande</t>
  </si>
  <si>
    <t>disegno-sponda</t>
  </si>
  <si>
    <t>Navržené hrázní bloky</t>
  </si>
  <si>
    <t>Projektowanie belez zaporowych</t>
  </si>
  <si>
    <t>Gátgerenda-terv</t>
  </si>
  <si>
    <t>Plán hradidiel</t>
  </si>
  <si>
    <t>Geplande dambalk</t>
  </si>
  <si>
    <t>Plan-dæmningsbjælker</t>
  </si>
  <si>
    <t>Plan-bjelkestengsel</t>
  </si>
  <si>
    <t>Ravna daska brane</t>
  </si>
  <si>
    <t>PREFA bietet dem Anwender ein kostenloses Berechnungstool für PREFA Hochwasserschutzsysteme.</t>
  </si>
  <si>
    <t>PREFA provides its users with a free calculation tool for PREFA flood protection systems.</t>
  </si>
  <si>
    <t>PREFA propose un outil de calcul gratuit pour la planification des systèmes de protection contre les crues PREFA.</t>
  </si>
  <si>
    <t>PREFA offre all'utente uno strumento di calcolo gratuito per i sistemi di protezione dalle inondazioni.</t>
  </si>
  <si>
    <t>PREFA nabízí uživateli bezplatný výpočtový nástroj pro PREFA protipovodňové systémy (HWS).</t>
  </si>
  <si>
    <t>PREFA oferuje użytkownikowi bezpłatne narzędzie obliczeniowe do systemów ochrony przeciwpowodziowej.</t>
  </si>
  <si>
    <t>A felhasználók számára a PREFA ingyenes számítási segédletet biztosít a PREFA mobilgátakhoz.</t>
  </si>
  <si>
    <t>PREFA ponúka používateľom bezplatný výpočtový nástroj pre protipovodňové systémy PREFA.</t>
  </si>
  <si>
    <t>PREFA biedt de gebruiker een gratis berekeningstool voor PREFA-hoogwaterbeschermingen.</t>
  </si>
  <si>
    <t>PREFA erbjuder kostnadsfritt, beräkningsunderlag för PREFA-Översvämningsskydd.</t>
  </si>
  <si>
    <t>PREFA stiller et beregningsværktøj for PREFA højvandsbeskyttelsessystemer gratis til rådighed for brugeren.</t>
  </si>
  <si>
    <t>PREFA tilbyr brukeren et gratis beregningsverktøy for PREFA flombeskyttelsessystemer.</t>
  </si>
  <si>
    <t>PREFA korisniku nudi besplatan proračunski alat za PREFA sustave za zaštitu od poplave.</t>
  </si>
  <si>
    <t>PREFA HOCHWASSERSCHUTZ SYSTEM</t>
  </si>
  <si>
    <t>PREFA FLOOD PROTECTION SYSTEM</t>
  </si>
  <si>
    <t>SYSTÈME PREFA DE PROTECTION CONTRE LES CRUES</t>
  </si>
  <si>
    <t>PREFA PROTIPOVODŇOVÝ SYSTÉM</t>
  </si>
  <si>
    <t>SYSTEM OCHRONY PRZECIWPOWODZIOWEJ PREFA</t>
  </si>
  <si>
    <t>PREFA ÁRVÍZVÉDELMI RENDSZER</t>
  </si>
  <si>
    <t>PREFA PROTIPOVODŇOVÁ OCHRANA</t>
  </si>
  <si>
    <t>PREFA SYSTEEM VOOR HOOGWATERBESCHERMING</t>
  </si>
  <si>
    <t>PREFA System för Översvämningsskydd</t>
  </si>
  <si>
    <t>PREFA HØJVANDSBESKYTTELSE</t>
  </si>
  <si>
    <t>PREFA FLOMBESKYTTELSESSYSTEM</t>
  </si>
  <si>
    <t>PREFA SUSTAV ZAŠTITE OD POPLAVE</t>
  </si>
  <si>
    <t>PREFA HWS BERECHNUNGSTOOL</t>
  </si>
  <si>
    <t>PREFA FLOOD PROTECTION DATA ENTRY FORM</t>
  </si>
  <si>
    <t>FORMULAIRE DE SAISIE POUR LES SYSTÈMES DE PROTECTION CONTRE LES CRUES PREFA</t>
  </si>
  <si>
    <t>PREFA HWS ZADÁVACÍ FORMULÁŘ</t>
  </si>
  <si>
    <t>FORMULARZ BADANIA PREFA</t>
  </si>
  <si>
    <t>PREFA ÁRVÍZVÉDELMI RENDSZER AJÁNLATKÉRŐ ÍV</t>
  </si>
  <si>
    <t>PREFA ZADÁVACÍ FORMULÁR PRE PROTIPOVODŇOVÚ OCHRANU</t>
  </si>
  <si>
    <t>PREFA HWB-SYSTEEM – VRAGENLIJST</t>
  </si>
  <si>
    <t>PREFA SPØRGESKEMA OM HØJVANDSBESKYTTELSE</t>
  </si>
  <si>
    <t>PREFA HWS SPØRRESKJEMA</t>
  </si>
  <si>
    <t>PREFA UPITNI OBRAZAC ZA ZAŠTITU OD POPLAVE</t>
  </si>
  <si>
    <t>PREFA HWS ERHEBUNGSBOGEN</t>
  </si>
  <si>
    <t>PREFA FLOOD PROTECTION SURVEY SHEET</t>
  </si>
  <si>
    <t>FORMULARZ ANKIETY PREFA HWS</t>
  </si>
  <si>
    <t>PREFA Árvízvédelmi ajánlatkérő formanyomtatvány</t>
  </si>
  <si>
    <t>PREFA SYSTÉM PROTIPOVODŇOVEJ OCHRANY FORMULÁR</t>
  </si>
  <si>
    <t>PREFA HWS ENQUÊTEFORMULIER</t>
  </si>
  <si>
    <t>VPRAŠALNIK PREFA HWS</t>
  </si>
  <si>
    <t>PREFA HWS FRÅGEFORMULÄR</t>
  </si>
  <si>
    <t>PREFA HWS SPØRGESKEMA</t>
  </si>
  <si>
    <t>PREFA HWS-SKJEMA</t>
  </si>
  <si>
    <t>PREFA HWS UPITNIK</t>
  </si>
  <si>
    <t>PREFA übernimmt im Hinblick hierauf keinerlei Haftung für die Richtigkeit oder Vollständigkeit der Berechnungsergebnisse oder für hieraus abgeleitete Schadenersatzansprüche.</t>
  </si>
  <si>
    <t>PREFA assumes no liability for the accuracy or completeness of the calculation results or for claims for damages derived from them.</t>
  </si>
  <si>
    <t>Toute demande de dommages-intérêts en lien avec l’outil de calcul PREFA est exclue. PREFA décline en outre toute responsabilité si le montage ou l’entretien n’ont pas été correctement effectués ou si des pièces d’autres fournisseurs ont été utilisées à la place des pièces originales PREFA.</t>
  </si>
  <si>
    <t>PREFA non si assume alcuna responsabilità per l'esattezza o la completezza dei risultati del calcolo o per le richieste di risarcimento da essa derivate.</t>
  </si>
  <si>
    <t>PREFA s ohledem na to nepřebírá žádnou záruku za správnost nebo úplnost výpočtových výsledků nebo za z toho odvozené nároky na náhradu škod.</t>
  </si>
  <si>
    <t>PREFA nie ponosi żadnej odpowiedzialności za dokładność i kompletność wyników obliczeń ani za wszelkie roszczenia odszkodowawcze z nich wynikające. </t>
  </si>
  <si>
    <t>A PREFA a számítási eredmények  helyességéért és teljességéért, valamint az azokból eredő esetleges károkért, kárigényekért nem vállal felelősséget.</t>
  </si>
  <si>
    <t>PREFA neručí za správnosť a úplnosť výsledkov výpočtu alebo za náhradu škôd, ktoré na základe nich vzniknú.</t>
  </si>
  <si>
    <t>PREFA is in dezen niet aansprakelijk voor de juistheid of volledigheid van de berekeningsresultaten dan wel hieruit voortvloeiende schadeclaims.</t>
  </si>
  <si>
    <t>Med tanke på detta har PREFA inget ansvar för beräkningsresultatens riktighet eller fullständighet eller därav härledda skadeståndsanspråk.</t>
  </si>
  <si>
    <t>PREFA påtager sig intet ansvar for rigtigheden eller fuldstændigheden af beregningsresultaterne eller for erstatningskrav, der måtte opstå som følge heraf.</t>
  </si>
  <si>
    <t>PREFA overtar i denne forbindelse ikke ansvar for at beregningsresultatene er riktige eller fullstendige eller for skadeerstatningskrav som fremlegges på grunnlag av disse beregningene.</t>
  </si>
  <si>
    <t>U tom pogledu PREFA ne preuzima nikakvu odgovornost za točnost ili potpunost rezultata proračuna ili za zahtjeve za naknadom šteta koji su proizišli iz toga.</t>
  </si>
  <si>
    <t>PREFA übernimmt keine Garantie für absolute Schadensverhinderung.</t>
  </si>
  <si>
    <t>PREFA does not guarantee absolute damage prevention.</t>
  </si>
  <si>
    <t>Par ailleurs, PREFA ne peut en aucun cas garantir une protection totale.</t>
  </si>
  <si>
    <t>PREFA non garantisce la prevenzione assoluta di danni.</t>
  </si>
  <si>
    <t>PREFA nepřejímá záruku za absolutní zamezení škod</t>
  </si>
  <si>
    <t>PREFA nie gwarantuje bezwzględnego zapobiegania szkodom.</t>
  </si>
  <si>
    <t>A PREFA nem vállal garanciát az abszolút kármegelőzésért.</t>
  </si>
  <si>
    <t>PREFA neručí za úplné zabránenie vzniku škôd.</t>
  </si>
  <si>
    <t>De garantie van PREFA omvat geen maatregelen voor volledige schadepreventie.</t>
  </si>
  <si>
    <t>PREFA garanterar inte absolut skadeförebyggande.</t>
  </si>
  <si>
    <t>PREFA påtager sig intet ansvar for ikke absolut skadeforebyggelse.</t>
  </si>
  <si>
    <t>PREFA garanterer ikke absolutt forhindring av skader.</t>
  </si>
  <si>
    <t>PREFA ne garantira apsolutno sprječavanje šteta.</t>
  </si>
  <si>
    <t>PREFA versteht das Berechnungstool als Hilfestellung an den Fachmann, die diesen aber nicht von der Pflicht zur eigenständigen Prüfung im Einzelfall entbindet.</t>
  </si>
  <si>
    <t>PREFA provides the calculation tool as an aid to professionals, but this does not absolve professionals from the obligation to carry out their own independent examination for each individual case.</t>
  </si>
  <si>
    <t>PREFA décline toute responsabilité en lien avec l’outil de calcul et ne peut en aucun cas se porter garant de l’exactitude et de l’exhaustivité des résultats obtenus.</t>
  </si>
  <si>
    <t>per PREFA questo strumento di calcolo è per il  tecnico specialista un aiuto che non lo esenta dall'obbligo di eseguire un esame indipendente.</t>
  </si>
  <si>
    <t>PREFA považuje výpočtový nástroj jako podporu pro odborné realizátory, která je však nezbavuje povinnosti vlastního přezkoušení návrhu pro každý jednotlivý případ.</t>
  </si>
  <si>
    <t>PREFA rozumie narzędzie obliczeniowe jako pomoc dla eksperta, ale nie zwalnia go z obowiązku przeprowadzania niezależnych kontroli w indywidualnych przypadkach. </t>
  </si>
  <si>
    <t>A PREFA a számítási segédletet a szakembereknek szánt támogatásnak tekinti, nem mentesíti azonban a tervezőt/kivitelezőt a rendszerek ellenőrzésének, tervezésének kötelezettsége alól.</t>
  </si>
  <si>
    <t>PREFA považuje výpočtový nástroj za pomôcku pre odborníkov, ktorá ich však nezbavuje povinnosti preveriť návrh pre každý individuálny prípad.</t>
  </si>
  <si>
    <t>PREFA beschouwt de berekeningstool als hulpmiddel voor vaklieden. De tool ontslaat hen echter niet van de verplichting om voor specifieke gevallen zelfstandig controles uit te voeren.</t>
  </si>
  <si>
    <t>PREFA har tagit fram beräkningsverktyget som ett hjälpmedel för experter. Det befriar emellertid inte dessa från deras plikt att självständigt kontrollera resultaten för enskilda fall.</t>
  </si>
  <si>
    <t>PREFA forstår beregningsværktøjet som en hjælp til specialisten, men det fratager ikke denne fra forpligtelsen til at foretage en selvstændig kontrol i hvert enkelt tilfælde.</t>
  </si>
  <si>
    <t>PREFA ser på beregningsverktøyet som en hjelp for fagpersoner. Fagpersoner fritas likevel ikke for ansvaret for kontroll og gjennomføringen.</t>
  </si>
  <si>
    <t>PREFA smatra proračunski alat pomagalom za stručnjake, ali on stručnjaka ne oslobađa obveze vlastite provjere u pojedinačnom slučaju.</t>
  </si>
  <si>
    <t>Preis</t>
  </si>
  <si>
    <t>Prix</t>
  </si>
  <si>
    <t>Preis exkl.MwSt</t>
  </si>
  <si>
    <t>Price excl. VAT</t>
  </si>
  <si>
    <t>Prix sans TVA</t>
  </si>
  <si>
    <t>prezzo senza IVA</t>
  </si>
  <si>
    <t>cena bez DPH</t>
  </si>
  <si>
    <t>cena bez podatku VAT</t>
  </si>
  <si>
    <t>Nettó ár</t>
  </si>
  <si>
    <t>Cena bez DPH</t>
  </si>
  <si>
    <t>Prijs excl. btw</t>
  </si>
  <si>
    <t>Pris exkl. moms</t>
  </si>
  <si>
    <t>Pris ekskl. moms</t>
  </si>
  <si>
    <t>Pris ekskl. mva.</t>
  </si>
  <si>
    <t>Cijena bez PDV-a</t>
  </si>
  <si>
    <t>Preis pro lfm od. Stk</t>
  </si>
  <si>
    <t>Price per rm/pc</t>
  </si>
  <si>
    <t>Prix au mètre ou à la pièce</t>
  </si>
  <si>
    <t>€/metro - €/pezzo</t>
  </si>
  <si>
    <t>cena za bm nebo ks</t>
  </si>
  <si>
    <t>cena za mb lub sztukę</t>
  </si>
  <si>
    <t>Ár / fm, vagy db</t>
  </si>
  <si>
    <t>Cena za bm alebo ks</t>
  </si>
  <si>
    <t>Prijs per strekkende meter of per stuk</t>
  </si>
  <si>
    <t>Pris per löpmeter el. st.</t>
  </si>
  <si>
    <t>Pris pr. løbende meter eller stk.</t>
  </si>
  <si>
    <t>Pris per lm el. stk.</t>
  </si>
  <si>
    <t>Cijena po d/m ili kom.</t>
  </si>
  <si>
    <t>Profilhöhe zu hoch!</t>
  </si>
  <si>
    <t>Profile height too high!</t>
  </si>
  <si>
    <t>Hauteur de profil trop importante !</t>
  </si>
  <si>
    <t>altezza del profilo troppo alta!</t>
  </si>
  <si>
    <t>příliš velká výška</t>
  </si>
  <si>
    <t>Wysokość profilu za wysoka!</t>
  </si>
  <si>
    <t>Túl magas profilok!</t>
  </si>
  <si>
    <t>Príliš veľká výška profilu!</t>
  </si>
  <si>
    <t>Profielhoogte te hoog!</t>
  </si>
  <si>
    <t>Profilhöjd för hög!</t>
  </si>
  <si>
    <t>Profilhøjde for høj!</t>
  </si>
  <si>
    <t>Profilhøyde for høy!</t>
  </si>
  <si>
    <t>Visina profila previsoka!</t>
  </si>
  <si>
    <t>Rabatt</t>
  </si>
  <si>
    <t>Discount</t>
  </si>
  <si>
    <t>Rabais</t>
  </si>
  <si>
    <t>sconto</t>
  </si>
  <si>
    <t>rabat</t>
  </si>
  <si>
    <t>Kedvezmény</t>
  </si>
  <si>
    <t>Zľava</t>
  </si>
  <si>
    <t>Korting</t>
  </si>
  <si>
    <t>Rabat</t>
  </si>
  <si>
    <t>RAL oder PREFA Farbe:</t>
  </si>
  <si>
    <t>RAL or PREFA colour:</t>
  </si>
  <si>
    <t>Couleur RAL ou PREFA :</t>
  </si>
  <si>
    <t>RAL / colore PREFA:</t>
  </si>
  <si>
    <t>RAL nebo PREFA barva</t>
  </si>
  <si>
    <t>kolor wg RAL lub kolor PREFA:</t>
  </si>
  <si>
    <t>RAL, vagy PREFA szín:</t>
  </si>
  <si>
    <t>RAL alebo PREFA farba:</t>
  </si>
  <si>
    <t>RAL- of PREFA-kleur:</t>
  </si>
  <si>
    <t>RAL- eller PREFA-färg:</t>
  </si>
  <si>
    <t>RAL- eller PREFA-farve:</t>
  </si>
  <si>
    <t>RAL- eller PREFA-farge:</t>
  </si>
  <si>
    <t>RAL ili PREFA boja:</t>
  </si>
  <si>
    <t>Rechts</t>
  </si>
  <si>
    <t>Right</t>
  </si>
  <si>
    <t>droite</t>
  </si>
  <si>
    <t>destra</t>
  </si>
  <si>
    <t>napravo</t>
  </si>
  <si>
    <t>prawo</t>
  </si>
  <si>
    <t>Jobb</t>
  </si>
  <si>
    <t>Vpravo</t>
  </si>
  <si>
    <t>Höger</t>
  </si>
  <si>
    <t>Højre</t>
  </si>
  <si>
    <t>Høyre</t>
  </si>
  <si>
    <t>Desno</t>
  </si>
  <si>
    <t>Rundprofil</t>
  </si>
  <si>
    <t>Round profile</t>
  </si>
  <si>
    <t>profil rond</t>
  </si>
  <si>
    <t>profilo circolare</t>
  </si>
  <si>
    <t>Kruhový profil</t>
  </si>
  <si>
    <t>Profil okrągły (kolumna środkowa)</t>
  </si>
  <si>
    <t>Körprofil</t>
  </si>
  <si>
    <t>Rondprofiel</t>
  </si>
  <si>
    <t>Rund profil</t>
  </si>
  <si>
    <t>Okrugli profil</t>
  </si>
  <si>
    <t>Rundprofil 50 exkl. Dichtung, gebohrt und entgratet</t>
  </si>
  <si>
    <t>Round profile 50 excl. seal, drilled and deburred</t>
  </si>
  <si>
    <t>Profil rond 50, fourni sans joint, percé et ébavuré</t>
  </si>
  <si>
    <t>profilo circolare 50, esclusa guarnizione, forato e sbavato</t>
  </si>
  <si>
    <t>Kruhový profil 50, bez těsnění, vrtaný, bez otřepů</t>
  </si>
  <si>
    <t>Profil okrągły 50 bez uszczelki, nawiercona i okrawana</t>
  </si>
  <si>
    <t>Körprofil 50, tömítés nélkül, furatolva és sorjázva</t>
  </si>
  <si>
    <t>Kruhový profil 50 bez tesnenia, navŕtaný a odhrotovaný</t>
  </si>
  <si>
    <t>Rondprofiel 50 excl. afdichting, geboord en afgebraamd</t>
  </si>
  <si>
    <t>Rundprofil 50 exkl. tätning, borrad och avgradad</t>
  </si>
  <si>
    <t>Rund profil 50 ekskl. tætning, forboret og afgratet</t>
  </si>
  <si>
    <t>Rundprofil 50 ekskl. tetning, boret og avgradet</t>
  </si>
  <si>
    <t>Okrugli profil 50 bez brtve, bušen i s obrađenim rubovima</t>
  </si>
  <si>
    <t>Rundprofil 50 Sonderlänge exkl. Dichtung, (Stangenware)</t>
  </si>
  <si>
    <t>Round profile 50 special length excl. seal, drilled and deburred</t>
  </si>
  <si>
    <t>Profil rond 50, longueur personnalisée, fourni sans joint, percé et ébavuré</t>
  </si>
  <si>
    <t>profilo circolare 50 lunghezza fuori standard, esclusa guarnizione, forato e sbavato</t>
  </si>
  <si>
    <t>Kruhový profil 50, zvláštní délka, bez těsnění,vrtaný, bez otřepů</t>
  </si>
  <si>
    <t>Profil okrągły 50 długość specjalna bez uszczelki, nawiercona i okrawana</t>
  </si>
  <si>
    <t>Körprofil 50,egyedi hosszméret, tömítés nélkül, furatolva és sorjázva</t>
  </si>
  <si>
    <t>Kruhový profil 50, neštandardná dĺžka, bez tesnenia, navŕtaný a odhrotovaný</t>
  </si>
  <si>
    <t>Rondprofiel 50 aangepaste lengte excl. afdichting, geboord en afgebraamd</t>
  </si>
  <si>
    <t>Rundprofil 50 speciallängd exkl. tätning, borrad och avgradad</t>
  </si>
  <si>
    <t>Rund profil 50 speciallængde ekskl. tætning, forboret og afgratet</t>
  </si>
  <si>
    <t>Rundprofil 50 spesiallengde ekskl. tetning, boret og avgradet</t>
  </si>
  <si>
    <t>Okrugli profil 50 posebna duljina bez brtve, bušen i s obrađenim rubovima</t>
  </si>
  <si>
    <t>Rundprofil 50-90° exkl. Dichtung, gebohrt und entgratet</t>
  </si>
  <si>
    <t>Round profile 50–90° excl. seal, drilled and deburred</t>
  </si>
  <si>
    <t>Profil rond 50 (90°), fourni sans joint, percé et ébavuré</t>
  </si>
  <si>
    <t>profilo circolare 50-90°, esclusa guarnizione, forato e sbavato</t>
  </si>
  <si>
    <t>Kruhový profil 50-90°, bez těsnění,vrtaný, bez otřepů</t>
  </si>
  <si>
    <t>Profil okrągły 50-90° bez uszczelki, nawiercony i okrawany</t>
  </si>
  <si>
    <t>Körprofil 50-90° tömítés nélkül, furatolva és sorjázva</t>
  </si>
  <si>
    <t>Kruhový profil 50 – 90° bez tesnenia, navŕtaný a odhrotovaný</t>
  </si>
  <si>
    <t>Rondprofiel 50-90° excl. afdichting, geboord en afgebraamd</t>
  </si>
  <si>
    <t>Rundprofil 50–90° exkl. tätning, borrad och avgradad</t>
  </si>
  <si>
    <t>Rund profil 50-90 ° ekskl. tætning, forboret og afgratet</t>
  </si>
  <si>
    <t>Rundprofil 50-90° ekskl. tetning, boret og avgradet</t>
  </si>
  <si>
    <t>Okrugli profil 50-90° bez brtve, bušen i s obrađenim rubovima</t>
  </si>
  <si>
    <t>Rundprofil 50-90° Sonderlänge exkl. Dichtung, (Stangenware)</t>
  </si>
  <si>
    <t>Round profile 50–90° special length excl. seal, drilled and deburred</t>
  </si>
  <si>
    <t>Profil rond 50 (90°), longueur personnalisée, fourni sans joint, percé et ébavuré</t>
  </si>
  <si>
    <t>profilo circolare 50-90° lunghezza fuori standard, esclusa guarnizione, forato e sbavato</t>
  </si>
  <si>
    <t>Kruhový profil 50-90°, zvláštní délka, bez těsnění, vrtaný, bez otřepů</t>
  </si>
  <si>
    <t>Profil okrągły 50-90° długość specjalna bez uszczelki, nawiercony i okrawany</t>
  </si>
  <si>
    <t>Körprofil 50-90° tömítés nélkül, egyedi hosszméret, furatolva és sorjázva</t>
  </si>
  <si>
    <t>Kruhový profil 50 – 90°, neštandardná dĺžka, bez tesnenia, navŕtaný a odhrotovaný</t>
  </si>
  <si>
    <t>Rondprofiel 50-90° aangepaste lengte excl. afdichting, geboord en afgebraamd</t>
  </si>
  <si>
    <t>Rundprofil 50–90° speciallängd exkl. tätning, borrad och avgradad</t>
  </si>
  <si>
    <t>Rund profil 50-90 ° speciallængde ekskl. tætning, forboret og afgratet</t>
  </si>
  <si>
    <t>Rundprofil 50-90° spesiallengde ekskl. tetning, boret og avgradet</t>
  </si>
  <si>
    <t>Okrugli profil 50-90° posebna duljina bez brtve, bušen i s obrađenim rubovima</t>
  </si>
  <si>
    <t>Rundprofil 50-Vario exkl. Dichtung, gebohrt und entgratet</t>
  </si>
  <si>
    <t>Round profile 50 Vario excl. seal, drilled and deburred</t>
  </si>
  <si>
    <t>Profil rond 50 (Vario), fourni sans joint, percé et ébavuré</t>
  </si>
  <si>
    <t>profilo circolare 50-vario, esclusa guarnizione, forato e sbavato</t>
  </si>
  <si>
    <t>Kruhový profil 50-Vario, bez těsnění, vrtaný, bez otřepů</t>
  </si>
  <si>
    <t>Profil okrągły 50-Vario bez uszczelki, nawiercony i okrawany</t>
  </si>
  <si>
    <t>Körprofil 50-Vario tömítés nélkül, furatolva és sorjázva</t>
  </si>
  <si>
    <t>Kruhový profil 50 – Vario bez tesnenia, navŕtaný a odhrotovaný</t>
  </si>
  <si>
    <t>Rondprofiel 50-Vario excl. afdichting, geboord en afgebraamd</t>
  </si>
  <si>
    <t>Rundprofil 50-Vario exkl. tätning, borrad och avgradad</t>
  </si>
  <si>
    <t>Rund profil 50-Vario ekskl. tætning, forboret og afgratet</t>
  </si>
  <si>
    <t>Rundprofil 50-Vario ekskl. tetning, boret og avgradet</t>
  </si>
  <si>
    <t>Okrugli profil 50-vario bez brtve, bušen i s obrađenim rubovima</t>
  </si>
  <si>
    <t>Rundprofil 50-Vario Sonderlänge exkl. Dichtung, (Stangenware)</t>
  </si>
  <si>
    <t>Round profile 50 Vario special length excl. seal, drilled and deburred</t>
  </si>
  <si>
    <t>Profil rond 50 (Vario), longueur personnalisée, fourni sans joint, percé et ébavuré</t>
  </si>
  <si>
    <t>profilo circolare 50-vario lunghezza fuori standard, esclusa guarnizione, forato e sbavato</t>
  </si>
  <si>
    <t>Kruhový profil 50-Vario, zvláštní délka, bez těsnění,vrtaný, bez otřepů</t>
  </si>
  <si>
    <t>Profil okrągły 50-Vario, długość specjalna bez uszczelki, nawiercony i okrawany</t>
  </si>
  <si>
    <t>Körprofil 50-Vario tömítés nélkül, egyedi hosszméret, furatolva és sorjázva</t>
  </si>
  <si>
    <t>Kruhový profil 50 – Vario, neštandardná dĺžka, bez tesnenia, navŕtaný a odhrotovaný</t>
  </si>
  <si>
    <t>Rondprofiel 50-Vario aangepaste lengte excl. afdichting, geboord en afgebraamd</t>
  </si>
  <si>
    <t>Rundprofil 50-Vario speciallängd exkl. tätning, borrad och avgradad</t>
  </si>
  <si>
    <t>Rund profil 50-Vario speciallængde ekskl. tætning, forboret og afgratet</t>
  </si>
  <si>
    <t>Rundprofil 50-Vario spesiallengde ekskl. tetning, boret og avgradet</t>
  </si>
  <si>
    <t>Okrugli profil 50-vario posebna duljina bez brtve, bušen i s obrađenim rubovima</t>
  </si>
  <si>
    <t>Rundprofil 80 exkl. Dichtung, gebohrt und entgratet</t>
  </si>
  <si>
    <t>Round profile 80 excl. seal, drilled and deburred</t>
  </si>
  <si>
    <t>Profil rond 80, fourni sans joint, percé et ébavuré</t>
  </si>
  <si>
    <t>profilo circolare 80, esclusa guarnizione, forato e sbavato</t>
  </si>
  <si>
    <t>Kruhový profil 80, bez těsnění, vrtaný, bez otřepů</t>
  </si>
  <si>
    <t>Profil okrągły 80 bez uszczelki, nawiercony i okrawany</t>
  </si>
  <si>
    <t>Körprofil 80, tömítés nélkül, furatolva és sorjázva</t>
  </si>
  <si>
    <t>Kruhový profil 80 bez tesnenia, navŕtaný a odhrotovaný</t>
  </si>
  <si>
    <t>Rondprofiel 80 excl. afdichting, geboord en afgebraamd</t>
  </si>
  <si>
    <t>Rundprofil 80 exkl. tätning, borrad och avgradad</t>
  </si>
  <si>
    <t>Rund profil 80 ekskl. tætning, forboret og afgratet</t>
  </si>
  <si>
    <t>Rundprofil 80 ekskl. tetning, boret og avgradet</t>
  </si>
  <si>
    <t>Okrugli profil 80 bez brtve, bušen i s obrađenim rubovima</t>
  </si>
  <si>
    <t>Rundprofil 80 gr. exkl. Dichtung, gebohrt und entgratet</t>
  </si>
  <si>
    <t>Round profile 80 large excl. seal, drilled and deburred</t>
  </si>
  <si>
    <t>Profil rond 80 (grand format), fourni sans joint, percé et ébavuré</t>
  </si>
  <si>
    <t>profilo circolare 80 gr., esclusa guarnizione, forato e sbavato</t>
  </si>
  <si>
    <t>Kruhový profil 80 velký, bez těsnění, vrtaný, bez otřepů</t>
  </si>
  <si>
    <t>Profil okrągły 80 gr. bez uszczelki, nawiercony i okrawany</t>
  </si>
  <si>
    <t>Körprofil 80 nagy, tömítés nélkül, furatolva és sorjázva</t>
  </si>
  <si>
    <t>Kruhový profil 80 veľký, bez tesnenia, navŕtaný a odhrotovaný</t>
  </si>
  <si>
    <t>Rondprofiel 80 groot excl. afdichting, geboord en afgebraamd</t>
  </si>
  <si>
    <t>Rundprofil 80 stor exkl. tätning, borrad och avgradad</t>
  </si>
  <si>
    <t>Rund profil 80 stor, ekskl. tætning, forboret og afgratet</t>
  </si>
  <si>
    <t>Rundprofil 80 str. ekskl. tetning, boret og avgradet</t>
  </si>
  <si>
    <t>Okrugli profil 80 vel. bez brtve, bušen i s obrađenim rubovima</t>
  </si>
  <si>
    <t>Rundprofil 80 gr. Sonderlänge exkl. Dichtung, (Stangenware)</t>
  </si>
  <si>
    <t>Round profile 80 large special length excl. seal, drilled and deburred</t>
  </si>
  <si>
    <t>Profil rond 80 (grand format), longueur personnalisée, fourni sans joint, percé et ébavuré</t>
  </si>
  <si>
    <t>profilo circolare 80 gr. lunghezza fuori standard, esclusa guarnizione, forato e sbavato</t>
  </si>
  <si>
    <t>Kruhový profil 80 velký, zvláštní délka, bez těsnění, vrtaný, bez otřepů</t>
  </si>
  <si>
    <t>Profil okrągły 80 gr. długość specjalna bez uszczelki, nawiercony i okrawany</t>
  </si>
  <si>
    <t>Körprofil 80 nagy, egyedi hosszméretben, tömítés nélkül, furatolva és sorjázva</t>
  </si>
  <si>
    <t>Kruhový profil 80 veľký, neštandardná dĺžka, bez tesnenia, navŕtaný a odhrotovaný</t>
  </si>
  <si>
    <t>Rondprofiel 80 groot aangepaste lengte excl. afdichting, geboord en afgebraamd</t>
  </si>
  <si>
    <t>Rundprofil 80 stor speciallängd exkl. tätning, borrad och avgradad</t>
  </si>
  <si>
    <t>Rund profil 80 stor, Speciallængde ekskl. tætning, forboret og afgratet</t>
  </si>
  <si>
    <t>Rundprofil 80 gr. spesiallengde ekskl. tetning, boret og avgradet</t>
  </si>
  <si>
    <t>Okrugli profil 80 vel. posebna duljina bez brtve, bušen i s obrađenim rubovima</t>
  </si>
  <si>
    <t>Rundprofil 80 Sonderlänge exkl. Dichtung, (Stangenware)</t>
  </si>
  <si>
    <t>Round profile 80 special length excl. seal, drilled and deburred</t>
  </si>
  <si>
    <t>Profil rond 80, longueur personnalisée, fourni sans joint, percé et ébavuré</t>
  </si>
  <si>
    <t>profilo circolare 80 lunghezza fuori standard, esclusa guarnizione, forato e sbavato</t>
  </si>
  <si>
    <t>Kruhový profil 80, zvláštní délka, bez těsnění,vrtaný, bez otřepů</t>
  </si>
  <si>
    <t>Profil okrągły 80 gr. Długość specjalna bez uszczelki, nawiercony i okrawany</t>
  </si>
  <si>
    <t>Körprofil 80, egyedi hosszméretben, tömítés nélkül, furatolva és sorjázva</t>
  </si>
  <si>
    <t>Kruhový profil 80, neštandardná dĺžka, bez tesnenia, navŕtaný a odhrotovaný</t>
  </si>
  <si>
    <t>Rondprofiel 80 aangepaste lengte excl. afdichting, geboord en afgebraamd</t>
  </si>
  <si>
    <t>Rundprofil 80 speciallängd exkl. tätning, borrad och avgradad</t>
  </si>
  <si>
    <t>Rund profil 80 speciallængde ekskl. tætning, forboret og afgratet</t>
  </si>
  <si>
    <t>Rundprofil 80 spesiallengde ekskl. tetning, boret og avgradet</t>
  </si>
  <si>
    <t>Okrugli profil 80 posebna duljina bez brtve, bušen i s obrađenim rubovima</t>
  </si>
  <si>
    <t>Rundprofil 80-90° exkl. Dichtung, gebohrt und entgratet</t>
  </si>
  <si>
    <t>Round profile 80–90° excl. seal, drilled and deburred</t>
  </si>
  <si>
    <t>Profil rond 80 (90°), fourni sans joint, percé et ébavuré</t>
  </si>
  <si>
    <t>profilo circolare 80-90°, esclusa guarnizione, forato e sbavato</t>
  </si>
  <si>
    <t>Kruhový profil 80-90°, bez těsnění,vrtaný, bez otřepů</t>
  </si>
  <si>
    <t>Profil okrągły 80-90° bez uszczelki, nawiercony i okrawany</t>
  </si>
  <si>
    <t>Körprofil 80-90° tömítés nélkül, furatolva és sorjázva</t>
  </si>
  <si>
    <t>Kruhový profil 80 – 90° bez tesnenia, navŕtaný a odhrotovaný</t>
  </si>
  <si>
    <t>Rondprofiel 80-90° excl. afdichting, geboord en afgebraamd</t>
  </si>
  <si>
    <t>Rundprofil 80–90° exkl. tätning, borrad och avgradad</t>
  </si>
  <si>
    <t>Rund profil 80-90 ° ekskl. tætning, forboret og afgratet</t>
  </si>
  <si>
    <t>Rundprofil 80-90° ekskl. tetning, boret og avgradet</t>
  </si>
  <si>
    <t>Okrugli profil 80-90° bez brtve, bušen i s obrađenim rubovima</t>
  </si>
  <si>
    <t>Rundprofil 80-90° Sonderlänge exkl. Dichtung, (Stangenware)</t>
  </si>
  <si>
    <t>Round profile 80–90° special length excl. seal, drilled and deburred</t>
  </si>
  <si>
    <t>Profil rond 80 (90°), longueur personnalisée, fourni sans joint, percé et ébavuré</t>
  </si>
  <si>
    <t>profilo circolare 80-90° lunghezza fuori standard, esclusa guarnizione, forato e sbavato</t>
  </si>
  <si>
    <t>Kruhový profil 80-90°, zvláštní délka, bez těsnění, vrtaný, bez otřepů</t>
  </si>
  <si>
    <t>Profil okrągły 80-90° długość specjalna bez uszczelki, nawiercony i okrawany</t>
  </si>
  <si>
    <t>Körprofil 80-90° tömítés nélkül, egyedi hosszméret, furatolva és sorjázva</t>
  </si>
  <si>
    <t>Kruhový profil 80 – 90°, neštandardná dĺžka, bez tesnenia, navŕtaný a odhrotovaný</t>
  </si>
  <si>
    <t>Rondprofiel 80-90° aangepaste lengte excl. afdichting, geboord en afgebraamd</t>
  </si>
  <si>
    <t>Rundprofil 80–90° speciallängd exkl. tätning, borrad och avgradad</t>
  </si>
  <si>
    <t>Rund profil 80-90 ° speciallængde ekskl. tætning, forboret og afgratet</t>
  </si>
  <si>
    <t>Rundprofil 80-90° spesiallengde ekskl. tetning, boret og avgradet</t>
  </si>
  <si>
    <t>Okrugli profil 80-90° posebna duljina bez brtve, bušen i s obrađenim rubovima</t>
  </si>
  <si>
    <t>Rundprofil 80-Vario exkl. Dichtung, gebohrt und entgratet</t>
  </si>
  <si>
    <t>Round profile 80 Vario excl. seal, drilled and deburred</t>
  </si>
  <si>
    <t>Profil rond 80 (Vario), fourni sans joint, percé et ébavuré</t>
  </si>
  <si>
    <t>profilo circolare 80-vario, esclusa guarnizione, forato e sbavato</t>
  </si>
  <si>
    <t>Kruhový profil 80-Vario, bez těsnění, vrtaný, bez otřepů</t>
  </si>
  <si>
    <t>Profil okrągły 80 Vario bez uszczelki, nawiercony i okrawany</t>
  </si>
  <si>
    <t>Körprofil 80-Vario tömítés nélkül, furatolva és sorjázva</t>
  </si>
  <si>
    <t>Kruhový profil 80 – Vario bez tesnenia, navŕtaný a odhrotovaný</t>
  </si>
  <si>
    <t>Rondprofiel 80-Vario excl. afdichting, geboord en afgebraamd</t>
  </si>
  <si>
    <t>Rundprofil 80-Vario exkl. tätning, borrad och avgradad</t>
  </si>
  <si>
    <t>Rund profil 80-Vario ekskl. tætning, forboret og afgratet</t>
  </si>
  <si>
    <t>Rundprofil 80-Vario ekskl. tetning, boret og avgradet</t>
  </si>
  <si>
    <t>Okrugli profil 80-vario bez brtve, bušen i s obrađenim rubovima</t>
  </si>
  <si>
    <t>Rundprofil 80-Vario Sonderlänge exkl. Dichtung, (Stangenware)</t>
  </si>
  <si>
    <t>Round profile 80 Vario special length excl. seal, drilled and deburred</t>
  </si>
  <si>
    <t>Profil rond 80 (Vario), longueur personnalisée, fourni sans joint, percé et ébavuré</t>
  </si>
  <si>
    <t>profilo circolare 80-vario lunghezza fuori standard, esclusa guarnizione, forato e sbavato</t>
  </si>
  <si>
    <t>Kruhový profil 80-Vario, zvláštní délka, bez těsnění,vrtaný, bez otřepů</t>
  </si>
  <si>
    <t>Profil okrągły 80-Vario, długość specjalna bez uszczelki, nawiercony i okrawany</t>
  </si>
  <si>
    <t>Körprofil 80-Vario tömítés nélkül, egyedi hosszméret, furatolva és sorjázva</t>
  </si>
  <si>
    <t>Kruhový profil 80 – Vario, neštandardná dĺžka, bez tesnenia, navŕtaný a odhrotovaný</t>
  </si>
  <si>
    <t>Rondprofiel 80-Vario aangepaste lengte excl. afdichting, geboord en afgebraamd</t>
  </si>
  <si>
    <t>Rundprofil 80-Vario speciallängd exkl. tätning, borrad och avgradad</t>
  </si>
  <si>
    <t>Rund profil 80-Vario speciallængde ekskl. tætning, forboret og afgratet</t>
  </si>
  <si>
    <t>Rundprofil 80-Vario spesiallengde ekskl. tetning, boret og avgradet</t>
  </si>
  <si>
    <t>Okrugli profil 80-vario posebna duljina bez brtve, bušen i s obrađenim rubovima</t>
  </si>
  <si>
    <t>Rundprofil 90°</t>
  </si>
  <si>
    <t>Round profile 90°</t>
  </si>
  <si>
    <t>profil rond (90°)</t>
  </si>
  <si>
    <t>profilo circolare 90°</t>
  </si>
  <si>
    <t>Kruhový profil 90°</t>
  </si>
  <si>
    <t>Profil okrągły 90°</t>
  </si>
  <si>
    <t>Körprofil 90°</t>
  </si>
  <si>
    <t>Rondprofiel 90°</t>
  </si>
  <si>
    <t>Rund profil 90 °</t>
  </si>
  <si>
    <t>Okrugli profil 90°</t>
  </si>
  <si>
    <t>Rundprofil Groß</t>
  </si>
  <si>
    <t>Round profile large</t>
  </si>
  <si>
    <t>profil rond (grand format)</t>
  </si>
  <si>
    <t>profilo circolare grande</t>
  </si>
  <si>
    <t>Kruhový profil velký</t>
  </si>
  <si>
    <t>Profil okrągły duży</t>
  </si>
  <si>
    <t>Körprofil nagy</t>
  </si>
  <si>
    <t>Kruhový profil veľký</t>
  </si>
  <si>
    <t>Rondprofiel groot</t>
  </si>
  <si>
    <t>Rundprofil stor</t>
  </si>
  <si>
    <t>Rund profil, stor</t>
  </si>
  <si>
    <t>Okrugli profil veliki</t>
  </si>
  <si>
    <t>Rundprofil Vario</t>
  </si>
  <si>
    <t>Round profile Vario</t>
  </si>
  <si>
    <t>profil rond (Vario)</t>
  </si>
  <si>
    <t>profilo circolare vario</t>
  </si>
  <si>
    <t>Kruhový profil Vario</t>
  </si>
  <si>
    <t>Profil okrągły Vario</t>
  </si>
  <si>
    <t>Körprofil Vario</t>
  </si>
  <si>
    <t>Kruhový profil Vario</t>
  </si>
  <si>
    <t>Rondprofiel Vario</t>
  </si>
  <si>
    <t>Rund profil, Vario</t>
  </si>
  <si>
    <t>Okrugli profil vario</t>
  </si>
  <si>
    <t>Side sections</t>
  </si>
  <si>
    <t>profilo laterale</t>
  </si>
  <si>
    <t>Boční díly</t>
  </si>
  <si>
    <t>Części boczne</t>
  </si>
  <si>
    <t>Oldalsó elemek</t>
  </si>
  <si>
    <t>Bočné diely</t>
  </si>
  <si>
    <t>Zijdelen</t>
  </si>
  <si>
    <t>Sidodelar</t>
  </si>
  <si>
    <t>Sidevanger</t>
  </si>
  <si>
    <t>Sidedeler</t>
  </si>
  <si>
    <t>Bočni dijelovi</t>
  </si>
  <si>
    <t>Setzwerkzeug Verbundanker</t>
  </si>
  <si>
    <t>Setting tool embedded anchor</t>
  </si>
  <si>
    <t>Outil de pose pour dispositif d’ancrage</t>
  </si>
  <si>
    <t>Ancorante chimico</t>
  </si>
  <si>
    <t>Osazovací nástroj pro chemické patrony</t>
  </si>
  <si>
    <t>Narzędzie do ustawiania kotew zespolonych</t>
  </si>
  <si>
    <t>Lehorgonyzóelem elhelyezőszerszám</t>
  </si>
  <si>
    <t>Osadzovací nástroj na spájaciu kotvu</t>
  </si>
  <si>
    <t>Plaatsingsgereedschap verbindingsanker</t>
  </si>
  <si>
    <t>Monteringsverktyg för kemankare</t>
  </si>
  <si>
    <t>Indstillingsværktøj kompositankre</t>
  </si>
  <si>
    <t>Setteverktøy kompoundanker</t>
  </si>
  <si>
    <t>Alat za postavljanje spojnih sidra</t>
  </si>
  <si>
    <t>Sicherungsschraube Abdeckung:</t>
  </si>
  <si>
    <t>Safety screw cover:</t>
  </si>
  <si>
    <t>Vis de sécurité pour cache de protection :</t>
  </si>
  <si>
    <t>vite di sicurezza copertura:</t>
  </si>
  <si>
    <t>Fixační šroub krytu:</t>
  </si>
  <si>
    <t>Śruba blokująca pokrywę:</t>
  </si>
  <si>
    <t>Takaróelem biztosítócsavar:</t>
  </si>
  <si>
    <t>Poistná skrutka krycieho profilu:</t>
  </si>
  <si>
    <t>Borgbout afdekking:</t>
  </si>
  <si>
    <t>Skruv, Täckplåt</t>
  </si>
  <si>
    <t>Holdeskrue dæksel:</t>
  </si>
  <si>
    <t>Låseskrue tildekking:</t>
  </si>
  <si>
    <t>Sigurnosni vijak pokrova:</t>
  </si>
  <si>
    <t>Sicherungsschraube für Abdeckung</t>
  </si>
  <si>
    <t>Safety screw for cover</t>
  </si>
  <si>
    <t>vis de sécurité pour cache de protection</t>
  </si>
  <si>
    <t>vite di sicurezza per la copertura</t>
  </si>
  <si>
    <t>fixační šroub pro kryt</t>
  </si>
  <si>
    <t>Śruba blokująca do pokrywy</t>
  </si>
  <si>
    <t>Takaróelem biztosítócsavar</t>
  </si>
  <si>
    <t>Poistná skrutka krycieho profilu</t>
  </si>
  <si>
    <t>Borgbout voor afdekking</t>
  </si>
  <si>
    <t>Skruv till Täckplåt</t>
  </si>
  <si>
    <t>Holdeskrue til dæksel:</t>
  </si>
  <si>
    <t>Låseskrue for tildekking</t>
  </si>
  <si>
    <t>Sigurnosni vijak za pokrov</t>
  </si>
  <si>
    <t>Sonderkosten</t>
  </si>
  <si>
    <t>Special costs</t>
  </si>
  <si>
    <t>Frais spéciaux</t>
  </si>
  <si>
    <t>costi extra</t>
  </si>
  <si>
    <t>zvláštní náklady</t>
  </si>
  <si>
    <t>Koszty specjalne</t>
  </si>
  <si>
    <t>Felárak</t>
  </si>
  <si>
    <t>Mimoriadne náklady</t>
  </si>
  <si>
    <t>Speciale kosten</t>
  </si>
  <si>
    <t>Särskilda kostnader</t>
  </si>
  <si>
    <t>Særlige omkostninger</t>
  </si>
  <si>
    <t>Spesialkostnader</t>
  </si>
  <si>
    <t>Posebni troškovi</t>
  </si>
  <si>
    <t>Sonderrabatt</t>
  </si>
  <si>
    <t>Special discount</t>
  </si>
  <si>
    <t>Rabais spéciale</t>
  </si>
  <si>
    <t>sconto speciale</t>
  </si>
  <si>
    <t>zvláštní rabat</t>
  </si>
  <si>
    <t>Rabat specjalny</t>
  </si>
  <si>
    <t>Egyedi kedvezmény</t>
  </si>
  <si>
    <t>Mimoriadna zľava</t>
  </si>
  <si>
    <t>Speciale korting</t>
  </si>
  <si>
    <t>Särskild rabatt</t>
  </si>
  <si>
    <t>Særrabat</t>
  </si>
  <si>
    <t>Spesialrabatt</t>
  </si>
  <si>
    <t>Posebni rabat</t>
  </si>
  <si>
    <t>Spannstück mit 6-Kantschraube</t>
  </si>
  <si>
    <t>Clamping element with hex-cap screw</t>
  </si>
  <si>
    <t>Pièce de serrage avec vis à six pans</t>
  </si>
  <si>
    <t>tenditore con vite a testa esagonale</t>
  </si>
  <si>
    <t>Napínák s šestihranným šroubem</t>
  </si>
  <si>
    <t>Element dociskowy ze śrubą z łbem 6-kątnym</t>
  </si>
  <si>
    <t>Feszítőelem 6-lapfejű csavarral</t>
  </si>
  <si>
    <t>Upevňovacia zarážka so 6-hrannou skrutkou</t>
  </si>
  <si>
    <t>Fixeerstuk met zeskantschroef</t>
  </si>
  <si>
    <t>Vpenjalni kos s 6-robim vijakom</t>
  </si>
  <si>
    <t>Spännstycke med sexkantsskruv</t>
  </si>
  <si>
    <t>Spændestykke med 6-kantskrue</t>
  </si>
  <si>
    <t>KLEMSTYKKE SIDE med 6-kantskrue</t>
  </si>
  <si>
    <t>Zatezni element sa šesterokutnim vijkom</t>
  </si>
  <si>
    <t>Spannstück mit 6-Kantschraube:</t>
  </si>
  <si>
    <t>Clamping element with hex-cap screw:</t>
  </si>
  <si>
    <t>Pièce de serrage avec vis à six pans :</t>
  </si>
  <si>
    <t>tenditore con vite a testa esagonale:</t>
  </si>
  <si>
    <t>Napínák s šestihranným šroubem:</t>
  </si>
  <si>
    <t>Element dociskowy ze śrubą z łbem 6-kątnym:</t>
  </si>
  <si>
    <t>Feszítőelem 6-lapfejű csavarral:</t>
  </si>
  <si>
    <t>Upevňovacia zarážka so 6-hrannou skrutkou:</t>
  </si>
  <si>
    <t>Fixeerstuk met zeskantschroef:</t>
  </si>
  <si>
    <t>Spännstycke med sexkantsskruv:</t>
  </si>
  <si>
    <t>Spændestykke med 6-kantskrue:</t>
  </si>
  <si>
    <t>KLEMSTYKKE SIDE med 6-kantskrue:</t>
  </si>
  <si>
    <t>Zatezni element sa šesterokutnim vijkom:</t>
  </si>
  <si>
    <t>Spannstück mit Sterngriff</t>
  </si>
  <si>
    <t>Clamping element with star grip screw</t>
  </si>
  <si>
    <t>Pièce de serrage à poignée étoile</t>
  </si>
  <si>
    <t>tenditore con manopola a stella</t>
  </si>
  <si>
    <t>Napínák s hvězdicovým kolečkem</t>
  </si>
  <si>
    <t>Element dociskowy z uchwytem gwiazdkowym</t>
  </si>
  <si>
    <t>Feszítőelem csillagmarkolattal</t>
  </si>
  <si>
    <t>Upevňovacia zarážka s hviezdicovým úchopom</t>
  </si>
  <si>
    <t>Fixeerstuk met sterknop</t>
  </si>
  <si>
    <t>Vpenjalni kos z zvezdastim gumbom</t>
  </si>
  <si>
    <t>Spännstycke med stjärngrepp</t>
  </si>
  <si>
    <t>Spændestykke med stjerneformet greb</t>
  </si>
  <si>
    <t>KLEMSTYKKE SIDE med stjernegrep</t>
  </si>
  <si>
    <t>Zatezni element sa zvjezdastom ručkom</t>
  </si>
  <si>
    <t>Spannstück mit Sterngriff:</t>
  </si>
  <si>
    <t>Clamping element with star grip screw:</t>
  </si>
  <si>
    <t>Pièce de serrage à poignée étoile :</t>
  </si>
  <si>
    <t>tenditore con manopola a stella:</t>
  </si>
  <si>
    <t>Napínák s hvězdicovým kolečkem:</t>
  </si>
  <si>
    <t>Element dociskowy z uchwytem gwiazdkowym:</t>
  </si>
  <si>
    <t>Feszítőelem csillagmarkolattal:</t>
  </si>
  <si>
    <t>Upevňovacia zarážka s hviezdicovým úchopom:</t>
  </si>
  <si>
    <t>Fixeerstuk met sterknop:</t>
  </si>
  <si>
    <t>Spännstycke med stjärngrepp:</t>
  </si>
  <si>
    <t>Spændestykke med stjerneformet greb:</t>
  </si>
  <si>
    <t>KLEMSTYKKE SIDE med stjernegrep:</t>
  </si>
  <si>
    <t>Zatezni element sa zvjezdastom ručkom:</t>
  </si>
  <si>
    <t>Spannung  infolge Treibgut:</t>
  </si>
  <si>
    <t>Pressure due to flotsam:</t>
  </si>
  <si>
    <t>Tension générée par les débris flottants :</t>
  </si>
  <si>
    <t>Tensione da detriti:</t>
  </si>
  <si>
    <t>Napětí od plovoucího předmětu:</t>
  </si>
  <si>
    <t>Naprężenie związane z naniesionym materiałem:</t>
  </si>
  <si>
    <t>Uszadék okozta feszültség:</t>
  </si>
  <si>
    <t>Napätie v dôsledku plávajúceho predmetu:</t>
  </si>
  <si>
    <t>Spanning overeenkomstig drijfmateriaal:</t>
  </si>
  <si>
    <t>Napetost zaradi naplavin:</t>
  </si>
  <si>
    <t>spänning p.g.a. flytande skräp:</t>
  </si>
  <si>
    <t>Spænding som følge af drivende genstande:</t>
  </si>
  <si>
    <t>Spenning iht drivgods:</t>
  </si>
  <si>
    <t>Naprezanje zbog naplavina:</t>
  </si>
  <si>
    <t>Spannung HD:</t>
  </si>
  <si>
    <t>Pressure HD:</t>
  </si>
  <si>
    <t>Tension HD :</t>
  </si>
  <si>
    <t>Tensione HD:</t>
  </si>
  <si>
    <t>Napětí HD:</t>
  </si>
  <si>
    <t>Naprężenie HD:</t>
  </si>
  <si>
    <t>HD feszültség:</t>
  </si>
  <si>
    <t>Napätie HD:</t>
  </si>
  <si>
    <t>Spanning HD:</t>
  </si>
  <si>
    <t>Napetost HD:</t>
  </si>
  <si>
    <t>Spänning HD:</t>
  </si>
  <si>
    <t>Spænding HD:</t>
  </si>
  <si>
    <t>Spenning HD:</t>
  </si>
  <si>
    <t>Naprezanje HD:</t>
  </si>
  <si>
    <t>Spannung HD+HS:</t>
  </si>
  <si>
    <t>Pressure HD + HS:</t>
  </si>
  <si>
    <t>Tension HD + HS :</t>
  </si>
  <si>
    <t>Tensione HD+HS:</t>
  </si>
  <si>
    <t>Napětí HD+HS:</t>
  </si>
  <si>
    <t>Naprężenie HD+HS:</t>
  </si>
  <si>
    <t>HD+HS feszültség:</t>
  </si>
  <si>
    <t>Napätie HD+HS:</t>
  </si>
  <si>
    <t>Spanning HD+HS:</t>
  </si>
  <si>
    <t>Napetost HD+HS:</t>
  </si>
  <si>
    <t>Spänning HD+HS:</t>
  </si>
  <si>
    <t>Spænding HD+HS:</t>
  </si>
  <si>
    <t>Spenning HD+HS:</t>
  </si>
  <si>
    <t>Naprezanje HD+HS:</t>
  </si>
  <si>
    <t>Spannung HS:</t>
  </si>
  <si>
    <t>Pressure HS:</t>
  </si>
  <si>
    <t>Tension HS :</t>
  </si>
  <si>
    <t>Tensione HS:</t>
  </si>
  <si>
    <t>Napětí HS:</t>
  </si>
  <si>
    <t>Naprężenie HS:</t>
  </si>
  <si>
    <t>HS feszültség:</t>
  </si>
  <si>
    <t>Napätie HS:</t>
  </si>
  <si>
    <t>Spanning HS:</t>
  </si>
  <si>
    <t>Napetost HS:</t>
  </si>
  <si>
    <t>Spänning HS:</t>
  </si>
  <si>
    <t>Spænding HS:</t>
  </si>
  <si>
    <t>Spenning HS:</t>
  </si>
  <si>
    <t>Naprezanje HS:</t>
  </si>
  <si>
    <t>Spannung infolge Treibgut:</t>
  </si>
  <si>
    <t>Naprężenia związane z naniesionym materiałem:</t>
  </si>
  <si>
    <t>Spänning p.g.a. flytande skräp:</t>
  </si>
  <si>
    <t>Spenning iht. drivgods:</t>
  </si>
  <si>
    <t>Spannung zufolge</t>
  </si>
  <si>
    <t>Pressure due to</t>
  </si>
  <si>
    <t>en fonction de la tension</t>
  </si>
  <si>
    <t>Tensione da</t>
  </si>
  <si>
    <t>Napětí od</t>
  </si>
  <si>
    <t>W zależności od naprężenia</t>
  </si>
  <si>
    <t>Feszültség a köv. következtében:</t>
  </si>
  <si>
    <t>Napätie v dôsledku</t>
  </si>
  <si>
    <t>Spanning overeenkomstig</t>
  </si>
  <si>
    <t>Napetost zaradi</t>
  </si>
  <si>
    <t>Spänning beroende på</t>
  </si>
  <si>
    <t>Spænding som følge af</t>
  </si>
  <si>
    <t>Spenning iht.</t>
  </si>
  <si>
    <t>Naprezanje prema</t>
  </si>
  <si>
    <t>Spannung:</t>
  </si>
  <si>
    <t>Pressure:</t>
  </si>
  <si>
    <t>Tension :</t>
  </si>
  <si>
    <t>Tensione:</t>
  </si>
  <si>
    <t>Napětí:</t>
  </si>
  <si>
    <t>Naprężenie:</t>
  </si>
  <si>
    <t>Feszültség:</t>
  </si>
  <si>
    <t>Napätie:</t>
  </si>
  <si>
    <t>Spanning:</t>
  </si>
  <si>
    <t>Napetost:</t>
  </si>
  <si>
    <t>Spänning:</t>
  </si>
  <si>
    <t>Spænding:</t>
  </si>
  <si>
    <t>Spenning:</t>
  </si>
  <si>
    <t>Naprezanje:</t>
  </si>
  <si>
    <t>STATIK</t>
  </si>
  <si>
    <t>STATIC</t>
  </si>
  <si>
    <t>STATIQUE</t>
  </si>
  <si>
    <t>STATICA</t>
  </si>
  <si>
    <t>STATIKA</t>
  </si>
  <si>
    <t>STATYKA</t>
  </si>
  <si>
    <t>STATIKK</t>
  </si>
  <si>
    <t>STATIK DAMMBALKEN</t>
  </si>
  <si>
    <t>STATICS BARRIER PANELS</t>
  </si>
  <si>
    <t>STATIQUE DES BATARDEAUX</t>
  </si>
  <si>
    <t>STATIKA HRÁZNÍCH BLOKŮ</t>
  </si>
  <si>
    <t>WARTOŚĆ STATYCZNA DLA BELKI ZAPOROWEJ</t>
  </si>
  <si>
    <t>GÁTGERENDA STATIKAI</t>
  </si>
  <si>
    <t>STATIKA HRADIDLA</t>
  </si>
  <si>
    <t>STATICA DAMBALK</t>
  </si>
  <si>
    <t>STATIKA ZAJEZITVENI PREČNIK</t>
  </si>
  <si>
    <t>STATIK BJÄLKSÄTT</t>
  </si>
  <si>
    <t>STATIK DÆMPNINGSBJÆLKER</t>
  </si>
  <si>
    <t>STATIKK BJELKESTENGSEL</t>
  </si>
  <si>
    <t>STATIKA BRANE DASKE</t>
  </si>
  <si>
    <t>STATIK RUNDSTEHER</t>
  </si>
  <si>
    <t>STATICS ROUND COLUMN</t>
  </si>
  <si>
    <t>STATIQUE DES POTEAUX RONDS</t>
  </si>
  <si>
    <t>STATIKA KRUHOVÉHO SLOUPKU</t>
  </si>
  <si>
    <t>WARTOŚĆ STATYCZNA DLA SŁUPKA PIONOWEGO</t>
  </si>
  <si>
    <t>OSZLOP STATIKAI</t>
  </si>
  <si>
    <t>STATIKA OKRÚHLEHO STĹPU</t>
  </si>
  <si>
    <t>STATICA RONDE PIJLER</t>
  </si>
  <si>
    <t>STATIKA OKROGLI NOSILEC</t>
  </si>
  <si>
    <t>STATIK RUNDPÅLE</t>
  </si>
  <si>
    <t>STATIK RUNDPÆLE</t>
  </si>
  <si>
    <t>STATIKK RUNDBUKK</t>
  </si>
  <si>
    <t>STATIKA OKRUGLOG STUPA</t>
  </si>
  <si>
    <t>Statische Ausnutzung Dammbalken in %</t>
  </si>
  <si>
    <t>Static utilisation of stop logs in %</t>
  </si>
  <si>
    <t>Charge statique des batardeaux en %</t>
  </si>
  <si>
    <t>verifica statica sponda [%]</t>
  </si>
  <si>
    <t>Statické využití hrázních bloků v %</t>
  </si>
  <si>
    <t>Gátgerenda statikai kihasználtsága %-ban</t>
  </si>
  <si>
    <t>Statické využitie hradidiel v %</t>
  </si>
  <si>
    <t>Statische benutting dambalk in %</t>
  </si>
  <si>
    <t>Statiskt utnyttjande av DÄMMBALK i %</t>
  </si>
  <si>
    <t>Statistisk udnyttelse af dæmningsbjælker i %</t>
  </si>
  <si>
    <t>Statisk utnyttelse av bjelkestengsel i %</t>
  </si>
  <si>
    <t>Statičko iskorištenje daske brane u %</t>
  </si>
  <si>
    <t>Statische Ausnutzung Steher in %</t>
  </si>
  <si>
    <t>Static utilisation of supports in %</t>
  </si>
  <si>
    <t>Charge statique des poteaux en %</t>
  </si>
  <si>
    <t>verifica statica profilo circolare [%]</t>
  </si>
  <si>
    <t>Statické využití sloupků v %</t>
  </si>
  <si>
    <t>Statische Ausnutzung Steher in %_DE</t>
  </si>
  <si>
    <t>Oszlopok statikai kihasználtsága %-ban</t>
  </si>
  <si>
    <t>Statické využitie stĺpov v %</t>
  </si>
  <si>
    <t>Statische benutting pijler in %</t>
  </si>
  <si>
    <t>Statiskt utnyttjande av stolpe i %</t>
  </si>
  <si>
    <t>Statistisk udnyttelse af lukker i %</t>
  </si>
  <si>
    <t>Statisk utnyttelse av stopper i %</t>
  </si>
  <si>
    <t>Statičko iskorištenje stupa u %</t>
  </si>
  <si>
    <t>Statische Berechnung</t>
  </si>
  <si>
    <t>Static calculation</t>
  </si>
  <si>
    <t>Calcul statique</t>
  </si>
  <si>
    <t>calcolo statico</t>
  </si>
  <si>
    <t>Statický výpočet</t>
  </si>
  <si>
    <t>Obliczenia statyczne</t>
  </si>
  <si>
    <t>Statikai számítás</t>
  </si>
  <si>
    <t>Výpočet statiky</t>
  </si>
  <si>
    <t>Statische berekening</t>
  </si>
  <si>
    <t>Statisk beräkning</t>
  </si>
  <si>
    <t>Statisk beregning</t>
  </si>
  <si>
    <t>Statički proračun</t>
  </si>
  <si>
    <t>Stauhöhe (BHW) [mm]:</t>
  </si>
  <si>
    <t>Design flood (BHW) [mm]:</t>
  </si>
  <si>
    <t>Hauteur de retenue d’eau [mm] :</t>
  </si>
  <si>
    <t>Altezza di accumulo (BHW) [mm]:</t>
  </si>
  <si>
    <t>Výška vzdutí (BHW) [mm]:</t>
  </si>
  <si>
    <t>Wysokość zapory(BHW) [mm]:</t>
  </si>
  <si>
    <t>Árvízszint (MÁSZ) [mm]:</t>
  </si>
  <si>
    <t>Výška hladiny (BHW) [mm]:</t>
  </si>
  <si>
    <t>Stuwhoogte (maatgevende hoogwaterstand) [mm]:</t>
  </si>
  <si>
    <t>Uppdämningshöjd (BHW) [mm]:</t>
  </si>
  <si>
    <t>Normal vandstandshøjde (BHW) [mm]:</t>
  </si>
  <si>
    <t>Stablehøyde (BHW) [mm]:</t>
  </si>
  <si>
    <t>Usporna visina (BHW) [mm]:</t>
  </si>
  <si>
    <t>Std</t>
  </si>
  <si>
    <t>hrs</t>
  </si>
  <si>
    <t>h</t>
  </si>
  <si>
    <t>ore</t>
  </si>
  <si>
    <t>hod.</t>
  </si>
  <si>
    <t>godziny</t>
  </si>
  <si>
    <t>Óra</t>
  </si>
  <si>
    <t>hod</t>
  </si>
  <si>
    <t>Uur</t>
  </si>
  <si>
    <t>Tim.</t>
  </si>
  <si>
    <t>Timer</t>
  </si>
  <si>
    <t>Stan.</t>
  </si>
  <si>
    <t>Steher Nr.</t>
  </si>
  <si>
    <t>Support no</t>
  </si>
  <si>
    <t>Nº de poteau</t>
  </si>
  <si>
    <t>nr. profilo circolare</t>
  </si>
  <si>
    <t>Sloupek Nr.</t>
  </si>
  <si>
    <t>Nr pala</t>
  </si>
  <si>
    <t>Oszlop ssz.</t>
  </si>
  <si>
    <t>Stĺp č.</t>
  </si>
  <si>
    <t>Pijler nr.</t>
  </si>
  <si>
    <t>Lukker nr.</t>
  </si>
  <si>
    <t>Stopper nr.</t>
  </si>
  <si>
    <t>Br. stupova</t>
  </si>
  <si>
    <t>Stk</t>
  </si>
  <si>
    <t>pcs</t>
  </si>
  <si>
    <t>pezzo</t>
  </si>
  <si>
    <t>Db.</t>
  </si>
  <si>
    <t>Stuks</t>
  </si>
  <si>
    <t>St.</t>
  </si>
  <si>
    <t>Kom</t>
  </si>
  <si>
    <t>Streckgrenze Rp 0,2:</t>
  </si>
  <si>
    <t>Yield Strength Rp 0.2:</t>
  </si>
  <si>
    <t>Limite d’élasticité Rp 0,2 :</t>
  </si>
  <si>
    <t>Snervamento Rp 0,2:</t>
  </si>
  <si>
    <t>Mez kluzu Rp 0,2:</t>
  </si>
  <si>
    <t>Folyáshatár Rp 0,2:</t>
  </si>
  <si>
    <t>Medza klzu Rp 0,2:</t>
  </si>
  <si>
    <t>Rekgrens Rp 0,2:</t>
  </si>
  <si>
    <t>Meja raztezanja Rp 0,2:</t>
  </si>
  <si>
    <t>Resttöjningsgräns Rp 0,2:</t>
  </si>
  <si>
    <t>Strækgrænse Rp 0,2:</t>
  </si>
  <si>
    <t>Strekkgrense Rp 0,2:</t>
  </si>
  <si>
    <t>Granica rastezanja Rp 0,2:</t>
  </si>
  <si>
    <t>Stück</t>
  </si>
  <si>
    <t>pièce(s)</t>
  </si>
  <si>
    <t>kusy</t>
  </si>
  <si>
    <t>sztuk</t>
  </si>
  <si>
    <t>Darab</t>
  </si>
  <si>
    <t>Kus</t>
  </si>
  <si>
    <t>Styck</t>
  </si>
  <si>
    <t>Stykke</t>
  </si>
  <si>
    <t>Stykk</t>
  </si>
  <si>
    <t>Komada</t>
  </si>
  <si>
    <t>Stützweite / Durchbiegung HD:</t>
  </si>
  <si>
    <t>Span / Deflection HD:</t>
  </si>
  <si>
    <t>Distance entre appuis / flèche HD :</t>
  </si>
  <si>
    <t>Campata / Freccia HD:</t>
  </si>
  <si>
    <t>Rozpětí / Průhyb HD:</t>
  </si>
  <si>
    <t>Rozpiętość podpory / ugięcie HD:</t>
  </si>
  <si>
    <t>Fesztáv / kihajlás HD:</t>
  </si>
  <si>
    <t>Rozpätie/prehyb HD:</t>
  </si>
  <si>
    <t>Overspanning / doorbuiging HD:</t>
  </si>
  <si>
    <t>Oporna širina/upogibanje HD:</t>
  </si>
  <si>
    <t>Hållarbredd/nedböjning HD:</t>
  </si>
  <si>
    <t>Støttevidde/nedbøjning HD:</t>
  </si>
  <si>
    <t>Støttebredde/nedbøyning HD:</t>
  </si>
  <si>
    <t>Razmak potpornja / progib HD:</t>
  </si>
  <si>
    <t>Stützweite / Durchbiegung HD+HS:</t>
  </si>
  <si>
    <t>Span / Deflection HD + HS:</t>
  </si>
  <si>
    <t>Distance entre appuis / flèche HD + HS :</t>
  </si>
  <si>
    <t>Campata / Freccia HD+HS:</t>
  </si>
  <si>
    <t>Rozpětí / Průhyb HD+HS:</t>
  </si>
  <si>
    <t>Rozpiętość podpory / ugięcie HD+HS:</t>
  </si>
  <si>
    <t>Fesztáv / kihajlás HD+HS:</t>
  </si>
  <si>
    <t>Rozpätie/prehyb HD+HS:</t>
  </si>
  <si>
    <t>Overspanning / doorbuiging HD+HS:</t>
  </si>
  <si>
    <t>Oporna širina/upogibanje HD+HS:</t>
  </si>
  <si>
    <t>Hållarbredd/nedböjning HD+HS:</t>
  </si>
  <si>
    <t>Støttevidde/nedbøjning HD+HS:</t>
  </si>
  <si>
    <t>Støttebredde/nedbøyning HD+HS:</t>
  </si>
  <si>
    <t>Razmak potpornja / progib HD+HS:</t>
  </si>
  <si>
    <t>Stützweite / Durchbiegung HS:</t>
  </si>
  <si>
    <t>Span / Deflection HS:</t>
  </si>
  <si>
    <t>Distance entre appuis / flèche HS :</t>
  </si>
  <si>
    <t>Campata / Freccia HS:</t>
  </si>
  <si>
    <t>Rozpětí / Průhyb HS:</t>
  </si>
  <si>
    <t>Rozpiętość podpory / ugięcie HS:</t>
  </si>
  <si>
    <t>Fesztáv / kihajlás HS:</t>
  </si>
  <si>
    <t>Rozpätie/prehyb HS:</t>
  </si>
  <si>
    <t>Overspanning / doorbuiging HS:</t>
  </si>
  <si>
    <t>Oporna širina/upogibanje HS:</t>
  </si>
  <si>
    <t>Hållarbredd/nedböjning HS:</t>
  </si>
  <si>
    <t>Støttevidde/nedbøjning HS:</t>
  </si>
  <si>
    <t>Støttebredde/nedbøyning HS:</t>
  </si>
  <si>
    <t>Razmak potpornja / progib HS:</t>
  </si>
  <si>
    <t>Stützweite / Durchbiegung:</t>
  </si>
  <si>
    <t>Span / Deflection:</t>
  </si>
  <si>
    <t>Distance entre appuis / flèche :</t>
  </si>
  <si>
    <t>Campata / Freccia:</t>
  </si>
  <si>
    <t>Rozpětí / Průhyb:</t>
  </si>
  <si>
    <t>Rozpiętość podpory / ugięcie:</t>
  </si>
  <si>
    <t>Fesztáv / kihajlás:</t>
  </si>
  <si>
    <t>Rozpätie/prehyb:</t>
  </si>
  <si>
    <t>Overspanning / doorbuiging:</t>
  </si>
  <si>
    <t>Oporna širina/upogibanje:</t>
  </si>
  <si>
    <t>Hållarbredd/nedböjning:</t>
  </si>
  <si>
    <t>Støttevidde/nedbøjning:</t>
  </si>
  <si>
    <t>Støttebredde/nedbøyning:</t>
  </si>
  <si>
    <t>Razmak potpornja / progib:</t>
  </si>
  <si>
    <t>System 25:</t>
  </si>
  <si>
    <t>Système 25 :</t>
  </si>
  <si>
    <t>sistema 25:</t>
  </si>
  <si>
    <t>25-s rendszer</t>
  </si>
  <si>
    <t>Systém 25:</t>
  </si>
  <si>
    <t>Systeem 25:</t>
  </si>
  <si>
    <t>Sustav 25:</t>
  </si>
  <si>
    <t>System 50 + 80:</t>
  </si>
  <si>
    <t>Système 50 + 80 :</t>
  </si>
  <si>
    <t>sistema 50 + 80:</t>
  </si>
  <si>
    <t>Systém 50 + 80:</t>
  </si>
  <si>
    <t>50 + 80-s rendszer</t>
  </si>
  <si>
    <t>Systeem 50 + 80:</t>
  </si>
  <si>
    <t>Sistem 50 + 80:</t>
  </si>
  <si>
    <t>Sustav 50 + 80:</t>
  </si>
  <si>
    <t>System 50:</t>
  </si>
  <si>
    <t>Système 50 :</t>
  </si>
  <si>
    <t>sistema 50:</t>
  </si>
  <si>
    <t>50-s rendszer</t>
  </si>
  <si>
    <t>Systém 50:</t>
  </si>
  <si>
    <t>Systeem 50:</t>
  </si>
  <si>
    <t>Sustav 50:</t>
  </si>
  <si>
    <t>System 80:</t>
  </si>
  <si>
    <t>Système 80 :</t>
  </si>
  <si>
    <t>sistema 80:</t>
  </si>
  <si>
    <t>80-s rendszer</t>
  </si>
  <si>
    <t>Systém 80:</t>
  </si>
  <si>
    <t>Systeem 80:</t>
  </si>
  <si>
    <t>Sustav 80:</t>
  </si>
  <si>
    <t>t</t>
  </si>
  <si>
    <t>d</t>
  </si>
  <si>
    <t>Tage)</t>
  </si>
  <si>
    <t>days to go)</t>
  </si>
  <si>
    <t xml:space="preserve">jours), </t>
  </si>
  <si>
    <t>giorni)</t>
  </si>
  <si>
    <t>dny)</t>
  </si>
  <si>
    <t>dni)</t>
  </si>
  <si>
    <t>napig)</t>
  </si>
  <si>
    <t>dní)</t>
  </si>
  <si>
    <t>dagen)</t>
  </si>
  <si>
    <t>dagar)</t>
  </si>
  <si>
    <t>dage)</t>
  </si>
  <si>
    <t>dager)</t>
  </si>
  <si>
    <t>dana)</t>
  </si>
  <si>
    <t>Teilsicherheit Last:</t>
  </si>
  <si>
    <t>Partial safety load:</t>
  </si>
  <si>
    <t>Sécurité partielle (charge) :</t>
  </si>
  <si>
    <t>Carico sicurezza parziale:</t>
  </si>
  <si>
    <t>součinitel bezpečnosti zatížení:</t>
  </si>
  <si>
    <t>Minimalna wytrzymałość, obciążenie</t>
  </si>
  <si>
    <t>Teher részbiztonsági tényező::</t>
  </si>
  <si>
    <t>Koeficient bezpečnosti zaťaženia:</t>
  </si>
  <si>
    <t>Partiële factor belasting:</t>
  </si>
  <si>
    <t>Varnost delov obremenitev:</t>
  </si>
  <si>
    <t>Delsäkerhet last:</t>
  </si>
  <si>
    <t>Delsikkerhed last:</t>
  </si>
  <si>
    <t>Delsikkerhet last:</t>
  </si>
  <si>
    <t>Djelomična sigurnost opterećenje:</t>
  </si>
  <si>
    <t>Teilsicherheit Material:</t>
  </si>
  <si>
    <t>Partial safety material:</t>
  </si>
  <si>
    <t>Sécurité partielle (matériau) :</t>
  </si>
  <si>
    <t>Materiale sicurezza parziale:</t>
  </si>
  <si>
    <t>součinitel bezpečnosti materiálu:</t>
  </si>
  <si>
    <t>Minimalna wytrzymałość, materiał</t>
  </si>
  <si>
    <t>Alapanyag részbiztonsági tényező:</t>
  </si>
  <si>
    <t>Koeficient bezpečnosti materiálu:</t>
  </si>
  <si>
    <t>Partiële factor materiaal:</t>
  </si>
  <si>
    <t>Varnost delov material:</t>
  </si>
  <si>
    <t>Delsäkerhet material:</t>
  </si>
  <si>
    <t>Delsikkerhed materiale:</t>
  </si>
  <si>
    <t>Delsikkerhet material:</t>
  </si>
  <si>
    <t>Djelomična sigurnost materijal:</t>
  </si>
  <si>
    <t>Tragsicherheit</t>
  </si>
  <si>
    <t>Load safety</t>
  </si>
  <si>
    <t>Coefficient de sécurité</t>
  </si>
  <si>
    <t>stato limite ultimo</t>
  </si>
  <si>
    <t>Únosnost</t>
  </si>
  <si>
    <t>bezpieczeństwo nośności</t>
  </si>
  <si>
    <t>Teherbírási biztonság</t>
  </si>
  <si>
    <t>Bezpečnosť záťaže</t>
  </si>
  <si>
    <t>Constructieve veiligheid</t>
  </si>
  <si>
    <t>Strukturel sikkerhed</t>
  </si>
  <si>
    <t>Bæresikkerhet</t>
  </si>
  <si>
    <t>Strukturalna sigurnost</t>
  </si>
  <si>
    <t>Tragsicherheitsauslastung</t>
  </si>
  <si>
    <t>Treibgut</t>
  </si>
  <si>
    <t>Flotsam</t>
  </si>
  <si>
    <t>débris flottants</t>
  </si>
  <si>
    <t>Detriti</t>
  </si>
  <si>
    <t>Plovoucí předmět</t>
  </si>
  <si>
    <t>Naniesiony materiał</t>
  </si>
  <si>
    <t>Uszadék</t>
  </si>
  <si>
    <t>Plávajúci predmet</t>
  </si>
  <si>
    <t>Drijfmateriaal</t>
  </si>
  <si>
    <t>Naplavine</t>
  </si>
  <si>
    <t>Drivende genstande</t>
  </si>
  <si>
    <t>Drivgods</t>
  </si>
  <si>
    <t>U-Profil 25 exkl. Dichtung Vor Laibung, gebohrt und entgratet</t>
  </si>
  <si>
    <t>U profile 25 excl. seal in front of soffit, drilled and deburred</t>
  </si>
  <si>
    <t>Profil en U 25, fourni sans joint, monté en applique, percé et ébavuré</t>
  </si>
  <si>
    <t>profilo a U 25 esclusa guarnizione, davanti a intradosso, forato e sbavato</t>
  </si>
  <si>
    <t>U-Profil 25, bez těsnění, před ostění, vrtaný, bez otřepů</t>
  </si>
  <si>
    <t>U-Profil 25 bez uszczelki, przed otworem, nawiercona i okrawana</t>
  </si>
  <si>
    <t>U-Profil 25 tömítés nélkül,  falsík előtt, furatolt és sorjázott</t>
  </si>
  <si>
    <t>U-profil 25 bez tesnenia, pred ostením, navŕtaný a odhrotovaný</t>
  </si>
  <si>
    <t>U-profiel 25 excl. afdichting, op de dag, geboord en afgebraamd</t>
  </si>
  <si>
    <t>U-profil 25 exkl. tätning framför öppning, borrad och avgradad</t>
  </si>
  <si>
    <t>U-profil 25 ekskl. tætning foran pladeunderside, forboret og afgratet</t>
  </si>
  <si>
    <t>U-profil 25 ekskl. tetning før åpning, boret og avgradet</t>
  </si>
  <si>
    <t>U profil 25 bez brtve ispred otvora, bušen i s obrađenim rubovima</t>
  </si>
  <si>
    <t>U-Profil 25 exkl. Dichtung, gebohrt und entgratet</t>
  </si>
  <si>
    <t>U profile 25 excl. seal, drilled and deburred</t>
  </si>
  <si>
    <t>Profil en U 25, fourni sans joint, percé et ébavuré</t>
  </si>
  <si>
    <t>profilo a U 25 esclusa guarnizione, forato e sbavato</t>
  </si>
  <si>
    <t>U-Profil 25, bez těsnění, vrtaný, bez otřepů</t>
  </si>
  <si>
    <t>U-Profil 25 bez uszczelki, nawiercona i okrawana</t>
  </si>
  <si>
    <t>U-Profil 25 tömítés nélkül, furatolt és sorjázott</t>
  </si>
  <si>
    <t>U-profil 25 bez tesnenia, navŕtaný a odhrotovaný</t>
  </si>
  <si>
    <t>U-profiel 25 excl. afdichting, geboord en afgebraamd</t>
  </si>
  <si>
    <t>U-profil 25 exkl. tätning, borrad och avgradad</t>
  </si>
  <si>
    <t>U-profil 25 ekskl. tætning, forboret og afgratet</t>
  </si>
  <si>
    <t>U-profil 25 ekskl. tetning, boret og avgradet</t>
  </si>
  <si>
    <t>U profil 25 bez brtve, bušen i s obrađenim rubovima</t>
  </si>
  <si>
    <t>U-Profil 25 Sonderlänge exkl. Dichtung Vor Laibung, (Stangenware)</t>
  </si>
  <si>
    <t>U profile 25 special length excl. seal in front of soffit, drilled and deburred</t>
  </si>
  <si>
    <t>Profil en U 25, longueur personnalisée, fourni sans joint, monté en applique, percé et ébavuré</t>
  </si>
  <si>
    <t>profilo a U 25 lunghezza fuori standard, esclusa guarnizione, davanti a intradosso, forato e sbavato</t>
  </si>
  <si>
    <t>U-Profil 25, bez těsnění, před ostění, zvláštní délka, vrtaný, bez otřepů</t>
  </si>
  <si>
    <t>U-Profil 25 długość specjalna bez uszczelki, przed otworem, nawiercona i okrawana</t>
  </si>
  <si>
    <t>U-Profil 25 tömítés nélkül, egyedi hosszméretben, falsík előtt, furatolt és sorjázott</t>
  </si>
  <si>
    <t>U-profil 25, neštandardná dĺžka, bez tesnenia, pred ostením, navŕtaný a odhrotovaný</t>
  </si>
  <si>
    <t>U-profiel 25 aangepaste lengte excl. afdichting, op de dag, geboord en afgebraamd</t>
  </si>
  <si>
    <t>U-profil 25 speciallängd exkl. tätning framför öppning, borrad och avgradad</t>
  </si>
  <si>
    <t>U-profil 25 speciallængde ekskl. tætning foran pladeunderside, forboret og afgratet</t>
  </si>
  <si>
    <t>U-profil 25 spesiallengde ekskl. tetning før åpning, boret og avgradet</t>
  </si>
  <si>
    <t>U profil 25 posebna duljina bez brtve ispred otvora, bušen i s obrađenim rubovima</t>
  </si>
  <si>
    <t>U-Profil 25 Sonderlänge exkl. Dichtung, (Stangenware)</t>
  </si>
  <si>
    <t>U profile 25 special length excl. seal, drilled and deburred</t>
  </si>
  <si>
    <t>Profil en U 25, longueur personnalisée, fourni sans joint, percé et ébavuré</t>
  </si>
  <si>
    <t>profilo a U 25 lunghezza fuori standard, esclusa guarnizione, forato e sbavato</t>
  </si>
  <si>
    <t>U-Profil 25, bez těsnění, zvláštní délka, vrtaný, bez otřepů</t>
  </si>
  <si>
    <t>U-Profil 25 długość specjalna bez uszczelki, nawiercona i okrawana</t>
  </si>
  <si>
    <t>U-Profil 25 tömítés nélkül, egyedi hosszméretben, furatolt és sorjázott</t>
  </si>
  <si>
    <t>U-profil 25, neštandardná dĺžka, bez tesnenia, navŕtaný a odhrotovaný</t>
  </si>
  <si>
    <t>U-profiel 25 aangepaste lengte excl. afdichting, geboord en afgebraamd</t>
  </si>
  <si>
    <t>U-profil 25 speciallängd exkl. tätning, borrad och avgradad</t>
  </si>
  <si>
    <t>U-profil 25 speciallængde ekskl. tætning, forboret og afgratet</t>
  </si>
  <si>
    <t>U-profil 25 spesiallengde ekskl. tetning, boret og avgradet</t>
  </si>
  <si>
    <t>U profil 25 posebna duljina bez brtve, bušen i s obrađenim rubovima</t>
  </si>
  <si>
    <t>U-Profil 50 exkl. Dichtung, gebohrt und entgratet</t>
  </si>
  <si>
    <t>U profile 50 excl. seal, drilled and deburred</t>
  </si>
  <si>
    <t>Profil en U 50, fourni sans joint, percé et ébavuré</t>
  </si>
  <si>
    <t>profilo a U 50 esclusa guarnizione, forato e sbavato</t>
  </si>
  <si>
    <t>U-Profil 50, bez těsnění, vrtaný, bez otřepů</t>
  </si>
  <si>
    <t>U-Profil 50 bez uszczelki, nawiercona i okrawana</t>
  </si>
  <si>
    <t>U-Profil 50 tömítés nélkül, furatolt és sorjázott</t>
  </si>
  <si>
    <t>U-profil 50 bez tesnenia, navŕtaný a odhrotovaný</t>
  </si>
  <si>
    <t>U-profiel 50 excl. afdichting, geboord en afgebraamd</t>
  </si>
  <si>
    <t>U-profil 50 exkl. tätning, borrad och avgradad</t>
  </si>
  <si>
    <t>U-profil 50 ekskl. tætning, forboret og afgratet</t>
  </si>
  <si>
    <t>U-profil 50 ekskl. tetning, boret og avgradet</t>
  </si>
  <si>
    <t>U profil 50 bez brtve, bušen i s obrađenim rubovima</t>
  </si>
  <si>
    <t>U-Profil 50 Sonderlänge exkl. Dichtung, (Stangenware)</t>
  </si>
  <si>
    <t>U profile 50 special length excl. seal, drilled and deburred</t>
  </si>
  <si>
    <t>Profil en U 50, longueur personnalisée, fourni sans joint, percé et ébavuré</t>
  </si>
  <si>
    <t>profilo a U 50 lunghezza fuori standard, esclusa guarnizione, forato e sbavato</t>
  </si>
  <si>
    <t>U-Profil 50, bez těsnění, zvláštní délka, vrtaný, bez otřepů</t>
  </si>
  <si>
    <t>U-Profil 50 długość specjalna bez uszczelki, nawiercona i okrawana</t>
  </si>
  <si>
    <t>U-Profil 50 tömítés nélkül, egyedi hosszméretben, furatolt és sorjázott</t>
  </si>
  <si>
    <t>U-profil 50, neštandardná dĺžka, bez tesnenia, navŕtaný a odhrotovaný</t>
  </si>
  <si>
    <t>U-profiel 50 aangepaste lengte excl. afdichting, geboord en afgebraamd</t>
  </si>
  <si>
    <t>U-profil 50 speciallängd exkl. tätning, borrad och avgradad</t>
  </si>
  <si>
    <t>U-profil 50 speciallængde ekskl. tætning, forboret og afgratet</t>
  </si>
  <si>
    <t>U-profil 50 spesiallengde ekskl. tetning, boret og avgradet</t>
  </si>
  <si>
    <t>U profil 50 posebna duljina bez brtve, bušen i s obrađenim rubovima</t>
  </si>
  <si>
    <t>U-Profil 80 exkl. Dichtung, gebohrt und entgratet</t>
  </si>
  <si>
    <t>U profile 80 excl. seal, drilled and deburred</t>
  </si>
  <si>
    <t>Profil en U 80, fourni sans joint, percé et ébavuré</t>
  </si>
  <si>
    <t>profilo a U 80 esclusa guarnizione, forato e sbavato</t>
  </si>
  <si>
    <t>U-Profil 80, bez těsnění, vrtaný, bez otřepů</t>
  </si>
  <si>
    <t>U-Profil 80 bez uszczelki, nawiercona i okrawana</t>
  </si>
  <si>
    <t>U-Profil 80 tömítés nélkül, furatolt és sorjázott</t>
  </si>
  <si>
    <t>U-profil 80 bez tesnenia, navŕtaný a odhrotovaný</t>
  </si>
  <si>
    <t>U-profiel 80 excl. afdichting, geboord en afgebraamd</t>
  </si>
  <si>
    <t>U-profil 80 exkl. tätning, borrad och avgradad</t>
  </si>
  <si>
    <t>U-profil 80 ekskl. tætning, forboret og afgratet</t>
  </si>
  <si>
    <t>U-profil 80 ekskl. tetning, boret og avgradet</t>
  </si>
  <si>
    <t>U profil 80 bez brtve, bušen i s obrađenim rubovima</t>
  </si>
  <si>
    <t>U-Profil 80 Sonderlänge exkl. Dichtung, (Stangenware)</t>
  </si>
  <si>
    <t>U profile 80 special length excl. seal, drilled and deburred</t>
  </si>
  <si>
    <t>Profil en U 80, longueur personnalisée, fourni sans joint, percé et ébavuré</t>
  </si>
  <si>
    <t>profilo a U 80 lunghezza fuori standard, esclusa guarnizione, forato e sbavato</t>
  </si>
  <si>
    <t>U-Profil 80 bez těsnění, zvláštní délka, vrtaný, bez otřepů</t>
  </si>
  <si>
    <t>U-Profil 80 długość specjalna bez uszczelki, nawiercona i okrawana</t>
  </si>
  <si>
    <t>U-Profil 80 tömítés nélkül, egyedi hosszméretben, furatolt és sorjázott</t>
  </si>
  <si>
    <t>U-profil 80, neštandardná dĺžka, bez tesnenia, navŕtaný a odhrotovaný</t>
  </si>
  <si>
    <t>U-profiel 80 aangepaste lengte excl. afdichting, geboord en afgebraamd</t>
  </si>
  <si>
    <t>U-profil 80 speciallängd exkl. tätning, borrad och avgradad</t>
  </si>
  <si>
    <t>U-profil 80 speciallængde ekskl. tætning, forboret og afgratet</t>
  </si>
  <si>
    <t>U-profil 80 spesiallengde ekskl. tetning, boret og avgradet</t>
  </si>
  <si>
    <t>U profil 80 posebna duljina bez brtve, bušen i s obrađenim rubovima</t>
  </si>
  <si>
    <t>Verankerung aufgeschweißt 300mm</t>
  </si>
  <si>
    <t>Welded fixing 300 mm</t>
  </si>
  <si>
    <t>système d’ancrage, soudé, 300 mm</t>
  </si>
  <si>
    <t>saldatura ancoraggio 300mm</t>
  </si>
  <si>
    <t>Přivařené kotevní trny 300mm</t>
  </si>
  <si>
    <t>Kotwa przyspawana na wysokości 300 mm</t>
  </si>
  <si>
    <t>Lehorgonyzó elem, felhegesztett 300mm</t>
  </si>
  <si>
    <t>Privarené ukotvenie 300 mm</t>
  </si>
  <si>
    <t>Verankering vastgelast 300 mm</t>
  </si>
  <si>
    <t>Påsvetsade montageöron</t>
  </si>
  <si>
    <t>Påsvejset forankring 300 mm</t>
  </si>
  <si>
    <t>Forankring påsveiset 300 mm</t>
  </si>
  <si>
    <t>Navareno usidrenje 300mm</t>
  </si>
  <si>
    <t>verliert die Excel seine Funktionsfähigkeit</t>
  </si>
  <si>
    <t>the excel file will lose its functionality</t>
  </si>
  <si>
    <t>le fichier Excel ne sera plus valable.</t>
  </si>
  <si>
    <t>Excel perde la sua funzionalità</t>
  </si>
  <si>
    <t>ztratí excelová tabulka platnost</t>
  </si>
  <si>
    <t>Excel traci swoją funkcjonalność</t>
  </si>
  <si>
    <t>az Excel táblázat elveszíti hatását</t>
  </si>
  <si>
    <t>stratí excelová tabuľka funkčnosť</t>
  </si>
  <si>
    <t>kan de Excel niet meer worden gebruikt</t>
  </si>
  <si>
    <t>Excel izgubi svojo funkcijo</t>
  </si>
  <si>
    <t>förlorar Excel sin funktion</t>
  </si>
  <si>
    <t>mister Excel sin funktion</t>
  </si>
  <si>
    <t>fungerer ikke Excel som det skal</t>
  </si>
  <si>
    <t>Excel gubi svoju funkcionalnost</t>
  </si>
  <si>
    <t>Versione:</t>
  </si>
  <si>
    <t>Verze:</t>
  </si>
  <si>
    <t>Verziószám:</t>
  </si>
  <si>
    <t>Verzia:</t>
  </si>
  <si>
    <t>Versjon:</t>
  </si>
  <si>
    <t>Volleinstau</t>
  </si>
  <si>
    <t>Complete flood</t>
  </si>
  <si>
    <t>hauteur totale du système de protection anti-crues</t>
  </si>
  <si>
    <t>linea di massima piena</t>
  </si>
  <si>
    <t>plné zaplavení</t>
  </si>
  <si>
    <t>Całkowite zatrzymanie</t>
  </si>
  <si>
    <t>Teljes elárasztás</t>
  </si>
  <si>
    <t>Plné zaplavenie</t>
  </si>
  <si>
    <t>Volledige stuwing</t>
  </si>
  <si>
    <t>Invändigt öppning</t>
  </si>
  <si>
    <t>Fuldt reservoir</t>
  </si>
  <si>
    <t>Full oppdemming</t>
  </si>
  <si>
    <t>Potpuno zadržavanje</t>
  </si>
  <si>
    <t>Vor der Leibung</t>
  </si>
  <si>
    <t>In front of the soffit</t>
  </si>
  <si>
    <t>monté en applique</t>
  </si>
  <si>
    <t>davanti alla spalletta</t>
  </si>
  <si>
    <t>Před ostěním</t>
  </si>
  <si>
    <t>Falsík előtt</t>
  </si>
  <si>
    <t>Pred ostením</t>
  </si>
  <si>
    <t>Op de dag</t>
  </si>
  <si>
    <t>Framför öppning</t>
  </si>
  <si>
    <t>Foran pladeunderside</t>
  </si>
  <si>
    <t>Før åpningen</t>
  </si>
  <si>
    <t>Ispred otvora</t>
  </si>
  <si>
    <t>Vorannahmen für den statischen Nachweis (bei Bedarf änderbar):</t>
  </si>
  <si>
    <t>Presumptions for static proof (changeable if necessary):</t>
  </si>
  <si>
    <t>Hypothèses pour la vérification statique (peuvent être modifiées si nécessaire) :</t>
  </si>
  <si>
    <t>Presupposti per la verifica statica (modificabile se necessario):</t>
  </si>
  <si>
    <t>Předpoklady statického výpočtu (dle potřeby lze změnit):</t>
  </si>
  <si>
    <t>Założenia do weryfikacji statycznej (wrazie potrzeby można je zmienić): </t>
  </si>
  <si>
    <t>A statikai számításhoz szükséges előre beállított értékek (igény esetén módosíthatóak):</t>
  </si>
  <si>
    <t>Predpoklady evidencie o statike (podľa potreby možno zmeniť):</t>
  </si>
  <si>
    <t>Aannames voor de statische berekening (indien nodig aanpasbaar):</t>
  </si>
  <si>
    <t>Antaganden för det statiska underlaget (kan ändras vid behov):</t>
  </si>
  <si>
    <t>Forudsætninger for de statiske data (kan ændres hvis nødvendigt):</t>
  </si>
  <si>
    <t>Forutsetning for statisk dokumentasjon (kan endres ved behov):</t>
  </si>
  <si>
    <t>Pretpostavke za statički atest (može se promijeniti po potrebi):</t>
  </si>
  <si>
    <t>VS = Volleinstau</t>
  </si>
  <si>
    <t>VS = Full reservoir</t>
  </si>
  <si>
    <t>VS = hauteur totale du système de protection anti-crues</t>
  </si>
  <si>
    <t>VS = Massima piena</t>
  </si>
  <si>
    <t>VS = plné zaplavení</t>
  </si>
  <si>
    <t>VS = całkowite zatrzymanie</t>
  </si>
  <si>
    <t>TÁ = teljes elárasztás</t>
  </si>
  <si>
    <t>VS = plné zaplavenie</t>
  </si>
  <si>
    <t>VS = Volledige stuwing</t>
  </si>
  <si>
    <t>VS = Full infiltration</t>
  </si>
  <si>
    <t>VS = fuldt reservoir</t>
  </si>
  <si>
    <t>VS = Fullinnstabling</t>
  </si>
  <si>
    <t>VS = maks. visina zadržavanja</t>
  </si>
  <si>
    <r>
      <t>Wichte Wasser: g</t>
    </r>
    <r>
      <rPr>
        <vertAlign val="subscript"/>
        <sz val="11"/>
        <rFont val="Arial"/>
        <family val="2"/>
      </rPr>
      <t>w</t>
    </r>
  </si>
  <si>
    <t>Poids spécifique de l’eau : gw</t>
  </si>
  <si>
    <t>peso specifico acqua: gw</t>
  </si>
  <si>
    <t>specifická hmotnost vody: gw</t>
  </si>
  <si>
    <t>ciężar właściwy wody: gw</t>
  </si>
  <si>
    <t>Víz fajsúlya: gw</t>
  </si>
  <si>
    <t>Soortelijk gewicht water: gw</t>
  </si>
  <si>
    <t>Winkelabdeckung VO</t>
  </si>
  <si>
    <t>Angular cover plate VO</t>
  </si>
  <si>
    <t>profil de protection VO</t>
  </si>
  <si>
    <t>Coperchio ad angolo VO</t>
  </si>
  <si>
    <t>úhlový VO</t>
  </si>
  <si>
    <t>Osłona kątowa VO</t>
  </si>
  <si>
    <t>Élhajlított takaróelem VO</t>
  </si>
  <si>
    <t>Uhlový kryt VO</t>
  </si>
  <si>
    <t>Hoekafdekking VO</t>
  </si>
  <si>
    <t>Kotni pokrov VO</t>
  </si>
  <si>
    <t>Täckplåt i vinkel VO</t>
  </si>
  <si>
    <t>Kantafdækning VO</t>
  </si>
  <si>
    <t>Vinkeltildekking VO</t>
  </si>
  <si>
    <t>Kutni pokrov VO</t>
  </si>
  <si>
    <t>Zubehör</t>
  </si>
  <si>
    <t>Accessories</t>
  </si>
  <si>
    <t>accessoires</t>
  </si>
  <si>
    <t>accessori</t>
  </si>
  <si>
    <t>Příslušenství</t>
  </si>
  <si>
    <t>Osprzęt</t>
  </si>
  <si>
    <t>Kiegészítők</t>
  </si>
  <si>
    <t>Príslušenstvo</t>
  </si>
  <si>
    <t>Toebehoren</t>
  </si>
  <si>
    <t>Tillbehör</t>
  </si>
  <si>
    <t>Tilbehør</t>
  </si>
  <si>
    <t>Pribor</t>
  </si>
  <si>
    <t>Zwischensumme</t>
  </si>
  <si>
    <t>Subtotal</t>
  </si>
  <si>
    <t>somme intermédiaire</t>
  </si>
  <si>
    <t>subtotale</t>
  </si>
  <si>
    <t>Mezisoučet</t>
  </si>
  <si>
    <t>Suma częściowa</t>
  </si>
  <si>
    <t>Áthozott érték</t>
  </si>
  <si>
    <t>Predbežná suma</t>
  </si>
  <si>
    <t>Subtotaal</t>
  </si>
  <si>
    <t>Mellansumma</t>
  </si>
  <si>
    <t>Međuzbroj</t>
  </si>
  <si>
    <t>Einfassung Vario, 120-600 mm, stucco</t>
  </si>
  <si>
    <t>Vario Weatherings, 120-600 mm, stucco</t>
  </si>
  <si>
    <t>abergement Vario, 120-600 mm, stucco</t>
  </si>
  <si>
    <t>Conversa Vario, 120-600 mm, goffrata</t>
  </si>
  <si>
    <t>Lemování Vario, 120–600 mm, stucco</t>
  </si>
  <si>
    <t>Obramowanie Vario, 120–600 mm, stucco</t>
  </si>
  <si>
    <t>Keret Vario, 120–600 mm, stukkó</t>
  </si>
  <si>
    <t>lemovanie Vario, 120 – 600 mm, stucco</t>
  </si>
  <si>
    <t>Border Vario, 120-600 mm, stucwerk</t>
  </si>
  <si>
    <t>Okvir Vario, 120-600 mm, štukatura</t>
  </si>
  <si>
    <t>kantlist Vario, 120–600 mm, stuckatur</t>
  </si>
  <si>
    <t>Indfalsning Vario, 120-600 mm, stucco</t>
  </si>
  <si>
    <t>Variabel innfatning, 120–600 mm, stucco</t>
  </si>
  <si>
    <t>Opšav Vario, 120-600 mm, stucco</t>
  </si>
  <si>
    <t>Einfassung Vario, 600-1.020 mm, stucco</t>
  </si>
  <si>
    <t>Vario Weatherings, 600-1,020 mm, stucco</t>
  </si>
  <si>
    <t>abergement Vario, 600-1 020 mm, stucco</t>
  </si>
  <si>
    <t>Conversa Vario, 600-1.020 mm, goffrata</t>
  </si>
  <si>
    <t>Lemování Vario, 600–1020 mm, stucco</t>
  </si>
  <si>
    <t>Obramowanie Vario, 600–1020 mm, stucco</t>
  </si>
  <si>
    <t>Keret Vario, 600–1020 mm, stukkó</t>
  </si>
  <si>
    <t>lemovanie Vario, 600 – 1 020 mm, stucco</t>
  </si>
  <si>
    <t>Border Vario, 600-1.020 mm, stucwerk</t>
  </si>
  <si>
    <t>Okvir Vario, 600-1.020 mm, štukatura</t>
  </si>
  <si>
    <t>kantlist Vario, 600-1 020 mm, stuckatur</t>
  </si>
  <si>
    <t>Indfalsning Vario, 600-1.020 mm, stucco</t>
  </si>
  <si>
    <t>Variabel innfatning, 600–1020 mm, stucco</t>
  </si>
  <si>
    <t>Opšav Vario, 600-1.020 mm, stucco</t>
  </si>
  <si>
    <t>Rohrverbinder Stärke 1,6 mm</t>
  </si>
  <si>
    <t>Pipe connector strength 1.6 mm</t>
  </si>
  <si>
    <t>réduction de tuyau, épaisseur : 1,6 mm</t>
  </si>
  <si>
    <t>Bicchiere di congiunzione spessore 1,6 mm</t>
  </si>
  <si>
    <t>Potrubní spojka, tloušťka 1,6 mm</t>
  </si>
  <si>
    <t>Grubość złącza rurowego 1,6 mm</t>
  </si>
  <si>
    <t>Csőcsatlakozó, vastagság 1,6 mm</t>
  </si>
  <si>
    <t>zvodová spojka hrúbka 1,6 mm</t>
  </si>
  <si>
    <t>Pijpverbindingsdikte 1,6 mm</t>
  </si>
  <si>
    <t>Spojnik za cevi debeline 1,6 mm</t>
  </si>
  <si>
    <t>röranslutningstjocklek 1,6 mm</t>
  </si>
  <si>
    <t>Rørforbinder tykkelse 1,6 mm</t>
  </si>
  <si>
    <t>Rørforbinder, tykkelse 1,6 mm</t>
  </si>
  <si>
    <t>Debljina cijevne spojnice 1,6 mm</t>
  </si>
  <si>
    <t>Ausbesserungslack</t>
  </si>
  <si>
    <t>Retouching paint</t>
  </si>
  <si>
    <t>peinture de retouche</t>
  </si>
  <si>
    <t>Vernice di ritocco</t>
  </si>
  <si>
    <t>Opravný lak</t>
  </si>
  <si>
    <t>Lakier do poprawek malarskich; puszka</t>
  </si>
  <si>
    <t>javítófesték</t>
  </si>
  <si>
    <t>korekčný lak</t>
  </si>
  <si>
    <t>Retoucheerverf</t>
  </si>
  <si>
    <t>Popravilna barva</t>
  </si>
  <si>
    <t>bättringsfärg</t>
  </si>
  <si>
    <t>Reparationsmaling</t>
  </si>
  <si>
    <t>Utbedringslakk</t>
  </si>
  <si>
    <t>Boja za popravak</t>
  </si>
  <si>
    <t>12 ml</t>
  </si>
  <si>
    <t>12 ml</t>
  </si>
  <si>
    <t>Ausbesserungsstift</t>
  </si>
  <si>
    <t>Touch up pen</t>
  </si>
  <si>
    <t>stylo de retouche</t>
  </si>
  <si>
    <t>Penna per ritocco</t>
  </si>
  <si>
    <t>Opravný lak v tužce</t>
  </si>
  <si>
    <t>Marker do poprawek</t>
  </si>
  <si>
    <t>javítóstift</t>
  </si>
  <si>
    <t>opravné pero</t>
  </si>
  <si>
    <t>Retoucheerstift</t>
  </si>
  <si>
    <t>Popravilno pisalo</t>
  </si>
  <si>
    <t>bättringspenna</t>
  </si>
  <si>
    <t>Reparationsstift</t>
  </si>
  <si>
    <t>Utbedringspenn</t>
  </si>
  <si>
    <t>Olovka za popravak</t>
  </si>
  <si>
    <t>11 ml</t>
  </si>
  <si>
    <t>11 ml</t>
  </si>
  <si>
    <t>Quadratrohr 80 mm</t>
  </si>
  <si>
    <t>Square downpipe 80 mm</t>
  </si>
  <si>
    <t>tuyau de descente carré 80 mm</t>
  </si>
  <si>
    <t>Pluviale quadro 80 mm</t>
  </si>
  <si>
    <t>Hranatý svod 80 mm</t>
  </si>
  <si>
    <t>Rura kwadratowa 80 mm</t>
  </si>
  <si>
    <t>szögletes lefolyócső 80 mm</t>
  </si>
  <si>
    <t>štvorcový zvod 80 mm</t>
  </si>
  <si>
    <t>Vierkante buis 80 mm</t>
  </si>
  <si>
    <t>Kvadratna cev 80 mm</t>
  </si>
  <si>
    <t>fyrkantsrör 80 mm</t>
  </si>
  <si>
    <t>Kvadratrør 80 mm</t>
  </si>
  <si>
    <t>Firkantrenne 80 mm</t>
  </si>
  <si>
    <t>Kvadratna cijev 80 mm</t>
  </si>
  <si>
    <t>Quadratrohr 100 mm</t>
  </si>
  <si>
    <t>Square downpipe 100 mm</t>
  </si>
  <si>
    <t>tuyau de descente carré 100 mm</t>
  </si>
  <si>
    <t>Pluviale quadro 100 mm</t>
  </si>
  <si>
    <t>Hranatý svod 100 mm</t>
  </si>
  <si>
    <t>Rura kwadratowa 100 mm</t>
  </si>
  <si>
    <t>szögletes lefolyócső 100 mm</t>
  </si>
  <si>
    <t>štvorcový zvod 100 mm</t>
  </si>
  <si>
    <t>Vierkante buis 100 mm</t>
  </si>
  <si>
    <t>Kvadratna cev 100 mm</t>
  </si>
  <si>
    <t>fyrkantsrör 100 mm</t>
  </si>
  <si>
    <t>Kvadratrør 100 mm</t>
  </si>
  <si>
    <t>Firkantrenne 100 mm</t>
  </si>
  <si>
    <t>Kvadratna cijev 100 mm</t>
  </si>
  <si>
    <t>Quadratrohrbogen 80 mm, 72°, lang</t>
  </si>
  <si>
    <t>Square downpipe elbow 80 mm, 72°, large</t>
  </si>
  <si>
    <t>coude de tuyau carré 80 mm, 72°, long</t>
  </si>
  <si>
    <t>Gomito per pluviale quadro 80 mm, 72°, lungo</t>
  </si>
  <si>
    <t>Koleno hranatého svodu 80 mm, 72°, dlouhé</t>
  </si>
  <si>
    <t>Kolanko kwadratowe 80 mm, 72°, długie</t>
  </si>
  <si>
    <t>szögletes lefolyócső 80 mm, 72°, hosszú</t>
  </si>
  <si>
    <t>štvorcové koleno 80 mm, 72°, dlhé</t>
  </si>
  <si>
    <t>Vierkante pijpbocht 80 mm, 72°, lang</t>
  </si>
  <si>
    <t>Koleno kvadratne cevi 80 mm, 72°, dolgo</t>
  </si>
  <si>
    <t>fyrkantig rörböj 80 mm, 72°, lång</t>
  </si>
  <si>
    <t>Kvadratrørsvinkel 80 mm, 72°, lang</t>
  </si>
  <si>
    <t>Firkantet rørkne 80 mm, 72°, langt</t>
  </si>
  <si>
    <t>Koljeno kvadratne cijevi 80 mm, 72°, dugo</t>
  </si>
  <si>
    <t>Quadratrohrbogen 100 mm, 72°, lang</t>
  </si>
  <si>
    <t>Square downpipe elbow 100 mm, 72°, large</t>
  </si>
  <si>
    <t>coude de tuyau carré 100 mm, 72°, long</t>
  </si>
  <si>
    <t>Gomito per pluviale quadro 100 mm, 72°, lungo</t>
  </si>
  <si>
    <t>Koleno hranatého svodu 100 mm, 72°, dlouhé</t>
  </si>
  <si>
    <t>Kolanko kwadratowe 100 mm, 72°, długie</t>
  </si>
  <si>
    <t>szögletes lefolyócső 100 mm, 72°, hosszú</t>
  </si>
  <si>
    <t>štvorcové koleno 100 mm, 72°, dlhé</t>
  </si>
  <si>
    <t>Vierkante pijpbocht 100 mm, 72°, lang</t>
  </si>
  <si>
    <t>Koleno kvadratne cevi 100 mm, 72°, dolgo</t>
  </si>
  <si>
    <t>fyrkantig rörböj 100 mm, 72°, lång</t>
  </si>
  <si>
    <t>Kvadratrørsvinkel 100 mm, 72°, lang</t>
  </si>
  <si>
    <t>Firkantet rørkne 100 mm, 72°, langt</t>
  </si>
  <si>
    <t>Koljeno kvadratne cijevi 100 mm, 72°, dugo</t>
  </si>
  <si>
    <t>Quadratrohrbogen 80 mm, 72°, kurz</t>
  </si>
  <si>
    <t>Square downpipe elbow 80 mm, 72°, small</t>
  </si>
  <si>
    <t>coude de tuyau carré 80 mm, 72°, court</t>
  </si>
  <si>
    <t>Gomito per pluviale quadro 80 mm, 72°, corto</t>
  </si>
  <si>
    <t>Koleno hranatého svodu 80 mm, 72°, krátké</t>
  </si>
  <si>
    <t>Kolanko kwadratowe 80 mm, 72°, krótkie</t>
  </si>
  <si>
    <t>szögletes lefolyócső 80 mm, 72°, rövid</t>
  </si>
  <si>
    <t>štvorcové koleno 80 mm, 72°, krátke</t>
  </si>
  <si>
    <t>Vierkante pijpbocht 80 mm, 72°, kort</t>
  </si>
  <si>
    <t>Koleno kvadratne cevi 80 mm, 72°, kratko</t>
  </si>
  <si>
    <t>fyrkantig rörböj 80 mm, 72°, kort</t>
  </si>
  <si>
    <t>Kvadratrørsvinkel 80 mm, 72°, kort</t>
  </si>
  <si>
    <t>Firkantet rørkne 80 mm, 72°, kort</t>
  </si>
  <si>
    <t>Koljeno kvadratne cijevi 80 mm, 72°, kratko</t>
  </si>
  <si>
    <t>Quadratrohrbogen 100 mm, 72°, kurz</t>
  </si>
  <si>
    <t>Square downpipe elbow 100 mm, 72°, small</t>
  </si>
  <si>
    <t>coude de tuyau carré 100 mm, 72°, court</t>
  </si>
  <si>
    <t>Gomito per pluviale quadro 100 mm, 72°, corto</t>
  </si>
  <si>
    <t>Koleno hranatého svodu 100 mm, 72°, krátké</t>
  </si>
  <si>
    <t>Kolanko kwadratowe 100 mm, 72°, krótkie</t>
  </si>
  <si>
    <t>szögletes lefolyócső 100 mm, 72°, rövid</t>
  </si>
  <si>
    <t>štvorcové koleno 100 mm, 72°, krátke</t>
  </si>
  <si>
    <t>Vierkante pijpbocht 100 mm, 72°, kort</t>
  </si>
  <si>
    <t>Koleno kvadratne cevi 100 mm, 72°, kratko</t>
  </si>
  <si>
    <t>fyrkantig rörböj 100 mm, 72°, kort</t>
  </si>
  <si>
    <t>Kvadratrørsvinkel 100 mm, 72°, kort</t>
  </si>
  <si>
    <t>Firkantet rørkne 100 mm, 72°, kort</t>
  </si>
  <si>
    <t>Koljeno kvadratne cijevi 100 mm, 72°, kratko</t>
  </si>
  <si>
    <t>Quadratrohr 80 mm, Wasserfangkasten</t>
  </si>
  <si>
    <t>Square downpipe 80 mm, leader head</t>
  </si>
  <si>
    <t>tuyau de descente carré 80 mm, boîte à eau</t>
  </si>
  <si>
    <t>Cassetta di raccolta per pluviale quadro, 80 mm</t>
  </si>
  <si>
    <t>Hranatý svod 80 mm, sběrný kotlík</t>
  </si>
  <si>
    <t>Rura kwadratowa 80 mm, kosz zlewiskowy</t>
  </si>
  <si>
    <t>szögletes lefolyócső 80 mm, szögletes vízgyűjtő üst</t>
  </si>
  <si>
    <t>štvorcový zvod 80 mm, zberný kotlík</t>
  </si>
  <si>
    <t>Vierkante buis 80 mm, wateropvangbak</t>
  </si>
  <si>
    <t>Kvadratna cev 80 mm, zbiralnik vode</t>
  </si>
  <si>
    <t>fyrkantsrör 80 mm, vattenuppsamlingslåda</t>
  </si>
  <si>
    <t>Kvadratrør 80 mm, vandopsamlingskasse</t>
  </si>
  <si>
    <t>Firkantrenne 80 mm, vanndrenering</t>
  </si>
  <si>
    <t>Kvadratna cijev 80 mm, kutija za prihvat vode</t>
  </si>
  <si>
    <t>Quadratrohr 100 mm, Wasserfangkasten</t>
  </si>
  <si>
    <t>Square downpipe 100 mm, leader head</t>
  </si>
  <si>
    <t>tuyau de descente carré 100 mm, boîte à eau</t>
  </si>
  <si>
    <t>Cassetta di raccolta per pluviale quadro, 100 mm</t>
  </si>
  <si>
    <t>Hranatý svod 100 mm, sběrný kotlík</t>
  </si>
  <si>
    <t>Rura kwadratowa 100 mm, kosz zlewiskowy</t>
  </si>
  <si>
    <t>szögletes lefolyócső 100 mm, szögletes vízgyűjtő üst</t>
  </si>
  <si>
    <t>štvorcový zvod 100 mm, zberný kotlík</t>
  </si>
  <si>
    <t>Vierkante buis 100 mm, wateropvangbak</t>
  </si>
  <si>
    <t>Kvadratna cev 100 mm, zbiralnik vode</t>
  </si>
  <si>
    <t>fyrkantsrör 100 mm, vattenuppsamlingslåda</t>
  </si>
  <si>
    <t>Kvadratrør 100 mm, vandopsamlingskasse</t>
  </si>
  <si>
    <t>Firkantrenne 100 mm, vanndrenering</t>
  </si>
  <si>
    <t>Kvadratna cijev 100 mm, kutija za prihvat vode</t>
  </si>
  <si>
    <t>Quadratrohr 80 mm, Kessel</t>
  </si>
  <si>
    <t>Square downpipe 80 mm, boiler</t>
  </si>
  <si>
    <t>tuyau de descente carré 80 mm, naissance</t>
  </si>
  <si>
    <t>Bocchetta di scarico per pluviale quadro, 80 mm</t>
  </si>
  <si>
    <t>Hranatý svod 80 mm, kotlík</t>
  </si>
  <si>
    <t>Rura kwadratowa 80 mm, sztucer do rynny</t>
  </si>
  <si>
    <t>szögletes lefolyócső 80 mm, üst</t>
  </si>
  <si>
    <t>štvorcový zvod 80 mm, kotlík</t>
  </si>
  <si>
    <t>Vierkante buis 80 mm, ketel</t>
  </si>
  <si>
    <t>Kvadratna cev 80 mm, kotel</t>
  </si>
  <si>
    <t>fyrkantsrör 80 mm, panna</t>
  </si>
  <si>
    <t>Kvadratrør 80 mm, kammer</t>
  </si>
  <si>
    <t>Firkantrenne 80 mm, tappstykke</t>
  </si>
  <si>
    <t>Kvadratna cijev 80 mm, odvod</t>
  </si>
  <si>
    <t>Quadratrohr 100 mm, Kessel</t>
  </si>
  <si>
    <t>Square downpipe 100 mm, boiler</t>
  </si>
  <si>
    <t>tuyau de descente carré 100 mm, naissance</t>
  </si>
  <si>
    <t>Bocchetta di scarico per pluviale quadro, 100 mm</t>
  </si>
  <si>
    <t>Hranatý svod 100 mm, kotlík</t>
  </si>
  <si>
    <t>Rura kwadratowa 100 mm, sztucer do rynny</t>
  </si>
  <si>
    <t>szögletes lefolyócső 100 mm, üst</t>
  </si>
  <si>
    <t>štvorcový zvod 100 mm, kotlík</t>
  </si>
  <si>
    <t>Vierkante buis 100 mm, ketel</t>
  </si>
  <si>
    <t>Kvadratna cev 100 mm, kotel</t>
  </si>
  <si>
    <t>fyrkantsrör 100 mm, panna</t>
  </si>
  <si>
    <t>Kvadratrør 100 mm, kammer</t>
  </si>
  <si>
    <t>Firkantrenne 100 mm, tappstykke</t>
  </si>
  <si>
    <t>Kvadratna cijev 100 mm, odvod</t>
  </si>
  <si>
    <t>Quadratrohr 80 mm, Speiereinmündung</t>
  </si>
  <si>
    <t>Square downpipe 80 mm, parapet outlet</t>
  </si>
  <si>
    <t>tuyau de descente carré 80 mm, embranchement d’évacuation rond pour toits plats</t>
  </si>
  <si>
    <t>Bocchettone da incasso per pluviale quadro, 80 mm</t>
  </si>
  <si>
    <t>Hranatý svod 80 mm, fasádní kotlík se zaústěním</t>
  </si>
  <si>
    <t>Rura kwadratowa 80 mm, wylot zlewiskowy rury kwadratowej</t>
  </si>
  <si>
    <t>szögletes lefolyócső 80 mm, attikafal-vízgyűjtő üst</t>
  </si>
  <si>
    <t>štvorcový zvod 80 mm, fasádny kotlík so zaústením pre strešný chrlič</t>
  </si>
  <si>
    <t>Vierkante buis 80 mm, spuitmond</t>
  </si>
  <si>
    <t>Kvadratna cev 80 mm, ustje bljuvača</t>
  </si>
  <si>
    <t>fyrkantsrör 80 mm, pipsammanflöde</t>
  </si>
  <si>
    <t>Kvadratrør 80 mm, dræningsåbning</t>
  </si>
  <si>
    <t>Firkantrenne 80 mm, nedløpsåpning</t>
  </si>
  <si>
    <t>Kvadratna cijev 80 mm, bočni uljev</t>
  </si>
  <si>
    <t>Quadratrohr 100 mm, Speiereinmündung</t>
  </si>
  <si>
    <t>Square downpipe 100 mm, parapet outlet</t>
  </si>
  <si>
    <t>tuyau de descente carré 100 mm, embranchement d’évacuation rond pour toits plats</t>
  </si>
  <si>
    <t>Bocchettone da incasso per pluviale quadro, 100 mm</t>
  </si>
  <si>
    <t>Hranatý svod 100 mm, fasádní kotlík se zaústěním</t>
  </si>
  <si>
    <t>Rura kwadratowa 100 mm, wylot zlewiskowy rury kwadratowej</t>
  </si>
  <si>
    <t>szögletes lefolyócső 100 mm, attikafal-vízgyűjtő üst</t>
  </si>
  <si>
    <t>štvorcový zvod 100 mm, fasádny kotlík so zaústením pre strešný chrlič</t>
  </si>
  <si>
    <t>Vierkante buis 100 mm, spuitmond</t>
  </si>
  <si>
    <t>Kvadratna cev 100 mm, ustje bljuvača</t>
  </si>
  <si>
    <t>fyrkantsrör 100 mm, pipsammanflöde</t>
  </si>
  <si>
    <t>Kvadratrør 100 mm, dræningsåbning</t>
  </si>
  <si>
    <t>Firkantrenne 100 mm, nedløpsåpning</t>
  </si>
  <si>
    <t>Kvadratna cijev 100 mm, bočni uljev</t>
  </si>
  <si>
    <t>Quadratrohr 80 mm, Muffe</t>
  </si>
  <si>
    <t>Square downpipe 80 mm, outlet</t>
  </si>
  <si>
    <t>tuyau de descente carré 80 mm, manchon de jonction</t>
  </si>
  <si>
    <t>Riduzione per pluviale quadro, 80 mm</t>
  </si>
  <si>
    <t>Hranatý svod 80 mm, spojka</t>
  </si>
  <si>
    <t>Rura kwadratowa 80 mm, przejściówka na rurę</t>
  </si>
  <si>
    <t>szögletes lefolyócső 80 mm, karmantyú</t>
  </si>
  <si>
    <t>štvorcový zvod 80 mm, prechodka</t>
  </si>
  <si>
    <t>Vierkante buis 80 mm, mof</t>
  </si>
  <si>
    <t>Kvadratna cev 80 mm, objemka</t>
  </si>
  <si>
    <t>fyrkantsrör 80 mm, hylsa</t>
  </si>
  <si>
    <t>Kvadratrør 80 mm, muffe</t>
  </si>
  <si>
    <t>Firkantrenne 80 mm, muffe</t>
  </si>
  <si>
    <t>Kvadratna cijev 80 mm, kolčak</t>
  </si>
  <si>
    <t>Quadratrohr 100 mm, Muffe</t>
  </si>
  <si>
    <t>Square downpipe 100 mm, outlet</t>
  </si>
  <si>
    <t>tuyau de descente carré 100 mm, manchon de jonction</t>
  </si>
  <si>
    <t>Riduzione per pluviale quadro, 100 mm</t>
  </si>
  <si>
    <t>Hranatý svod 100 mm, spojka</t>
  </si>
  <si>
    <t>Rura kwadratowa 100 mm, przejściówka na rurę</t>
  </si>
  <si>
    <t>szögletes lefolyócső 100 mm, karmantyú</t>
  </si>
  <si>
    <t>štvorcový zvod 100 mm, prechodka</t>
  </si>
  <si>
    <t>Vierkante buis 100 mm, mof</t>
  </si>
  <si>
    <t>Kvadratna cev 100 mm, objemka</t>
  </si>
  <si>
    <t>fyrkantsrör 100 mm, hylsa</t>
  </si>
  <si>
    <t>Kvadratrør 100 mm, muffe</t>
  </si>
  <si>
    <t>Firkantrenne 100 mm, muffe</t>
  </si>
  <si>
    <t>Kvadratna cijev 100 mm, kolčak</t>
  </si>
  <si>
    <t>Quadratrohr 80 mm, mit Reinigungsöffnung</t>
  </si>
  <si>
    <t>Square downpipe 80 mm, with cleanout</t>
  </si>
  <si>
    <t>tuyau de descente carré 80 mm, avec ouverture de nettoyage</t>
  </si>
  <si>
    <t>Pluviale quadro 80 mm, con apertura d'ispezione</t>
  </si>
  <si>
    <t>Hranatý svod 80 mm, s čistícím otvorem</t>
  </si>
  <si>
    <t>Rura kwadratowa 80 mm, z otworem rewizyjnym</t>
  </si>
  <si>
    <t>szögletes lefolyócső 80 mm, tisztítónyílással</t>
  </si>
  <si>
    <t>štvorcový zvod 80 mm, s čistiacim otvorom</t>
  </si>
  <si>
    <t>Vierkante buis 80 mm, met reinigingsopening</t>
  </si>
  <si>
    <t>Kvadratna cev 80 mm, z odprtino za čiščenje</t>
  </si>
  <si>
    <t>fyrkantsrör 80 mm, med rengöringsöppning</t>
  </si>
  <si>
    <t>Kvadratrør 80 mm, med rengøringsåbning</t>
  </si>
  <si>
    <t>Firkantrenne 80 mm, med rengjøringsåpning</t>
  </si>
  <si>
    <t>Kvadratna cijev 80 mm, s revizionim otvorom</t>
  </si>
  <si>
    <t>Quadratrohr 100 mm, mit Reinigungsöffnung</t>
  </si>
  <si>
    <t>Square downpipe 100 mm, with cleanout</t>
  </si>
  <si>
    <t>tuyau de descente carré 100 mm, avec ouverture de nettoyage</t>
  </si>
  <si>
    <t>Pluviale quadro 100 mm, con apertura d'ispezione</t>
  </si>
  <si>
    <t>Hranatý svod 100 mm, s čistícím otvorem</t>
  </si>
  <si>
    <t>Rura kwadratowa 100 mm, z otworem rewizyjnym</t>
  </si>
  <si>
    <t>szögletes lefolyócső 100 mm, tisztítónyílással</t>
  </si>
  <si>
    <t>štvorcový zvod 100 mm, s čistiacim otvorom</t>
  </si>
  <si>
    <t>Vierkante buis 100 mm, met reinigingsopening</t>
  </si>
  <si>
    <t>Kvadratna cev 100 mm, z odprtino za čiščenje</t>
  </si>
  <si>
    <t>fyrkantsrör 100 mm, med rengöringsöppning</t>
  </si>
  <si>
    <t>Kvadratrør 100 mm, med rengøringsåbning</t>
  </si>
  <si>
    <t>Firkantrenne 100 mm, med rengjøringsåpning</t>
  </si>
  <si>
    <t>Kvadratna cijev 100 mm, s revizionim otvorom</t>
  </si>
  <si>
    <t>Wassersammler für Quadratrohr 100 mm</t>
  </si>
  <si>
    <t>Square downpipe 100 mm, with water collector</t>
  </si>
  <si>
    <t>collecteur d’eau pour tuyau de descente carré 100 mm</t>
  </si>
  <si>
    <t>Collettore d'acqua per pluviale quadro 100 mm</t>
  </si>
  <si>
    <t>Sběrač dešťové vody pro hranatý svod 100 mm</t>
  </si>
  <si>
    <t>Zbieracz deszczówki 100 mm</t>
  </si>
  <si>
    <t>automata esővízkivezető elem szögletes lefolyócsőhöz 100 mm</t>
  </si>
  <si>
    <t>zberač dažďovej vody pre štvorcový zvod 100 mm</t>
  </si>
  <si>
    <t>Waterverzamelaar voor vierkante buis 100 mm</t>
  </si>
  <si>
    <t>Zbiralnik vode za kvadratno cev 100 mm</t>
  </si>
  <si>
    <t>vattenuppsamlare för fyrkantsrör 100 mm</t>
  </si>
  <si>
    <t>Vandsamler til kvadratrør 100 mm</t>
  </si>
  <si>
    <t>Vannoppsamler til firkantrenne 100 mm</t>
  </si>
  <si>
    <t>Sakupljač vode za kvadratnu cijev od 100 mm</t>
  </si>
  <si>
    <t>Balkonniete 5 x 14 mm -  K 15 -  Material: Edelstahl mit Edelstahl-Dorn</t>
  </si>
  <si>
    <t>Balcony rivet 5 x 14 mm – K 15 - Material: Stainless steel with stainless pin</t>
  </si>
  <si>
    <t>rivet de balcon 5 x 14 mm –  K 15 –  matériau : inox avec tige inox</t>
  </si>
  <si>
    <t>Rivetto per balcone 5 x 14 mm - K 15 - Materiale: Acciaio inox con spina in acciaio inox</t>
  </si>
  <si>
    <t>Balkónové nýty 5 × 14 mm -  K 15 -  materiál: ušlechtilá ocel s nerezovými trny</t>
  </si>
  <si>
    <t>Nit do balkonów 5 x 14 mm – K 15 – Materiał: Stal nierdzewna z trzpieniem ze stali nierdzewnej</t>
  </si>
  <si>
    <t>erkélyszegecs 5 x 14 mm –  K 15 -  anyag: rozsdamentes acél fej és szegecsszár</t>
  </si>
  <si>
    <t>Balkónové nity 5 x 14 mm – K 15 – materiál: nerezová oceľ s tŕňom z nerezovej ocele</t>
  </si>
  <si>
    <t>Balkonklinknagel 5 x 14 mm - K 15 - materiaal: Roestvrij staal met roestvrijstalen doorn</t>
  </si>
  <si>
    <t>Balkonska zakovica 5 x 14 mm -  K 15 -  Material: Nerjavno jeklo z osnikom iz nerjavnega jekla</t>
  </si>
  <si>
    <t>balkongnit 5 x 14 mm - K 15 - material: rostfritt stål med rostfri dorn</t>
  </si>
  <si>
    <t>Balkonnitte 5 x 14 mm -  K 15 -  materiale: Rustfrit stål med dorn i rustfrit stål</t>
  </si>
  <si>
    <t>Balkongskjøter 5 x 14 mm – K 15 – materiale: rustfritt stål med stift i rustfritt stål</t>
  </si>
  <si>
    <t>Balkonska zakovica 5 x 14 mm – K 15 – materijal: Nehrđajući čelik s trnom od nehrđajućeg čelika</t>
  </si>
  <si>
    <t>Fassadenniete 5 x 14 mm -  K 16 -  Material: Aluminium mit Edelstahl-Dorn</t>
  </si>
  <si>
    <t>Façade rivet 5 x 14 mm – K 16 - Material: Aluminium with stainless pin</t>
  </si>
  <si>
    <t>rivet de façade 5 x 14 mm –  K 16 –  matériau : aluminium avec tige inox</t>
  </si>
  <si>
    <t>Rivetto per facciata 5 x 14 mm - K 16 - Materiale: Alluminio con spina in acciaio inox</t>
  </si>
  <si>
    <t>Fasádní nýty 5 × 14 mm -  K 16 -  materiál: hliník s nerezovými trny</t>
  </si>
  <si>
    <t>Nit do elewacji 5 x 14 mm – K 16 – Materiał: Aluminium z trzpieniem ze stali nierdzewnej</t>
  </si>
  <si>
    <t>homlokzati szegecs 5 x 14 mm –  K 16 -  anyag: alumínium rozsdamentes acél tüskével</t>
  </si>
  <si>
    <t>Fasádne nity 5 x 14 mm – K 16 – materiál: hliník s tŕňom z nerezovej ocele</t>
  </si>
  <si>
    <t>Gevelklinknagel 5 x 14 mm - K 16 - materiaal: Aluminium met roestvrijstalen doorn</t>
  </si>
  <si>
    <t>Fasadna zakovica 5 x 14 mm -  K 16 -  Material: Aluminij z osnikom iz nerjavnega jekla</t>
  </si>
  <si>
    <t>fasadnit 5 x 14 mm - K 16 - material: Aluminium med dorn i rostfritt stål</t>
  </si>
  <si>
    <t>Facadenitte 5 x 14 mm -  K 16 -  materiale: Aluminium med dorn i rustfrit stål</t>
  </si>
  <si>
    <t>Fasadeskjøter 5 x 14 mm – K 16 – materiale: aluminium med stift i rustfritt stål</t>
  </si>
  <si>
    <t>Fasadna zakovica 5 x 14 mm – K 16 – materijal: Aluminij s trnom od nehrđajućeg čelika</t>
  </si>
  <si>
    <t>Passend für PREFA Entwässerungsprodukte.</t>
  </si>
  <si>
    <t>Suitable for PREFA drainage products.</t>
  </si>
  <si>
    <t>Compatible avec les produits d’évacuation des eaux de pluie PREFA.</t>
  </si>
  <si>
    <t>Adatto per prodotti per smaltimento acque PREFA.</t>
  </si>
  <si>
    <t>Vhodné pro odvodňovací produkty PREFA.</t>
  </si>
  <si>
    <t>Pasuje do produktów PREFA do odprowadzania wody.</t>
  </si>
  <si>
    <t>PREFA vízelvezető termékekhez alkalmas.</t>
  </si>
  <si>
    <t>Hodí sa pre odvodňovacie produkty PREFA.</t>
  </si>
  <si>
    <t>Geschikt voor PREFA-afvoerproducten.</t>
  </si>
  <si>
    <t>Primerno za drenažne izdelke PREFA.</t>
  </si>
  <si>
    <t>Lämplig för PREFA dräneringsprodukter.</t>
  </si>
  <si>
    <t>Velegnet til PREFA drænprodukter.</t>
  </si>
  <si>
    <t>Egnet til PREFA-dreneringsprodukter.</t>
  </si>
  <si>
    <t>Prikladno za PREFA proizvode za odvodnju krova.</t>
  </si>
  <si>
    <t>Rinnenausführung:</t>
  </si>
  <si>
    <t>Gutter design:</t>
  </si>
  <si>
    <t>conception de gouttières:</t>
  </si>
  <si>
    <t>Finitura della grondaia:</t>
  </si>
  <si>
    <t>Provedení žlabu:</t>
  </si>
  <si>
    <t>Konstrukcja rynny:</t>
  </si>
  <si>
    <t>ereszkivitelezés:</t>
  </si>
  <si>
    <t>Vyhotovenie žľabu:</t>
  </si>
  <si>
    <t>Gootuitvoering:</t>
  </si>
  <si>
    <t>Izvedba žleba:</t>
  </si>
  <si>
    <t>utförande ränna:</t>
  </si>
  <si>
    <t>Tagrendedesign:</t>
  </si>
  <si>
    <t>Renneutførelse:</t>
  </si>
  <si>
    <t>Konstrukcija žlijeba:</t>
  </si>
  <si>
    <t>Quadratrohr 80x80mm</t>
  </si>
  <si>
    <t>square downpipe 80x80mm</t>
  </si>
  <si>
    <t>tuyau de descente carré 80x80mm</t>
  </si>
  <si>
    <t>Pluviale quadro 80x80mm</t>
  </si>
  <si>
    <t>Hranatý svod 80 × 80 mm</t>
  </si>
  <si>
    <t>Rura kwadratowa 80 x 80 mm</t>
  </si>
  <si>
    <t>szögletes lefolyócső 80x80 mm</t>
  </si>
  <si>
    <t>štvorcový zvod 80 x 80 mm</t>
  </si>
  <si>
    <t>Vierkante buis 80 x 80 mm</t>
  </si>
  <si>
    <t>Kvadratna cev 80x80mm</t>
  </si>
  <si>
    <t>fyrkantsrör 80 x 80 mm</t>
  </si>
  <si>
    <t>Kvadratrør 80x80mm</t>
  </si>
  <si>
    <t>firkantrenne 80 x 80 mm</t>
  </si>
  <si>
    <t>Kvadratna cijev 80x80 mm</t>
  </si>
  <si>
    <t>Quadratrohr 100x100mm</t>
  </si>
  <si>
    <t>tuyau de descente carré 100x100mm</t>
  </si>
  <si>
    <t>Pluviale quadro 100x100mm</t>
  </si>
  <si>
    <t>Hranatý svod 100 × 100 mm</t>
  </si>
  <si>
    <t>Rura kwadratowa 100 x 100 mm</t>
  </si>
  <si>
    <t>szögletes lefolyócső 100x100 mm</t>
  </si>
  <si>
    <t>štvorcový zvod 100 x 100 mm</t>
  </si>
  <si>
    <t>Vierkante buis 100 x 100 mm</t>
  </si>
  <si>
    <t>Kvadratna cev 100x100mm</t>
  </si>
  <si>
    <t>fyrkantsrör 100 x 100 mm</t>
  </si>
  <si>
    <t>Kvadratrør 100x100mm</t>
  </si>
  <si>
    <t>firkantrenne 100 x 100 mm</t>
  </si>
  <si>
    <t>Kvadratna cijev 100x100 mm</t>
  </si>
  <si>
    <t>Schweißnaht</t>
  </si>
  <si>
    <t>Welding seam</t>
  </si>
  <si>
    <t>cordon de soudure</t>
  </si>
  <si>
    <t>Saldatura</t>
  </si>
  <si>
    <t>Svar</t>
  </si>
  <si>
    <t>Szew spawalniczy</t>
  </si>
  <si>
    <t>hegesztési varrat</t>
  </si>
  <si>
    <t>zváraný spoj</t>
  </si>
  <si>
    <t>Lasnaad</t>
  </si>
  <si>
    <t>Zvar</t>
  </si>
  <si>
    <t>svetsnit</t>
  </si>
  <si>
    <t>Svejsesøm</t>
  </si>
  <si>
    <t>Sveiseskjøt</t>
  </si>
  <si>
    <t>Zavareni šav</t>
  </si>
  <si>
    <t>Ergänzungsband glatt</t>
  </si>
  <si>
    <t>Complementary coil smooth</t>
  </si>
  <si>
    <t>bande complémentaire lisse</t>
  </si>
  <si>
    <t>Nastro per lattoneria liscio</t>
  </si>
  <si>
    <t>Doplňkový svitek, hladký</t>
  </si>
  <si>
    <t>Uzupełniająca taśma elewacyjna gładka</t>
  </si>
  <si>
    <t>kiegészítő lemez sima</t>
  </si>
  <si>
    <t>doplnkový pás hladký</t>
  </si>
  <si>
    <t>Aanvullende band glad</t>
  </si>
  <si>
    <t>Dopolnilni trak gladek</t>
  </si>
  <si>
    <t>slätt kompletterande band</t>
  </si>
  <si>
    <t>Ekstra bånd, glat</t>
  </si>
  <si>
    <t>Fasadekompletteringsbånd, glatt</t>
  </si>
  <si>
    <t>Dopunska traka, glatka</t>
  </si>
  <si>
    <t>Ergänzungsband glatt mit Folie</t>
  </si>
  <si>
    <t>Complementary coil smooth with plastic</t>
  </si>
  <si>
    <t>bande complémentaire lisse avec film</t>
  </si>
  <si>
    <t>Nastro per lattoneria liscio con lamina</t>
  </si>
  <si>
    <t>Doplňkový svitek, hladký s fólií</t>
  </si>
  <si>
    <t>Uzupełniająca taśma elewacyjna gładka z folią</t>
  </si>
  <si>
    <t>kiegészítő lemez sima fóliával</t>
  </si>
  <si>
    <t>doplnkový pás hladký s fóliou</t>
  </si>
  <si>
    <t>Aanvullende band glad met folie</t>
  </si>
  <si>
    <t>Dopolnilni trak gladek s folijo</t>
  </si>
  <si>
    <t>slätt kompletterande band med folie</t>
  </si>
  <si>
    <t>Ekstra bånd, glat med folie</t>
  </si>
  <si>
    <t>Fasadekompletteringsbånd, glatt med folie</t>
  </si>
  <si>
    <t>Dopunska traka, glatka, s folijom</t>
  </si>
  <si>
    <t>Oberteil</t>
  </si>
  <si>
    <t>Upper part</t>
  </si>
  <si>
    <t>partie supérieure</t>
  </si>
  <si>
    <t>Parte superiore</t>
  </si>
  <si>
    <t>Horní díl</t>
  </si>
  <si>
    <t>Część górna</t>
  </si>
  <si>
    <t>felső rész</t>
  </si>
  <si>
    <t>horný diel</t>
  </si>
  <si>
    <t>Bovenste deel</t>
  </si>
  <si>
    <t>Zgornji del</t>
  </si>
  <si>
    <t>övre del</t>
  </si>
  <si>
    <t>Overdel</t>
  </si>
  <si>
    <t>Gornji dio</t>
  </si>
  <si>
    <t>Unterteil</t>
  </si>
  <si>
    <t>Lower part</t>
  </si>
  <si>
    <t>partie inférieure</t>
  </si>
  <si>
    <t>Parte inferiore</t>
  </si>
  <si>
    <t>Dolní díl</t>
  </si>
  <si>
    <t>Część dolna</t>
  </si>
  <si>
    <t>alsó rész</t>
  </si>
  <si>
    <t>spodný diel</t>
  </si>
  <si>
    <t>Onderste deel</t>
  </si>
  <si>
    <t>Spodnji del</t>
  </si>
  <si>
    <t>nedre del</t>
  </si>
  <si>
    <t>Underdel</t>
  </si>
  <si>
    <t>Donji dio</t>
  </si>
  <si>
    <t>DACHFLÄCHENFENSTER ÜBER 25° DACHNEIGUNG</t>
  </si>
  <si>
    <t>ROOF WINDOW/SKYLIGHT ABOVE 25° ROOF PITCH</t>
  </si>
  <si>
    <t>ABERGEMENT DE FENÊTRE DE TOIT POUR UNE PENTE DE TOIT SUPÉRIEURE À 25°</t>
  </si>
  <si>
    <t>STŘEŠNÍ OKNO SE SKLONEM STŘECHY PŘES 25°</t>
  </si>
  <si>
    <t>OKNA DACHOWE DO DACHU POWYŻEJ 25° NACHYLENIA</t>
  </si>
  <si>
    <t>TETŐABLAKOK 25°-OS TETŐHAJLÁSSZÖG FELETT</t>
  </si>
  <si>
    <t>STREŠNÉ OKNO PRE STREŠNÝ SKLON VIAC AKO 25°</t>
  </si>
  <si>
    <t>DAKRAMEN BOVEN 25° DAKHELLING</t>
  </si>
  <si>
    <t>STREŠNO OKNO NAD 25° NAKLONOM STREHE</t>
  </si>
  <si>
    <t>TAKFÖNSTER ÖVER 25° TAKLUTNING</t>
  </si>
  <si>
    <t>TAGVINDUE OVER 25° TAGHÆLDNING</t>
  </si>
  <si>
    <t>TAKVINDU VED OVER 25° TAKVINKEL</t>
  </si>
  <si>
    <t>LEŽEĆI KROVNI PROZOR KOD NAGIBA KROVA PREKO 25°</t>
  </si>
  <si>
    <t>SONDERRINNENWINKEL – 3D</t>
  </si>
  <si>
    <t>SPECIAL INTERIOR CORNER BRACKET - 3D</t>
  </si>
  <si>
    <t>ÉQUERRE DE GOUTTIÈRE RÉALISÉE SUR COMMANDE (3D)</t>
  </si>
  <si>
    <t>SPECIALRENDEVINKEL – 3D</t>
  </si>
  <si>
    <t xml:space="preserve">SONDER- ERHEBUNGSBOGEN </t>
  </si>
  <si>
    <t>SPECIAL DATA SURVEY FORM</t>
  </si>
  <si>
    <t>RINNENWINKEL 2D</t>
  </si>
  <si>
    <t>GUTTER ANGLE 2D</t>
  </si>
  <si>
    <t>RINNENWINKEL 3D</t>
  </si>
  <si>
    <t>ROHRBOGEN</t>
  </si>
  <si>
    <t>DOWNPIPE ELBOW</t>
  </si>
  <si>
    <t>COUDE</t>
  </si>
  <si>
    <t>WASSERFANGKASTEN</t>
  </si>
  <si>
    <t>WATER COLLECTION BOXES</t>
  </si>
  <si>
    <t>BOÎTE À EAU</t>
  </si>
  <si>
    <t>ROHREINMÜNDUNG (EINSEITIG)</t>
  </si>
  <si>
    <t>DOWNPIPE BRANCH SINGLE</t>
  </si>
  <si>
    <t>ROHREINMÜNDUNG (ZWEISEITIG)</t>
  </si>
  <si>
    <t>DOWNPIPE BRANCH DOUBLE</t>
  </si>
  <si>
    <t>QUADRATROHREINMÜNDUNG (EINSEITIG)</t>
  </si>
  <si>
    <t>SQARE DOWNPIPE BRANCH SINGLE</t>
  </si>
  <si>
    <t>QUADRATROHREINMÜNDUNG (ZWEISEITIG)</t>
  </si>
  <si>
    <t>SQUARE DOWNPIPE BRANCH DOUBLE</t>
  </si>
  <si>
    <t>QUADRATROHR- SOCKELKNIE</t>
  </si>
  <si>
    <t>SQUARE DOWNPIPE SWAN NECK</t>
  </si>
  <si>
    <t>COUDE ÉTAGE POUR TUYAU DE DESCENTE CARRÉ</t>
  </si>
  <si>
    <t xml:space="preserve">SOCKELKNIE </t>
  </si>
  <si>
    <t>SWAN NECK</t>
  </si>
  <si>
    <t>COUDE ÉTAGE</t>
  </si>
  <si>
    <t>QUADRATROHR WASSERFANGKASTEN</t>
  </si>
  <si>
    <t>SQUARE DOWNPIPE WATER COLLECTION BOXES</t>
  </si>
  <si>
    <t>BOÎTE À EAU POUR TUYAU DE DESCENTE CARRÉ</t>
  </si>
  <si>
    <t>Dachneigung</t>
  </si>
  <si>
    <t>roof pitch</t>
  </si>
  <si>
    <t>pente de toit</t>
  </si>
  <si>
    <t>Außenrinnenwinkel</t>
  </si>
  <si>
    <t>external gutter corner</t>
  </si>
  <si>
    <t>équerre pour angle sortant de gouttière</t>
  </si>
  <si>
    <t>Innenrinnenwinkel</t>
  </si>
  <si>
    <t>internal gutter corner</t>
  </si>
  <si>
    <t>équerre pour angle rentrant de gouttière</t>
  </si>
  <si>
    <t>Quadratrohr 100x80mm</t>
  </si>
  <si>
    <t>square downpipe 100x80mm</t>
  </si>
  <si>
    <t>tuyau de descente carré 100x80mm</t>
  </si>
  <si>
    <t>Breite in Dachneigung gemessen</t>
  </si>
  <si>
    <t>Width</t>
  </si>
  <si>
    <t>Abstand</t>
  </si>
  <si>
    <t>distance</t>
  </si>
  <si>
    <t>Dimension</t>
  </si>
  <si>
    <t>dimension</t>
  </si>
  <si>
    <t>Verankerungsgrund</t>
  </si>
  <si>
    <t>(Montage)</t>
  </si>
  <si>
    <t>(Beschichtung)</t>
  </si>
  <si>
    <t>(Lagerabdeckung)</t>
  </si>
  <si>
    <t>(Spanner)</t>
  </si>
  <si>
    <t>Sterngriff</t>
  </si>
  <si>
    <t>(Dammbalkenhaken)</t>
  </si>
  <si>
    <t>NOTIZEN:</t>
  </si>
  <si>
    <t>(Dauerbodendichtung)</t>
  </si>
  <si>
    <t>(erforderlich bei dauerhaftem Aufbau)</t>
  </si>
  <si>
    <t>Dauerbodendichtung</t>
  </si>
  <si>
    <t>Wandprofil</t>
  </si>
  <si>
    <t>Systemwahl</t>
  </si>
  <si>
    <t>Beschichtungsteile</t>
  </si>
  <si>
    <t>-</t>
  </si>
  <si>
    <t>25/200</t>
  </si>
  <si>
    <t>50/150</t>
  </si>
  <si>
    <t>50/200</t>
  </si>
  <si>
    <t>80/200</t>
  </si>
  <si>
    <t>VarioSteher</t>
  </si>
  <si>
    <t>Sonderanfertigung</t>
  </si>
  <si>
    <t>Hebehilfe für Bodenhülsendeckel</t>
  </si>
  <si>
    <t>Sicherungsschraube Abdeckung</t>
  </si>
  <si>
    <t>Niederhalter Dammbalken</t>
  </si>
  <si>
    <t>Halterungen Dammbalken</t>
  </si>
  <si>
    <t>Berechung der Längen:</t>
  </si>
  <si>
    <t>Dammbalkendichtung:</t>
  </si>
  <si>
    <t>Bodendichtung:</t>
  </si>
  <si>
    <t>Abzugswert links</t>
  </si>
  <si>
    <t>Abzugswert rechts</t>
  </si>
  <si>
    <t>Abzugswert Steher</t>
  </si>
  <si>
    <t>Innenlichte</t>
  </si>
  <si>
    <t>Dammbalken Länge:</t>
  </si>
  <si>
    <t>Dammbalkenlänge</t>
  </si>
  <si>
    <t>Länge netto</t>
  </si>
  <si>
    <t>Höhe:</t>
  </si>
  <si>
    <t>Anzahl Dammbalken</t>
  </si>
  <si>
    <t>mm</t>
  </si>
  <si>
    <t>erforderliche Höhe</t>
  </si>
  <si>
    <t>Stauhöhe</t>
  </si>
  <si>
    <t>Zusatzhöhe (Spanner)</t>
  </si>
  <si>
    <t>erf. Profilhöhe f. Spanner</t>
  </si>
  <si>
    <t>Freibord</t>
  </si>
  <si>
    <t>Grundprofillänge:</t>
  </si>
  <si>
    <t>Grundprofillänge - Stange</t>
  </si>
  <si>
    <t>VPE(25)</t>
  </si>
  <si>
    <t>VPE(1)</t>
  </si>
  <si>
    <t>VPE(10)</t>
  </si>
  <si>
    <t>Stückliste</t>
  </si>
  <si>
    <t>Grundprofil 25 exkl. Dichtung, gebohrt und entgratet</t>
  </si>
  <si>
    <t>Grundprofil 25 Sonderlänge exkl. Dichtung, (Stangenware)</t>
  </si>
  <si>
    <t>Grundprofil 50 exkl. Dichtung, gebohrt und entgratet</t>
  </si>
  <si>
    <t>Grundprofil 50 Sonderlänge exkl. Dichtung, (Stangenware)</t>
  </si>
  <si>
    <t>Grundprofil 80 exkl. Dichtung, gebohrt und entgratet</t>
  </si>
  <si>
    <t>Grundprofil 80 Sonderlänge exkl. Dichtung, (Stangenware)</t>
  </si>
  <si>
    <t>Bodenhülse 50/80 beschichtet inkl. Aluminiumdeckel und Dichtung</t>
  </si>
  <si>
    <t>Bodenhülse 50/80 beschichtet inkl. Edelstahldeckel und Dichtung</t>
  </si>
  <si>
    <t>Bodenhülse (GROSS) 50 Vario und 80 beschichtet inkl. Aluminiumdeckel und Dichtung</t>
  </si>
  <si>
    <t>Bodenhülse (GROSS) 50 Vario und 80 beschichtet inkl. Edelstahldeckel und Dichtung</t>
  </si>
  <si>
    <t>Lagerabdeckung (Mittelteil)</t>
  </si>
  <si>
    <t>Lagerabdeckung (Seitenteil)</t>
  </si>
  <si>
    <t>Aufpreis Ausfräsung Wandprofil für Dammbalken</t>
  </si>
  <si>
    <t>Aufpreis Längenänderung Wandprofil</t>
  </si>
  <si>
    <t>Spannstück STIER mit 6-Kantschraube gefräst</t>
  </si>
  <si>
    <t>Spannstück mit Sterngriff STIER gefr.</t>
  </si>
  <si>
    <t>H251000</t>
  </si>
  <si>
    <t>H501000</t>
  </si>
  <si>
    <t>H501001</t>
  </si>
  <si>
    <t>H801001</t>
  </si>
  <si>
    <t>H251020</t>
  </si>
  <si>
    <t>H251021</t>
  </si>
  <si>
    <t>H251011</t>
  </si>
  <si>
    <t>H251200</t>
  </si>
  <si>
    <t>H251201</t>
  </si>
  <si>
    <t>H501101</t>
  </si>
  <si>
    <t>H501111</t>
  </si>
  <si>
    <t>H501112</t>
  </si>
  <si>
    <t>H501122</t>
  </si>
  <si>
    <t>H501191</t>
  </si>
  <si>
    <t>H801101</t>
  </si>
  <si>
    <t>H801111</t>
  </si>
  <si>
    <t>H801112</t>
  </si>
  <si>
    <t>H801122</t>
  </si>
  <si>
    <t>H801191</t>
  </si>
  <si>
    <t>H501201</t>
  </si>
  <si>
    <t>H501211</t>
  </si>
  <si>
    <t>H501212</t>
  </si>
  <si>
    <t>H501222</t>
  </si>
  <si>
    <t>H501291</t>
  </si>
  <si>
    <t>H801201</t>
  </si>
  <si>
    <t>H801211</t>
  </si>
  <si>
    <t>H801212</t>
  </si>
  <si>
    <t>H801222</t>
  </si>
  <si>
    <t>H801291</t>
  </si>
  <si>
    <t>H501301</t>
  </si>
  <si>
    <t>H501311</t>
  </si>
  <si>
    <t>H501312</t>
  </si>
  <si>
    <t>H501322</t>
  </si>
  <si>
    <t>H801301</t>
  </si>
  <si>
    <t>H801311</t>
  </si>
  <si>
    <t>H801312</t>
  </si>
  <si>
    <t>H801322</t>
  </si>
  <si>
    <t>H801340</t>
  </si>
  <si>
    <t>H801341</t>
  </si>
  <si>
    <t>H801342</t>
  </si>
  <si>
    <t>H801343</t>
  </si>
  <si>
    <t>H501600</t>
  </si>
  <si>
    <t>H501601</t>
  </si>
  <si>
    <t>H501602</t>
  </si>
  <si>
    <t>H501603</t>
  </si>
  <si>
    <t>H801600</t>
  </si>
  <si>
    <t>H801601</t>
  </si>
  <si>
    <t>H801602</t>
  </si>
  <si>
    <t>H801603</t>
  </si>
  <si>
    <t>H501610</t>
  </si>
  <si>
    <t>H501611</t>
  </si>
  <si>
    <t>H501612</t>
  </si>
  <si>
    <t>H501613</t>
  </si>
  <si>
    <t>H801610</t>
  </si>
  <si>
    <t>H801611</t>
  </si>
  <si>
    <t>H801612</t>
  </si>
  <si>
    <t>H801613</t>
  </si>
  <si>
    <t>H001030</t>
  </si>
  <si>
    <t>H001040</t>
  </si>
  <si>
    <t>H001031</t>
  </si>
  <si>
    <t>H001041</t>
  </si>
  <si>
    <t>H501031</t>
  </si>
  <si>
    <t>H501041</t>
  </si>
  <si>
    <t>H501042</t>
  </si>
  <si>
    <t>H001071</t>
  </si>
  <si>
    <t>H001061</t>
  </si>
  <si>
    <t>H251900</t>
  </si>
  <si>
    <t>H501901</t>
  </si>
  <si>
    <t>H801901</t>
  </si>
  <si>
    <t>H001080</t>
  </si>
  <si>
    <t>H251901</t>
  </si>
  <si>
    <t>H001090</t>
  </si>
  <si>
    <t>H001081</t>
  </si>
  <si>
    <t>H001082</t>
  </si>
  <si>
    <t>H251050</t>
  </si>
  <si>
    <t>H251051</t>
  </si>
  <si>
    <t>H501401</t>
  </si>
  <si>
    <t>H501411</t>
  </si>
  <si>
    <t>H501412</t>
  </si>
  <si>
    <t>H501422</t>
  </si>
  <si>
    <t>H801401</t>
  </si>
  <si>
    <t>H801411</t>
  </si>
  <si>
    <t>H801412</t>
  </si>
  <si>
    <t>H801422</t>
  </si>
  <si>
    <t>H251040</t>
  </si>
  <si>
    <t>H251041</t>
  </si>
  <si>
    <t>H501501</t>
  </si>
  <si>
    <t>H501511</t>
  </si>
  <si>
    <t>H501512</t>
  </si>
  <si>
    <t>H501522</t>
  </si>
  <si>
    <t>H801501</t>
  </si>
  <si>
    <t>H801511</t>
  </si>
  <si>
    <t>H801512</t>
  </si>
  <si>
    <t>H801522</t>
  </si>
  <si>
    <t>H001010</t>
  </si>
  <si>
    <t>H001020</t>
  </si>
  <si>
    <t>H002010</t>
  </si>
  <si>
    <t>H001083</t>
  </si>
  <si>
    <t>H002011</t>
  </si>
  <si>
    <t>H001101</t>
  </si>
  <si>
    <t>H001103</t>
  </si>
  <si>
    <t>H002050</t>
  </si>
  <si>
    <t>H002051</t>
  </si>
  <si>
    <t>H001062</t>
  </si>
  <si>
    <t>H001072</t>
  </si>
  <si>
    <t>H251022</t>
  </si>
  <si>
    <t>H251023</t>
  </si>
  <si>
    <t>H251202</t>
  </si>
  <si>
    <t>H251203</t>
  </si>
  <si>
    <t>H251042</t>
  </si>
  <si>
    <t>H251043</t>
  </si>
  <si>
    <t>H251052</t>
  </si>
  <si>
    <t>H801620</t>
  </si>
  <si>
    <t>H801621</t>
  </si>
  <si>
    <t>H801622</t>
  </si>
  <si>
    <t>H801623</t>
  </si>
  <si>
    <t>H801630</t>
  </si>
  <si>
    <t>H801631</t>
  </si>
  <si>
    <t>H801632</t>
  </si>
  <si>
    <t>H801633</t>
  </si>
  <si>
    <t>H801640</t>
  </si>
  <si>
    <t>H801641</t>
  </si>
  <si>
    <t>H801642</t>
  </si>
  <si>
    <t>H801643</t>
  </si>
  <si>
    <t>H501620</t>
  </si>
  <si>
    <t>H501621</t>
  </si>
  <si>
    <t>H501622</t>
  </si>
  <si>
    <t>H501623</t>
  </si>
  <si>
    <t>H501630</t>
  </si>
  <si>
    <t>H501631</t>
  </si>
  <si>
    <t>H501632</t>
  </si>
  <si>
    <t>H501633</t>
  </si>
  <si>
    <t>H501640</t>
  </si>
  <si>
    <t>H501641</t>
  </si>
  <si>
    <t>H501642</t>
  </si>
  <si>
    <t>H501643</t>
  </si>
  <si>
    <t>H501650</t>
  </si>
  <si>
    <t>H501651</t>
  </si>
  <si>
    <t>H501652</t>
  </si>
  <si>
    <t>H501653</t>
  </si>
  <si>
    <t>Abdeckung VO 25-1750mm</t>
  </si>
  <si>
    <t>Abdeckung VO 25-2150mm</t>
  </si>
  <si>
    <t>Rundprofil VARIO 15° 50 Sonderlänge exkl. Dichtung, (Stangenware)</t>
  </si>
  <si>
    <t>Rundprofil VARIO 15° 50-1350 mm (Anfertigung auf Bestellung)</t>
  </si>
  <si>
    <t>Rundprofil VARIO 15° 50-1750 mm (Anfertigung auf Bestellung)</t>
  </si>
  <si>
    <t>Rundprofil VARIO 15° 50-2150 mm (Anfertigung auf Bestellung)</t>
  </si>
  <si>
    <t>Rundprofil VARIO 15° 50-750 mm (Anfertigung auf Bestellung)</t>
  </si>
  <si>
    <t>Rundprofil VARIO 15° 80 Sonderlänge exkl. Dichtung, (Stangenware)</t>
  </si>
  <si>
    <t>Rundprofil VARIO 15° 80-1350 mm (Anfertigung auf Bestellung)</t>
  </si>
  <si>
    <t>Rundprofil VARIO 15° 80-1750 mm (Anfertigung auf Bestellung)</t>
  </si>
  <si>
    <t>Rundprofil VARIO 15° 80-2150 mm (Anfertigung auf Bestellung)</t>
  </si>
  <si>
    <t>Rundprofil VARIO 15° 80-750 mm (Anfertigung auf Bestellung)</t>
  </si>
  <si>
    <t>Rundprofil VARIO 30° 50 Sonderlänge exkl. Dichtung, (Stangenware)</t>
  </si>
  <si>
    <t>Rundprofil VARIO 30° 50-1350 mm (Anfertigung auf Bestellung)</t>
  </si>
  <si>
    <t>Rundprofil VARIO 30° 50-1750 mm (Anfertigung auf Bestellung)</t>
  </si>
  <si>
    <t>Rundprofil VARIO 30° 50-2150 mm (Anfertigung auf Bestellung)</t>
  </si>
  <si>
    <t>Rundprofil VARIO 30° 50-750 mm (Anfertigung auf Bestellung)</t>
  </si>
  <si>
    <t>Rundprofil VARIO 30° 80 Sonderlänge exkl. Dichtung, (Stangenware)</t>
  </si>
  <si>
    <t>Rundprofil VARIO 30° 80-1350 mm (Anfertigung auf Bestellung)</t>
  </si>
  <si>
    <t>Rundprofil VARIO 30° 80-1750 mm (Anfertigung auf Bestellung)</t>
  </si>
  <si>
    <t>Rundprofil VARIO 30° 80-2150 mm (Anfertigung auf Bestellung)</t>
  </si>
  <si>
    <t>Rundprofil VARIO 30° 80-750 mm (Anfertigung auf Bestellung)</t>
  </si>
  <si>
    <t>Rundprofil VARIO 45° 50 Sonderlänge exkl. Dichtung, (Stangenware)</t>
  </si>
  <si>
    <t>Rundprofil VARIO 45° 50-1350 mm (Anfertigung auf Bestellung)</t>
  </si>
  <si>
    <t>Rundprofil VARIO 45° 50-1750 mm (Anfertigung auf Bestellung)</t>
  </si>
  <si>
    <t>Rundprofil VARIO 45° 50-2150 mm (Anfertigung auf Bestellung)</t>
  </si>
  <si>
    <t>Rundprofil VARIO 45° 50-750 mm (Anfertigung auf Bestellung)</t>
  </si>
  <si>
    <t>Rundprofil VARIO 45° 80 Sonderlänge exkl. Dichtung, (Stangenware)</t>
  </si>
  <si>
    <t>Rundprofil VARIO 45° 80-1350 mm (Anfertigung auf Bestellung)</t>
  </si>
  <si>
    <t>Rundprofil VARIO 45° 80-1750 mm (Anfertigung auf Bestellung)</t>
  </si>
  <si>
    <t>Rundprofil VARIO 45° 80-2150 mm (Anfertigung auf Bestellung)</t>
  </si>
  <si>
    <t>Rundprofil VARIO 45° 80-750 mm (Anfertigung auf Bestellung)</t>
  </si>
  <si>
    <t>Rundprofil VARIO 60° 50 Sonderlänge exkl. Dichtung, (Stangenware)</t>
  </si>
  <si>
    <t>Rundprofil VARIO 60° 50-1350 mm (Anfertigung auf Bestellung)</t>
  </si>
  <si>
    <t>Rundprofil VARIO 60° 50-1750 mm (Anfertigung auf Bestellung)</t>
  </si>
  <si>
    <t>Rundprofil VARIO 60° 50-2150 mm (Anfertigung auf Bestellung)</t>
  </si>
  <si>
    <t>Rundprofil VARIO 60° 50-750 mm (Anfertigung auf Bestellung)</t>
  </si>
  <si>
    <t>Rundprofil VARIO 60° 80 Sonderlänge exkl. Dichtung, (Stangenware)</t>
  </si>
  <si>
    <t>Rundprofil VARIO 60° 80-1350 mm (Anfertigung auf Bestellung)</t>
  </si>
  <si>
    <t>Rundprofil VARIO 60° 80-1750 mm (Anfertigung auf Bestellung)</t>
  </si>
  <si>
    <t>Rundprofil VARIO 60° 80-2150 mm (Anfertigung auf Bestellung)</t>
  </si>
  <si>
    <t>Rundprofil VARIO 60° 80-750 mm (Anfertigung auf Bestellung)</t>
  </si>
  <si>
    <t>Rundprofil VARIO 75° 50 Sonderlänge exkl. Dichtung, (Stangenware)</t>
  </si>
  <si>
    <t>Rundprofil VARIO 75° 50-1350 mm (Anfertigung auf Bestellung)</t>
  </si>
  <si>
    <t>Rundprofil VARIO 75° 50-1750 mm (Anfertigung auf Bestellung)</t>
  </si>
  <si>
    <t>Rundprofil VARIO 75° 50-2150 mm (Anfertigung auf Bestellung)</t>
  </si>
  <si>
    <t>Rundprofil VARIO 75° 50-750 mm (Anfertigung auf Bestellung)</t>
  </si>
  <si>
    <t>Hebehilfe f.Bodenhülsendeckel</t>
  </si>
  <si>
    <t>Montageart Links</t>
  </si>
  <si>
    <t>Montageart Rechts</t>
  </si>
  <si>
    <t>Beschichtung - Abdeckung</t>
  </si>
  <si>
    <t>Beschichtung - Wandprofil</t>
  </si>
  <si>
    <t>Beschichtung - Dammbalken</t>
  </si>
  <si>
    <t>Beschichtung - Lagerabdeckung</t>
  </si>
  <si>
    <t>Bodenhülsen-Auswahl</t>
  </si>
  <si>
    <t>System-Auswahl</t>
  </si>
  <si>
    <t>Rundprofil-Auswahl</t>
  </si>
  <si>
    <t>Sonderkosten - Sonderanfertigung</t>
  </si>
  <si>
    <t>Sonderkosten - Längenänderung WP</t>
  </si>
  <si>
    <t>Sonderkosten - Auffräsung für DB</t>
  </si>
  <si>
    <t>Sonderkosten - Aufpreis Planungsstd</t>
  </si>
  <si>
    <t>Abfrage Ja/Nein</t>
  </si>
  <si>
    <t>+</t>
  </si>
  <si>
    <t>50+vario</t>
  </si>
  <si>
    <t>Felder</t>
  </si>
  <si>
    <t>Deckel Alu</t>
  </si>
  <si>
    <t>grundprofil</t>
  </si>
  <si>
    <t>&gt;</t>
  </si>
  <si>
    <t>Rundsteheranzahl</t>
  </si>
  <si>
    <t>Steher groß</t>
  </si>
  <si>
    <t>15°</t>
  </si>
  <si>
    <t>30°</t>
  </si>
  <si>
    <t>45°</t>
  </si>
  <si>
    <t>60°</t>
  </si>
  <si>
    <t>75°</t>
  </si>
  <si>
    <t>U-Profil</t>
  </si>
  <si>
    <t>U-Profil 25 (in der Laibung) exkl. Dichtung, gebohrt und entgratet</t>
  </si>
  <si>
    <t>V-Abdeckung</t>
  </si>
  <si>
    <t>VO-Abdeckung</t>
  </si>
  <si>
    <t>Anzahl übereinmander</t>
  </si>
  <si>
    <t>Sterngr.</t>
  </si>
  <si>
    <t>6-kt.</t>
  </si>
  <si>
    <t>bündig i.d.L.</t>
  </si>
  <si>
    <t>=</t>
  </si>
  <si>
    <t>Anzahl</t>
  </si>
  <si>
    <t>EH</t>
  </si>
  <si>
    <t>Rundsteher</t>
  </si>
  <si>
    <t>Deckel Edelstahl</t>
  </si>
  <si>
    <t>80+groß</t>
  </si>
  <si>
    <t>Stk 50</t>
  </si>
  <si>
    <t>Stk 80</t>
  </si>
  <si>
    <t>80+vario</t>
  </si>
  <si>
    <t>80+90°</t>
  </si>
  <si>
    <t>50+90°</t>
  </si>
  <si>
    <t>groß</t>
  </si>
  <si>
    <t>(50+normal+vario/90°)+(80+groß)+(80+normal+vario/90°)</t>
  </si>
  <si>
    <t>(50+normal ohne vario/90°)+(80+normal ohne vario/90°)</t>
  </si>
  <si>
    <t>Anzahl Rundsteher</t>
  </si>
  <si>
    <t>Dammbalkenreihen</t>
  </si>
  <si>
    <t>Stk/Halter</t>
  </si>
  <si>
    <t>Stk Balken  Ges.</t>
  </si>
  <si>
    <t>Paar</t>
  </si>
  <si>
    <t>Steher ges.</t>
  </si>
  <si>
    <t>Vario</t>
  </si>
  <si>
    <t>90°</t>
  </si>
  <si>
    <t>Deutsch (AT)</t>
  </si>
  <si>
    <t>Deutsch (DE)</t>
  </si>
  <si>
    <t>English</t>
  </si>
  <si>
    <t>français</t>
  </si>
  <si>
    <t>italiano</t>
  </si>
  <si>
    <t>český</t>
  </si>
  <si>
    <t>polski</t>
  </si>
  <si>
    <t>magyar</t>
  </si>
  <si>
    <t>slovenský</t>
  </si>
  <si>
    <t>Nederlands</t>
  </si>
  <si>
    <t>Slovenski</t>
  </si>
  <si>
    <t>svenska</t>
  </si>
  <si>
    <t>dansk</t>
  </si>
  <si>
    <t>norsk</t>
  </si>
  <si>
    <t>hrvatski</t>
  </si>
  <si>
    <t>Clamping element</t>
  </si>
  <si>
    <t>Pièce de serrage</t>
  </si>
  <si>
    <t>Napínák</t>
  </si>
  <si>
    <t>Element dociskowy</t>
  </si>
  <si>
    <t>Feszítőelem</t>
  </si>
  <si>
    <t>Upevňovacia zarážka</t>
  </si>
  <si>
    <t>Fixeerstuk</t>
  </si>
  <si>
    <t>Vpenjalni</t>
  </si>
  <si>
    <t>Spännstycke</t>
  </si>
  <si>
    <t>Spændestykke</t>
  </si>
  <si>
    <t>KLEMSTYKKE SIDE</t>
  </si>
  <si>
    <t>Zatezni element</t>
  </si>
  <si>
    <t>Spannstück</t>
  </si>
  <si>
    <t>tenditore</t>
  </si>
  <si>
    <t>6-Kantschraube</t>
  </si>
  <si>
    <t>hex-cap screw</t>
  </si>
  <si>
    <t>star grip screw</t>
  </si>
  <si>
    <t>manopola a stella</t>
  </si>
  <si>
    <t>šestihranným šroubem</t>
  </si>
  <si>
    <t>vite a testa esagonale</t>
  </si>
  <si>
    <t>hvězdicovým kolečkem</t>
  </si>
  <si>
    <t>śrubą z łbem 6-kątnym</t>
  </si>
  <si>
    <t>uchwytem gwiazdkowym</t>
  </si>
  <si>
    <t>6-lapfejű csavarral</t>
  </si>
  <si>
    <t>csillagmarkolattal</t>
  </si>
  <si>
    <t>6-hrannou skrutkou</t>
  </si>
  <si>
    <t>hviezdicovým úchopom</t>
  </si>
  <si>
    <t>zeskantschroef</t>
  </si>
  <si>
    <t>met sterknop</t>
  </si>
  <si>
    <t>6-robim vijakom</t>
  </si>
  <si>
    <t>zvezdastim gumbom</t>
  </si>
  <si>
    <t>sexkantsskruv</t>
  </si>
  <si>
    <t>stjärngrepp</t>
  </si>
  <si>
    <t>6-kantskrue</t>
  </si>
  <si>
    <t>stjerneformet greb</t>
  </si>
  <si>
    <t>stjernegrep</t>
  </si>
  <si>
    <t>šesterokutnim vijkom</t>
  </si>
  <si>
    <t>zvjezdastom ručkom</t>
  </si>
  <si>
    <t>Lagerung</t>
  </si>
  <si>
    <t>Joint au sol permanent</t>
  </si>
  <si>
    <t>Der Untergrund für das System sollte eben sein, um eine optimale Anpassung der Bodendichtung gewährleisten zu können. Weiters ist bei Pflasterstein auf eine adäquate Fundamentierung und Befestigung zu achten, um eine Unterspülung zu vermeiden. Bevor das PREFA Hochwasser-Dammbalkensystem montiert wird, muss zunächst geklärt werden, ob das Bauwerk in statischer Hinsicht für die Montage geeignet ist.</t>
  </si>
  <si>
    <t>Alle PREFA Hochwasserschutzprodukte sind bei unseren PREFA Partnern erhältlich.</t>
  </si>
  <si>
    <t>Anfragen bitte an: hochwasserschutz@prefa.com</t>
  </si>
  <si>
    <t>zusätzlicher Randabstand</t>
  </si>
  <si>
    <t>50+80 system = 4</t>
  </si>
  <si>
    <t>bis 750 nur 2 sonst 4</t>
  </si>
  <si>
    <t>ist nicht 25</t>
  </si>
  <si>
    <t>&gt;750</t>
  </si>
  <si>
    <t>Anzahl länger</t>
  </si>
  <si>
    <t>Artikel Nr. blank</t>
  </si>
  <si>
    <t>Artikel Nr. beschichtet</t>
  </si>
  <si>
    <t>Preis blank</t>
  </si>
  <si>
    <t>Preis beschichtet</t>
  </si>
  <si>
    <t>Beschichtungspauschale</t>
  </si>
  <si>
    <t>Besch.Pauschale händisch zum Testen definiert</t>
  </si>
  <si>
    <t>Summe aller Positionen</t>
  </si>
  <si>
    <t>Beschichtungspauschale wird verrechnet ab einen Betrag von:</t>
  </si>
  <si>
    <t>Frachtkosten wird verrechnet ab einen Betrag von:</t>
  </si>
  <si>
    <t>%</t>
  </si>
  <si>
    <t>MwSt.</t>
  </si>
  <si>
    <t>VAT</t>
  </si>
  <si>
    <t>T.V.A.</t>
  </si>
  <si>
    <t>I.V.A.</t>
  </si>
  <si>
    <t>káď</t>
  </si>
  <si>
    <t>faktura VAT</t>
  </si>
  <si>
    <t>áfa</t>
  </si>
  <si>
    <t>DPH</t>
  </si>
  <si>
    <t>DDV</t>
  </si>
  <si>
    <t>MOMS</t>
  </si>
  <si>
    <t>moms</t>
  </si>
  <si>
    <t>mva</t>
  </si>
  <si>
    <t>PDV</t>
  </si>
  <si>
    <t>Fabrication spéciale</t>
  </si>
  <si>
    <t>Downholder for stop logs</t>
  </si>
  <si>
    <t>Poteau intermédiaire de renfort pour les batardeaux</t>
  </si>
  <si>
    <t>paletto di rinforzo sponde</t>
  </si>
  <si>
    <t>Podpěrné táhlo hrázních bloků</t>
  </si>
  <si>
    <t>Element trzymający belki</t>
  </si>
  <si>
    <t>Gátgerenda leszorítóelem</t>
  </si>
  <si>
    <t>Kotviace zariadenie na hradidlo</t>
  </si>
  <si>
    <t>Neerhouder dambalk</t>
  </si>
  <si>
    <t>Držalo za zajezitveno lamelo</t>
  </si>
  <si>
    <t>NEDHÅLLARE DÄMMBALK</t>
  </si>
  <si>
    <t>MELLEM SPÆNDESTYKKE dæmningsbjælker</t>
  </si>
  <si>
    <t>KLEMSTYKKE MIDT FLOMSIKRINGSELEMENT</t>
  </si>
  <si>
    <t>Zatezni držač daske brane</t>
  </si>
  <si>
    <t>Gewicht/Stk</t>
  </si>
  <si>
    <t>Dammbalken 25/200 (S12272) exkl. Dichtung:</t>
  </si>
  <si>
    <t>Dammbalken 50/150 (S7308) exkl. Dichtung:</t>
  </si>
  <si>
    <t>Dammbalken 50/200 (S9368) exkl. Dichtung:</t>
  </si>
  <si>
    <t>Dammbalken 80/200 (S9369) exkl. Dichtung:</t>
  </si>
  <si>
    <t>U-Profil 25 exkl. Dichtung (S12273): in der LAIBUNG</t>
  </si>
  <si>
    <t>U-Profil 50 exkl. Dichtung (S7229):</t>
  </si>
  <si>
    <t>U-Profil 80 exkl. Dichtung (S8063):</t>
  </si>
  <si>
    <t>Grund-Profil 25 exkl. Dichtung: VOR LAIBUNG</t>
  </si>
  <si>
    <t>Grundprofil 50 exkl. Dichtung (S6577): = H-Profil / v.d. L.</t>
  </si>
  <si>
    <t>Grundprofil 80 exkl. Dichtung (S8253):  H-Profil / v.d. L.</t>
  </si>
  <si>
    <t>Rundprofil 50 exkl. Dichtung (S6598):</t>
  </si>
  <si>
    <t>Rundprofil 80 exkl. Dichtung (S8246):</t>
  </si>
  <si>
    <t>Rundprofil 80 gr.  exkl. Dichtung (S10464):</t>
  </si>
  <si>
    <t xml:space="preserve">Rundprofil 50-90° exkl. Dichtung (S9299): </t>
  </si>
  <si>
    <t xml:space="preserve">Rundprofil 80-90° exkl. Dichtung (S10465): </t>
  </si>
  <si>
    <t xml:space="preserve">Rundprofil 50-Vario exkl. Dichtung (S9523+S9525 od. S9524 od. S9549): </t>
  </si>
  <si>
    <t xml:space="preserve">Rundprofil 80-Vario exkl. Dichtung (S10466+S10462 od. S10463): </t>
  </si>
  <si>
    <t>Bodenhülse 50 beschichtet: (für System 50+80)</t>
  </si>
  <si>
    <t>Bodenhülse 80, Vario beschichtet:</t>
  </si>
  <si>
    <t>Abdeckung VO 25 (S12418 gebogen):</t>
  </si>
  <si>
    <t>Abdeckung VO 50 (S6599 gebogen):</t>
  </si>
  <si>
    <t>Abdeckung V 25 (S12418):</t>
  </si>
  <si>
    <t>Abdeckung V 50 (S6599):</t>
  </si>
  <si>
    <t>Abdeckung VO 80 (S8064 gebogen) :</t>
  </si>
  <si>
    <t>Abdeckung V 80 (S8064):</t>
  </si>
  <si>
    <t>Artikelnummern Neuman</t>
  </si>
  <si>
    <t>Gewicht/lfm</t>
  </si>
  <si>
    <t>Gewicht inkl. Schrauben+Muttern</t>
  </si>
  <si>
    <t>Douille de sol 50/80 Vario ; aluminium prélaqué, fourni avec couvercle et joint</t>
  </si>
  <si>
    <t>Talna puša 50/80, Vario aluminij, vključno s pokrovom in tesnilom</t>
  </si>
  <si>
    <t>Markhylsa 50/80 Vario aluminium, ytbehandlad, inkl. lock med tätning</t>
  </si>
  <si>
    <t>Douille de sol 50/80 Vario ; acier inoxydable prélaqué, fourni avec couvercle et joint</t>
  </si>
  <si>
    <t>Talna puša 50/80, Vario nerjavno jeklo, vključno s pokrovom in tesnilom</t>
  </si>
  <si>
    <t>Markhylsa 50/80 Vario rostfritt stål, ytbehandlad, inkl. lock med tätning</t>
  </si>
  <si>
    <t>H-profil 25, tömítés nélkül, furatolva és sorjázva</t>
  </si>
  <si>
    <t>H-profil 25, egyedi hosszméret, tömítés nélkül, furatolva és sorjázva</t>
  </si>
  <si>
    <t>Grundprofil 25 (H-Profil v.d.L.) exkl. Dichtung, gebohrt und entgratet</t>
  </si>
  <si>
    <t>Base profile 25 (H profile in front of soffit) excl. seal, drilled and deburred</t>
  </si>
  <si>
    <t>montante per parete 25 (profilo ad H dav. apert.) esclusa guarnizione, forato e sbavato</t>
  </si>
  <si>
    <t>Základní profil 25 (h-Profil před ostění), bez těsnění, vrtaný, bez otřepů</t>
  </si>
  <si>
    <t>Profil podstawowy 25 (profil H v. d. L. ) bez uszczelnienia, nawiercony i okrawany</t>
  </si>
  <si>
    <t>Základný profil 25 (H-profil pred ostením) bez tesnenia, navŕtaný a odhrotovaný</t>
  </si>
  <si>
    <t>Basisprofiel 25 (H-profiel op de dag) excl. afdichting, geboord en afgebraamd</t>
  </si>
  <si>
    <t>Osnovni profil 25 (H-profil pred špaleto) brez tesnila, z izvrtinami in posnetimi robovi</t>
  </si>
  <si>
    <t>Grundprofil 25 (H-profil framför öppning) exkl. tätning, borrad och avgradad</t>
  </si>
  <si>
    <t>Grundprofil 25 (H-profil foran pladeunderside) ekskl. tætning, forboret og afgratet</t>
  </si>
  <si>
    <t>Grunnprofil 25 (H-profil f.å.) ekskl. tetning, boret og avgradet</t>
  </si>
  <si>
    <t>Osnovni profil 25 (H profil ispred otvora) bez brtve, bušen i s obrađenim rubovima</t>
  </si>
  <si>
    <t>Grundprofil 25 (H-Profil v.d.L.) Sonderlänge exkl. Dichtung, (Stangenware)</t>
  </si>
  <si>
    <t>Base profile 25 (H profile in front of soffit) Special length excl. seal, drilled and deburred</t>
  </si>
  <si>
    <t>montante per parete 25 (profilo ad H dav. apert.) lunghezza fuori standard esclusa guarnizione, forato e sbavato</t>
  </si>
  <si>
    <t>Základní profil 25 (h-Profil před ostění), zvláštní délka, bez těsnění, vrtaný, bez otřepů</t>
  </si>
  <si>
    <t>Profil podstawowy 25 (profil H v. d. L. ), długość specjalna bez uszczelnienia, nawiercony i okrawany</t>
  </si>
  <si>
    <t>Základný profil 25 (H-profil pred ostením), neštandardná dĺžka, bez tesnenia, navŕtaný a odhrotovaný</t>
  </si>
  <si>
    <t>Basisprofiel 25 (H-profiel op de dag) Aangepaste lengte excl. afdichting, geboord en afgebraamd</t>
  </si>
  <si>
    <t>Osnovni profil 25 (H-profil pred špaleto) Posebna dolžina brez tesnila, z izvrtinami in posnetimi robovi</t>
  </si>
  <si>
    <t>Grundprofil 25 (H-Profil framför öppning) Speciallängd exkl. tätning, borrad och avgradad</t>
  </si>
  <si>
    <t>Grundprofil 25 (H-profil foran pladeunderside) Speciallængde ekskl. tætning, forboret og afgratet</t>
  </si>
  <si>
    <t>Grunnprofil25 (H-profil f.å.) Spesiallengde ekskl. tetning, boret og avgradet</t>
  </si>
  <si>
    <t>Osnovni profil 25 (H profil ispred otvora) posebna duljina bez brtve, bušen i s obrađenim rubovima</t>
  </si>
  <si>
    <t>Pripomoček za dviganje</t>
  </si>
  <si>
    <t>Forfait thermolaquage</t>
  </si>
  <si>
    <t>Dateiname:</t>
  </si>
  <si>
    <t>Datum</t>
  </si>
  <si>
    <t>Bearb.</t>
  </si>
  <si>
    <t>PREFA</t>
  </si>
  <si>
    <t>Aluminiumprodukte GmbH</t>
  </si>
  <si>
    <t>A-3182 Marktl/Lilienfeld</t>
  </si>
  <si>
    <t>Nummer</t>
  </si>
  <si>
    <t>001</t>
  </si>
  <si>
    <t>Ausgabe mit Preis</t>
  </si>
  <si>
    <t>(Beschichtung-Abdeckung)</t>
  </si>
  <si>
    <t>(Beschichtung-Wandprofil)</t>
  </si>
  <si>
    <t>(Beschichtung-Dammbalken)</t>
  </si>
  <si>
    <t>(Beschichtung-Lagerabdeckung)</t>
  </si>
  <si>
    <t>Kalk1</t>
  </si>
  <si>
    <t>Kalk5</t>
  </si>
  <si>
    <t>Kalk4</t>
  </si>
  <si>
    <t>Kalk3</t>
  </si>
  <si>
    <t>Kalk2</t>
  </si>
  <si>
    <t>Kalk 1</t>
  </si>
  <si>
    <t>Kalk 2</t>
  </si>
  <si>
    <t>Kalk 3</t>
  </si>
  <si>
    <t>Kalk 4</t>
  </si>
  <si>
    <t>Kalk 5</t>
  </si>
  <si>
    <t>Index:</t>
  </si>
  <si>
    <t>verfasst:</t>
  </si>
  <si>
    <t>mwei</t>
  </si>
  <si>
    <t>geprüft:</t>
  </si>
  <si>
    <t>xxx</t>
  </si>
  <si>
    <r>
      <t>h</t>
    </r>
    <r>
      <rPr>
        <vertAlign val="subscript"/>
        <sz val="10"/>
        <rFont val="Roboto Light"/>
      </rPr>
      <t>B</t>
    </r>
    <r>
      <rPr>
        <sz val="10"/>
        <rFont val="Roboto Light"/>
      </rPr>
      <t xml:space="preserve"> =</t>
    </r>
  </si>
  <si>
    <r>
      <t>h</t>
    </r>
    <r>
      <rPr>
        <vertAlign val="subscript"/>
        <sz val="10"/>
        <rFont val="Roboto Light"/>
      </rPr>
      <t>B,F</t>
    </r>
    <r>
      <rPr>
        <sz val="10"/>
        <rFont val="Roboto Light"/>
      </rPr>
      <t xml:space="preserve"> =</t>
    </r>
  </si>
  <si>
    <t>Projekt:</t>
  </si>
  <si>
    <t>[cm]</t>
  </si>
  <si>
    <t>Dammbalkenhöhe</t>
  </si>
  <si>
    <t>Bauteil:</t>
  </si>
  <si>
    <t>Dammblaken 50/150 - H = 1,50 m</t>
  </si>
  <si>
    <t>Dammbalken 50/150</t>
  </si>
  <si>
    <t>S7308</t>
  </si>
  <si>
    <t>rechn. Dammbalkenhöhe Fußbereich</t>
  </si>
  <si>
    <t>Dammbalken 50/200</t>
  </si>
  <si>
    <t>S9368</t>
  </si>
  <si>
    <t>MOBILER HOCHWASSERSCHUTZ</t>
  </si>
  <si>
    <t>1.0</t>
  </si>
  <si>
    <t>Belastung</t>
  </si>
  <si>
    <t>Eingabewerte</t>
  </si>
  <si>
    <r>
      <t>ϒ</t>
    </r>
    <r>
      <rPr>
        <vertAlign val="subscript"/>
        <sz val="10"/>
        <rFont val="Roboto Light"/>
      </rPr>
      <t>w</t>
    </r>
    <r>
      <rPr>
        <sz val="10"/>
        <rFont val="Roboto Light"/>
      </rPr>
      <t xml:space="preserve"> =</t>
    </r>
  </si>
  <si>
    <t>Dichte Wasser inklusive Geschiebe</t>
  </si>
  <si>
    <t>v =</t>
  </si>
  <si>
    <t>Fließgeschwindigkeit</t>
  </si>
  <si>
    <t>m =</t>
  </si>
  <si>
    <t>Anprallende Treibgutmasse (mind. 0,4 t)</t>
  </si>
  <si>
    <t>δ =</t>
  </si>
  <si>
    <t>°</t>
  </si>
  <si>
    <t>Anströmwinkel der HWS-Wand</t>
  </si>
  <si>
    <t>1.1</t>
  </si>
  <si>
    <t>Abmessungen HWS</t>
  </si>
  <si>
    <t>H =</t>
  </si>
  <si>
    <t>Anstauhöhe (Wasserspielgel BHW)</t>
  </si>
  <si>
    <t>L =</t>
  </si>
  <si>
    <t>Stützabstand</t>
  </si>
  <si>
    <t>f =</t>
  </si>
  <si>
    <t>Mittelsäule</t>
  </si>
  <si>
    <t>System 50</t>
  </si>
  <si>
    <t>zul. Durchbiegung</t>
  </si>
  <si>
    <t>1/150</t>
  </si>
  <si>
    <t>zul. Durchbiegung der Dammbalken/Stütze unten</t>
  </si>
  <si>
    <r>
      <t>H</t>
    </r>
    <r>
      <rPr>
        <vertAlign val="subscript"/>
        <sz val="10"/>
        <rFont val="Roboto Light"/>
      </rPr>
      <t>ges</t>
    </r>
    <r>
      <rPr>
        <sz val="10"/>
        <rFont val="Roboto Light"/>
      </rPr>
      <t xml:space="preserve"> =</t>
    </r>
  </si>
  <si>
    <t>max. Stauhöhe</t>
  </si>
  <si>
    <t>2.0</t>
  </si>
  <si>
    <t>Einwirkungen</t>
  </si>
  <si>
    <t>2.1</t>
  </si>
  <si>
    <t>hydrostatische Einwirkung</t>
  </si>
  <si>
    <r>
      <t>p</t>
    </r>
    <r>
      <rPr>
        <vertAlign val="subscript"/>
        <sz val="10"/>
        <color theme="1"/>
        <rFont val="Roboto Light"/>
      </rPr>
      <t>0</t>
    </r>
    <r>
      <rPr>
        <sz val="11"/>
        <color theme="1"/>
        <rFont val="Calibri"/>
        <family val="2"/>
        <scheme val="minor"/>
      </rPr>
      <t xml:space="preserve"> = H*</t>
    </r>
    <r>
      <rPr>
        <sz val="10"/>
        <color theme="1"/>
        <rFont val="Roboto Light"/>
      </rPr>
      <t>ϒ</t>
    </r>
    <r>
      <rPr>
        <vertAlign val="subscript"/>
        <sz val="10"/>
        <color theme="1"/>
        <rFont val="Roboto Light"/>
      </rPr>
      <t>w</t>
    </r>
  </si>
  <si>
    <t>kN/m²</t>
  </si>
  <si>
    <t>statischer Wasserdruck</t>
  </si>
  <si>
    <r>
      <t>p</t>
    </r>
    <r>
      <rPr>
        <vertAlign val="subscript"/>
        <sz val="10"/>
        <color theme="1"/>
        <rFont val="Roboto Light"/>
      </rPr>
      <t>0,v</t>
    </r>
    <r>
      <rPr>
        <sz val="11"/>
        <color theme="1"/>
        <rFont val="Calibri"/>
        <family val="2"/>
        <scheme val="minor"/>
      </rPr>
      <t xml:space="preserve"> = H</t>
    </r>
    <r>
      <rPr>
        <vertAlign val="subscript"/>
        <sz val="10"/>
        <color theme="1"/>
        <rFont val="Roboto Light"/>
      </rPr>
      <t>ges</t>
    </r>
    <r>
      <rPr>
        <sz val="11"/>
        <color theme="1"/>
        <rFont val="Calibri"/>
        <family val="2"/>
        <scheme val="minor"/>
      </rPr>
      <t>*</t>
    </r>
    <r>
      <rPr>
        <sz val="10"/>
        <color theme="1"/>
        <rFont val="Roboto Light"/>
      </rPr>
      <t>ϒ</t>
    </r>
    <r>
      <rPr>
        <vertAlign val="subscript"/>
        <sz val="10"/>
        <color theme="1"/>
        <rFont val="Roboto Light"/>
      </rPr>
      <t>w</t>
    </r>
  </si>
  <si>
    <t>statischer Wasserdruck Volleinstau</t>
  </si>
  <si>
    <t>2.2</t>
  </si>
  <si>
    <t>hydrodynamische Einwirkung</t>
  </si>
  <si>
    <r>
      <t>p</t>
    </r>
    <r>
      <rPr>
        <vertAlign val="subscript"/>
        <sz val="10"/>
        <color theme="1"/>
        <rFont val="Roboto Light"/>
      </rPr>
      <t>str</t>
    </r>
    <r>
      <rPr>
        <sz val="11"/>
        <color theme="1"/>
        <rFont val="Calibri"/>
        <family val="2"/>
        <scheme val="minor"/>
      </rPr>
      <t xml:space="preserve"> = </t>
    </r>
    <r>
      <rPr>
        <sz val="10"/>
        <color theme="1"/>
        <rFont val="Roboto Light"/>
      </rPr>
      <t>ϒ</t>
    </r>
    <r>
      <rPr>
        <vertAlign val="subscript"/>
        <sz val="10"/>
        <color theme="1"/>
        <rFont val="Roboto Light"/>
      </rPr>
      <t>w</t>
    </r>
    <r>
      <rPr>
        <sz val="11"/>
        <color theme="1"/>
        <rFont val="Calibri"/>
        <family val="2"/>
        <scheme val="minor"/>
      </rPr>
      <t>*100*(v*sin(</t>
    </r>
    <r>
      <rPr>
        <sz val="10"/>
        <color theme="1"/>
        <rFont val="Roboto Light"/>
      </rPr>
      <t>δ</t>
    </r>
    <r>
      <rPr>
        <sz val="11"/>
        <color theme="1"/>
        <rFont val="Calibri"/>
        <family val="2"/>
        <scheme val="minor"/>
      </rPr>
      <t>))²</t>
    </r>
  </si>
  <si>
    <t>Strömungsdruck auf den HWS</t>
  </si>
  <si>
    <t>2.3</t>
  </si>
  <si>
    <t>Anprall von Treibgut und Eisstoß BHW</t>
  </si>
  <si>
    <r>
      <t>c</t>
    </r>
    <r>
      <rPr>
        <vertAlign val="subscript"/>
        <sz val="10"/>
        <color theme="1"/>
        <rFont val="Roboto Light"/>
      </rPr>
      <t>ges</t>
    </r>
    <r>
      <rPr>
        <sz val="11"/>
        <color theme="1"/>
        <rFont val="Calibri"/>
        <family val="2"/>
        <scheme val="minor"/>
      </rPr>
      <t xml:space="preserve"> = 1/((H^3/(3*E*I</t>
    </r>
    <r>
      <rPr>
        <vertAlign val="subscript"/>
        <sz val="10"/>
        <color theme="1"/>
        <rFont val="Roboto Light"/>
      </rPr>
      <t>z,s</t>
    </r>
    <r>
      <rPr>
        <sz val="11"/>
        <color theme="1"/>
        <rFont val="Calibri"/>
        <family val="2"/>
        <scheme val="minor"/>
      </rPr>
      <t>)/2)+L^3/(48*E*I</t>
    </r>
    <r>
      <rPr>
        <vertAlign val="subscript"/>
        <sz val="10"/>
        <color theme="1"/>
        <rFont val="Roboto Light"/>
      </rPr>
      <t>z,D</t>
    </r>
    <r>
      <rPr>
        <sz val="11"/>
        <color theme="1"/>
        <rFont val="Calibri"/>
        <family val="2"/>
        <scheme val="minor"/>
      </rPr>
      <t>))</t>
    </r>
  </si>
  <si>
    <t>kN/cm</t>
  </si>
  <si>
    <t>Federsteifigkeit Dammbalken + Stütze</t>
  </si>
  <si>
    <r>
      <t>I</t>
    </r>
    <r>
      <rPr>
        <vertAlign val="subscript"/>
        <sz val="10"/>
        <color theme="1"/>
        <rFont val="Roboto Light"/>
      </rPr>
      <t>z,D</t>
    </r>
    <r>
      <rPr>
        <sz val="11"/>
        <color theme="1"/>
        <rFont val="Calibri"/>
        <family val="2"/>
        <scheme val="minor"/>
      </rPr>
      <t xml:space="preserve"> =</t>
    </r>
  </si>
  <si>
    <r>
      <t>cm</t>
    </r>
    <r>
      <rPr>
        <vertAlign val="superscript"/>
        <sz val="8"/>
        <rFont val="Roboto Light"/>
      </rPr>
      <t>4</t>
    </r>
  </si>
  <si>
    <t>Trägheitsmoment Dammbalken</t>
  </si>
  <si>
    <r>
      <t>c</t>
    </r>
    <r>
      <rPr>
        <vertAlign val="subscript"/>
        <sz val="10"/>
        <color theme="1"/>
        <rFont val="Roboto Light"/>
      </rPr>
      <t>F,S</t>
    </r>
    <r>
      <rPr>
        <sz val="11"/>
        <color theme="1"/>
        <rFont val="Calibri"/>
        <family val="2"/>
        <scheme val="minor"/>
      </rPr>
      <t xml:space="preserve"> = 3*E*I</t>
    </r>
    <r>
      <rPr>
        <vertAlign val="subscript"/>
        <sz val="10"/>
        <color theme="1"/>
        <rFont val="Roboto Light"/>
      </rPr>
      <t>z</t>
    </r>
    <r>
      <rPr>
        <sz val="11"/>
        <color theme="1"/>
        <rFont val="Calibri"/>
        <family val="2"/>
        <scheme val="minor"/>
      </rPr>
      <t>/H^3</t>
    </r>
  </si>
  <si>
    <t>Federsteifigkeit Stütze</t>
  </si>
  <si>
    <r>
      <t>I</t>
    </r>
    <r>
      <rPr>
        <vertAlign val="subscript"/>
        <sz val="10"/>
        <color theme="1"/>
        <rFont val="Roboto Light"/>
      </rPr>
      <t>z,s</t>
    </r>
    <r>
      <rPr>
        <sz val="11"/>
        <color theme="1"/>
        <rFont val="Calibri"/>
        <family val="2"/>
        <scheme val="minor"/>
      </rPr>
      <t xml:space="preserve"> =</t>
    </r>
  </si>
  <si>
    <t>Trägheitsmoment Stütze</t>
  </si>
  <si>
    <r>
      <t>F</t>
    </r>
    <r>
      <rPr>
        <vertAlign val="subscript"/>
        <sz val="10"/>
        <color theme="1"/>
        <rFont val="Roboto Light"/>
      </rPr>
      <t>D</t>
    </r>
    <r>
      <rPr>
        <sz val="11"/>
        <color theme="1"/>
        <rFont val="Calibri"/>
        <family val="2"/>
        <scheme val="minor"/>
      </rPr>
      <t xml:space="preserve"> = v*sin(</t>
    </r>
    <r>
      <rPr>
        <sz val="10"/>
        <color theme="1"/>
        <rFont val="Roboto Light"/>
      </rPr>
      <t>δ</t>
    </r>
    <r>
      <rPr>
        <sz val="11"/>
        <color theme="1"/>
        <rFont val="Calibri"/>
        <family val="2"/>
        <scheme val="minor"/>
      </rPr>
      <t>)*(m*c</t>
    </r>
    <r>
      <rPr>
        <vertAlign val="subscript"/>
        <sz val="10"/>
        <color theme="1"/>
        <rFont val="Roboto Light"/>
      </rPr>
      <t>ges</t>
    </r>
    <r>
      <rPr>
        <sz val="11"/>
        <color theme="1"/>
        <rFont val="Calibri"/>
        <family val="2"/>
        <scheme val="minor"/>
      </rPr>
      <t>)^0,5</t>
    </r>
  </si>
  <si>
    <t>kN</t>
  </si>
  <si>
    <t>Ersatzlast Dammbalken</t>
  </si>
  <si>
    <r>
      <t>F</t>
    </r>
    <r>
      <rPr>
        <vertAlign val="subscript"/>
        <sz val="10"/>
        <color theme="1"/>
        <rFont val="Roboto Light"/>
      </rPr>
      <t>s</t>
    </r>
    <r>
      <rPr>
        <sz val="11"/>
        <color theme="1"/>
        <rFont val="Calibri"/>
        <family val="2"/>
        <scheme val="minor"/>
      </rPr>
      <t xml:space="preserve"> = v*sin(</t>
    </r>
    <r>
      <rPr>
        <sz val="10"/>
        <color theme="1"/>
        <rFont val="Roboto Light"/>
      </rPr>
      <t>δ</t>
    </r>
    <r>
      <rPr>
        <sz val="11"/>
        <color theme="1"/>
        <rFont val="Calibri"/>
        <family val="2"/>
        <scheme val="minor"/>
      </rPr>
      <t>)*(m*c</t>
    </r>
    <r>
      <rPr>
        <vertAlign val="subscript"/>
        <sz val="10"/>
        <color theme="1"/>
        <rFont val="Roboto Light"/>
      </rPr>
      <t>F,S</t>
    </r>
    <r>
      <rPr>
        <sz val="11"/>
        <color theme="1"/>
        <rFont val="Calibri"/>
        <family val="2"/>
        <scheme val="minor"/>
      </rPr>
      <t>)^0,5</t>
    </r>
  </si>
  <si>
    <t>Ersatzlast Stütze</t>
  </si>
  <si>
    <r>
      <t>n</t>
    </r>
    <r>
      <rPr>
        <vertAlign val="subscript"/>
        <sz val="10"/>
        <color theme="1"/>
        <rFont val="Roboto Light"/>
      </rPr>
      <t>B</t>
    </r>
    <r>
      <rPr>
        <sz val="11"/>
        <color theme="1"/>
        <rFont val="Calibri"/>
        <family val="2"/>
        <scheme val="minor"/>
      </rPr>
      <t xml:space="preserve"> = (H</t>
    </r>
    <r>
      <rPr>
        <vertAlign val="subscript"/>
        <sz val="10"/>
        <color theme="1"/>
        <rFont val="Roboto Light"/>
      </rPr>
      <t>ges</t>
    </r>
    <r>
      <rPr>
        <sz val="11"/>
        <color theme="1"/>
        <rFont val="Calibri"/>
        <family val="2"/>
        <scheme val="minor"/>
      </rPr>
      <t>-H+25)/h</t>
    </r>
    <r>
      <rPr>
        <vertAlign val="subscript"/>
        <sz val="10"/>
        <color theme="1"/>
        <rFont val="Roboto Light"/>
      </rPr>
      <t>B</t>
    </r>
  </si>
  <si>
    <t>Anzahl der Dammbalken bei 50 cm Lastverteilung</t>
  </si>
  <si>
    <t>2.4</t>
  </si>
  <si>
    <t>Anprall von Treibgut und Eisstoß Volleinstau</t>
  </si>
  <si>
    <r>
      <t>c</t>
    </r>
    <r>
      <rPr>
        <vertAlign val="subscript"/>
        <sz val="10"/>
        <color theme="1"/>
        <rFont val="Roboto Light"/>
      </rPr>
      <t>ges</t>
    </r>
    <r>
      <rPr>
        <sz val="11"/>
        <color theme="1"/>
        <rFont val="Calibri"/>
        <family val="2"/>
        <scheme val="minor"/>
      </rPr>
      <t xml:space="preserve"> = 1/(((H</t>
    </r>
    <r>
      <rPr>
        <vertAlign val="subscript"/>
        <sz val="10"/>
        <color theme="1"/>
        <rFont val="Roboto Light"/>
      </rPr>
      <t>ges</t>
    </r>
    <r>
      <rPr>
        <sz val="10"/>
        <color theme="1"/>
        <rFont val="Roboto Light"/>
      </rPr>
      <t>-0,25)</t>
    </r>
    <r>
      <rPr>
        <sz val="11"/>
        <color theme="1"/>
        <rFont val="Calibri"/>
        <family val="2"/>
        <scheme val="minor"/>
      </rPr>
      <t>^3/(3*E*I</t>
    </r>
    <r>
      <rPr>
        <vertAlign val="subscript"/>
        <sz val="10"/>
        <color theme="1"/>
        <rFont val="Roboto Light"/>
      </rPr>
      <t>z,s</t>
    </r>
    <r>
      <rPr>
        <sz val="11"/>
        <color theme="1"/>
        <rFont val="Calibri"/>
        <family val="2"/>
        <scheme val="minor"/>
      </rPr>
      <t>)/2)+L^3/(48*E*I</t>
    </r>
    <r>
      <rPr>
        <vertAlign val="subscript"/>
        <sz val="10"/>
        <color theme="1"/>
        <rFont val="Roboto Light"/>
      </rPr>
      <t>z,D</t>
    </r>
    <r>
      <rPr>
        <sz val="11"/>
        <color theme="1"/>
        <rFont val="Calibri"/>
        <family val="2"/>
        <scheme val="minor"/>
      </rPr>
      <t>))</t>
    </r>
  </si>
  <si>
    <r>
      <t>c</t>
    </r>
    <r>
      <rPr>
        <vertAlign val="subscript"/>
        <sz val="10"/>
        <color theme="1"/>
        <rFont val="Roboto Light"/>
      </rPr>
      <t>F,S</t>
    </r>
    <r>
      <rPr>
        <sz val="11"/>
        <color theme="1"/>
        <rFont val="Calibri"/>
        <family val="2"/>
        <scheme val="minor"/>
      </rPr>
      <t xml:space="preserve"> = 3*E*I</t>
    </r>
    <r>
      <rPr>
        <vertAlign val="subscript"/>
        <sz val="10"/>
        <color theme="1"/>
        <rFont val="Roboto Light"/>
      </rPr>
      <t>z</t>
    </r>
    <r>
      <rPr>
        <sz val="11"/>
        <color theme="1"/>
        <rFont val="Calibri"/>
        <family val="2"/>
        <scheme val="minor"/>
      </rPr>
      <t>/(H</t>
    </r>
    <r>
      <rPr>
        <vertAlign val="subscript"/>
        <sz val="10"/>
        <color theme="1"/>
        <rFont val="Roboto Light"/>
      </rPr>
      <t>ges</t>
    </r>
    <r>
      <rPr>
        <sz val="10"/>
        <color theme="1"/>
        <rFont val="Roboto Light"/>
      </rPr>
      <t>-0,25)</t>
    </r>
    <r>
      <rPr>
        <sz val="11"/>
        <color theme="1"/>
        <rFont val="Calibri"/>
        <family val="2"/>
        <scheme val="minor"/>
      </rPr>
      <t>^3</t>
    </r>
  </si>
  <si>
    <r>
      <t>n</t>
    </r>
    <r>
      <rPr>
        <vertAlign val="subscript"/>
        <sz val="10"/>
        <color theme="1"/>
        <rFont val="Roboto Light"/>
      </rPr>
      <t>B</t>
    </r>
    <r>
      <rPr>
        <sz val="11"/>
        <color theme="1"/>
        <rFont val="Calibri"/>
        <family val="2"/>
        <scheme val="minor"/>
      </rPr>
      <t xml:space="preserve"> = 25/h</t>
    </r>
    <r>
      <rPr>
        <vertAlign val="subscript"/>
        <sz val="10"/>
        <color theme="1"/>
        <rFont val="Roboto Light"/>
      </rPr>
      <t>B</t>
    </r>
  </si>
  <si>
    <t>MOBILER HOCHWASSERSCHUTZ - Rundprofil System 50 - S6598</t>
  </si>
  <si>
    <t>als Kragarm</t>
  </si>
  <si>
    <t>Querschnittswerte</t>
  </si>
  <si>
    <t>A =</t>
  </si>
  <si>
    <t>cm²</t>
  </si>
  <si>
    <t>Querschnittsfläche</t>
  </si>
  <si>
    <r>
      <t>A</t>
    </r>
    <r>
      <rPr>
        <vertAlign val="subscript"/>
        <sz val="10"/>
        <rFont val="Roboto Light"/>
      </rPr>
      <t>y</t>
    </r>
    <r>
      <rPr>
        <sz val="10"/>
        <rFont val="Roboto Light"/>
      </rPr>
      <t xml:space="preserve"> =</t>
    </r>
  </si>
  <si>
    <t>Schubfläche</t>
  </si>
  <si>
    <r>
      <t>I</t>
    </r>
    <r>
      <rPr>
        <vertAlign val="subscript"/>
        <sz val="10"/>
        <rFont val="Roboto Light"/>
      </rPr>
      <t>z</t>
    </r>
    <r>
      <rPr>
        <sz val="10"/>
        <rFont val="Roboto Light"/>
      </rPr>
      <t xml:space="preserve"> =</t>
    </r>
  </si>
  <si>
    <t>Trägheitsmoment</t>
  </si>
  <si>
    <r>
      <t>W</t>
    </r>
    <r>
      <rPr>
        <vertAlign val="subscript"/>
        <sz val="10"/>
        <rFont val="Roboto Light"/>
      </rPr>
      <t>z</t>
    </r>
    <r>
      <rPr>
        <sz val="10"/>
        <rFont val="Roboto Light"/>
      </rPr>
      <t xml:space="preserve"> =</t>
    </r>
  </si>
  <si>
    <t>cm³</t>
  </si>
  <si>
    <t>elastisches Widerstandsmoment</t>
  </si>
  <si>
    <r>
      <t>W</t>
    </r>
    <r>
      <rPr>
        <vertAlign val="subscript"/>
        <sz val="10"/>
        <rFont val="Roboto Light"/>
      </rPr>
      <t>pl,z</t>
    </r>
    <r>
      <rPr>
        <sz val="10"/>
        <rFont val="Roboto Light"/>
      </rPr>
      <t xml:space="preserve"> =</t>
    </r>
  </si>
  <si>
    <t>plastisches Widerstandsmoment</t>
  </si>
  <si>
    <t>Material</t>
  </si>
  <si>
    <t>EN-AW 6063 - T66</t>
  </si>
  <si>
    <t>E =</t>
  </si>
  <si>
    <t>kN/cm²</t>
  </si>
  <si>
    <r>
      <t>f</t>
    </r>
    <r>
      <rPr>
        <vertAlign val="subscript"/>
        <sz val="10"/>
        <color theme="1"/>
        <rFont val="Roboto Light"/>
      </rPr>
      <t>0</t>
    </r>
    <r>
      <rPr>
        <sz val="11"/>
        <color theme="1"/>
        <rFont val="Calibri"/>
        <family val="2"/>
        <scheme val="minor"/>
      </rPr>
      <t xml:space="preserve"> =</t>
    </r>
  </si>
  <si>
    <r>
      <t>f</t>
    </r>
    <r>
      <rPr>
        <vertAlign val="subscript"/>
        <sz val="10"/>
        <color theme="1"/>
        <rFont val="Roboto Light"/>
      </rPr>
      <t>u</t>
    </r>
    <r>
      <rPr>
        <sz val="11"/>
        <color theme="1"/>
        <rFont val="Calibri"/>
        <family val="2"/>
        <scheme val="minor"/>
      </rPr>
      <t xml:space="preserve"> =</t>
    </r>
  </si>
  <si>
    <r>
      <t>ϒ</t>
    </r>
    <r>
      <rPr>
        <vertAlign val="subscript"/>
        <sz val="10"/>
        <rFont val="Roboto Light"/>
      </rPr>
      <t>M1</t>
    </r>
    <r>
      <rPr>
        <sz val="10"/>
        <rFont val="Roboto Light"/>
      </rPr>
      <t xml:space="preserve"> =</t>
    </r>
  </si>
  <si>
    <r>
      <t>ϒ</t>
    </r>
    <r>
      <rPr>
        <vertAlign val="subscript"/>
        <sz val="10"/>
        <rFont val="Roboto Light"/>
      </rPr>
      <t>M2</t>
    </r>
    <r>
      <rPr>
        <sz val="10"/>
        <rFont val="Roboto Light"/>
      </rPr>
      <t xml:space="preserve"> =</t>
    </r>
  </si>
  <si>
    <t>3.0</t>
  </si>
  <si>
    <t>Auflagerreaktionen</t>
  </si>
  <si>
    <t>x =</t>
  </si>
  <si>
    <t>cm</t>
  </si>
  <si>
    <t>Abstand OK Hülse bis zum Einspannpunkt</t>
  </si>
  <si>
    <r>
      <t>A</t>
    </r>
    <r>
      <rPr>
        <vertAlign val="subscript"/>
        <sz val="10"/>
        <rFont val="Roboto Light"/>
      </rPr>
      <t>v,p1,0</t>
    </r>
    <r>
      <rPr>
        <sz val="10"/>
        <rFont val="Roboto Light"/>
      </rPr>
      <t xml:space="preserve"> = (p</t>
    </r>
    <r>
      <rPr>
        <vertAlign val="subscript"/>
        <sz val="10"/>
        <rFont val="Roboto Light"/>
      </rPr>
      <t>1,0</t>
    </r>
    <r>
      <rPr>
        <sz val="10"/>
        <rFont val="Roboto Light"/>
      </rPr>
      <t>*H</t>
    </r>
    <r>
      <rPr>
        <vertAlign val="subscript"/>
        <sz val="10"/>
        <rFont val="Roboto Light"/>
      </rPr>
      <t>ges</t>
    </r>
    <r>
      <rPr>
        <sz val="10"/>
        <rFont val="Roboto Light"/>
      </rPr>
      <t>/2*(H</t>
    </r>
    <r>
      <rPr>
        <vertAlign val="subscript"/>
        <sz val="10"/>
        <rFont val="Roboto Light"/>
      </rPr>
      <t>ges</t>
    </r>
    <r>
      <rPr>
        <sz val="10"/>
        <rFont val="Roboto Light"/>
      </rPr>
      <t>/3+x)*L)/a</t>
    </r>
  </si>
  <si>
    <t>a =</t>
  </si>
  <si>
    <t>Einspannlänge</t>
  </si>
  <si>
    <r>
      <t>B</t>
    </r>
    <r>
      <rPr>
        <vertAlign val="subscript"/>
        <sz val="10"/>
        <rFont val="Roboto Light"/>
      </rPr>
      <t>v,p1,0</t>
    </r>
    <r>
      <rPr>
        <sz val="10"/>
        <rFont val="Roboto Light"/>
      </rPr>
      <t xml:space="preserve"> = A</t>
    </r>
    <r>
      <rPr>
        <vertAlign val="subscript"/>
        <sz val="10"/>
        <rFont val="Roboto Light"/>
      </rPr>
      <t>v,p1,0</t>
    </r>
    <r>
      <rPr>
        <sz val="10"/>
        <rFont val="Roboto Light"/>
      </rPr>
      <t xml:space="preserve"> + V</t>
    </r>
    <r>
      <rPr>
        <vertAlign val="subscript"/>
        <sz val="10"/>
        <rFont val="Roboto Light"/>
      </rPr>
      <t>Ed,p1,0</t>
    </r>
  </si>
  <si>
    <t>BHW</t>
  </si>
  <si>
    <r>
      <t>A</t>
    </r>
    <r>
      <rPr>
        <vertAlign val="subscript"/>
        <sz val="10"/>
        <rFont val="Roboto Light"/>
      </rPr>
      <t>v,p1,Str</t>
    </r>
    <r>
      <rPr>
        <sz val="10"/>
        <rFont val="Roboto Light"/>
      </rPr>
      <t xml:space="preserve"> = p</t>
    </r>
    <r>
      <rPr>
        <vertAlign val="subscript"/>
        <sz val="10"/>
        <rFont val="Roboto Light"/>
      </rPr>
      <t>1,Str</t>
    </r>
    <r>
      <rPr>
        <sz val="10"/>
        <rFont val="Roboto Light"/>
      </rPr>
      <t>*H</t>
    </r>
    <r>
      <rPr>
        <vertAlign val="subscript"/>
        <sz val="10"/>
        <rFont val="Roboto Light"/>
      </rPr>
      <t>ges</t>
    </r>
    <r>
      <rPr>
        <sz val="10"/>
        <rFont val="Roboto Light"/>
      </rPr>
      <t>*L/a</t>
    </r>
  </si>
  <si>
    <r>
      <t>V</t>
    </r>
    <r>
      <rPr>
        <vertAlign val="subscript"/>
        <sz val="10"/>
        <rFont val="Roboto Light"/>
      </rPr>
      <t>Ed,p1,o</t>
    </r>
    <r>
      <rPr>
        <sz val="10"/>
        <rFont val="Roboto Light"/>
      </rPr>
      <t xml:space="preserve"> = p</t>
    </r>
    <r>
      <rPr>
        <vertAlign val="subscript"/>
        <sz val="10"/>
        <rFont val="Roboto Light"/>
      </rPr>
      <t>1,0</t>
    </r>
    <r>
      <rPr>
        <sz val="10"/>
        <rFont val="Roboto Light"/>
      </rPr>
      <t>*H</t>
    </r>
    <r>
      <rPr>
        <vertAlign val="subscript"/>
        <sz val="10"/>
        <rFont val="Roboto Light"/>
      </rPr>
      <t>ges</t>
    </r>
    <r>
      <rPr>
        <sz val="10"/>
        <rFont val="Roboto Light"/>
      </rPr>
      <t>/2*L</t>
    </r>
  </si>
  <si>
    <t>Querkraft statischer Wasserdruck</t>
  </si>
  <si>
    <r>
      <t>B</t>
    </r>
    <r>
      <rPr>
        <vertAlign val="subscript"/>
        <sz val="10"/>
        <rFont val="Roboto Light"/>
      </rPr>
      <t>v,p1,Str</t>
    </r>
    <r>
      <rPr>
        <sz val="10"/>
        <rFont val="Roboto Light"/>
      </rPr>
      <t xml:space="preserve"> = A</t>
    </r>
    <r>
      <rPr>
        <vertAlign val="subscript"/>
        <sz val="10"/>
        <rFont val="Roboto Light"/>
      </rPr>
      <t>v,p1,Str</t>
    </r>
    <r>
      <rPr>
        <sz val="10"/>
        <rFont val="Roboto Light"/>
      </rPr>
      <t xml:space="preserve"> + V</t>
    </r>
    <r>
      <rPr>
        <vertAlign val="subscript"/>
        <sz val="10"/>
        <rFont val="Roboto Light"/>
      </rPr>
      <t>Ed,p1,Str</t>
    </r>
  </si>
  <si>
    <r>
      <t>M</t>
    </r>
    <r>
      <rPr>
        <vertAlign val="subscript"/>
        <sz val="10"/>
        <rFont val="Roboto Light"/>
      </rPr>
      <t>Ed,p1,o</t>
    </r>
    <r>
      <rPr>
        <sz val="10"/>
        <rFont val="Roboto Light"/>
      </rPr>
      <t xml:space="preserve"> = p</t>
    </r>
    <r>
      <rPr>
        <vertAlign val="subscript"/>
        <sz val="10"/>
        <rFont val="Roboto Light"/>
      </rPr>
      <t>1,0</t>
    </r>
    <r>
      <rPr>
        <sz val="10"/>
        <rFont val="Roboto Light"/>
      </rPr>
      <t>*H</t>
    </r>
    <r>
      <rPr>
        <vertAlign val="subscript"/>
        <sz val="10"/>
        <rFont val="Roboto Light"/>
      </rPr>
      <t>ges</t>
    </r>
    <r>
      <rPr>
        <sz val="10"/>
        <rFont val="Roboto Light"/>
      </rPr>
      <t>/2*(H</t>
    </r>
    <r>
      <rPr>
        <vertAlign val="subscript"/>
        <sz val="10"/>
        <rFont val="Roboto Light"/>
      </rPr>
      <t>ges</t>
    </r>
    <r>
      <rPr>
        <sz val="10"/>
        <rFont val="Roboto Light"/>
      </rPr>
      <t>/3+x)*L</t>
    </r>
  </si>
  <si>
    <t>kNm</t>
  </si>
  <si>
    <t>Moment statischer Wasserdruck</t>
  </si>
  <si>
    <r>
      <t>A</t>
    </r>
    <r>
      <rPr>
        <vertAlign val="subscript"/>
        <sz val="10"/>
        <rFont val="Roboto Light"/>
      </rPr>
      <t>v,Fs,1</t>
    </r>
    <r>
      <rPr>
        <sz val="10"/>
        <rFont val="Roboto Light"/>
      </rPr>
      <t xml:space="preserve"> = F</t>
    </r>
    <r>
      <rPr>
        <vertAlign val="subscript"/>
        <sz val="10"/>
        <rFont val="Roboto Light"/>
      </rPr>
      <t>s,1</t>
    </r>
    <r>
      <rPr>
        <sz val="10"/>
        <rFont val="Roboto Light"/>
      </rPr>
      <t>*(H</t>
    </r>
    <r>
      <rPr>
        <vertAlign val="subscript"/>
        <sz val="10"/>
        <rFont val="Roboto Light"/>
      </rPr>
      <t>ges</t>
    </r>
    <r>
      <rPr>
        <sz val="10"/>
        <rFont val="Roboto Light"/>
      </rPr>
      <t>-0,25+x)/a</t>
    </r>
  </si>
  <si>
    <r>
      <t>V</t>
    </r>
    <r>
      <rPr>
        <vertAlign val="subscript"/>
        <sz val="10"/>
        <rFont val="Roboto Light"/>
      </rPr>
      <t>Ed,p1,Str</t>
    </r>
    <r>
      <rPr>
        <sz val="10"/>
        <rFont val="Roboto Light"/>
      </rPr>
      <t xml:space="preserve"> = p</t>
    </r>
    <r>
      <rPr>
        <vertAlign val="subscript"/>
        <sz val="10"/>
        <rFont val="Roboto Light"/>
      </rPr>
      <t>1,Str</t>
    </r>
    <r>
      <rPr>
        <sz val="10"/>
        <rFont val="Roboto Light"/>
      </rPr>
      <t>*H</t>
    </r>
    <r>
      <rPr>
        <vertAlign val="subscript"/>
        <sz val="10"/>
        <rFont val="Roboto Light"/>
      </rPr>
      <t>ges</t>
    </r>
    <r>
      <rPr>
        <sz val="10"/>
        <rFont val="Roboto Light"/>
      </rPr>
      <t>*L</t>
    </r>
  </si>
  <si>
    <t>Querkraft Strömungsdruck</t>
  </si>
  <si>
    <r>
      <t>B</t>
    </r>
    <r>
      <rPr>
        <vertAlign val="subscript"/>
        <sz val="10"/>
        <rFont val="Roboto Light"/>
      </rPr>
      <t>v,Fs,1</t>
    </r>
    <r>
      <rPr>
        <sz val="10"/>
        <rFont val="Roboto Light"/>
      </rPr>
      <t xml:space="preserve"> = A</t>
    </r>
    <r>
      <rPr>
        <vertAlign val="subscript"/>
        <sz val="10"/>
        <rFont val="Roboto Light"/>
      </rPr>
      <t>v,Fs,1</t>
    </r>
    <r>
      <rPr>
        <sz val="10"/>
        <rFont val="Roboto Light"/>
      </rPr>
      <t xml:space="preserve"> + V</t>
    </r>
    <r>
      <rPr>
        <vertAlign val="subscript"/>
        <sz val="10"/>
        <rFont val="Roboto Light"/>
      </rPr>
      <t>Ed,Fs,1</t>
    </r>
  </si>
  <si>
    <r>
      <t>M</t>
    </r>
    <r>
      <rPr>
        <vertAlign val="subscript"/>
        <sz val="10"/>
        <rFont val="Roboto Light"/>
      </rPr>
      <t>Ed,p1,Str</t>
    </r>
    <r>
      <rPr>
        <sz val="10"/>
        <rFont val="Roboto Light"/>
      </rPr>
      <t xml:space="preserve"> = p</t>
    </r>
    <r>
      <rPr>
        <vertAlign val="subscript"/>
        <sz val="10"/>
        <rFont val="Roboto Light"/>
      </rPr>
      <t>1,Str</t>
    </r>
    <r>
      <rPr>
        <sz val="10"/>
        <rFont val="Roboto Light"/>
      </rPr>
      <t>*H</t>
    </r>
    <r>
      <rPr>
        <vertAlign val="subscript"/>
        <sz val="10"/>
        <rFont val="Roboto Light"/>
      </rPr>
      <t>ges</t>
    </r>
    <r>
      <rPr>
        <sz val="10"/>
        <rFont val="Roboto Light"/>
      </rPr>
      <t>*(H</t>
    </r>
    <r>
      <rPr>
        <vertAlign val="subscript"/>
        <sz val="10"/>
        <rFont val="Roboto Light"/>
      </rPr>
      <t>ges</t>
    </r>
    <r>
      <rPr>
        <sz val="10"/>
        <rFont val="Roboto Light"/>
      </rPr>
      <t>/2+x)*L</t>
    </r>
  </si>
  <si>
    <t>Moment Strömungsdruck</t>
  </si>
  <si>
    <r>
      <t>V</t>
    </r>
    <r>
      <rPr>
        <vertAlign val="subscript"/>
        <sz val="10"/>
        <rFont val="Roboto Light"/>
      </rPr>
      <t>Ed,Fs,1</t>
    </r>
    <r>
      <rPr>
        <sz val="10"/>
        <rFont val="Roboto Light"/>
      </rPr>
      <t xml:space="preserve"> = F</t>
    </r>
    <r>
      <rPr>
        <vertAlign val="subscript"/>
        <sz val="10"/>
        <rFont val="Roboto Light"/>
      </rPr>
      <t>s,1</t>
    </r>
  </si>
  <si>
    <t>Querkraft Stoß</t>
  </si>
  <si>
    <r>
      <t>M</t>
    </r>
    <r>
      <rPr>
        <vertAlign val="subscript"/>
        <sz val="10"/>
        <rFont val="Roboto Light"/>
      </rPr>
      <t>ed,Fs,1</t>
    </r>
    <r>
      <rPr>
        <sz val="10"/>
        <rFont val="Roboto Light"/>
      </rPr>
      <t xml:space="preserve"> = F</t>
    </r>
    <r>
      <rPr>
        <vertAlign val="subscript"/>
        <sz val="10"/>
        <rFont val="Roboto Light"/>
      </rPr>
      <t>s,1</t>
    </r>
    <r>
      <rPr>
        <sz val="10"/>
        <rFont val="Roboto Light"/>
      </rPr>
      <t>*(H</t>
    </r>
    <r>
      <rPr>
        <vertAlign val="subscript"/>
        <sz val="10"/>
        <rFont val="Roboto Light"/>
      </rPr>
      <t>ges</t>
    </r>
    <r>
      <rPr>
        <sz val="10"/>
        <rFont val="Roboto Light"/>
      </rPr>
      <t>-0,25+x)</t>
    </r>
  </si>
  <si>
    <t>Moment Stoß</t>
  </si>
  <si>
    <r>
      <t>V</t>
    </r>
    <r>
      <rPr>
        <vertAlign val="subscript"/>
        <sz val="10"/>
        <rFont val="Roboto Black"/>
      </rPr>
      <t>Ed,s</t>
    </r>
    <r>
      <rPr>
        <sz val="10"/>
        <rFont val="Roboto Black"/>
      </rPr>
      <t xml:space="preserve"> = V</t>
    </r>
    <r>
      <rPr>
        <vertAlign val="subscript"/>
        <sz val="10"/>
        <rFont val="Roboto Black"/>
      </rPr>
      <t>Ed,p1,o</t>
    </r>
    <r>
      <rPr>
        <sz val="10"/>
        <rFont val="Roboto Black"/>
      </rPr>
      <t>+V</t>
    </r>
    <r>
      <rPr>
        <vertAlign val="subscript"/>
        <sz val="10"/>
        <rFont val="Roboto Black"/>
      </rPr>
      <t>Ed,p1,str</t>
    </r>
    <r>
      <rPr>
        <sz val="10"/>
        <rFont val="Roboto Black"/>
      </rPr>
      <t>+V</t>
    </r>
    <r>
      <rPr>
        <vertAlign val="subscript"/>
        <sz val="10"/>
        <rFont val="Roboto Black"/>
      </rPr>
      <t>Ed,Fs,1</t>
    </r>
  </si>
  <si>
    <t>Querkraft mit Stoß</t>
  </si>
  <si>
    <r>
      <t>M</t>
    </r>
    <r>
      <rPr>
        <vertAlign val="subscript"/>
        <sz val="10"/>
        <rFont val="Roboto Black"/>
      </rPr>
      <t>Ed,s</t>
    </r>
    <r>
      <rPr>
        <sz val="10"/>
        <rFont val="Roboto Black"/>
      </rPr>
      <t xml:space="preserve"> = M</t>
    </r>
    <r>
      <rPr>
        <vertAlign val="subscript"/>
        <sz val="10"/>
        <rFont val="Roboto Black"/>
      </rPr>
      <t>Ed,p1,o</t>
    </r>
    <r>
      <rPr>
        <sz val="10"/>
        <rFont val="Roboto Black"/>
      </rPr>
      <t>+M</t>
    </r>
    <r>
      <rPr>
        <vertAlign val="subscript"/>
        <sz val="10"/>
        <rFont val="Roboto Black"/>
      </rPr>
      <t>Ed,p1,str</t>
    </r>
    <r>
      <rPr>
        <sz val="10"/>
        <rFont val="Roboto Black"/>
      </rPr>
      <t>+M</t>
    </r>
    <r>
      <rPr>
        <vertAlign val="subscript"/>
        <sz val="10"/>
        <rFont val="Roboto Black"/>
      </rPr>
      <t>Ed,Fs,1</t>
    </r>
  </si>
  <si>
    <t>Moment mit Stoß</t>
  </si>
  <si>
    <r>
      <t>V</t>
    </r>
    <r>
      <rPr>
        <vertAlign val="subscript"/>
        <sz val="10"/>
        <rFont val="Roboto Black"/>
      </rPr>
      <t>Ed</t>
    </r>
    <r>
      <rPr>
        <sz val="10"/>
        <rFont val="Roboto Black"/>
      </rPr>
      <t xml:space="preserve"> = V</t>
    </r>
    <r>
      <rPr>
        <vertAlign val="subscript"/>
        <sz val="10"/>
        <rFont val="Roboto Black"/>
      </rPr>
      <t>Ed,p1,o</t>
    </r>
    <r>
      <rPr>
        <sz val="10"/>
        <rFont val="Roboto Black"/>
      </rPr>
      <t>+V</t>
    </r>
    <r>
      <rPr>
        <vertAlign val="subscript"/>
        <sz val="10"/>
        <rFont val="Roboto Black"/>
      </rPr>
      <t>Ed,p1,str</t>
    </r>
  </si>
  <si>
    <t>Querkraft ohne Stoß</t>
  </si>
  <si>
    <r>
      <t>M</t>
    </r>
    <r>
      <rPr>
        <vertAlign val="subscript"/>
        <sz val="10"/>
        <rFont val="Roboto Black"/>
      </rPr>
      <t>Ed</t>
    </r>
    <r>
      <rPr>
        <sz val="10"/>
        <rFont val="Roboto Black"/>
      </rPr>
      <t xml:space="preserve"> = M</t>
    </r>
    <r>
      <rPr>
        <vertAlign val="subscript"/>
        <sz val="10"/>
        <rFont val="Roboto Black"/>
      </rPr>
      <t>Ed,p1,o</t>
    </r>
    <r>
      <rPr>
        <sz val="10"/>
        <rFont val="Roboto Black"/>
      </rPr>
      <t>+M</t>
    </r>
    <r>
      <rPr>
        <vertAlign val="subscript"/>
        <sz val="10"/>
        <rFont val="Roboto Black"/>
      </rPr>
      <t>Ed,p1,str</t>
    </r>
  </si>
  <si>
    <t>Moment ohne Stoß</t>
  </si>
  <si>
    <t>4.0</t>
  </si>
  <si>
    <t>Grenzzustände der Tragfähigkeit von Bauteilen</t>
  </si>
  <si>
    <t>4.1</t>
  </si>
  <si>
    <t>Querkraftbeanspruchung</t>
  </si>
  <si>
    <r>
      <t>V</t>
    </r>
    <r>
      <rPr>
        <vertAlign val="subscript"/>
        <sz val="10"/>
        <color theme="1"/>
        <rFont val="Roboto Light"/>
      </rPr>
      <t>Rd,y</t>
    </r>
    <r>
      <rPr>
        <sz val="11"/>
        <color theme="1"/>
        <rFont val="Calibri"/>
        <family val="2"/>
        <scheme val="minor"/>
      </rPr>
      <t xml:space="preserve"> = A</t>
    </r>
    <r>
      <rPr>
        <vertAlign val="subscript"/>
        <sz val="10"/>
        <color theme="1"/>
        <rFont val="Roboto Light"/>
      </rPr>
      <t>v,y</t>
    </r>
    <r>
      <rPr>
        <sz val="11"/>
        <color theme="1"/>
        <rFont val="Calibri"/>
        <family val="2"/>
        <scheme val="minor"/>
      </rPr>
      <t>*f</t>
    </r>
    <r>
      <rPr>
        <vertAlign val="subscript"/>
        <sz val="10"/>
        <color theme="1"/>
        <rFont val="Roboto Light"/>
      </rPr>
      <t>0</t>
    </r>
    <r>
      <rPr>
        <sz val="11"/>
        <color theme="1"/>
        <rFont val="Calibri"/>
        <family val="2"/>
        <scheme val="minor"/>
      </rPr>
      <t>/(3^0,5*</t>
    </r>
    <r>
      <rPr>
        <sz val="10"/>
        <color theme="1"/>
        <rFont val="Roboto Light"/>
      </rPr>
      <t>ϒ</t>
    </r>
    <r>
      <rPr>
        <vertAlign val="subscript"/>
        <sz val="10"/>
        <color theme="1"/>
        <rFont val="Roboto Light"/>
      </rPr>
      <t>M1</t>
    </r>
    <r>
      <rPr>
        <sz val="11"/>
        <color theme="1"/>
        <rFont val="Calibri"/>
        <family val="2"/>
        <scheme val="minor"/>
      </rPr>
      <t>)</t>
    </r>
  </si>
  <si>
    <r>
      <t>η</t>
    </r>
    <r>
      <rPr>
        <vertAlign val="subscript"/>
        <sz val="10"/>
        <color theme="1"/>
        <rFont val="Roboto Black"/>
      </rPr>
      <t>V,S</t>
    </r>
    <r>
      <rPr>
        <sz val="10"/>
        <color theme="1"/>
        <rFont val="Roboto Black"/>
      </rPr>
      <t xml:space="preserve"> = V</t>
    </r>
    <r>
      <rPr>
        <vertAlign val="subscript"/>
        <sz val="10"/>
        <color theme="1"/>
        <rFont val="Roboto Black"/>
      </rPr>
      <t>Ed</t>
    </r>
    <r>
      <rPr>
        <sz val="10"/>
        <color theme="1"/>
        <rFont val="Roboto Black"/>
      </rPr>
      <t>/V</t>
    </r>
    <r>
      <rPr>
        <vertAlign val="subscript"/>
        <sz val="10"/>
        <color theme="1"/>
        <rFont val="Roboto Black"/>
      </rPr>
      <t>Rd,y</t>
    </r>
  </si>
  <si>
    <t>mit Stoß</t>
  </si>
  <si>
    <r>
      <t>η</t>
    </r>
    <r>
      <rPr>
        <vertAlign val="subscript"/>
        <sz val="10"/>
        <color theme="1"/>
        <rFont val="Roboto Black"/>
      </rPr>
      <t>V</t>
    </r>
    <r>
      <rPr>
        <sz val="10"/>
        <color theme="1"/>
        <rFont val="Roboto Black"/>
      </rPr>
      <t xml:space="preserve"> = V</t>
    </r>
    <r>
      <rPr>
        <vertAlign val="subscript"/>
        <sz val="10"/>
        <color theme="1"/>
        <rFont val="Roboto Black"/>
      </rPr>
      <t>Ed</t>
    </r>
    <r>
      <rPr>
        <sz val="10"/>
        <color theme="1"/>
        <rFont val="Roboto Black"/>
      </rPr>
      <t>/V</t>
    </r>
    <r>
      <rPr>
        <vertAlign val="subscript"/>
        <sz val="10"/>
        <color theme="1"/>
        <rFont val="Roboto Black"/>
      </rPr>
      <t>Rd,y</t>
    </r>
  </si>
  <si>
    <t>ohne Stoß</t>
  </si>
  <si>
    <t>4.2</t>
  </si>
  <si>
    <t>Biegemoment</t>
  </si>
  <si>
    <r>
      <rPr>
        <sz val="10"/>
        <color theme="1"/>
        <rFont val="Roboto Light"/>
      </rPr>
      <t>α</t>
    </r>
    <r>
      <rPr>
        <sz val="11"/>
        <color theme="1"/>
        <rFont val="Calibri"/>
        <family val="2"/>
        <scheme val="minor"/>
      </rPr>
      <t xml:space="preserve"> = W</t>
    </r>
    <r>
      <rPr>
        <vertAlign val="subscript"/>
        <sz val="10"/>
        <color theme="1"/>
        <rFont val="Roboto Light"/>
      </rPr>
      <t>pl,z</t>
    </r>
    <r>
      <rPr>
        <sz val="11"/>
        <color theme="1"/>
        <rFont val="Calibri"/>
        <family val="2"/>
        <scheme val="minor"/>
      </rPr>
      <t>/W</t>
    </r>
    <r>
      <rPr>
        <vertAlign val="subscript"/>
        <sz val="10"/>
        <color theme="1"/>
        <rFont val="Roboto Light"/>
      </rPr>
      <t>z</t>
    </r>
  </si>
  <si>
    <r>
      <t>f</t>
    </r>
    <r>
      <rPr>
        <vertAlign val="subscript"/>
        <sz val="10"/>
        <color theme="1"/>
        <rFont val="Roboto Light"/>
      </rPr>
      <t>0,v</t>
    </r>
    <r>
      <rPr>
        <sz val="10"/>
        <color theme="1"/>
        <rFont val="Roboto Light"/>
      </rPr>
      <t xml:space="preserve"> = f</t>
    </r>
    <r>
      <rPr>
        <vertAlign val="subscript"/>
        <sz val="10"/>
        <color theme="1"/>
        <rFont val="Roboto Light"/>
      </rPr>
      <t>0</t>
    </r>
    <r>
      <rPr>
        <sz val="10"/>
        <color theme="1"/>
        <rFont val="Roboto Light"/>
      </rPr>
      <t>*(1-(2*V</t>
    </r>
    <r>
      <rPr>
        <vertAlign val="subscript"/>
        <sz val="10"/>
        <color theme="1"/>
        <rFont val="Roboto Light"/>
      </rPr>
      <t>Ed</t>
    </r>
    <r>
      <rPr>
        <sz val="10"/>
        <color theme="1"/>
        <rFont val="Roboto Light"/>
      </rPr>
      <t>/V</t>
    </r>
    <r>
      <rPr>
        <vertAlign val="subscript"/>
        <sz val="10"/>
        <color theme="1"/>
        <rFont val="Roboto Light"/>
      </rPr>
      <t>Rd</t>
    </r>
    <r>
      <rPr>
        <sz val="10"/>
        <color theme="1"/>
        <rFont val="Roboto Light"/>
      </rPr>
      <t>-1)²)</t>
    </r>
  </si>
  <si>
    <r>
      <t>M</t>
    </r>
    <r>
      <rPr>
        <vertAlign val="subscript"/>
        <sz val="10"/>
        <rFont val="Roboto Light"/>
      </rPr>
      <t xml:space="preserve">o,Rd </t>
    </r>
    <r>
      <rPr>
        <sz val="10"/>
        <rFont val="Roboto Light"/>
      </rPr>
      <t>= α*W</t>
    </r>
    <r>
      <rPr>
        <vertAlign val="subscript"/>
        <sz val="10"/>
        <rFont val="Roboto Light"/>
      </rPr>
      <t>z</t>
    </r>
    <r>
      <rPr>
        <sz val="10"/>
        <rFont val="Roboto Light"/>
      </rPr>
      <t>*f</t>
    </r>
    <r>
      <rPr>
        <vertAlign val="subscript"/>
        <sz val="10"/>
        <rFont val="Roboto Light"/>
      </rPr>
      <t>0</t>
    </r>
    <r>
      <rPr>
        <sz val="10"/>
        <rFont val="Roboto Light"/>
      </rPr>
      <t>/ϒ</t>
    </r>
    <r>
      <rPr>
        <vertAlign val="subscript"/>
        <sz val="10"/>
        <rFont val="Roboto Light"/>
      </rPr>
      <t>M1</t>
    </r>
  </si>
  <si>
    <r>
      <t>M</t>
    </r>
    <r>
      <rPr>
        <vertAlign val="subscript"/>
        <sz val="10"/>
        <rFont val="Roboto Light"/>
      </rPr>
      <t>net,Rd</t>
    </r>
    <r>
      <rPr>
        <sz val="10"/>
        <rFont val="Roboto Light"/>
      </rPr>
      <t xml:space="preserve"> = W</t>
    </r>
    <r>
      <rPr>
        <vertAlign val="subscript"/>
        <sz val="10"/>
        <rFont val="Roboto Light"/>
      </rPr>
      <t>eff</t>
    </r>
    <r>
      <rPr>
        <sz val="10"/>
        <rFont val="Roboto Light"/>
      </rPr>
      <t>*f</t>
    </r>
    <r>
      <rPr>
        <vertAlign val="subscript"/>
        <sz val="10"/>
        <rFont val="Roboto Light"/>
      </rPr>
      <t>u</t>
    </r>
    <r>
      <rPr>
        <sz val="10"/>
        <rFont val="Roboto Light"/>
      </rPr>
      <t>/ϒ</t>
    </r>
    <r>
      <rPr>
        <vertAlign val="subscript"/>
        <sz val="10"/>
        <rFont val="Roboto Light"/>
      </rPr>
      <t>M2</t>
    </r>
  </si>
  <si>
    <r>
      <t>M</t>
    </r>
    <r>
      <rPr>
        <vertAlign val="subscript"/>
        <sz val="10"/>
        <rFont val="Roboto Light"/>
      </rPr>
      <t xml:space="preserve">Rd </t>
    </r>
    <r>
      <rPr>
        <sz val="10"/>
        <rFont val="Roboto Light"/>
      </rPr>
      <t>= min{M</t>
    </r>
    <r>
      <rPr>
        <vertAlign val="subscript"/>
        <sz val="10"/>
        <rFont val="Roboto Light"/>
      </rPr>
      <t>o,Rd</t>
    </r>
    <r>
      <rPr>
        <sz val="10"/>
        <rFont val="Roboto Light"/>
      </rPr>
      <t>; M</t>
    </r>
    <r>
      <rPr>
        <vertAlign val="subscript"/>
        <sz val="10"/>
        <rFont val="Roboto Light"/>
      </rPr>
      <t>net,Rd</t>
    </r>
    <r>
      <rPr>
        <sz val="10"/>
        <rFont val="Roboto Light"/>
      </rPr>
      <t>}</t>
    </r>
  </si>
  <si>
    <r>
      <t>η</t>
    </r>
    <r>
      <rPr>
        <vertAlign val="subscript"/>
        <sz val="10"/>
        <rFont val="Roboto Black"/>
      </rPr>
      <t>M,S</t>
    </r>
    <r>
      <rPr>
        <sz val="10"/>
        <rFont val="Roboto Black"/>
      </rPr>
      <t xml:space="preserve"> = M</t>
    </r>
    <r>
      <rPr>
        <vertAlign val="subscript"/>
        <sz val="10"/>
        <rFont val="Roboto Black"/>
      </rPr>
      <t>Ed</t>
    </r>
    <r>
      <rPr>
        <sz val="10"/>
        <rFont val="Roboto Black"/>
      </rPr>
      <t>/M</t>
    </r>
    <r>
      <rPr>
        <vertAlign val="subscript"/>
        <sz val="10"/>
        <rFont val="Roboto Black"/>
      </rPr>
      <t>Rd</t>
    </r>
  </si>
  <si>
    <r>
      <t>η</t>
    </r>
    <r>
      <rPr>
        <vertAlign val="subscript"/>
        <sz val="10"/>
        <rFont val="Roboto Black"/>
      </rPr>
      <t>M</t>
    </r>
    <r>
      <rPr>
        <sz val="10"/>
        <rFont val="Roboto Black"/>
      </rPr>
      <t xml:space="preserve"> = M</t>
    </r>
    <r>
      <rPr>
        <vertAlign val="subscript"/>
        <sz val="10"/>
        <rFont val="Roboto Black"/>
      </rPr>
      <t>Ed</t>
    </r>
    <r>
      <rPr>
        <sz val="10"/>
        <rFont val="Roboto Black"/>
      </rPr>
      <t>/M</t>
    </r>
    <r>
      <rPr>
        <vertAlign val="subscript"/>
        <sz val="10"/>
        <rFont val="Roboto Black"/>
      </rPr>
      <t>Rd</t>
    </r>
  </si>
  <si>
    <t>5.0</t>
  </si>
  <si>
    <t>Grenzzustände der Gebrauchstauglichkeit von Bauteilen</t>
  </si>
  <si>
    <r>
      <t>p</t>
    </r>
    <r>
      <rPr>
        <vertAlign val="subscript"/>
        <sz val="10"/>
        <rFont val="Roboto Light"/>
      </rPr>
      <t>sls,o</t>
    </r>
    <r>
      <rPr>
        <sz val="10"/>
        <rFont val="Roboto Light"/>
      </rPr>
      <t xml:space="preserve"> = p</t>
    </r>
    <r>
      <rPr>
        <vertAlign val="subscript"/>
        <sz val="10"/>
        <rFont val="Roboto Light"/>
      </rPr>
      <t>1,o</t>
    </r>
    <r>
      <rPr>
        <sz val="10"/>
        <rFont val="Roboto Light"/>
      </rPr>
      <t>*L</t>
    </r>
  </si>
  <si>
    <t>kN/m</t>
  </si>
  <si>
    <r>
      <t>f</t>
    </r>
    <r>
      <rPr>
        <vertAlign val="subscript"/>
        <sz val="10"/>
        <rFont val="Roboto Light"/>
      </rPr>
      <t>vorh,o</t>
    </r>
    <r>
      <rPr>
        <sz val="10"/>
        <rFont val="Roboto Light"/>
      </rPr>
      <t xml:space="preserve"> = p</t>
    </r>
    <r>
      <rPr>
        <vertAlign val="subscript"/>
        <sz val="10"/>
        <rFont val="Roboto Light"/>
      </rPr>
      <t>sls,0</t>
    </r>
    <r>
      <rPr>
        <sz val="10"/>
        <rFont val="Roboto Light"/>
      </rPr>
      <t>*H</t>
    </r>
    <r>
      <rPr>
        <vertAlign val="subscript"/>
        <sz val="10"/>
        <rFont val="Roboto Light"/>
      </rPr>
      <t>ges</t>
    </r>
    <r>
      <rPr>
        <sz val="10"/>
        <rFont val="Roboto Light"/>
      </rPr>
      <t>^4/(30*E*I</t>
    </r>
    <r>
      <rPr>
        <vertAlign val="subscript"/>
        <sz val="10"/>
        <rFont val="Roboto Light"/>
      </rPr>
      <t>z</t>
    </r>
    <r>
      <rPr>
        <sz val="10"/>
        <rFont val="Roboto Light"/>
      </rPr>
      <t>)</t>
    </r>
  </si>
  <si>
    <r>
      <t>p</t>
    </r>
    <r>
      <rPr>
        <vertAlign val="subscript"/>
        <sz val="10"/>
        <rFont val="Roboto Light"/>
      </rPr>
      <t>sls,Str</t>
    </r>
    <r>
      <rPr>
        <sz val="10"/>
        <rFont val="Roboto Light"/>
      </rPr>
      <t xml:space="preserve"> = p</t>
    </r>
    <r>
      <rPr>
        <vertAlign val="subscript"/>
        <sz val="10"/>
        <rFont val="Roboto Light"/>
      </rPr>
      <t>1,Str</t>
    </r>
    <r>
      <rPr>
        <sz val="10"/>
        <rFont val="Roboto Light"/>
      </rPr>
      <t>*L</t>
    </r>
  </si>
  <si>
    <r>
      <t>f</t>
    </r>
    <r>
      <rPr>
        <vertAlign val="subscript"/>
        <sz val="10"/>
        <rFont val="Roboto Light"/>
      </rPr>
      <t>vorh,Str</t>
    </r>
    <r>
      <rPr>
        <sz val="10"/>
        <rFont val="Roboto Light"/>
      </rPr>
      <t xml:space="preserve"> = p</t>
    </r>
    <r>
      <rPr>
        <vertAlign val="subscript"/>
        <sz val="10"/>
        <rFont val="Roboto Light"/>
      </rPr>
      <t>sls,Str</t>
    </r>
    <r>
      <rPr>
        <sz val="10"/>
        <rFont val="Roboto Light"/>
      </rPr>
      <t>*H</t>
    </r>
    <r>
      <rPr>
        <vertAlign val="subscript"/>
        <sz val="10"/>
        <rFont val="Roboto Light"/>
      </rPr>
      <t>ges</t>
    </r>
    <r>
      <rPr>
        <sz val="10"/>
        <rFont val="Roboto Light"/>
      </rPr>
      <t>^4/(8*E*I</t>
    </r>
    <r>
      <rPr>
        <vertAlign val="subscript"/>
        <sz val="10"/>
        <rFont val="Roboto Light"/>
      </rPr>
      <t>z</t>
    </r>
    <r>
      <rPr>
        <sz val="10"/>
        <rFont val="Roboto Light"/>
      </rPr>
      <t>)</t>
    </r>
  </si>
  <si>
    <r>
      <t>f</t>
    </r>
    <r>
      <rPr>
        <vertAlign val="subscript"/>
        <sz val="10"/>
        <rFont val="Roboto Light"/>
      </rPr>
      <t>zul</t>
    </r>
    <r>
      <rPr>
        <sz val="10"/>
        <rFont val="Roboto Light"/>
      </rPr>
      <t xml:space="preserve"> = </t>
    </r>
  </si>
  <si>
    <r>
      <t>η</t>
    </r>
    <r>
      <rPr>
        <vertAlign val="subscript"/>
        <sz val="10"/>
        <rFont val="Roboto Black"/>
      </rPr>
      <t>f,u</t>
    </r>
    <r>
      <rPr>
        <sz val="10"/>
        <rFont val="Roboto Black"/>
      </rPr>
      <t xml:space="preserve"> = f</t>
    </r>
    <r>
      <rPr>
        <vertAlign val="subscript"/>
        <sz val="10"/>
        <rFont val="Roboto Black"/>
      </rPr>
      <t>vorh</t>
    </r>
    <r>
      <rPr>
        <sz val="10"/>
        <rFont val="Roboto Black"/>
      </rPr>
      <t>/f</t>
    </r>
    <r>
      <rPr>
        <vertAlign val="subscript"/>
        <sz val="10"/>
        <rFont val="Roboto Black"/>
      </rPr>
      <t>zul</t>
    </r>
  </si>
  <si>
    <t>Nachweis der Stütze mit Anprall</t>
  </si>
  <si>
    <r>
      <t>F</t>
    </r>
    <r>
      <rPr>
        <vertAlign val="subscript"/>
        <sz val="10"/>
        <color theme="1"/>
        <rFont val="Roboto Light"/>
      </rPr>
      <t>s</t>
    </r>
    <r>
      <rPr>
        <sz val="11"/>
        <color theme="1"/>
        <rFont val="Calibri"/>
        <family val="2"/>
        <scheme val="minor"/>
      </rPr>
      <t xml:space="preserve"> =</t>
    </r>
  </si>
  <si>
    <r>
      <t>f</t>
    </r>
    <r>
      <rPr>
        <vertAlign val="subscript"/>
        <sz val="10"/>
        <color theme="1"/>
        <rFont val="Roboto Light"/>
      </rPr>
      <t xml:space="preserve">vorh,Stoss </t>
    </r>
    <r>
      <rPr>
        <sz val="11"/>
        <color theme="1"/>
        <rFont val="Calibri"/>
        <family val="2"/>
        <scheme val="minor"/>
      </rPr>
      <t>= F</t>
    </r>
    <r>
      <rPr>
        <vertAlign val="subscript"/>
        <sz val="10"/>
        <color theme="1"/>
        <rFont val="Roboto Light"/>
      </rPr>
      <t>s</t>
    </r>
    <r>
      <rPr>
        <sz val="11"/>
        <color theme="1"/>
        <rFont val="Calibri"/>
        <family val="2"/>
        <scheme val="minor"/>
      </rPr>
      <t>*H</t>
    </r>
    <r>
      <rPr>
        <vertAlign val="subscript"/>
        <sz val="10"/>
        <color theme="1"/>
        <rFont val="Roboto Light"/>
      </rPr>
      <t>ges</t>
    </r>
    <r>
      <rPr>
        <sz val="11"/>
        <color theme="1"/>
        <rFont val="Calibri"/>
        <family val="2"/>
        <scheme val="minor"/>
      </rPr>
      <t>^3/(3*E*I</t>
    </r>
    <r>
      <rPr>
        <vertAlign val="subscript"/>
        <sz val="10"/>
        <color theme="1"/>
        <rFont val="Roboto Light"/>
      </rPr>
      <t>z</t>
    </r>
    <r>
      <rPr>
        <sz val="11"/>
        <color theme="1"/>
        <rFont val="Calibri"/>
        <family val="2"/>
        <scheme val="minor"/>
      </rPr>
      <t>)</t>
    </r>
  </si>
  <si>
    <r>
      <t>f</t>
    </r>
    <r>
      <rPr>
        <vertAlign val="subscript"/>
        <sz val="10"/>
        <color theme="1"/>
        <rFont val="Roboto Light"/>
      </rPr>
      <t>vorh</t>
    </r>
    <r>
      <rPr>
        <sz val="11"/>
        <color theme="1"/>
        <rFont val="Calibri"/>
        <family val="2"/>
        <scheme val="minor"/>
      </rPr>
      <t xml:space="preserve"> = f</t>
    </r>
    <r>
      <rPr>
        <vertAlign val="subscript"/>
        <sz val="10"/>
        <color theme="1"/>
        <rFont val="Roboto Light"/>
      </rPr>
      <t xml:space="preserve">vorh,o </t>
    </r>
    <r>
      <rPr>
        <sz val="11"/>
        <color theme="1"/>
        <rFont val="Calibri"/>
        <family val="2"/>
        <scheme val="minor"/>
      </rPr>
      <t>+ f</t>
    </r>
    <r>
      <rPr>
        <vertAlign val="subscript"/>
        <sz val="10"/>
        <color theme="1"/>
        <rFont val="Roboto Light"/>
      </rPr>
      <t>vorh,Str</t>
    </r>
    <r>
      <rPr>
        <sz val="11"/>
        <color theme="1"/>
        <rFont val="Calibri"/>
        <family val="2"/>
        <scheme val="minor"/>
      </rPr>
      <t xml:space="preserve"> + f</t>
    </r>
    <r>
      <rPr>
        <vertAlign val="subscript"/>
        <sz val="10"/>
        <color theme="1"/>
        <rFont val="Roboto Light"/>
      </rPr>
      <t>vorh,Stoss</t>
    </r>
  </si>
  <si>
    <r>
      <t>f</t>
    </r>
    <r>
      <rPr>
        <vertAlign val="subscript"/>
        <sz val="10"/>
        <rFont val="Roboto Light"/>
      </rPr>
      <t>zul</t>
    </r>
    <r>
      <rPr>
        <sz val="10"/>
        <rFont val="Roboto Light"/>
      </rPr>
      <t xml:space="preserve"> = H/150</t>
    </r>
  </si>
  <si>
    <r>
      <t>η</t>
    </r>
    <r>
      <rPr>
        <vertAlign val="subscript"/>
        <sz val="10"/>
        <rFont val="Roboto Black"/>
      </rPr>
      <t>f,o</t>
    </r>
    <r>
      <rPr>
        <sz val="10"/>
        <rFont val="Roboto Black"/>
      </rPr>
      <t xml:space="preserve"> = f</t>
    </r>
    <r>
      <rPr>
        <vertAlign val="subscript"/>
        <sz val="10"/>
        <rFont val="Roboto Black"/>
      </rPr>
      <t>vorh</t>
    </r>
    <r>
      <rPr>
        <sz val="10"/>
        <rFont val="Roboto Black"/>
      </rPr>
      <t>/f</t>
    </r>
    <r>
      <rPr>
        <vertAlign val="subscript"/>
        <sz val="10"/>
        <rFont val="Roboto Black"/>
      </rPr>
      <t>zul</t>
    </r>
  </si>
  <si>
    <t>MOBILER HOCHWASSERSCHUTZ - Dammbalken 50/150 - S7308</t>
  </si>
  <si>
    <t>als Einfeldbalken</t>
  </si>
  <si>
    <t>n = (H+f)/0,15</t>
  </si>
  <si>
    <t>Benötigte Anzahl an Dammbalken</t>
  </si>
  <si>
    <t>siehe Lastfallkombination</t>
  </si>
  <si>
    <r>
      <t>V</t>
    </r>
    <r>
      <rPr>
        <vertAlign val="subscript"/>
        <sz val="10"/>
        <rFont val="Roboto Black"/>
      </rPr>
      <t>Ed</t>
    </r>
    <r>
      <rPr>
        <sz val="10"/>
        <rFont val="Roboto Black"/>
      </rPr>
      <t xml:space="preserve"> = max{V</t>
    </r>
    <r>
      <rPr>
        <vertAlign val="subscript"/>
        <sz val="10"/>
        <rFont val="Roboto Black"/>
      </rPr>
      <t>Ed,BHW,o</t>
    </r>
    <r>
      <rPr>
        <sz val="10"/>
        <rFont val="Roboto Black"/>
      </rPr>
      <t>; V</t>
    </r>
    <r>
      <rPr>
        <vertAlign val="subscript"/>
        <sz val="10"/>
        <rFont val="Roboto Black"/>
      </rPr>
      <t>Ed,v,o</t>
    </r>
    <r>
      <rPr>
        <sz val="10"/>
        <rFont val="Roboto Black"/>
      </rPr>
      <t>}</t>
    </r>
  </si>
  <si>
    <t>Bemessungsquerkraft</t>
  </si>
  <si>
    <r>
      <t>M</t>
    </r>
    <r>
      <rPr>
        <vertAlign val="subscript"/>
        <sz val="10"/>
        <rFont val="Roboto Black"/>
      </rPr>
      <t>Ed</t>
    </r>
    <r>
      <rPr>
        <sz val="10"/>
        <rFont val="Roboto Black"/>
      </rPr>
      <t xml:space="preserve"> = max{M</t>
    </r>
    <r>
      <rPr>
        <vertAlign val="subscript"/>
        <sz val="10"/>
        <rFont val="Roboto Black"/>
      </rPr>
      <t>Ed,BHW,o</t>
    </r>
    <r>
      <rPr>
        <sz val="10"/>
        <rFont val="Roboto Black"/>
      </rPr>
      <t>; M</t>
    </r>
    <r>
      <rPr>
        <vertAlign val="subscript"/>
        <sz val="10"/>
        <rFont val="Roboto Black"/>
      </rPr>
      <t>Ed,v,o</t>
    </r>
    <r>
      <rPr>
        <sz val="10"/>
        <rFont val="Roboto Black"/>
      </rPr>
      <t>}</t>
    </r>
  </si>
  <si>
    <t>Bemessungsmoment</t>
  </si>
  <si>
    <t>Nachweis des untersten Dammbalkens</t>
  </si>
  <si>
    <r>
      <t>p</t>
    </r>
    <r>
      <rPr>
        <vertAlign val="subscript"/>
        <sz val="10"/>
        <rFont val="Roboto Light"/>
      </rPr>
      <t>sls</t>
    </r>
    <r>
      <rPr>
        <sz val="10"/>
        <rFont val="Roboto Light"/>
      </rPr>
      <t xml:space="preserve"> = p</t>
    </r>
    <r>
      <rPr>
        <vertAlign val="subscript"/>
        <sz val="10"/>
        <rFont val="Roboto Light"/>
      </rPr>
      <t>1,m,u</t>
    </r>
    <r>
      <rPr>
        <sz val="10"/>
        <rFont val="Roboto Light"/>
      </rPr>
      <t>*h</t>
    </r>
    <r>
      <rPr>
        <vertAlign val="subscript"/>
        <sz val="10"/>
        <rFont val="Roboto Light"/>
      </rPr>
      <t>B,F</t>
    </r>
  </si>
  <si>
    <r>
      <t>f</t>
    </r>
    <r>
      <rPr>
        <vertAlign val="subscript"/>
        <sz val="10"/>
        <rFont val="Roboto Light"/>
      </rPr>
      <t>vorh</t>
    </r>
    <r>
      <rPr>
        <sz val="10"/>
        <rFont val="Roboto Light"/>
      </rPr>
      <t xml:space="preserve"> = 5*p</t>
    </r>
    <r>
      <rPr>
        <vertAlign val="subscript"/>
        <sz val="10"/>
        <rFont val="Roboto Light"/>
      </rPr>
      <t>sls</t>
    </r>
    <r>
      <rPr>
        <sz val="10"/>
        <rFont val="Roboto Light"/>
      </rPr>
      <t>*(L-0,05)^4/(384*E*I</t>
    </r>
    <r>
      <rPr>
        <vertAlign val="subscript"/>
        <sz val="10"/>
        <rFont val="Roboto Light"/>
      </rPr>
      <t>z</t>
    </r>
    <r>
      <rPr>
        <sz val="10"/>
        <rFont val="Roboto Light"/>
      </rPr>
      <t>)</t>
    </r>
  </si>
  <si>
    <t>Nachweis des Dammbalkens mit Anprall</t>
  </si>
  <si>
    <r>
      <t>p</t>
    </r>
    <r>
      <rPr>
        <vertAlign val="subscript"/>
        <sz val="10"/>
        <rFont val="Roboto Light"/>
      </rPr>
      <t>sls</t>
    </r>
    <r>
      <rPr>
        <sz val="10"/>
        <rFont val="Roboto Light"/>
      </rPr>
      <t xml:space="preserve"> = p</t>
    </r>
    <r>
      <rPr>
        <vertAlign val="subscript"/>
        <sz val="10"/>
        <rFont val="Roboto Light"/>
      </rPr>
      <t>2,m</t>
    </r>
    <r>
      <rPr>
        <sz val="10"/>
        <rFont val="Roboto Light"/>
      </rPr>
      <t>*h</t>
    </r>
    <r>
      <rPr>
        <vertAlign val="subscript"/>
        <sz val="10"/>
        <rFont val="Roboto Light"/>
      </rPr>
      <t>B</t>
    </r>
  </si>
  <si>
    <r>
      <t>f</t>
    </r>
    <r>
      <rPr>
        <vertAlign val="subscript"/>
        <sz val="10"/>
        <rFont val="Roboto Light"/>
      </rPr>
      <t>vorh,Psls</t>
    </r>
    <r>
      <rPr>
        <sz val="10"/>
        <rFont val="Roboto Light"/>
      </rPr>
      <t xml:space="preserve"> = 5*p</t>
    </r>
    <r>
      <rPr>
        <vertAlign val="subscript"/>
        <sz val="10"/>
        <rFont val="Roboto Light"/>
      </rPr>
      <t>sls</t>
    </r>
    <r>
      <rPr>
        <sz val="10"/>
        <rFont val="Roboto Light"/>
      </rPr>
      <t>*L^4/(384*E*I</t>
    </r>
    <r>
      <rPr>
        <vertAlign val="subscript"/>
        <sz val="10"/>
        <rFont val="Roboto Light"/>
      </rPr>
      <t>z</t>
    </r>
    <r>
      <rPr>
        <sz val="10"/>
        <rFont val="Roboto Light"/>
      </rPr>
      <t>)</t>
    </r>
  </si>
  <si>
    <r>
      <t>q</t>
    </r>
    <r>
      <rPr>
        <vertAlign val="subscript"/>
        <sz val="10"/>
        <color theme="1"/>
        <rFont val="Roboto Light"/>
      </rPr>
      <t>D</t>
    </r>
    <r>
      <rPr>
        <sz val="11"/>
        <color theme="1"/>
        <rFont val="Calibri"/>
        <family val="2"/>
        <scheme val="minor"/>
      </rPr>
      <t xml:space="preserve"> = F</t>
    </r>
    <r>
      <rPr>
        <vertAlign val="subscript"/>
        <sz val="10"/>
        <color theme="1"/>
        <rFont val="Roboto Light"/>
      </rPr>
      <t>D,2</t>
    </r>
    <r>
      <rPr>
        <sz val="11"/>
        <color theme="1"/>
        <rFont val="Calibri"/>
        <family val="2"/>
        <scheme val="minor"/>
      </rPr>
      <t>/n</t>
    </r>
    <r>
      <rPr>
        <vertAlign val="subscript"/>
        <sz val="10"/>
        <color theme="1"/>
        <rFont val="Roboto Light"/>
      </rPr>
      <t>B</t>
    </r>
    <r>
      <rPr>
        <sz val="11"/>
        <color theme="1"/>
        <rFont val="Calibri"/>
        <family val="2"/>
        <scheme val="minor"/>
      </rPr>
      <t>/0,50</t>
    </r>
  </si>
  <si>
    <t>a = (L-0,50)/2</t>
  </si>
  <si>
    <r>
      <t>f</t>
    </r>
    <r>
      <rPr>
        <vertAlign val="subscript"/>
        <sz val="10"/>
        <color theme="1"/>
        <rFont val="Roboto Light"/>
      </rPr>
      <t>vorh,Stoss</t>
    </r>
    <r>
      <rPr>
        <sz val="11"/>
        <color theme="1"/>
        <rFont val="Calibri"/>
        <family val="2"/>
        <scheme val="minor"/>
      </rPr>
      <t>=q</t>
    </r>
    <r>
      <rPr>
        <vertAlign val="subscript"/>
        <sz val="10"/>
        <color theme="1"/>
        <rFont val="Roboto Light"/>
      </rPr>
      <t>D</t>
    </r>
    <r>
      <rPr>
        <sz val="11"/>
        <color theme="1"/>
        <rFont val="Calibri"/>
        <family val="2"/>
        <scheme val="minor"/>
      </rPr>
      <t>*L^4/(384*E*I</t>
    </r>
    <r>
      <rPr>
        <vertAlign val="subscript"/>
        <sz val="10"/>
        <color theme="1"/>
        <rFont val="Roboto Light"/>
      </rPr>
      <t>z,D</t>
    </r>
    <r>
      <rPr>
        <sz val="11"/>
        <color theme="1"/>
        <rFont val="Calibri"/>
        <family val="2"/>
        <scheme val="minor"/>
      </rPr>
      <t>)*(5-24*a^2/L^2+16*a^4/L^4))</t>
    </r>
  </si>
  <si>
    <r>
      <t>f</t>
    </r>
    <r>
      <rPr>
        <vertAlign val="subscript"/>
        <sz val="10"/>
        <color theme="1"/>
        <rFont val="Roboto Light"/>
      </rPr>
      <t>vorh</t>
    </r>
    <r>
      <rPr>
        <sz val="11"/>
        <color theme="1"/>
        <rFont val="Calibri"/>
        <family val="2"/>
        <scheme val="minor"/>
      </rPr>
      <t xml:space="preserve"> = f</t>
    </r>
    <r>
      <rPr>
        <vertAlign val="subscript"/>
        <sz val="10"/>
        <color theme="1"/>
        <rFont val="Roboto Light"/>
      </rPr>
      <t xml:space="preserve">vorh,Psls </t>
    </r>
    <r>
      <rPr>
        <sz val="11"/>
        <color theme="1"/>
        <rFont val="Calibri"/>
        <family val="2"/>
        <scheme val="minor"/>
      </rPr>
      <t>+ f</t>
    </r>
    <r>
      <rPr>
        <vertAlign val="subscript"/>
        <sz val="10"/>
        <color theme="1"/>
        <rFont val="Roboto Light"/>
      </rPr>
      <t>vorh,Stoss</t>
    </r>
  </si>
  <si>
    <r>
      <t>f</t>
    </r>
    <r>
      <rPr>
        <vertAlign val="subscript"/>
        <sz val="10"/>
        <rFont val="Roboto Light"/>
      </rPr>
      <t>zul</t>
    </r>
    <r>
      <rPr>
        <sz val="10"/>
        <rFont val="Roboto Light"/>
      </rPr>
      <t xml:space="preserve"> = L/150</t>
    </r>
  </si>
  <si>
    <t>MOBILER HOCHWASSERSCHUTZ - Dammbalken 50/200 - S9368</t>
  </si>
  <si>
    <r>
      <t>W</t>
    </r>
    <r>
      <rPr>
        <vertAlign val="subscript"/>
        <sz val="10"/>
        <rFont val="Roboto Light"/>
      </rPr>
      <t>eff</t>
    </r>
    <r>
      <rPr>
        <sz val="10"/>
        <rFont val="Roboto Light"/>
      </rPr>
      <t xml:space="preserve"> =</t>
    </r>
  </si>
  <si>
    <t>Widerstandsmoment Klasse 4 Querschnitt</t>
  </si>
  <si>
    <t>n = (H+f)/0,20</t>
  </si>
  <si>
    <t>Teilsicherheitsbeiwerte</t>
  </si>
  <si>
    <t>ULS</t>
  </si>
  <si>
    <t>SLS</t>
  </si>
  <si>
    <t>ϒ =</t>
  </si>
  <si>
    <t>Ѱ =</t>
  </si>
  <si>
    <t xml:space="preserve">Grenzzustand der </t>
  </si>
  <si>
    <t xml:space="preserve"> Tragfähigkeit - ULS</t>
  </si>
  <si>
    <t>Gebrauchstauglichkeit - SLS</t>
  </si>
  <si>
    <t>LK1:</t>
  </si>
  <si>
    <r>
      <t>p</t>
    </r>
    <r>
      <rPr>
        <vertAlign val="subscript"/>
        <sz val="10"/>
        <rFont val="Roboto Light"/>
      </rPr>
      <t>1,0</t>
    </r>
    <r>
      <rPr>
        <sz val="10"/>
        <rFont val="Roboto Light"/>
      </rPr>
      <t xml:space="preserve"> = Ѱ*ϒ*p</t>
    </r>
    <r>
      <rPr>
        <vertAlign val="subscript"/>
        <sz val="10"/>
        <rFont val="Roboto Light"/>
      </rPr>
      <t>0,v</t>
    </r>
  </si>
  <si>
    <r>
      <t>p</t>
    </r>
    <r>
      <rPr>
        <vertAlign val="subscript"/>
        <sz val="10"/>
        <rFont val="Roboto Light"/>
      </rPr>
      <t>1,str</t>
    </r>
    <r>
      <rPr>
        <sz val="10"/>
        <rFont val="Roboto Light"/>
      </rPr>
      <t xml:space="preserve"> = Ѱ*ϒ*p</t>
    </r>
    <r>
      <rPr>
        <vertAlign val="subscript"/>
        <sz val="10"/>
        <rFont val="Roboto Light"/>
      </rPr>
      <t>str</t>
    </r>
  </si>
  <si>
    <t>Belastung untere Dammbalken:</t>
  </si>
  <si>
    <r>
      <t>p</t>
    </r>
    <r>
      <rPr>
        <vertAlign val="subscript"/>
        <sz val="10"/>
        <rFont val="Roboto Light"/>
      </rPr>
      <t>1,0,u</t>
    </r>
    <r>
      <rPr>
        <sz val="10"/>
        <rFont val="Roboto Light"/>
      </rPr>
      <t xml:space="preserve"> =</t>
    </r>
  </si>
  <si>
    <r>
      <t>p</t>
    </r>
    <r>
      <rPr>
        <vertAlign val="subscript"/>
        <sz val="10"/>
        <rFont val="Roboto Light"/>
      </rPr>
      <t>1,0,o</t>
    </r>
    <r>
      <rPr>
        <sz val="10"/>
        <rFont val="Roboto Light"/>
      </rPr>
      <t xml:space="preserve"> = p</t>
    </r>
    <r>
      <rPr>
        <vertAlign val="subscript"/>
        <sz val="10"/>
        <rFont val="Roboto Light"/>
      </rPr>
      <t>1</t>
    </r>
    <r>
      <rPr>
        <sz val="10"/>
        <rFont val="Roboto Light"/>
      </rPr>
      <t>*(H</t>
    </r>
    <r>
      <rPr>
        <vertAlign val="subscript"/>
        <sz val="10"/>
        <rFont val="Roboto Light"/>
      </rPr>
      <t>ges</t>
    </r>
    <r>
      <rPr>
        <sz val="10"/>
        <rFont val="Roboto Light"/>
      </rPr>
      <t>-h</t>
    </r>
    <r>
      <rPr>
        <vertAlign val="subscript"/>
        <sz val="10"/>
        <rFont val="Roboto Light"/>
      </rPr>
      <t>B,F</t>
    </r>
    <r>
      <rPr>
        <sz val="10"/>
        <rFont val="Roboto Light"/>
      </rPr>
      <t>)/H</t>
    </r>
    <r>
      <rPr>
        <vertAlign val="subscript"/>
        <sz val="10"/>
        <rFont val="Roboto Light"/>
      </rPr>
      <t>ges</t>
    </r>
  </si>
  <si>
    <r>
      <t>p</t>
    </r>
    <r>
      <rPr>
        <vertAlign val="subscript"/>
        <sz val="10"/>
        <rFont val="Roboto Light"/>
      </rPr>
      <t>1,m,u</t>
    </r>
    <r>
      <rPr>
        <sz val="10"/>
        <rFont val="Roboto Light"/>
      </rPr>
      <t xml:space="preserve"> = (p</t>
    </r>
    <r>
      <rPr>
        <vertAlign val="subscript"/>
        <sz val="10"/>
        <rFont val="Roboto Light"/>
      </rPr>
      <t>1,0,o</t>
    </r>
    <r>
      <rPr>
        <sz val="10"/>
        <rFont val="Roboto Light"/>
      </rPr>
      <t>+p</t>
    </r>
    <r>
      <rPr>
        <vertAlign val="subscript"/>
        <sz val="10"/>
        <rFont val="Roboto Light"/>
      </rPr>
      <t>1,0,u</t>
    </r>
    <r>
      <rPr>
        <sz val="10"/>
        <rFont val="Roboto Light"/>
      </rPr>
      <t>)/2+p</t>
    </r>
    <r>
      <rPr>
        <vertAlign val="subscript"/>
        <sz val="10"/>
        <rFont val="Roboto Light"/>
      </rPr>
      <t>1,str</t>
    </r>
  </si>
  <si>
    <t>Belastung unterer Dammbalken</t>
  </si>
  <si>
    <t>Belastung obere Dammbalken:</t>
  </si>
  <si>
    <r>
      <t>p</t>
    </r>
    <r>
      <rPr>
        <vertAlign val="subscript"/>
        <sz val="10"/>
        <rFont val="Roboto Light"/>
      </rPr>
      <t>1,m</t>
    </r>
    <r>
      <rPr>
        <sz val="10"/>
        <rFont val="Roboto Light"/>
      </rPr>
      <t xml:space="preserve"> = </t>
    </r>
  </si>
  <si>
    <t>Belastung Dammbalken</t>
  </si>
  <si>
    <r>
      <t>F</t>
    </r>
    <r>
      <rPr>
        <vertAlign val="subscript"/>
        <sz val="10"/>
        <color theme="1"/>
        <rFont val="Roboto Light"/>
      </rPr>
      <t>D,1</t>
    </r>
    <r>
      <rPr>
        <sz val="11"/>
        <color theme="1"/>
        <rFont val="Calibri"/>
        <family val="2"/>
        <scheme val="minor"/>
      </rPr>
      <t xml:space="preserve"> = </t>
    </r>
    <r>
      <rPr>
        <sz val="10"/>
        <color theme="1"/>
        <rFont val="Roboto Light"/>
      </rPr>
      <t>Ѱ*ϒ*F</t>
    </r>
    <r>
      <rPr>
        <vertAlign val="subscript"/>
        <sz val="10"/>
        <color theme="1"/>
        <rFont val="Roboto Light"/>
      </rPr>
      <t>D</t>
    </r>
  </si>
  <si>
    <t>Stoß oberer Dammbalken</t>
  </si>
  <si>
    <r>
      <t>F</t>
    </r>
    <r>
      <rPr>
        <vertAlign val="subscript"/>
        <sz val="10"/>
        <color theme="1"/>
        <rFont val="Roboto Light"/>
      </rPr>
      <t>S,1</t>
    </r>
    <r>
      <rPr>
        <sz val="11"/>
        <color theme="1"/>
        <rFont val="Calibri"/>
        <family val="2"/>
        <scheme val="minor"/>
      </rPr>
      <t xml:space="preserve"> = </t>
    </r>
    <r>
      <rPr>
        <sz val="10"/>
        <color theme="1"/>
        <rFont val="Roboto Light"/>
      </rPr>
      <t>Ѱ*ϒ*F</t>
    </r>
    <r>
      <rPr>
        <vertAlign val="subscript"/>
        <sz val="10"/>
        <color theme="1"/>
        <rFont val="Roboto Light"/>
      </rPr>
      <t>S</t>
    </r>
  </si>
  <si>
    <t>Stoß auf die Stütze</t>
  </si>
  <si>
    <t>LK2:</t>
  </si>
  <si>
    <r>
      <t>p</t>
    </r>
    <r>
      <rPr>
        <vertAlign val="subscript"/>
        <sz val="10"/>
        <rFont val="Roboto Light"/>
      </rPr>
      <t>2,0</t>
    </r>
    <r>
      <rPr>
        <sz val="10"/>
        <rFont val="Roboto Light"/>
      </rPr>
      <t xml:space="preserve"> = ϒ*p</t>
    </r>
    <r>
      <rPr>
        <vertAlign val="subscript"/>
        <sz val="10"/>
        <rFont val="Roboto Light"/>
      </rPr>
      <t>0</t>
    </r>
  </si>
  <si>
    <r>
      <t>p</t>
    </r>
    <r>
      <rPr>
        <vertAlign val="subscript"/>
        <sz val="10"/>
        <rFont val="Roboto Light"/>
      </rPr>
      <t>2,str</t>
    </r>
    <r>
      <rPr>
        <sz val="10"/>
        <rFont val="Roboto Light"/>
      </rPr>
      <t xml:space="preserve"> = ϒ*p</t>
    </r>
    <r>
      <rPr>
        <vertAlign val="subscript"/>
        <sz val="10"/>
        <rFont val="Roboto Light"/>
      </rPr>
      <t>str</t>
    </r>
  </si>
  <si>
    <r>
      <t>p</t>
    </r>
    <r>
      <rPr>
        <vertAlign val="subscript"/>
        <sz val="10"/>
        <rFont val="Roboto Light"/>
      </rPr>
      <t>2,0,u</t>
    </r>
    <r>
      <rPr>
        <sz val="10"/>
        <rFont val="Roboto Light"/>
      </rPr>
      <t xml:space="preserve"> =</t>
    </r>
  </si>
  <si>
    <r>
      <t>p</t>
    </r>
    <r>
      <rPr>
        <vertAlign val="subscript"/>
        <sz val="10"/>
        <rFont val="Roboto Light"/>
      </rPr>
      <t>2,0,o</t>
    </r>
    <r>
      <rPr>
        <sz val="10"/>
        <rFont val="Roboto Light"/>
      </rPr>
      <t xml:space="preserve"> = p</t>
    </r>
    <r>
      <rPr>
        <vertAlign val="subscript"/>
        <sz val="10"/>
        <rFont val="Roboto Light"/>
      </rPr>
      <t>2,0</t>
    </r>
    <r>
      <rPr>
        <sz val="10"/>
        <rFont val="Roboto Light"/>
      </rPr>
      <t>*(H-h</t>
    </r>
    <r>
      <rPr>
        <vertAlign val="subscript"/>
        <sz val="10"/>
        <rFont val="Roboto Light"/>
      </rPr>
      <t>B,F</t>
    </r>
    <r>
      <rPr>
        <sz val="10"/>
        <rFont val="Roboto Light"/>
      </rPr>
      <t>)/H</t>
    </r>
  </si>
  <si>
    <r>
      <t>p</t>
    </r>
    <r>
      <rPr>
        <vertAlign val="subscript"/>
        <sz val="10"/>
        <rFont val="Roboto Light"/>
      </rPr>
      <t>2,m,u</t>
    </r>
    <r>
      <rPr>
        <sz val="10"/>
        <rFont val="Roboto Light"/>
      </rPr>
      <t xml:space="preserve"> = (p</t>
    </r>
    <r>
      <rPr>
        <vertAlign val="subscript"/>
        <sz val="10"/>
        <rFont val="Roboto Light"/>
      </rPr>
      <t>2,0,o</t>
    </r>
    <r>
      <rPr>
        <sz val="10"/>
        <rFont val="Roboto Light"/>
      </rPr>
      <t>+p</t>
    </r>
    <r>
      <rPr>
        <vertAlign val="subscript"/>
        <sz val="10"/>
        <rFont val="Roboto Light"/>
      </rPr>
      <t>2,0,u</t>
    </r>
    <r>
      <rPr>
        <sz val="10"/>
        <rFont val="Roboto Light"/>
      </rPr>
      <t>)/2+p</t>
    </r>
    <r>
      <rPr>
        <vertAlign val="subscript"/>
        <sz val="10"/>
        <rFont val="Roboto Light"/>
      </rPr>
      <t>2,str</t>
    </r>
  </si>
  <si>
    <r>
      <t>n</t>
    </r>
    <r>
      <rPr>
        <vertAlign val="subscript"/>
        <sz val="10"/>
        <color theme="1"/>
        <rFont val="Roboto Light"/>
      </rPr>
      <t>B,ges</t>
    </r>
    <r>
      <rPr>
        <sz val="11"/>
        <color theme="1"/>
        <rFont val="Calibri"/>
        <family val="2"/>
        <scheme val="minor"/>
      </rPr>
      <t xml:space="preserve"> =</t>
    </r>
  </si>
  <si>
    <t>Belastung unterster Dammbalken Stoß:</t>
  </si>
  <si>
    <r>
      <t>p</t>
    </r>
    <r>
      <rPr>
        <vertAlign val="subscript"/>
        <sz val="10"/>
        <rFont val="Roboto Light"/>
      </rPr>
      <t xml:space="preserve">2,m </t>
    </r>
    <r>
      <rPr>
        <sz val="10"/>
        <rFont val="Roboto Light"/>
      </rPr>
      <t>=</t>
    </r>
  </si>
  <si>
    <t>Diagramm Dammbalken</t>
  </si>
  <si>
    <r>
      <t>F</t>
    </r>
    <r>
      <rPr>
        <vertAlign val="subscript"/>
        <sz val="10"/>
        <color theme="1"/>
        <rFont val="Roboto Light"/>
      </rPr>
      <t>D,2</t>
    </r>
    <r>
      <rPr>
        <sz val="11"/>
        <color theme="1"/>
        <rFont val="Calibri"/>
        <family val="2"/>
        <scheme val="minor"/>
      </rPr>
      <t xml:space="preserve"> = </t>
    </r>
    <r>
      <rPr>
        <sz val="10"/>
        <color theme="1"/>
        <rFont val="Roboto Light"/>
      </rPr>
      <t>ϒ*F</t>
    </r>
    <r>
      <rPr>
        <vertAlign val="subscript"/>
        <sz val="10"/>
        <color theme="1"/>
        <rFont val="Roboto Light"/>
      </rPr>
      <t>D</t>
    </r>
  </si>
  <si>
    <t>x</t>
  </si>
  <si>
    <t>y</t>
  </si>
  <si>
    <r>
      <t>F</t>
    </r>
    <r>
      <rPr>
        <vertAlign val="subscript"/>
        <sz val="10"/>
        <color theme="1"/>
        <rFont val="Roboto Light"/>
      </rPr>
      <t>S,2</t>
    </r>
    <r>
      <rPr>
        <sz val="11"/>
        <color theme="1"/>
        <rFont val="Calibri"/>
        <family val="2"/>
        <scheme val="minor"/>
      </rPr>
      <t xml:space="preserve"> = </t>
    </r>
    <r>
      <rPr>
        <sz val="10"/>
        <color theme="1"/>
        <rFont val="Roboto Light"/>
      </rPr>
      <t>ϒ*F</t>
    </r>
    <r>
      <rPr>
        <vertAlign val="subscript"/>
        <sz val="10"/>
        <color theme="1"/>
        <rFont val="Roboto Light"/>
      </rPr>
      <t>S</t>
    </r>
  </si>
  <si>
    <t>Grund</t>
  </si>
  <si>
    <t xml:space="preserve">Schnittgrößen Dammbalken oben </t>
  </si>
  <si>
    <t>Balken</t>
  </si>
  <si>
    <t>Schnittgrößen aus Stoß BHW</t>
  </si>
  <si>
    <t>ULS - BHW</t>
  </si>
  <si>
    <t>SLS - BHW</t>
  </si>
  <si>
    <t>ULS - Volleinstau</t>
  </si>
  <si>
    <r>
      <t>A</t>
    </r>
    <r>
      <rPr>
        <vertAlign val="subscript"/>
        <sz val="10"/>
        <color theme="1"/>
        <rFont val="Roboto Light"/>
      </rPr>
      <t>v</t>
    </r>
    <r>
      <rPr>
        <sz val="11"/>
        <color theme="1"/>
        <rFont val="Calibri"/>
        <family val="2"/>
        <scheme val="minor"/>
      </rPr>
      <t xml:space="preserve"> = q</t>
    </r>
    <r>
      <rPr>
        <vertAlign val="subscript"/>
        <sz val="10"/>
        <color theme="1"/>
        <rFont val="Roboto Light"/>
      </rPr>
      <t>D</t>
    </r>
    <r>
      <rPr>
        <sz val="11"/>
        <color theme="1"/>
        <rFont val="Calibri"/>
        <family val="2"/>
        <scheme val="minor"/>
      </rPr>
      <t>*0,50*(2*((L-0,50)/2)+0,50)/(2*L)</t>
    </r>
  </si>
  <si>
    <r>
      <t>M</t>
    </r>
    <r>
      <rPr>
        <vertAlign val="subscript"/>
        <sz val="10"/>
        <color theme="1"/>
        <rFont val="Roboto Light"/>
      </rPr>
      <t>Ed,qD</t>
    </r>
    <r>
      <rPr>
        <sz val="11"/>
        <color theme="1"/>
        <rFont val="Calibri"/>
        <family val="2"/>
        <scheme val="minor"/>
      </rPr>
      <t xml:space="preserve"> = A</t>
    </r>
    <r>
      <rPr>
        <vertAlign val="subscript"/>
        <sz val="10"/>
        <color theme="1"/>
        <rFont val="Roboto Light"/>
      </rPr>
      <t>v</t>
    </r>
    <r>
      <rPr>
        <sz val="11"/>
        <color theme="1"/>
        <rFont val="Calibri"/>
        <family val="2"/>
        <scheme val="minor"/>
      </rPr>
      <t>*(((L-0,50)/2)+A</t>
    </r>
    <r>
      <rPr>
        <vertAlign val="subscript"/>
        <sz val="10"/>
        <color theme="1"/>
        <rFont val="Roboto Light"/>
      </rPr>
      <t>v</t>
    </r>
    <r>
      <rPr>
        <sz val="11"/>
        <color theme="1"/>
        <rFont val="Calibri"/>
        <family val="2"/>
        <scheme val="minor"/>
      </rPr>
      <t>/2*p</t>
    </r>
    <r>
      <rPr>
        <vertAlign val="subscript"/>
        <sz val="10"/>
        <color theme="1"/>
        <rFont val="Roboto Light"/>
      </rPr>
      <t>D</t>
    </r>
    <r>
      <rPr>
        <sz val="11"/>
        <color theme="1"/>
        <rFont val="Calibri"/>
        <family val="2"/>
        <scheme val="minor"/>
      </rPr>
      <t>)</t>
    </r>
  </si>
  <si>
    <t>Balken einzeln</t>
  </si>
  <si>
    <t>hydro.stat.</t>
  </si>
  <si>
    <t>hydro.dyn.</t>
  </si>
  <si>
    <t>Σ</t>
  </si>
  <si>
    <t>Mittelwert</t>
  </si>
  <si>
    <t>Schnittgrößen aus Wasserdruck oberer Dammbalken</t>
  </si>
  <si>
    <r>
      <t>V</t>
    </r>
    <r>
      <rPr>
        <vertAlign val="subscript"/>
        <sz val="10"/>
        <color theme="1"/>
        <rFont val="Roboto Light"/>
      </rPr>
      <t>Ed,p2,m,o</t>
    </r>
    <r>
      <rPr>
        <sz val="11"/>
        <color theme="1"/>
        <rFont val="Calibri"/>
        <family val="2"/>
        <scheme val="minor"/>
      </rPr>
      <t xml:space="preserve"> = p</t>
    </r>
    <r>
      <rPr>
        <vertAlign val="subscript"/>
        <sz val="10"/>
        <color theme="1"/>
        <rFont val="Roboto Light"/>
      </rPr>
      <t>2,m</t>
    </r>
    <r>
      <rPr>
        <sz val="11"/>
        <color theme="1"/>
        <rFont val="Calibri"/>
        <family val="2"/>
        <scheme val="minor"/>
      </rPr>
      <t>*h</t>
    </r>
    <r>
      <rPr>
        <vertAlign val="subscript"/>
        <sz val="10"/>
        <color theme="1"/>
        <rFont val="Roboto Light"/>
      </rPr>
      <t>B</t>
    </r>
    <r>
      <rPr>
        <sz val="11"/>
        <color theme="1"/>
        <rFont val="Calibri"/>
        <family val="2"/>
        <scheme val="minor"/>
      </rPr>
      <t>*L/2</t>
    </r>
  </si>
  <si>
    <r>
      <t>M</t>
    </r>
    <r>
      <rPr>
        <vertAlign val="subscript"/>
        <sz val="10"/>
        <color theme="1"/>
        <rFont val="Roboto Light"/>
      </rPr>
      <t>Ed,p2,m,o</t>
    </r>
    <r>
      <rPr>
        <sz val="11"/>
        <color theme="1"/>
        <rFont val="Calibri"/>
        <family val="2"/>
        <scheme val="minor"/>
      </rPr>
      <t xml:space="preserve"> = p</t>
    </r>
    <r>
      <rPr>
        <vertAlign val="subscript"/>
        <sz val="10"/>
        <color theme="1"/>
        <rFont val="Roboto Light"/>
      </rPr>
      <t>2,m</t>
    </r>
    <r>
      <rPr>
        <sz val="11"/>
        <color theme="1"/>
        <rFont val="Calibri"/>
        <family val="2"/>
        <scheme val="minor"/>
      </rPr>
      <t>*h</t>
    </r>
    <r>
      <rPr>
        <vertAlign val="subscript"/>
        <sz val="10"/>
        <color theme="1"/>
        <rFont val="Roboto Light"/>
      </rPr>
      <t>B</t>
    </r>
    <r>
      <rPr>
        <sz val="11"/>
        <color theme="1"/>
        <rFont val="Calibri"/>
        <family val="2"/>
        <scheme val="minor"/>
      </rPr>
      <t>*L^2/8</t>
    </r>
  </si>
  <si>
    <r>
      <t>V</t>
    </r>
    <r>
      <rPr>
        <vertAlign val="subscript"/>
        <sz val="10"/>
        <color theme="1"/>
        <rFont val="Roboto Black"/>
      </rPr>
      <t>Ed,BHW,o</t>
    </r>
    <r>
      <rPr>
        <sz val="10"/>
        <color theme="1"/>
        <rFont val="Roboto Black"/>
      </rPr>
      <t xml:space="preserve"> = A</t>
    </r>
    <r>
      <rPr>
        <vertAlign val="subscript"/>
        <sz val="10"/>
        <color theme="1"/>
        <rFont val="Roboto Black"/>
      </rPr>
      <t>v</t>
    </r>
    <r>
      <rPr>
        <sz val="10"/>
        <color theme="1"/>
        <rFont val="Roboto Black"/>
      </rPr>
      <t xml:space="preserve"> + V</t>
    </r>
    <r>
      <rPr>
        <vertAlign val="subscript"/>
        <sz val="10"/>
        <color theme="1"/>
        <rFont val="Roboto Black"/>
      </rPr>
      <t>Ed,p2,m,o</t>
    </r>
  </si>
  <si>
    <r>
      <t>M</t>
    </r>
    <r>
      <rPr>
        <vertAlign val="subscript"/>
        <sz val="10"/>
        <color theme="1"/>
        <rFont val="Roboto Black"/>
      </rPr>
      <t xml:space="preserve">Ed,BHW,o </t>
    </r>
    <r>
      <rPr>
        <sz val="10"/>
        <color theme="1"/>
        <rFont val="Roboto Black"/>
      </rPr>
      <t>= M</t>
    </r>
    <r>
      <rPr>
        <vertAlign val="subscript"/>
        <sz val="10"/>
        <color theme="1"/>
        <rFont val="Roboto Black"/>
      </rPr>
      <t>Ed,qD</t>
    </r>
    <r>
      <rPr>
        <sz val="10"/>
        <color theme="1"/>
        <rFont val="Roboto Black"/>
      </rPr>
      <t>+M</t>
    </r>
    <r>
      <rPr>
        <vertAlign val="subscript"/>
        <sz val="10"/>
        <color theme="1"/>
        <rFont val="Roboto Black"/>
      </rPr>
      <t>Ed,p2,m,o</t>
    </r>
  </si>
  <si>
    <t>Schnittgrößen aus Stoß Volleinstau</t>
  </si>
  <si>
    <r>
      <t>q</t>
    </r>
    <r>
      <rPr>
        <vertAlign val="subscript"/>
        <sz val="10"/>
        <color theme="1"/>
        <rFont val="Roboto Light"/>
      </rPr>
      <t>D</t>
    </r>
    <r>
      <rPr>
        <sz val="11"/>
        <color theme="1"/>
        <rFont val="Calibri"/>
        <family val="2"/>
        <scheme val="minor"/>
      </rPr>
      <t xml:space="preserve"> = F</t>
    </r>
    <r>
      <rPr>
        <vertAlign val="subscript"/>
        <sz val="10"/>
        <color theme="1"/>
        <rFont val="Roboto Light"/>
      </rPr>
      <t>D,1</t>
    </r>
    <r>
      <rPr>
        <sz val="11"/>
        <color theme="1"/>
        <rFont val="Calibri"/>
        <family val="2"/>
        <scheme val="minor"/>
      </rPr>
      <t>/n</t>
    </r>
    <r>
      <rPr>
        <vertAlign val="subscript"/>
        <sz val="10"/>
        <color theme="1"/>
        <rFont val="Roboto Light"/>
      </rPr>
      <t>B</t>
    </r>
    <r>
      <rPr>
        <sz val="11"/>
        <color theme="1"/>
        <rFont val="Calibri"/>
        <family val="2"/>
        <scheme val="minor"/>
      </rPr>
      <t>/0,50</t>
    </r>
  </si>
  <si>
    <r>
      <t>V</t>
    </r>
    <r>
      <rPr>
        <vertAlign val="subscript"/>
        <sz val="10"/>
        <color theme="1"/>
        <rFont val="Roboto Light"/>
      </rPr>
      <t>Ed,p1,m,o</t>
    </r>
    <r>
      <rPr>
        <sz val="11"/>
        <color theme="1"/>
        <rFont val="Calibri"/>
        <family val="2"/>
        <scheme val="minor"/>
      </rPr>
      <t xml:space="preserve"> = p</t>
    </r>
    <r>
      <rPr>
        <vertAlign val="subscript"/>
        <sz val="10"/>
        <color theme="1"/>
        <rFont val="Roboto Light"/>
      </rPr>
      <t>1,m</t>
    </r>
    <r>
      <rPr>
        <sz val="11"/>
        <color theme="1"/>
        <rFont val="Calibri"/>
        <family val="2"/>
        <scheme val="minor"/>
      </rPr>
      <t>*h</t>
    </r>
    <r>
      <rPr>
        <vertAlign val="subscript"/>
        <sz val="10"/>
        <color theme="1"/>
        <rFont val="Roboto Light"/>
      </rPr>
      <t>B</t>
    </r>
    <r>
      <rPr>
        <sz val="11"/>
        <color theme="1"/>
        <rFont val="Calibri"/>
        <family val="2"/>
        <scheme val="minor"/>
      </rPr>
      <t>*L/2</t>
    </r>
  </si>
  <si>
    <r>
      <t>M</t>
    </r>
    <r>
      <rPr>
        <vertAlign val="subscript"/>
        <sz val="10"/>
        <color theme="1"/>
        <rFont val="Roboto Light"/>
      </rPr>
      <t>Ed,p1,m,o</t>
    </r>
    <r>
      <rPr>
        <sz val="11"/>
        <color theme="1"/>
        <rFont val="Calibri"/>
        <family val="2"/>
        <scheme val="minor"/>
      </rPr>
      <t xml:space="preserve"> = p</t>
    </r>
    <r>
      <rPr>
        <vertAlign val="subscript"/>
        <sz val="10"/>
        <color theme="1"/>
        <rFont val="Roboto Light"/>
      </rPr>
      <t>1,m</t>
    </r>
    <r>
      <rPr>
        <sz val="11"/>
        <color theme="1"/>
        <rFont val="Calibri"/>
        <family val="2"/>
        <scheme val="minor"/>
      </rPr>
      <t>*h</t>
    </r>
    <r>
      <rPr>
        <vertAlign val="subscript"/>
        <sz val="10"/>
        <color theme="1"/>
        <rFont val="Roboto Light"/>
      </rPr>
      <t>B</t>
    </r>
    <r>
      <rPr>
        <sz val="11"/>
        <color theme="1"/>
        <rFont val="Calibri"/>
        <family val="2"/>
        <scheme val="minor"/>
      </rPr>
      <t>*L^2/8</t>
    </r>
  </si>
  <si>
    <r>
      <t>V</t>
    </r>
    <r>
      <rPr>
        <vertAlign val="subscript"/>
        <sz val="10"/>
        <color theme="1"/>
        <rFont val="Roboto Black"/>
      </rPr>
      <t>Ed,V,o</t>
    </r>
    <r>
      <rPr>
        <sz val="10"/>
        <color theme="1"/>
        <rFont val="Roboto Black"/>
      </rPr>
      <t xml:space="preserve"> = A</t>
    </r>
    <r>
      <rPr>
        <vertAlign val="subscript"/>
        <sz val="10"/>
        <color theme="1"/>
        <rFont val="Roboto Black"/>
      </rPr>
      <t>v</t>
    </r>
    <r>
      <rPr>
        <sz val="10"/>
        <color theme="1"/>
        <rFont val="Roboto Black"/>
      </rPr>
      <t xml:space="preserve"> + V</t>
    </r>
    <r>
      <rPr>
        <vertAlign val="subscript"/>
        <sz val="10"/>
        <color theme="1"/>
        <rFont val="Roboto Black"/>
      </rPr>
      <t>Ed,p1,m,o</t>
    </r>
  </si>
  <si>
    <r>
      <t>M</t>
    </r>
    <r>
      <rPr>
        <vertAlign val="subscript"/>
        <sz val="10"/>
        <color theme="1"/>
        <rFont val="Roboto Black"/>
      </rPr>
      <t xml:space="preserve">Ed,V,o </t>
    </r>
    <r>
      <rPr>
        <sz val="10"/>
        <color theme="1"/>
        <rFont val="Roboto Black"/>
      </rPr>
      <t>= M</t>
    </r>
    <r>
      <rPr>
        <vertAlign val="subscript"/>
        <sz val="10"/>
        <color theme="1"/>
        <rFont val="Roboto Black"/>
      </rPr>
      <t>Ed,qD</t>
    </r>
    <r>
      <rPr>
        <sz val="10"/>
        <color theme="1"/>
        <rFont val="Roboto Black"/>
      </rPr>
      <t>+M</t>
    </r>
    <r>
      <rPr>
        <vertAlign val="subscript"/>
        <sz val="10"/>
        <color theme="1"/>
        <rFont val="Roboto Black"/>
      </rPr>
      <t>Ed,p1,m,o</t>
    </r>
  </si>
  <si>
    <t>Schnittgrößen Dammbalken unten</t>
  </si>
  <si>
    <t>Schnittgrößen aus Wasserdruck</t>
  </si>
  <si>
    <r>
      <t>V</t>
    </r>
    <r>
      <rPr>
        <vertAlign val="subscript"/>
        <sz val="10"/>
        <color theme="1"/>
        <rFont val="Roboto Black"/>
      </rPr>
      <t>Ed,p2,u</t>
    </r>
    <r>
      <rPr>
        <sz val="10"/>
        <color theme="1"/>
        <rFont val="Roboto Black"/>
      </rPr>
      <t xml:space="preserve"> = p</t>
    </r>
    <r>
      <rPr>
        <vertAlign val="subscript"/>
        <sz val="10"/>
        <color theme="1"/>
        <rFont val="Roboto Black"/>
      </rPr>
      <t>2,m,u</t>
    </r>
    <r>
      <rPr>
        <sz val="10"/>
        <color theme="1"/>
        <rFont val="Roboto Black"/>
      </rPr>
      <t>*h</t>
    </r>
    <r>
      <rPr>
        <vertAlign val="subscript"/>
        <sz val="10"/>
        <color theme="1"/>
        <rFont val="Roboto Black"/>
      </rPr>
      <t>B,F</t>
    </r>
    <r>
      <rPr>
        <sz val="10"/>
        <color theme="1"/>
        <rFont val="Roboto Black"/>
      </rPr>
      <t>*L/2</t>
    </r>
  </si>
  <si>
    <r>
      <t>M</t>
    </r>
    <r>
      <rPr>
        <vertAlign val="subscript"/>
        <sz val="10"/>
        <color theme="1"/>
        <rFont val="Roboto Black"/>
      </rPr>
      <t>Ed,p2,u</t>
    </r>
    <r>
      <rPr>
        <sz val="10"/>
        <color theme="1"/>
        <rFont val="Roboto Black"/>
      </rPr>
      <t xml:space="preserve"> = p</t>
    </r>
    <r>
      <rPr>
        <vertAlign val="subscript"/>
        <sz val="10"/>
        <color theme="1"/>
        <rFont val="Roboto Black"/>
      </rPr>
      <t>2,m,u</t>
    </r>
    <r>
      <rPr>
        <sz val="10"/>
        <color theme="1"/>
        <rFont val="Roboto Black"/>
      </rPr>
      <t>*h</t>
    </r>
    <r>
      <rPr>
        <vertAlign val="subscript"/>
        <sz val="10"/>
        <color theme="1"/>
        <rFont val="Roboto Black"/>
      </rPr>
      <t>B,F</t>
    </r>
    <r>
      <rPr>
        <sz val="10"/>
        <color theme="1"/>
        <rFont val="Roboto Black"/>
      </rPr>
      <t>*L^2/8</t>
    </r>
  </si>
  <si>
    <t>Schnittgrößen aus Volleinstau</t>
  </si>
  <si>
    <r>
      <t>V</t>
    </r>
    <r>
      <rPr>
        <vertAlign val="subscript"/>
        <sz val="10"/>
        <color theme="1"/>
        <rFont val="Roboto Black"/>
      </rPr>
      <t>Ed,p1,u</t>
    </r>
    <r>
      <rPr>
        <sz val="10"/>
        <color theme="1"/>
        <rFont val="Roboto Black"/>
      </rPr>
      <t xml:space="preserve"> = p</t>
    </r>
    <r>
      <rPr>
        <vertAlign val="subscript"/>
        <sz val="10"/>
        <color theme="1"/>
        <rFont val="Roboto Black"/>
      </rPr>
      <t>1,m,u</t>
    </r>
    <r>
      <rPr>
        <sz val="10"/>
        <color theme="1"/>
        <rFont val="Roboto Black"/>
      </rPr>
      <t>*h</t>
    </r>
    <r>
      <rPr>
        <vertAlign val="subscript"/>
        <sz val="10"/>
        <color theme="1"/>
        <rFont val="Roboto Black"/>
      </rPr>
      <t>B,F</t>
    </r>
    <r>
      <rPr>
        <sz val="10"/>
        <color theme="1"/>
        <rFont val="Roboto Black"/>
      </rPr>
      <t>*L/2</t>
    </r>
  </si>
  <si>
    <r>
      <t>M</t>
    </r>
    <r>
      <rPr>
        <vertAlign val="subscript"/>
        <sz val="10"/>
        <color theme="1"/>
        <rFont val="Roboto Black"/>
      </rPr>
      <t>Ed,p1,u</t>
    </r>
    <r>
      <rPr>
        <sz val="10"/>
        <color theme="1"/>
        <rFont val="Roboto Black"/>
      </rPr>
      <t xml:space="preserve"> = p</t>
    </r>
    <r>
      <rPr>
        <vertAlign val="subscript"/>
        <sz val="10"/>
        <color theme="1"/>
        <rFont val="Roboto Black"/>
      </rPr>
      <t>1,m,u</t>
    </r>
    <r>
      <rPr>
        <sz val="10"/>
        <color theme="1"/>
        <rFont val="Roboto Black"/>
      </rPr>
      <t>*h</t>
    </r>
    <r>
      <rPr>
        <vertAlign val="subscript"/>
        <sz val="10"/>
        <color theme="1"/>
        <rFont val="Roboto Black"/>
      </rPr>
      <t>B,F</t>
    </r>
    <r>
      <rPr>
        <sz val="10"/>
        <color theme="1"/>
        <rFont val="Roboto Black"/>
      </rPr>
      <t>*L^2/8</t>
    </r>
  </si>
  <si>
    <t>Ermittlung der Dammbalkenanzahl für Stoß BHW</t>
  </si>
  <si>
    <t>Wasserdruck BHW</t>
  </si>
  <si>
    <t>Ermittlung der Dammbalkenanzahl für Stoß Vollstau</t>
  </si>
  <si>
    <t>Anprall BHW</t>
  </si>
  <si>
    <t>Wasserdruck Volleinstau</t>
  </si>
  <si>
    <t>Anprall Volleinstau</t>
  </si>
  <si>
    <t>(1x)</t>
  </si>
  <si>
    <t>Mont.Li</t>
  </si>
  <si>
    <t>Mont.Re</t>
  </si>
  <si>
    <t>Indexzahl</t>
  </si>
  <si>
    <t>Anzahl Halterungen</t>
  </si>
  <si>
    <t>system 1</t>
  </si>
  <si>
    <t>system 2</t>
  </si>
  <si>
    <t>system 3</t>
  </si>
  <si>
    <t>system 4</t>
  </si>
  <si>
    <t>Statische Ausnutzung Steher</t>
  </si>
  <si>
    <t>1/</t>
  </si>
  <si>
    <t>Statische Ausnutzung Dammbalken</t>
  </si>
  <si>
    <t>gewählt in folgenden Kalkulationen</t>
  </si>
  <si>
    <t>Dammbalken 80/200</t>
  </si>
  <si>
    <t>S9369</t>
  </si>
  <si>
    <t>System 80 (Gross)</t>
  </si>
  <si>
    <t>MOBILER HOCHWASSERSCHUTZ - Rundprofil System 80 - S8246</t>
  </si>
  <si>
    <t>MOBILER HOCHWASSERSCHUTZ - Rundprofil System 80 - S10464</t>
  </si>
  <si>
    <r>
      <t>H</t>
    </r>
    <r>
      <rPr>
        <vertAlign val="subscript"/>
        <sz val="10"/>
        <color theme="1"/>
        <rFont val="Roboto Light"/>
      </rPr>
      <t>ges</t>
    </r>
    <r>
      <rPr>
        <sz val="11"/>
        <color theme="1"/>
        <rFont val="Calibri"/>
        <family val="2"/>
        <scheme val="minor"/>
      </rPr>
      <t xml:space="preserve"> = 15+150*n+10</t>
    </r>
  </si>
  <si>
    <r>
      <t>H</t>
    </r>
    <r>
      <rPr>
        <vertAlign val="subscript"/>
        <sz val="10"/>
        <color theme="1"/>
        <rFont val="Roboto Light"/>
      </rPr>
      <t>ges</t>
    </r>
    <r>
      <rPr>
        <sz val="11"/>
        <color theme="1"/>
        <rFont val="Calibri"/>
        <family val="2"/>
        <scheme val="minor"/>
      </rPr>
      <t xml:space="preserve"> = 15+200*n+10</t>
    </r>
  </si>
  <si>
    <r>
      <t>α</t>
    </r>
    <r>
      <rPr>
        <vertAlign val="subscript"/>
        <sz val="10"/>
        <color theme="1"/>
        <rFont val="Roboto Light"/>
      </rPr>
      <t>3,u</t>
    </r>
    <r>
      <rPr>
        <sz val="11"/>
        <color theme="1"/>
        <rFont val="Calibri"/>
        <family val="2"/>
        <scheme val="minor"/>
      </rPr>
      <t xml:space="preserve"> =</t>
    </r>
  </si>
  <si>
    <r>
      <t>M</t>
    </r>
    <r>
      <rPr>
        <vertAlign val="subscript"/>
        <sz val="10"/>
        <rFont val="Roboto Light"/>
      </rPr>
      <t>net,Rd</t>
    </r>
    <r>
      <rPr>
        <sz val="10"/>
        <rFont val="Roboto Light"/>
      </rPr>
      <t xml:space="preserve"> = W</t>
    </r>
    <r>
      <rPr>
        <vertAlign val="subscript"/>
        <sz val="10"/>
        <rFont val="Roboto Light"/>
      </rPr>
      <t>el</t>
    </r>
    <r>
      <rPr>
        <sz val="10"/>
        <rFont val="Roboto Light"/>
      </rPr>
      <t>*f</t>
    </r>
    <r>
      <rPr>
        <vertAlign val="subscript"/>
        <sz val="10"/>
        <rFont val="Roboto Light"/>
      </rPr>
      <t>u</t>
    </r>
    <r>
      <rPr>
        <sz val="10"/>
        <rFont val="Roboto Light"/>
      </rPr>
      <t>/ϒ</t>
    </r>
    <r>
      <rPr>
        <vertAlign val="subscript"/>
        <sz val="10"/>
        <rFont val="Roboto Light"/>
      </rPr>
      <t>M2</t>
    </r>
  </si>
  <si>
    <t>System 80 (klein)</t>
  </si>
  <si>
    <t>Produkttechnik</t>
  </si>
  <si>
    <t>(Abdeckung-Nummer)</t>
  </si>
  <si>
    <t>(HalterungDammbalken)</t>
  </si>
  <si>
    <t>MOBILER HOCHWASSERSCHUTZ - Dammbalken 25/200 - S12272</t>
  </si>
  <si>
    <r>
      <t>H</t>
    </r>
    <r>
      <rPr>
        <vertAlign val="subscript"/>
        <sz val="10"/>
        <color theme="1"/>
        <rFont val="Roboto Light"/>
      </rPr>
      <t>ges</t>
    </r>
    <r>
      <rPr>
        <sz val="11"/>
        <color theme="1"/>
        <rFont val="Calibri"/>
        <family val="2"/>
        <scheme val="minor"/>
      </rPr>
      <t xml:space="preserve"> = 17+202*n+10</t>
    </r>
  </si>
  <si>
    <t>siehe Kalk1_Lastfallkombination</t>
  </si>
  <si>
    <t>siehe Kalk2_Lastfallkombination</t>
  </si>
  <si>
    <t>siehe Kalk3_Lastfallkombination</t>
  </si>
  <si>
    <t>siehe Kalk4_Lastfallkombination</t>
  </si>
  <si>
    <t>siehe Kalk5_Lastfallkombination</t>
  </si>
  <si>
    <t>Kalk.</t>
  </si>
  <si>
    <t>Dammbalken 25/200</t>
  </si>
  <si>
    <t>S12272</t>
  </si>
  <si>
    <t>Berechnungsparameter aus Profilgeometrien:</t>
  </si>
  <si>
    <t>Dammbalkenlänge über Lichte:</t>
  </si>
  <si>
    <t>a</t>
  </si>
  <si>
    <t>b</t>
  </si>
  <si>
    <t>l</t>
  </si>
  <si>
    <t>Höhe grün</t>
  </si>
  <si>
    <t>+höhe auf blau</t>
  </si>
  <si>
    <t>System 50/150</t>
  </si>
  <si>
    <t>System 25/200</t>
  </si>
  <si>
    <t>System 50+80/200</t>
  </si>
  <si>
    <t>Zusatzmaß zum einfädeln für Formel</t>
  </si>
  <si>
    <t>Abzugswert Gummidichtung Grundprofi</t>
  </si>
  <si>
    <t>(Oberkante Ausnehmung - Oberkante DB)</t>
  </si>
  <si>
    <t>(Oberkante Sturz - Oberkante DB)</t>
  </si>
  <si>
    <t>Spannstück Auswahl</t>
  </si>
  <si>
    <t>Zusatzmaß beim Ergebnis</t>
  </si>
  <si>
    <t>*) beinhaltet 50 mm Sicherheit</t>
  </si>
  <si>
    <t>Hinweis: Angebotsgültigkeit 1 Monat; Lieferzeit auf Anfrage; kein Montagematerial enthalten</t>
  </si>
  <si>
    <t>Mittig</t>
  </si>
  <si>
    <t>vdl</t>
  </si>
  <si>
    <t>idl</t>
  </si>
  <si>
    <t>idlb</t>
  </si>
  <si>
    <t>anzahl Felder</t>
  </si>
  <si>
    <t>Abdeckung-Auswahl links</t>
  </si>
  <si>
    <t>Abdeckung-Auswahl rechts</t>
  </si>
  <si>
    <t>H251291</t>
  </si>
  <si>
    <t>H251053</t>
  </si>
  <si>
    <t>gemelési segédeszköz</t>
  </si>
  <si>
    <t>gátgerenda kampó</t>
  </si>
  <si>
    <t>gátgerenda kampó elem</t>
  </si>
  <si>
    <t>gátgerenda kampó elem:</t>
  </si>
  <si>
    <t>tömítő görgő 25/50</t>
  </si>
  <si>
    <t>tömítő görgő 80</t>
  </si>
  <si>
    <t>=SVERWEIS(2110;Sprachindex!$A:$P;Erhebungsbogen!$Y$20;FALSCH)</t>
  </si>
  <si>
    <t>Passend für Prefa Entwässerungsprodukte.</t>
  </si>
  <si>
    <t>Dachflächenfenster Über 25° Dachneigung</t>
  </si>
  <si>
    <t>Innenecke mehrteilig (Länge: 3.000 mm)</t>
  </si>
  <si>
    <t>Taschenprofil gekantet (Länge: 2.500 mm)</t>
  </si>
  <si>
    <t>Fuge.600</t>
  </si>
  <si>
    <t>Montagehilfe Sturmsicherungsclip für Materialstärke 1,5mm</t>
  </si>
  <si>
    <t>Sonderrinnenwinkel – 3D</t>
  </si>
  <si>
    <t xml:space="preserve">Sonder- Erhebungsbogen </t>
  </si>
  <si>
    <t>Rinnenwinkel 2D</t>
  </si>
  <si>
    <t>Rinnenwinkel 3D</t>
  </si>
  <si>
    <t>dĺžka krokvy: &lt; 7 m</t>
  </si>
  <si>
    <t>⌀ 100</t>
  </si>
  <si>
    <t>⌀ 100 × 1.450 mm</t>
  </si>
  <si>
    <t>⌀ 100; 700–1.100 mm</t>
  </si>
  <si>
    <t>17 P.10 čistá biela</t>
  </si>
  <si>
    <t>17 čistá biela</t>
  </si>
  <si>
    <t>19 P.10 tmavošedá</t>
  </si>
  <si>
    <t>1 x 250 (A=140; B=85; C=25 mm)</t>
  </si>
  <si>
    <t>1 x 333 (A=223; B=85; C=25 mm)</t>
  </si>
  <si>
    <t>23 čiernošedá</t>
  </si>
  <si>
    <t>4: Množstvá sa môžu spočítavať v kusoch (ks), alebo zaokrúhľovať nahor na celé balenie (BAL) podľa potreby.</t>
  </si>
  <si>
    <t>40 drevo svetlé</t>
  </si>
  <si>
    <t>45 bronzová</t>
  </si>
  <si>
    <t>5: Množstvá sa môžu spočítavať v kusoch (ks), alebo zaokrúhľovať nahor na celé balenie (BAL) podľa potreby.</t>
  </si>
  <si>
    <t xml:space="preserve">7: Nepotrebné položky sa môžu odstrániť pomocou filtra </t>
  </si>
  <si>
    <t xml:space="preserve">9: Nepotrebné položky sa môžu odstrániť pomocou filtra </t>
  </si>
  <si>
    <t>Abdeckung aus Prefalz</t>
  </si>
  <si>
    <t>dažďový zvod (1,6 mm; DN 100)</t>
  </si>
  <si>
    <t>dažďový zvod (DN 60; zváraný)</t>
  </si>
  <si>
    <t>polkruhový žľab (s ochrannou fóliou na vonkajšej strane)</t>
  </si>
  <si>
    <t>ohýbaná časť</t>
  </si>
  <si>
    <t>Náhľad</t>
  </si>
  <si>
    <t>Náhľad – Prehľad produktov</t>
  </si>
  <si>
    <t>Náhľad – Vzdialenosť šnúrovania</t>
  </si>
  <si>
    <t>Aplikační technika</t>
  </si>
  <si>
    <t>artiklové číslo</t>
  </si>
  <si>
    <t>nábehový klin</t>
  </si>
  <si>
    <t>vonkajší rohový profil (2 - dielny; L = 2.000 mm)</t>
  </si>
  <si>
    <t>vonkajší roh polkruhového žľabu (W3 viac ako 90°)</t>
  </si>
  <si>
    <t>vonkajší roh polkruhového žľabu (W3 menej ako 90°)</t>
  </si>
  <si>
    <t>Bestellformular</t>
  </si>
  <si>
    <t>svorka bleskozvodu</t>
  </si>
  <si>
    <t>Cad-Details</t>
  </si>
  <si>
    <t>Dachaufbauten bei Prefalz Eindeckungen</t>
  </si>
  <si>
    <t>Dachentwässerung</t>
  </si>
  <si>
    <t>Strešné okno s nábehovým klinom pri sklone strechy viac ako 25°.</t>
  </si>
  <si>
    <t>Dachflächenfenster mit Aufkeilrahmen unter 15° Dachneigung.</t>
  </si>
  <si>
    <t>Roof window flashing with wedge frames under 15°</t>
  </si>
  <si>
    <t>Fenêtre de toit avec sous-costière (pente de toit inférieure à 15°).</t>
  </si>
  <si>
    <t>Finestra per tetto con telaio a cunei per tetti con pendenza inferiore a 15°.</t>
  </si>
  <si>
    <t>střešní okno pod 15° se zvedacím rámem</t>
  </si>
  <si>
    <t>Okna dachowe z ościeżnicą klinową poniżej 15° nachylenia dachu.</t>
  </si>
  <si>
    <t>Ékelt keretes tetősíkablakok 15°-os tetőhajlásszög alatt.</t>
  </si>
  <si>
    <t>Strešné okno s klinovými rámami pri sklone strechy menej ako 15°.</t>
  </si>
  <si>
    <t>Dakvensters met spleetkozijnen onder 15° dakhelling.</t>
  </si>
  <si>
    <t>Strešno okno s klinastim okvirjem pod 15° naklona strehe.</t>
  </si>
  <si>
    <t>Takfönster med kilramar under 15° taklutning.</t>
  </si>
  <si>
    <t>Tagvindue med kileramme under 15° taghældning.</t>
  </si>
  <si>
    <t>Takvindu med kilekarmer under 15° takhelling.</t>
  </si>
  <si>
    <t>Ležeći krovni prozor s okvirom ispod 15° nagiba krova.</t>
  </si>
  <si>
    <t>Strešné okno s nábehovým klinom pri sklone strechy viac ako 25°. Použitie v oblastiach bohatých na sneh. Potreba použitia vloženého klinu závisí od vlastností objektu, lokality, ako aj od existencie protisnehovej ochrany. Pri odbornej montáži sa musí postupovať podľa smerníc výrobcu strešného okna.</t>
  </si>
  <si>
    <t>Dachflächenfenstereinfassung für Prefalz</t>
  </si>
  <si>
    <t>Dachluke (600 × 600 mm); komplett mit Holzrahmen</t>
  </si>
  <si>
    <t>roof hatch (600 x 600 mm); complete with wooden frame</t>
  </si>
  <si>
    <t>tabatière (600 × 600 mm) ; avec châssis en bois</t>
  </si>
  <si>
    <t>Passo uomo (600x600 mm) completo di telaio in legno</t>
  </si>
  <si>
    <t>Výlezové okno (600x600 mm) komplett s dřevěným rámem</t>
  </si>
  <si>
    <t>właz dachowy (600 x 600 mm); kompletny na drewnianej ramie.</t>
  </si>
  <si>
    <t>tetőkibúvó ablak (600x600mm) komplett, fa kerettel</t>
  </si>
  <si>
    <t>povalové okno (600 x 600 mm); komplet s dreveným rámom</t>
  </si>
  <si>
    <t>dakluik (600 x 600 mm) compleet met houten frame</t>
  </si>
  <si>
    <t>zasilno strešno okno (600 x 600 mm) vklj. Z lesenim okvirjem</t>
  </si>
  <si>
    <t>taklucka (600 x 600 mm) komplett med träram</t>
  </si>
  <si>
    <t>tagluge (600x600 mm) komplet med træramme</t>
  </si>
  <si>
    <t>takluke (600x600 mm) komplett med treramme</t>
  </si>
  <si>
    <t>Izlazni krovni prozor (600 × 600 mm); u kompletu s drvenim okvirom</t>
  </si>
  <si>
    <t>Dachpaneel FX.12</t>
  </si>
  <si>
    <t>Dachplatte</t>
  </si>
  <si>
    <t>FALCOVANÁ ŠKRIDLA</t>
  </si>
  <si>
    <t>Dachplatte R.16</t>
  </si>
  <si>
    <t>STREŠNÝ PANEL R.16</t>
  </si>
  <si>
    <t>strešný panel R.16 (700 x 420 mm)</t>
  </si>
  <si>
    <t>strešná šablóna (290 x 290 mm, 120 ks/kart.)</t>
  </si>
  <si>
    <t>Dachraute 29 × 29</t>
  </si>
  <si>
    <t>STREŠNÁ ŠABLÓNA 29 x 29</t>
  </si>
  <si>
    <t>Dachraute 44 × 44</t>
  </si>
  <si>
    <t>STREŠNÁ ŠABLÓNA 44 x 44</t>
  </si>
  <si>
    <t>Dachrinnensysteme</t>
  </si>
  <si>
    <t>Dachschindel</t>
  </si>
  <si>
    <t>Dachschindel DS.19</t>
  </si>
  <si>
    <t>Dachsysteme</t>
  </si>
  <si>
    <t>Dachübergang von Dacheindeckung in Prefalz</t>
  </si>
  <si>
    <t>Dachübergang von Dachplatte in Prefalz (Schweiz)</t>
  </si>
  <si>
    <t>Dachübergang von Prefalz in Dacheindeckung</t>
  </si>
  <si>
    <t>Dachübergang von Prefalz in Prefalz</t>
  </si>
  <si>
    <t>oblasť dilatácie</t>
  </si>
  <si>
    <t>Následující skicy bez měřítka byly vypracovány ve spolupráci s firmou Bauder. Příklady konstrukcí představují běžné případy, které je event. nutno upravit pro místní podmínky stavby. Je nutno rovněž zohlednit národní technické předpisy!Následující skicy bez měřítka byly vypracovány ve spolupráci s firmou Bauder. Příklady konstrukcí představují běžné případy, které je event. nutno upravit pro místní podmínky stavby. Je nutno rovněž zohlednit národní technické předpisy!</t>
  </si>
  <si>
    <t>tepelnětechnické  a vlhkostní vlastnosti střešní skladby</t>
  </si>
  <si>
    <t>Dimenzia:</t>
  </si>
  <si>
    <t>Equerre de fixation</t>
  </si>
  <si>
    <t>Doppelstehfalzdeckung (Prefalz)</t>
  </si>
  <si>
    <t>rohová spojka pre rúru</t>
  </si>
  <si>
    <t>lemovanie pre Roto (stucco)</t>
  </si>
  <si>
    <t>lemovanie pre strešné okná Roto (stucco)</t>
  </si>
  <si>
    <t>lemovanie pre Velux (stucco)</t>
  </si>
  <si>
    <t>lemovanie pre strešné okná Velux (stucco)</t>
  </si>
  <si>
    <t>prestupový prvok pre strešný panel R.16 a stešný panel FX.12, hladký, Ø 80 - 125 mm</t>
  </si>
  <si>
    <t>prestup pre falcované škridle; hladký; Ø 80 - 125 mm</t>
  </si>
  <si>
    <t>zaťahovací pás/odkvapový pás</t>
  </si>
  <si>
    <t>odkvapový plech (230 x 2.000 x 0.7 mm)</t>
  </si>
  <si>
    <t>odkvapový plech (hladký)</t>
  </si>
  <si>
    <t>odkapový plech (hladký; 230 × 2.000 × 0,7 mm)</t>
  </si>
  <si>
    <t>kotviaci bod</t>
  </si>
  <si>
    <t>kotviaci bod podľa EN 795; trieda A (so šírkou 650)</t>
  </si>
  <si>
    <t>Erhebungsbogen</t>
  </si>
  <si>
    <t>Falzgel in Kartusche</t>
  </si>
  <si>
    <t>Falzlage Eintragen!</t>
  </si>
  <si>
    <t>Couleur:</t>
  </si>
  <si>
    <t>Fassadensysteme</t>
  </si>
  <si>
    <t>Firma / Objednatel:</t>
  </si>
  <si>
    <t>Firstabdeckung aus Prefalz</t>
  </si>
  <si>
    <t>Froschmaulluke für Dachplatte 300 × 420 mm Lüftungsquerschnitt: ca. 30 cm²</t>
  </si>
  <si>
    <t>Froschmaulluke (stucco) für Dachschindel 420 × 240 mm Lüftungsquerschnitt: ca. 30 cm²</t>
  </si>
  <si>
    <t>Dachpaneel FX.12 klein (700 × 420 mm)</t>
  </si>
  <si>
    <t>Dachpaneel FX.12 groß (1.400 × 420 mm)</t>
  </si>
  <si>
    <t>Gebirgsschneefang</t>
  </si>
  <si>
    <t>Equerre-support</t>
  </si>
  <si>
    <t>Inhalt:</t>
  </si>
  <si>
    <t>Zakázka</t>
  </si>
  <si>
    <t>Konstruktionsbeispiele – Dachaufbauten</t>
  </si>
  <si>
    <t>Délka</t>
  </si>
  <si>
    <t>Legende:</t>
  </si>
  <si>
    <t>Dodací adresa</t>
  </si>
  <si>
    <t>Quantity estimation</t>
  </si>
  <si>
    <t>Výpočet množství/Poptávka</t>
  </si>
  <si>
    <t>Oder E-Mail:</t>
  </si>
  <si>
    <t>Ohne Wärmedämmung</t>
  </si>
  <si>
    <t>Místo:</t>
  </si>
  <si>
    <t>Plz + Ort:</t>
  </si>
  <si>
    <t>Position :</t>
  </si>
  <si>
    <t>Prefalz Doppelstehfalzdeckung</t>
  </si>
  <si>
    <t>Prefalz Ergänzungsband</t>
  </si>
  <si>
    <t>Prefalz Ergänzungsband; 0,7 × 1.000 mm (für Zusatzverblechungen)</t>
  </si>
  <si>
    <t>Prefalz Ergänzungsband; 1,0 × 1.000 mm (nur für Saumstreifen)</t>
  </si>
  <si>
    <t>Prefalz Farbaluminiumband; 0,7 × 1.000 mm</t>
  </si>
  <si>
    <t>Prefalz Farbaluminiumband; 0,7 × 1.000 mm (für Zusatzverblechungen)</t>
  </si>
  <si>
    <t>Prefalz Farbaluminiumband; 0,7 × 650 mm</t>
  </si>
  <si>
    <t>Prefalz Fassade (horizontal)</t>
  </si>
  <si>
    <t>Prefalz Fassade (vertikal)</t>
  </si>
  <si>
    <t>Prefalz Winkelstehfalzfassade (horizontal)</t>
  </si>
  <si>
    <t>Prefalz Winkelstehfalzfassade (vertikal)</t>
  </si>
  <si>
    <t>Quadratrohr – Sonderwasserfangkasten</t>
  </si>
  <si>
    <t>Retournierung per Fax:</t>
  </si>
  <si>
    <t>Quadratrohrbogen</t>
  </si>
  <si>
    <t>Rohreinmündung (Quadratisch; Zweifach)</t>
  </si>
  <si>
    <t>Rohreinmündung (Quadratisch; Einfach)</t>
  </si>
  <si>
    <t>Rohreinmündung (Rund; Einfach)</t>
  </si>
  <si>
    <t>Rohreinmündung (Rund; Zweifach)</t>
  </si>
  <si>
    <t>Pěnový klín (samolepící)</t>
  </si>
  <si>
    <t>Schneestopper für Dachplatte R.16, FX.12 und DS.19</t>
  </si>
  <si>
    <t>snow guard for R.16 roof tile, FX.12 and DS.19</t>
  </si>
  <si>
    <t>arrêt de neige pour R.16, FX.12 et DS.19</t>
  </si>
  <si>
    <t>Sněhý hák pro panely R.16, FX.12, DS.19</t>
  </si>
  <si>
    <t>Bariera śniegowa Dachówka R.16, FX.12 i DS.19</t>
  </si>
  <si>
    <t>hóvágó R.16, FX.12 tetőfedő elemekhez, DS.19</t>
  </si>
  <si>
    <t>zachytávač snehu na škridlu R.16, panel FX.12 a DS.19</t>
  </si>
  <si>
    <t>sneeuwstopper voor dakplaat R.16, FX.12 en DS.19</t>
  </si>
  <si>
    <t>snegolov za strešne plošče R.16, FX.12 in DS.19</t>
  </si>
  <si>
    <t>snöstoppare för takplatta R.16, FX.12 och DS.19</t>
  </si>
  <si>
    <t>snestopper til tagplade R.16, FX.12 og DS.19</t>
  </si>
  <si>
    <t>snøstopper for takplate R.16, FX.12 og DS.19</t>
  </si>
  <si>
    <t>Točkasti snjegobran za krovnu ploču R.16, FX.12 i DS.19</t>
  </si>
  <si>
    <t>Boční připojení stěny s profilovým plechovým zakončením.</t>
  </si>
  <si>
    <t>seitlicher Wandanschluss bei Prefalz</t>
  </si>
  <si>
    <t>Servis</t>
  </si>
  <si>
    <t>Siding – Zubehör</t>
  </si>
  <si>
    <t>Sockelknie (Quadratisch)</t>
  </si>
  <si>
    <t>Sockelknie (Rund)</t>
  </si>
  <si>
    <t>Sonderrinnenwinkel – 2D</t>
  </si>
  <si>
    <t>Sonderwasserfangkasten</t>
  </si>
  <si>
    <t>Profilo di partenza; L = 2000 mm</t>
  </si>
  <si>
    <t>Startovací profil, délka 2000 mm</t>
  </si>
  <si>
    <t>štartovací profil dĺžka 2000 mm</t>
  </si>
  <si>
    <t>Startprofiel L = 2000 mm</t>
  </si>
  <si>
    <t>Startprofil L = 2.000 mm</t>
  </si>
  <si>
    <t>Startprofil L = 2000 mm</t>
  </si>
  <si>
    <t>stlačená drážka (kapsa)</t>
  </si>
  <si>
    <t>Verlegebeispiel – Prefalz Solar</t>
  </si>
  <si>
    <t>solid sheathing conforming to national guidelines</t>
  </si>
  <si>
    <t>Equerre murale</t>
  </si>
  <si>
    <t>Equerre</t>
  </si>
  <si>
    <t>Winkelstehfalz (Prefalz)</t>
  </si>
  <si>
    <t>Dopňující poznámka:</t>
  </si>
  <si>
    <t>Střešní okno s náběhovým klínem nad 25° střešního sklonu.</t>
  </si>
  <si>
    <t>Použití v oblastech bohatých na sníh.</t>
  </si>
  <si>
    <t>Nutnost náběhového klínu závisí na vlastnostech objektu, lokalitě, jakož i použití protisněhového opatření.</t>
  </si>
  <si>
    <t>Odborná montáž  střešních oken dle technologického návodu výrobce střešních oken.</t>
  </si>
  <si>
    <t>Dachflächenfenster Mit Aufkeilrahmen</t>
  </si>
  <si>
    <t>Ablaufrohr mit Schutzfolie</t>
  </si>
  <si>
    <t>Prefa_Details_Dach_Dachplatte_181203</t>
  </si>
  <si>
    <t>Prefa_Details_Dach_Dachplatte_R.16_181203</t>
  </si>
  <si>
    <t>Schneestopper – Verlegeschema R.16 1</t>
  </si>
  <si>
    <t>Schneestopper – Verlegeschema R.16 2</t>
  </si>
  <si>
    <t>Schneestopper – Verlegeschema R.16 3</t>
  </si>
  <si>
    <t>Prefa Dacheindeckung</t>
  </si>
  <si>
    <t>Dachaufbauten für Prefa Dacheindeckungen</t>
  </si>
  <si>
    <t>Anforderung</t>
  </si>
  <si>
    <t>Die in den Prefa Verlegerichtlinien angegebenen Dachneigungen der jeweiligen Produkte sind einzuhalten.</t>
  </si>
  <si>
    <t>Unterdeckahn (Lt. Önorm B 4119)</t>
  </si>
  <si>
    <t>Unterdeckbahn (Mindestqualität)</t>
  </si>
  <si>
    <t>Prefa_Details_Dach_Dachschindel_181203</t>
  </si>
  <si>
    <t>Schneestopper – Verlegeschema S1</t>
  </si>
  <si>
    <t>Schneestopper – Verlegeschema S2</t>
  </si>
  <si>
    <t>Schneestopper – Verlegeschema S3</t>
  </si>
  <si>
    <t>Prefa_Details_Dach_Dachschindel Ds.19_190131</t>
  </si>
  <si>
    <t>Schneestopper – Verlegeschema Ds.19 1</t>
  </si>
  <si>
    <t>Schneestopper – Verlegeschema Ds.19 2</t>
  </si>
  <si>
    <t>Schneestopper – Verlegeschema Ds.19 3</t>
  </si>
  <si>
    <t>020205_At_Details_Dach DR29X29_Prefa_2021-Q1</t>
  </si>
  <si>
    <t>Schneestopper – Verlegeschema DR29 1</t>
  </si>
  <si>
    <t>Schneestopper – Verlegeschema DR29 2</t>
  </si>
  <si>
    <t>Schneestopper – Verlegeschema DR29 3</t>
  </si>
  <si>
    <t>020206_AT_Details_Dach DR44x44_Prefa_2021-Q1</t>
  </si>
  <si>
    <t>Schneestopper – Verlegeschema DR44 1</t>
  </si>
  <si>
    <t>Schneestopper – Verlegeschema DR44 2</t>
  </si>
  <si>
    <t>Schneestopper – Verlegeschema DR44 3</t>
  </si>
  <si>
    <t>020202_AT_Details_Dach FX.12_Prefa_2021-Q1</t>
  </si>
  <si>
    <t>Schneestopper – Verlegeschema FX.12 1</t>
  </si>
  <si>
    <t>Schneestopper – Verlegeschema FX.12 2</t>
  </si>
  <si>
    <t>Schneestopper – Verlegeschema FX.12 3</t>
  </si>
  <si>
    <t>Ecksiding</t>
  </si>
  <si>
    <t>Materialauswahl:</t>
  </si>
  <si>
    <t>Ausführung</t>
  </si>
  <si>
    <t>Dachentwässerung P.10</t>
  </si>
  <si>
    <t>Quadratrohr P.10</t>
  </si>
  <si>
    <t>techn. Ausarbeitung Prefa:</t>
  </si>
  <si>
    <t>19 Dunkelgrau</t>
  </si>
  <si>
    <t>Prefabond – Zubehör</t>
  </si>
  <si>
    <t>F-Profil Für Prefabond</t>
  </si>
  <si>
    <t>U-Profil Für Prefabond</t>
  </si>
  <si>
    <t>Montagehilfe Prefabond</t>
  </si>
  <si>
    <t>Prefa übernimmt keinerlei Garantie bezüglich Material- und Verschnittangaben.</t>
  </si>
  <si>
    <t>Montagehilfe Prefabond (Fugenbreite: 8 Mm)</t>
  </si>
  <si>
    <t>Montagehilfe Prefabond (Fugenbreite: 10 Mm)</t>
  </si>
  <si>
    <t>Passend für Prefa Dachsysteme (Kleinformat)</t>
  </si>
  <si>
    <t>Solarhalter Prefalz Vario</t>
  </si>
  <si>
    <t>Equerre-support pour tablette</t>
  </si>
  <si>
    <t>Verlegemass</t>
  </si>
  <si>
    <t>Auf Aluminium-Unterkonstruktion</t>
  </si>
  <si>
    <t>Aussenecke</t>
  </si>
  <si>
    <t>Für die Notwendigkeit des Sturmsicherungsclips: siehe Prefa Verlegerichtlinien Fassade.</t>
  </si>
  <si>
    <t>Stossausbildung</t>
  </si>
  <si>
    <t>EQUERRE MURALE</t>
  </si>
  <si>
    <t>Siding Mit Uz-Profil</t>
  </si>
  <si>
    <t>Siding &amp; Siding.X (Vertikal)</t>
  </si>
  <si>
    <t>Aussenecke (Variante 1)</t>
  </si>
  <si>
    <t>Aussenecke (Variante 2)</t>
  </si>
  <si>
    <t>Fenstersturz Mit Raffstore</t>
  </si>
  <si>
    <t>Prefabond</t>
  </si>
  <si>
    <t>Prefabond (geklebt)</t>
  </si>
  <si>
    <t>Fensterlaibung (Variante 1)</t>
  </si>
  <si>
    <t>Fensterlaibung (Variante 2)</t>
  </si>
  <si>
    <t>Horizontalschnitt – Fensterlaibung (Variante 1)</t>
  </si>
  <si>
    <t>Horizontalschnitt – Fensterlaibung (Variante 2)</t>
  </si>
  <si>
    <t>Prefabond (mechanisch befestigt)</t>
  </si>
  <si>
    <t>Schnürmass</t>
  </si>
  <si>
    <t>Geschosstrennung</t>
  </si>
  <si>
    <t>Elément de construction</t>
  </si>
  <si>
    <t>Etape</t>
  </si>
  <si>
    <t>Attention ! Longueur maximum pour le revêtement des batardeaux : 3000 mm</t>
  </si>
  <si>
    <t>Achtung: Zu Viele Rundprofile Gewählt</t>
  </si>
  <si>
    <t>Bei nicht fachgerechter Montage und/oder Wartung oder bei Benutzung von nicht originalem Zubehör übernimmt Prefa keinerlei Haftung.</t>
  </si>
  <si>
    <t>Thermolaquage:</t>
  </si>
  <si>
    <t>darunter auch Beschädigung durch mechanische Einwirkung von Personen oder Gegenständen, ausschlussgebend für eine Haftung seitens Prefa.</t>
  </si>
  <si>
    <t>Das Berechnungstool bezieht sich ausschließlich auf Prefa Hochwasserschutzsysteme.</t>
  </si>
  <si>
    <t>Dauerbodendichtung:</t>
  </si>
  <si>
    <t>Permanent base seal:</t>
  </si>
  <si>
    <t>guarnizione a pavimento a lunga durata:</t>
  </si>
  <si>
    <t>Trvalé spodní těsnění:</t>
  </si>
  <si>
    <t>Stałe uszczelnienie podłogowe:</t>
  </si>
  <si>
    <t>Bentmaradó talajtömítés:</t>
  </si>
  <si>
    <t>Trvalo pružné spodné tesnenie:</t>
  </si>
  <si>
    <t>Duurzame Bodemafdichting:</t>
  </si>
  <si>
    <t>PERMANENTGOLVTÄTNING:</t>
  </si>
  <si>
    <t>Permanent bundtætning:</t>
  </si>
  <si>
    <t>Permanent bunntetning:</t>
  </si>
  <si>
    <t>Trajno brtvljenje prema tlu:</t>
  </si>
  <si>
    <t>Les prix définis dans ce document sont valables jusqu’à la nouvelle édition de la liste de prix sous réserve d’ajustements de prix anticipés</t>
  </si>
  <si>
    <t>Les justificatifs suivants sont calculés ou pris en compte :</t>
  </si>
  <si>
    <t>Cet outil a été conçu par PREFA pour aider les partenaires, mais ne les dispense pas de l’obligation de vérifier la conformité des résultats au cas par cas.</t>
  </si>
  <si>
    <t>Hydrostatický &amp; -dynamický</t>
  </si>
  <si>
    <t>TVA incluse</t>
  </si>
  <si>
    <t>Obwohl das Berechnungstool von Prefa mit größtmöglicher Sorgfalt erstellt wurde,</t>
  </si>
  <si>
    <t xml:space="preserve">Bien que l’outil de calcul PREFA ait été développé avec le plus grand soin, les résultats des calculs ne peuvent être considérés que comme des recommandations. </t>
  </si>
  <si>
    <t>Prefa bietet dem Anwender ein kostenloses Berechnungstool für Prefa Hochwasserschutzsysteme.</t>
  </si>
  <si>
    <t>Prefa Hochwasserschutz System</t>
  </si>
  <si>
    <t>Prefa HWS Berechnungstool</t>
  </si>
  <si>
    <t>Prefa HWS Erhebungsbogen</t>
  </si>
  <si>
    <t>Formulaire de demande pour la protection contre les crues PREFA</t>
  </si>
  <si>
    <t>Prefa übernimmt im Hinblick hierauf keinerlei Haftung für die Richtigkeit oder Vollständigkeit der Berechnungsergebnisse oder für hieraus abgeleitete Schadenersatzansprüche.</t>
  </si>
  <si>
    <t>Prefa übernimmt keine Garantie für absolute Schadensverhinderung.</t>
  </si>
  <si>
    <t>Prefa versteht das Berechnungstool als Hilfestellung an den Fachmann, die diesen aber nicht von der Pflicht zur eigenständigen Prüfung im Einzelfall entbindet.</t>
  </si>
  <si>
    <t>cena</t>
  </si>
  <si>
    <t>Ár</t>
  </si>
  <si>
    <t>RAL oder Prefa Farbe:</t>
  </si>
  <si>
    <t>Profilé latéral</t>
  </si>
  <si>
    <t>Statik</t>
  </si>
  <si>
    <t>Statik Dammbalken</t>
  </si>
  <si>
    <t>Statik Rundsteher</t>
  </si>
  <si>
    <t>Systém 25</t>
  </si>
  <si>
    <t>Systém 50 + 80</t>
  </si>
  <si>
    <t>Systém 50</t>
  </si>
  <si>
    <t>Systém 80</t>
  </si>
  <si>
    <t>internal corner L = 3,000 mm (multipart)</t>
  </si>
  <si>
    <t>angle rentrant , L = 3 000 mm (plusieurs éléments)</t>
  </si>
  <si>
    <t>Angolo interno  L = 3.000 mm (in più parti)</t>
  </si>
  <si>
    <t>vnitřní roh L = 3000 mm (vícedílný)</t>
  </si>
  <si>
    <t>Narożnik wewnętrzny  L = 3000 mm (wieloczęściowy)</t>
  </si>
  <si>
    <t>belső sarok L = 3000 mm (többrészes)</t>
  </si>
  <si>
    <t>vnútorný rohový profil L = 3 000 mm (viacdielny)</t>
  </si>
  <si>
    <t>-binnenhoek L = 3.000 mm (meerdelig)</t>
  </si>
  <si>
    <t>Notranii vogal  D = 3.000 mm (večdelni)</t>
  </si>
  <si>
    <t>innerhörn L = 3 000 mm (flerdelat)</t>
  </si>
  <si>
    <t>inderhjørne L = 3.000 mm (flerdelt)</t>
  </si>
  <si>
    <t>-innerhjørne L = 3000 mm (flerdelt)</t>
  </si>
  <si>
    <t>unutarnji kut L = 3.000 mm (višedijelni)</t>
  </si>
  <si>
    <t>pocket flashing L = 2,500 mm folded</t>
  </si>
  <si>
    <t>profil replié , L = 2 500 mm</t>
  </si>
  <si>
    <t>Profilo ripiegato  L = 2.500 mm squadrato</t>
  </si>
  <si>
    <t>ukončovací profil L = 2500 mm hraněný</t>
  </si>
  <si>
    <t>KANTOWANY PROFIL  DO WAŁU PROFILOWEGO L = 2500 mm</t>
  </si>
  <si>
    <t>zsebes profil L = 2500 mm hajtott</t>
  </si>
  <si>
    <t>kapsový profil L = 2 500 mm ohýbaný</t>
  </si>
  <si>
    <t>-zakprofiel L = 2.500 mm gevoegd</t>
  </si>
  <si>
    <t>Žepni profil  D = 2.500 mm obrobljen</t>
  </si>
  <si>
    <t>fickprofil L = 2 500 mm kantad</t>
  </si>
  <si>
    <t>taskeprofil L = 2.500 mm kantet</t>
  </si>
  <si>
    <t>-lommeprofil L = 2500 mm kantet</t>
  </si>
  <si>
    <t>C profil L = 2.500 mm, kantiran</t>
  </si>
  <si>
    <t xml:space="preserve">Jointure 500 </t>
  </si>
  <si>
    <t>joint 600</t>
  </si>
  <si>
    <t xml:space="preserve">Jointure 600 </t>
  </si>
  <si>
    <t>Fuga.600</t>
  </si>
  <si>
    <t>spára.600</t>
  </si>
  <si>
    <t>Fuga  .600</t>
  </si>
  <si>
    <t>fuga.600</t>
  </si>
  <si>
    <t>škára.600</t>
  </si>
  <si>
    <t>-voeg.600</t>
  </si>
  <si>
    <t>fog.600</t>
  </si>
  <si>
    <t>mounting aid stormclip for 1.5 mm thickness</t>
  </si>
  <si>
    <t>cale d’espacement pour clip tempête  (épaisseur du matériau : 1,5 mm)</t>
  </si>
  <si>
    <t>montážní pomůcka pro pojistné klipy proti větru, tloušťka materiálu 1,5 mm</t>
  </si>
  <si>
    <t>Przyrząd montażowy  do klipsów zabezpieczeń odgromowych z materiału o grubości 1,5 mm</t>
  </si>
  <si>
    <t>szerelési segédeszköz viharkapocs 1,5 mm-es anyagvastagsághoz</t>
  </si>
  <si>
    <t>montážna pomôcka poistný veterný klip pre hrúbku materiálu 1,5 mm</t>
  </si>
  <si>
    <t>-montagehulp stormbeveiligingsclip voor materiaaldikte 1,5 mm</t>
  </si>
  <si>
    <t>Pripomoček za montažo  za varnostne sponke za debelino materiala 1,5 mm</t>
  </si>
  <si>
    <t>monteringshjälp stormsäkerhetsklämma för materialtjocklek 1,5 mm</t>
  </si>
  <si>
    <t>monteringshjælp stormsikringsclips til materialetykkelse 1,5mm</t>
  </si>
  <si>
    <t>-monteringshjelp stormsikringsklips til materialtykkelse 1,5mm</t>
  </si>
  <si>
    <t>pomagalo za montažu držača za zaštitu od olujnog nevremena za debljinu materijala 1,5 mm</t>
  </si>
  <si>
    <t>Angolo speciale per grondaie - 3D</t>
  </si>
  <si>
    <t>Roh žlabu, zakázková výroba 3D</t>
  </si>
  <si>
    <t>Specjalny kąt rynny - 3D</t>
  </si>
  <si>
    <t>EGYEDI SZEGLET – 3D</t>
  </si>
  <si>
    <t>Špeciálny uhol žľabu - 3D</t>
  </si>
  <si>
    <t>Speciale goot hoek - 3D</t>
  </si>
  <si>
    <t>Poseben kot žleba - 3D</t>
  </si>
  <si>
    <t>Special ränndjupvinkel - 3D</t>
  </si>
  <si>
    <t>Spesiell takrennevinkel - 3D</t>
  </si>
  <si>
    <t>Poseban kut oluka - 3D</t>
  </si>
  <si>
    <t>Dotazník - specifikace výrobku</t>
  </si>
  <si>
    <t>FELMÉRÉSI ADATLAP EGYEDI TERMÉK</t>
  </si>
  <si>
    <t>Roh žlabu 2D</t>
  </si>
  <si>
    <t>SZEGLET 2D</t>
  </si>
  <si>
    <t>Roh žlabu 3D</t>
  </si>
  <si>
    <t>SZEGLET 3D</t>
  </si>
  <si>
    <t>Koleno</t>
  </si>
  <si>
    <t>CSŐÍV</t>
  </si>
  <si>
    <t>Sběrný kotlík</t>
  </si>
  <si>
    <t>VÍZGYŰJTŐÜST</t>
  </si>
  <si>
    <t>Rohreinmündung (Einseitig)</t>
  </si>
  <si>
    <t>Odbočka svodu (jednostranná)</t>
  </si>
  <si>
    <t>CSŐBECSATLAKOZÁS (EGYOLDALAS)</t>
  </si>
  <si>
    <t>Rohreinmündung (Zweiseitig)</t>
  </si>
  <si>
    <t>Odbočka svodu (dvoustranná)</t>
  </si>
  <si>
    <t>CSŐBECSATLAKOZÁS (KÉTOLDALAS)</t>
  </si>
  <si>
    <t>Quadratrohreinmündung (Einseitig)</t>
  </si>
  <si>
    <t>Odbočka hranatého svodu (jednostranná)</t>
  </si>
  <si>
    <t>SZÖGLETES CSŐBECSATLAKOZÁS (EGYOLDALAS)</t>
  </si>
  <si>
    <t>Quadratrohreinmündung (Zweiseitig)</t>
  </si>
  <si>
    <t>Odbočka hranatého svodu (dvoustanná)</t>
  </si>
  <si>
    <t>SZÖGLETES CSŐBECSATLAKOZÁS (KÉTOLDALAS)</t>
  </si>
  <si>
    <t>Quadratrohr- Sockelknie</t>
  </si>
  <si>
    <t>Soklové koleno hranatého svodu</t>
  </si>
  <si>
    <t>SZÖGLETES LEFOLYÓCSŐ - LÁBAZATI ELEM</t>
  </si>
  <si>
    <t xml:space="preserve">Sockelknie </t>
  </si>
  <si>
    <t xml:space="preserve">lábazati elem </t>
  </si>
  <si>
    <t>Quadratrohr Wasserfangkasten</t>
  </si>
  <si>
    <t>Sběrný kotlík s hranatým vyústěním</t>
  </si>
  <si>
    <t>SZÖGLETES LEFOLYÓCSŐ VÍZGYŰJTŐÜST</t>
  </si>
  <si>
    <t>pendenza del tetto</t>
  </si>
  <si>
    <t>Střešní sklon</t>
  </si>
  <si>
    <t>Nachylenie dachu</t>
  </si>
  <si>
    <t>Tetőhajlásszög</t>
  </si>
  <si>
    <t>Sklon strechy</t>
  </si>
  <si>
    <t>Dakhelling</t>
  </si>
  <si>
    <t>Naklon strehe</t>
  </si>
  <si>
    <t>Taklutning</t>
  </si>
  <si>
    <t>Taghældning</t>
  </si>
  <si>
    <t>Takvinkel</t>
  </si>
  <si>
    <t>Nagib krova</t>
  </si>
  <si>
    <t>Roh žlabu (vnější)</t>
  </si>
  <si>
    <t>Ereszcsatorna külső szeglet</t>
  </si>
  <si>
    <t>Roh žlabu (vnitřní)</t>
  </si>
  <si>
    <t>Ereszcsatorna belső szeglet</t>
  </si>
  <si>
    <t>Hranatý svod 100x80mm</t>
  </si>
  <si>
    <t>Szögletes lefolyócső 100x80mm</t>
  </si>
  <si>
    <t>Startprofil P.10 Sonderfarbe (Länge: 2.000 mm)</t>
  </si>
  <si>
    <t>PREFA startovací profil, délka = 2.000 mm, P10 - zakázkové lakování</t>
  </si>
  <si>
    <t>PREFA Startprofil H = 2.000 mm P.10 egyedi színben</t>
  </si>
  <si>
    <t>Taschenprofil (Haltewinkel) (Länge: 3.000 mm)</t>
  </si>
  <si>
    <t>Profil d’accrochage PREFA L = 3 000 mm</t>
  </si>
  <si>
    <t>PREFA zásuvná kapsa, délka = 3000 mm ( ukončovacé profil)</t>
  </si>
  <si>
    <t>PREFA Zsebesprofil H = 3.000 mm (Tartóelem)</t>
  </si>
  <si>
    <t>Šířka měřená ve střešním sklonu</t>
  </si>
  <si>
    <t>Szélesség a hajlás irányában mérve</t>
  </si>
  <si>
    <t xml:space="preserve">Szélesség  </t>
  </si>
  <si>
    <t>Odstup</t>
  </si>
  <si>
    <t>Távolság</t>
  </si>
  <si>
    <t xml:space="preserve">Dimenze </t>
  </si>
  <si>
    <t xml:space="preserve">Méret  </t>
  </si>
  <si>
    <t>structural substrate</t>
  </si>
  <si>
    <t>Structure porteuse</t>
  </si>
  <si>
    <t>Nosná konstrukce obvodového pláště</t>
  </si>
  <si>
    <t>Teherhordó alap</t>
  </si>
  <si>
    <t>Saumstreifenlänge</t>
  </si>
  <si>
    <t>starter strip lenght</t>
  </si>
  <si>
    <t>Délka podkladního pásu</t>
  </si>
  <si>
    <t>Ereszhossz</t>
  </si>
  <si>
    <t>Wandrautenhaft für 29 x 29</t>
  </si>
  <si>
    <t>rhomboid roof clip 29 x 29</t>
  </si>
  <si>
    <t>Příponka pro fasádní šablonu 29 x 29</t>
  </si>
  <si>
    <t>29 x 29 falburkoló rombusz hafter</t>
  </si>
  <si>
    <t xml:space="preserve">Verbindungswinkel </t>
  </si>
  <si>
    <t>corner liner</t>
  </si>
  <si>
    <t>Spojovací roh nosného roštu</t>
  </si>
  <si>
    <t>Csatlakozási szög</t>
  </si>
  <si>
    <t>mind. 10 mm</t>
  </si>
  <si>
    <t>minimum round about 3/8 of an inch</t>
  </si>
  <si>
    <t>min. 10 mm</t>
  </si>
  <si>
    <t>Niro-Winkelstehfalzhaft für Befestigung mit Schrauben</t>
  </si>
  <si>
    <t>Zaczep kątowy stały ze stali nierdzewnej</t>
  </si>
  <si>
    <t>Niro-Winkelschiebehaft für Befestigung mit Schrauben</t>
  </si>
  <si>
    <t>Zaczep kątowy przesuwny ze stali nierdzewnej</t>
  </si>
  <si>
    <t>Niro-Winkellangschiebehaft für Befestigung mit Schrauben</t>
  </si>
  <si>
    <t>Zaczep kątowy o zwiększonym przesuwie ze stali nierdzewnej</t>
  </si>
  <si>
    <t>Siding perforiert ohne Schattenfuge</t>
  </si>
  <si>
    <t>Siding bez fugi cieniowej</t>
  </si>
  <si>
    <t>Spezialschraube für Aluminium-Unterkonstruktion 5,5 x 25 mm</t>
  </si>
  <si>
    <t>Wkręt do metalu do sidingów na podkonstrukcji aluminiowej</t>
  </si>
  <si>
    <t>Spezialschraube für Stahl-Unterkonstruktion 5,5 x 25 mm</t>
  </si>
  <si>
    <t>Śruba specjalna do konstrukcji stalowej</t>
  </si>
  <si>
    <t>Spezialschraube für Holz-Unterkonstruktion 4,9 x 35 mm</t>
  </si>
  <si>
    <t>Wkręt do drewna do sidingów na podkonstrukcji drewnianej</t>
  </si>
  <si>
    <t>Fassadenschraube für Aluminium-Unterkonstruktion</t>
  </si>
  <si>
    <t>Śruba montażowa</t>
  </si>
  <si>
    <t>Festpunkthülse für Fassadenschraube</t>
  </si>
  <si>
    <t>Tuleja z punktem stałym do wkrętu fasadowego</t>
  </si>
  <si>
    <t>Gleitpunkthülse für Fassadenschraube</t>
  </si>
  <si>
    <t>Tuleja z punktem przesuwnym do wkrętu fasadowego</t>
  </si>
  <si>
    <t>LT-XT Tool XT 25</t>
  </si>
  <si>
    <t>perforiert</t>
  </si>
  <si>
    <t>Senkkopfschrauben</t>
  </si>
  <si>
    <t>Śruby z łbem stożkowym</t>
  </si>
  <si>
    <t>Überlappung 100mm</t>
  </si>
  <si>
    <t>Dehnungsgerecht</t>
  </si>
  <si>
    <t>in Schneereichen Gebieten ab 35° (70%)</t>
  </si>
  <si>
    <t>Alle Rechte vorbehalten. Diese Unterlage darf nur zu dem von uns genehmigten Zweck verwendet und nicht ohne unsere Zusitimmung Dritten zugänglich gemacht werden.</t>
  </si>
  <si>
    <t>(min. 8 cm bei Ausführung mit Stiefelfalz/Bündnerfalz)</t>
  </si>
  <si>
    <t>Wasserdicht mit Prefa Falzgel</t>
  </si>
  <si>
    <t>Falz: Feste Verbindung</t>
  </si>
  <si>
    <t>mit Sicke</t>
  </si>
  <si>
    <t>schweifen</t>
  </si>
  <si>
    <t>Längsfalz</t>
  </si>
  <si>
    <t>Traufenabschluß stehend</t>
  </si>
  <si>
    <t>Falzverbindungen (Querfälze)</t>
  </si>
  <si>
    <t>Rohreinbindungen</t>
  </si>
  <si>
    <t>Traufenabschluß halbrund Doppelstehfalz</t>
  </si>
  <si>
    <t>Traufumschlag</t>
  </si>
  <si>
    <t>Traufbord</t>
  </si>
  <si>
    <t>Traufenabschluß halbrund Winkelstehfalz</t>
  </si>
  <si>
    <t>TEIL 1 oberer Teil</t>
  </si>
  <si>
    <t>TEIL 2 unterer Teil</t>
  </si>
  <si>
    <t>Firstausbildung - Längsfalz</t>
  </si>
  <si>
    <t>Großer und kleiner Winkelfalz Vorkanten</t>
  </si>
  <si>
    <t>Quetschfalte andeuten</t>
  </si>
  <si>
    <t>Winkelhalbierende nach hinten zum First ziehen</t>
  </si>
  <si>
    <t>Firstaufkantung langsam hochziehen, Wuetschfaltenbildung verfolgen</t>
  </si>
  <si>
    <t xml:space="preserve">Quetschfalte zusammendrücken und entgegengesetzt </t>
  </si>
  <si>
    <t>zum Winkelfalz umlegen (nur an der Überdeckung)</t>
  </si>
  <si>
    <t>Längsfalz einhängen und zudrücken</t>
  </si>
  <si>
    <t>Überdeckungslappen zudrücken</t>
  </si>
  <si>
    <t>Quetschfalte der Unterdeckung an die Quetschfalte der Überdeckung anklopfen</t>
  </si>
  <si>
    <t>Firstfalzhöhe</t>
  </si>
  <si>
    <t>Firstfalz</t>
  </si>
  <si>
    <t>Firstaufkantungslinie</t>
  </si>
  <si>
    <t>Winkelhalbierende</t>
  </si>
  <si>
    <t>oberen Faltenumschlag gegen die Falzrichtung des Hauptfalzes legen</t>
  </si>
  <si>
    <t>Firstausbildung vor profilieren ausklinken</t>
  </si>
  <si>
    <t>Dachspitze</t>
  </si>
  <si>
    <t>Firstausbildung Längsfalz</t>
  </si>
  <si>
    <t>Winkelstehfalz</t>
  </si>
  <si>
    <t>Aufkantungslinie</t>
  </si>
  <si>
    <t>Wandanschluss Winkelstehfalz</t>
  </si>
  <si>
    <t>Faltvorgang:</t>
  </si>
  <si>
    <t>Winkelfalz vorkanten</t>
  </si>
  <si>
    <t>Abdecknase nach oben biegen</t>
  </si>
  <si>
    <t>Blechnase nach unten biegen, diese muss von dem Winklefalz überdeckt werden</t>
  </si>
  <si>
    <t>Winkelhalbierende muss nach vorne zum Dachbereich gezogen werden</t>
  </si>
  <si>
    <t>Wandanschluss an der Aufkantungslinie hochkanten</t>
  </si>
  <si>
    <t>Faltenbildung verfolgen, eventuell korrigieren!</t>
  </si>
  <si>
    <t>Quetschfalte ausbilden und zudrücken (zuklopfen)</t>
  </si>
  <si>
    <t>Winkelfalz einhängen und schließen</t>
  </si>
  <si>
    <t>Abdecknase B.) auf den Winkelfalz anpassen</t>
  </si>
  <si>
    <t>Wandanschluss Winkelstehfalz zweiteilig</t>
  </si>
  <si>
    <t>Quetschfalte andeuten - winklehalbierende muss nach vorne zum Blechdach gezogen werden.</t>
  </si>
  <si>
    <t>Dachbereich</t>
  </si>
  <si>
    <t>einschneiden</t>
  </si>
  <si>
    <t>Kamineinfassung</t>
  </si>
  <si>
    <t>Einfassungen - Dachflächenfenster</t>
  </si>
  <si>
    <t>Faltlinie</t>
  </si>
  <si>
    <t>Faltvorgang - Stiefelfalz:</t>
  </si>
  <si>
    <t>150 mm markieren, Fälze flachformen</t>
  </si>
  <si>
    <t>Falzhochbüge mit Spitzzange schräg nach innen drehen</t>
  </si>
  <si>
    <t>beidseitig 10 mm schräg schneiden</t>
  </si>
  <si>
    <t>ca. 8mm am kleinen und ca. 15 mm am großen Falz einschneiden</t>
  </si>
  <si>
    <t>Längsfalz schließen und Laschen Zusammenklappen</t>
  </si>
  <si>
    <t>Doppelt falzen</t>
  </si>
  <si>
    <t>Fertiger Stiefelfalz</t>
  </si>
  <si>
    <t>Seitlicher Wandanschluss bei Gefällesprung</t>
  </si>
  <si>
    <t>Höhe unterer Wandhochzug</t>
  </si>
  <si>
    <t>Höhe des Gefällesprunges</t>
  </si>
  <si>
    <t>Bahn</t>
  </si>
  <si>
    <t>Nackenblech</t>
  </si>
  <si>
    <t>Doppelter Querfalz an Durchbrüchen</t>
  </si>
  <si>
    <t>Prefa Dachrechner - Grunddaten Eingabe</t>
  </si>
  <si>
    <t>Prefa Roof Calculator - Basic Data Input:</t>
  </si>
  <si>
    <t>Prefa Calculateur de toiture - Saisie des données de base:</t>
  </si>
  <si>
    <t>Prefa Calcolatore di tetti - Inserimento dati di base:</t>
  </si>
  <si>
    <t>Prefa Kalkulačka střechy - Základní data vstup:</t>
  </si>
  <si>
    <t>Prefa Kalkulator dachów - Wprowadzanie danych podstawowych:</t>
  </si>
  <si>
    <t>Prefa Tetőkalkulátor - Alapadatok bevitele:</t>
  </si>
  <si>
    <t>Prefa Strešný kalkulačka - Základné údaje vstup:</t>
  </si>
  <si>
    <t>Prefa Dakcalculator - Basisgegevens invoer:</t>
  </si>
  <si>
    <t>Prefa Strešni kalkulator - Vnos osnovnih podatkov:</t>
  </si>
  <si>
    <t>Prefa Takräknare - Grunddata inmatning:</t>
  </si>
  <si>
    <t>Prefa Tagberegner - Indtastning af grunddata:</t>
  </si>
  <si>
    <t>Prefa Takberegner - Grunnleggende datainngang:</t>
  </si>
  <si>
    <t>Prefa Kalkulator krovnog pokrova - unos osnovnih podataka</t>
  </si>
  <si>
    <t>Adresse:</t>
  </si>
  <si>
    <t>Address</t>
  </si>
  <si>
    <t>Adresse</t>
  </si>
  <si>
    <t>Indirizzo</t>
  </si>
  <si>
    <t>Adresa</t>
  </si>
  <si>
    <t>Adres</t>
  </si>
  <si>
    <t>Cím</t>
  </si>
  <si>
    <t>Naslov</t>
  </si>
  <si>
    <t>Adress</t>
  </si>
  <si>
    <t>Plz:</t>
  </si>
  <si>
    <t>postal code:</t>
  </si>
  <si>
    <t>code postal:</t>
  </si>
  <si>
    <t>CAP:</t>
  </si>
  <si>
    <t>PSČ:</t>
  </si>
  <si>
    <t>kod pocztowy:</t>
  </si>
  <si>
    <t>irányítószám:</t>
  </si>
  <si>
    <t>postcode:</t>
  </si>
  <si>
    <t>poštna številka:</t>
  </si>
  <si>
    <t>postnummer:</t>
  </si>
  <si>
    <t>postkode:</t>
  </si>
  <si>
    <t>poštanski broj:</t>
  </si>
  <si>
    <t>Dachform:</t>
  </si>
  <si>
    <t>Roof shape:</t>
  </si>
  <si>
    <t>Forme de toit:</t>
  </si>
  <si>
    <t>Forma del tetto:</t>
  </si>
  <si>
    <t>Tvar stÅ™echy:</t>
  </si>
  <si>
    <t>KsztaÅ‚t dachu:</t>
  </si>
  <si>
    <t>TetÅ‘ alakja:</t>
  </si>
  <si>
    <t>Tvar strechy:</t>
  </si>
  <si>
    <t>Dakvorm:</t>
  </si>
  <si>
    <t>Oblika strehe:</t>
  </si>
  <si>
    <t>Takform:</t>
  </si>
  <si>
    <t>Tagform:</t>
  </si>
  <si>
    <t>Oblik krova:</t>
  </si>
  <si>
    <t>Schneelast laut hora.gv.at</t>
  </si>
  <si>
    <t>Snow load according to hora.gv.at</t>
  </si>
  <si>
    <t>Charge de neige selon hora.gv.at</t>
  </si>
  <si>
    <t>Carico neve secondo hora.gv.at</t>
  </si>
  <si>
    <t>Sněhové zatížení podle hora.gv.at</t>
  </si>
  <si>
    <t>Obciążenie śniegiem według hora.gv.at</t>
  </si>
  <si>
    <t>Hóterhelés a hora.gv.at szerint</t>
  </si>
  <si>
    <r>
      <t>Snežné zaťaženie [S</t>
    </r>
    <r>
      <rPr>
        <vertAlign val="subscript"/>
        <sz val="11"/>
        <color theme="1"/>
        <rFont val="Arial"/>
        <family val="2"/>
      </rPr>
      <t>K</t>
    </r>
    <r>
      <rPr>
        <sz val="11"/>
        <color theme="1"/>
        <rFont val="Arial"/>
        <family val="2"/>
      </rPr>
      <t>] podľa hora.gv.at</t>
    </r>
  </si>
  <si>
    <t>Sneeuwbelasting volgens hora.gv.at</t>
  </si>
  <si>
    <t>Snežna obremenitev po hora.gv.at</t>
  </si>
  <si>
    <t>Snöbelastning enligt hora.gv.at</t>
  </si>
  <si>
    <t>Snebelastning i henhold til hora.gv.at</t>
  </si>
  <si>
    <t>Snølast i henhold til hora.gv.at</t>
  </si>
  <si>
    <t>Snježno opterećenje prema hora.gv.at</t>
  </si>
  <si>
    <t>Seehöhe</t>
  </si>
  <si>
    <t>altitude above sea level</t>
  </si>
  <si>
    <t>altitude (au-dessus du niveau de la mer)</t>
  </si>
  <si>
    <t>altitudine sul livello del mare</t>
  </si>
  <si>
    <t>nadmořská výška</t>
  </si>
  <si>
    <t>wysokość nad poziomem morza</t>
  </si>
  <si>
    <t>tengerszint feletti magasság</t>
  </si>
  <si>
    <t>nadmorská výška</t>
  </si>
  <si>
    <t>hoogte boven zeeniveau</t>
  </si>
  <si>
    <t>nadmorska višina</t>
  </si>
  <si>
    <t>höjd över havet</t>
  </si>
  <si>
    <t>højde over havets overflade</t>
  </si>
  <si>
    <t>høyde over havet</t>
  </si>
  <si>
    <t>nadmorska visina</t>
  </si>
  <si>
    <t>Sparrenabstand</t>
  </si>
  <si>
    <t>rafter spacing</t>
  </si>
  <si>
    <t>l'espacement des chevrons</t>
  </si>
  <si>
    <t>vzdálenost vazníků</t>
  </si>
  <si>
    <t>odstęp krokwi</t>
  </si>
  <si>
    <t>gerendatávolság</t>
  </si>
  <si>
    <t>vzdialenosť krovov</t>
  </si>
  <si>
    <t>de afstand tussen de spanten</t>
  </si>
  <si>
    <t>razmik grebenov</t>
  </si>
  <si>
    <t>takavstånd</t>
  </si>
  <si>
    <t>afstand mellem spær</t>
  </si>
  <si>
    <t>sperreavstand</t>
  </si>
  <si>
    <t>razmak rogova</t>
  </si>
  <si>
    <t>Pflichtfelder</t>
  </si>
  <si>
    <t>mandatory fields</t>
  </si>
  <si>
    <t>champs obligatoires</t>
  </si>
  <si>
    <t>campi obbligatori</t>
  </si>
  <si>
    <t>povinná pole</t>
  </si>
  <si>
    <t>pola obowiązkowe</t>
  </si>
  <si>
    <t>kötelező mezők</t>
  </si>
  <si>
    <t>povinné polia</t>
  </si>
  <si>
    <t>verplichte velden</t>
  </si>
  <si>
    <t>obvezna polja</t>
  </si>
  <si>
    <t>obligatoriska fält</t>
  </si>
  <si>
    <t>obligatoriske felter</t>
  </si>
  <si>
    <t>obligatoriske felt</t>
  </si>
  <si>
    <t>Eingabe notwendig für Schneerechensystem und Gebirgsschneefang</t>
  </si>
  <si>
    <t>Input required for pipe-style snow guard system and mountain snow-guard bracket</t>
  </si>
  <si>
    <t>Saisie requise pour système pare-neige sur platines et support de pare-neige pour rondins</t>
  </si>
  <si>
    <t>Inserimento richiesto per Sistema fermaneve a triplo tubolare esagonale e Staffa fermaneve per legno tondo</t>
  </si>
  <si>
    <t>Vyžadován vstup pro Systém sněhových zábran a Držák kulatiny pro zadržování sněhu</t>
  </si>
  <si>
    <t>Wymagane dane wejściowe dla System stoperów śniegu a hak przeciwśniegowy do warunków górskich</t>
  </si>
  <si>
    <t>Bemeneti adatok szükségesek hófogórúd tartó és hófogórönk tartó</t>
  </si>
  <si>
    <t>Požadovaný vstup pre systémový rúrkový zachytávač snehu  a držiak horského zachytávača snehu pre rúrky kruhového prierezu</t>
  </si>
  <si>
    <t>Invoer vereist voor Sneeuwharksysteem en sneeuwvangsteun voor in het gebergte</t>
  </si>
  <si>
    <t>Vhodni podatki potrebni za Snegolovni sistem in nosilec za linijski snegolov</t>
  </si>
  <si>
    <t>Indata krävs för snöberäkningssystem och snöstoppsstötta</t>
  </si>
  <si>
    <t>Indtastning påkrævet for Snefangssystem og bjergsnefangstøtte</t>
  </si>
  <si>
    <t>Inndata påkrevd for Snøberegningssystem  i fjellsnøfangerstøtte</t>
  </si>
  <si>
    <t>Ulaz potreban za Sustav rešetkastog snjegobrana  i Nosač planinskog snjegobrana</t>
  </si>
  <si>
    <t>Produktauswahl</t>
  </si>
  <si>
    <t>product selection</t>
  </si>
  <si>
    <t>sélection de produits</t>
  </si>
  <si>
    <t>selezione di prodotti</t>
  </si>
  <si>
    <t>výběr produktů</t>
  </si>
  <si>
    <t>wybór produktów</t>
  </si>
  <si>
    <t>termékválaszték</t>
  </si>
  <si>
    <t>výber produktov</t>
  </si>
  <si>
    <t>productselectie</t>
  </si>
  <si>
    <t>izbor izdelkov</t>
  </si>
  <si>
    <t>produkturval</t>
  </si>
  <si>
    <t>produktudvalg</t>
  </si>
  <si>
    <t>produktsortiment</t>
  </si>
  <si>
    <t>izbor proizvoda</t>
  </si>
  <si>
    <t>Schneestopper</t>
  </si>
  <si>
    <t>snow guard</t>
  </si>
  <si>
    <t>arrêt de neige</t>
  </si>
  <si>
    <t>Naso fermaneve</t>
  </si>
  <si>
    <t>sněhový hák</t>
  </si>
  <si>
    <t>Stoper śniegowy</t>
  </si>
  <si>
    <t>hófogó</t>
  </si>
  <si>
    <t>zachytávač snehu</t>
  </si>
  <si>
    <t>Sneeuwstopper</t>
  </si>
  <si>
    <t>Snegolov</t>
  </si>
  <si>
    <t>snöstopp</t>
  </si>
  <si>
    <t>Snestopper</t>
  </si>
  <si>
    <t>Snøstopper</t>
  </si>
  <si>
    <t>Točkasti snjegobran</t>
  </si>
  <si>
    <t>Schneerechensystem XL</t>
  </si>
  <si>
    <t>pipe-style snow guard system XL</t>
  </si>
  <si>
    <t>système pare-neige sur platines XL</t>
  </si>
  <si>
    <t>Sistema fermaneve a triplo tubolare esagonale XL</t>
  </si>
  <si>
    <t>Systém sněhových zábran XL</t>
  </si>
  <si>
    <t>System stoperów śniegu XL</t>
  </si>
  <si>
    <t>hófogórúd tartó XL</t>
  </si>
  <si>
    <t>systémový rúrkový zachytávač snehu XL</t>
  </si>
  <si>
    <t>Sneeuwharksysteem XL</t>
  </si>
  <si>
    <t>Snegolovni sistem XL</t>
  </si>
  <si>
    <t>snöberäkningssystem XL</t>
  </si>
  <si>
    <t>Snefangssystem XL</t>
  </si>
  <si>
    <t>Snøberegningssystem XL</t>
  </si>
  <si>
    <t>Sustav rešetkastog snjegobrana XL</t>
  </si>
  <si>
    <t>Dachrechner - Schneelast Berechnung</t>
  </si>
  <si>
    <t>Roof Calculator - Snow Load Calculation</t>
  </si>
  <si>
    <t>Calculateur de toit - Calcul de charge de neige</t>
  </si>
  <si>
    <t>Calcolatore del tetto - Calcolo del carico neve</t>
  </si>
  <si>
    <t>Střešní kalkulátor - Výpočet sněhového zatížení</t>
  </si>
  <si>
    <t>Kalkulator dachu - Obliczanie obciążenia śniegiem</t>
  </si>
  <si>
    <t>Tetőszámológép - Hóterhelés számítás</t>
  </si>
  <si>
    <t>Kalkulačka strechy - Výpočet snehového zaťaženia</t>
  </si>
  <si>
    <t>Dakrekenmachine - Sneeuwlastberekening</t>
  </si>
  <si>
    <t>Izračun obremenitve strehe s snegom</t>
  </si>
  <si>
    <t>Takberäknare - Beräkning av snöbelastning</t>
  </si>
  <si>
    <t>Tagberegner - Beregning af snebelastning</t>
  </si>
  <si>
    <t>Takberegning - Beregning av snølast</t>
  </si>
  <si>
    <t>Kalkulator snježnog opterećenja krova</t>
  </si>
  <si>
    <t>Voraussetzungen:</t>
  </si>
  <si>
    <t>Prerequisites:</t>
  </si>
  <si>
    <t>Prérequis:</t>
  </si>
  <si>
    <t>Prerequisiti:</t>
  </si>
  <si>
    <t>Předpoklady:</t>
  </si>
  <si>
    <t>Wymagania:</t>
  </si>
  <si>
    <t>Előfeltételek:</t>
  </si>
  <si>
    <t>Predpoklady:</t>
  </si>
  <si>
    <t>Vereisten:</t>
  </si>
  <si>
    <t>Predpogoji:</t>
  </si>
  <si>
    <t>Förutsättningar:</t>
  </si>
  <si>
    <t>Forudsætninger:</t>
  </si>
  <si>
    <t>Forutsetninger:</t>
  </si>
  <si>
    <t>Preduvjeti:</t>
  </si>
  <si>
    <t>Tragfähige Unterkonstruktion (Bemessung gemäß EN 1991-1-3 und ÖNORM B 1991-1-3):</t>
  </si>
  <si>
    <t>load-bearing substructure (design according to EN 1991-1-3 and ÖNORM B 1991-1-3):</t>
  </si>
  <si>
    <t>structure porteuse (dimensionnement selon EN 1991-1-3 et ÖNORM B 1991-1-3):</t>
  </si>
  <si>
    <t>sottostuttura portante (dimensionamento secondo EN 1991-1-3 e ÖNORM B 1991-1-3):</t>
  </si>
  <si>
    <t>nosná podkonstrukce (dimenzování dle EN 1991-1-3 a ÖNORM B 1991-1-3):</t>
  </si>
  <si>
    <t>nośna konstrukcja wsporcza (obliczenia zgodnie z EN 1991-1-3 i ÖNORM B 1991-1-3):</t>
  </si>
  <si>
    <t>teherhordó alkonstrukció (tervezés az EN 1991-1-3 és ÖNORM B 1991-1-3 szerint):</t>
  </si>
  <si>
    <t>nosná podkonštrukcia (rozmery podľa EN 1991-1-3 a ÖNORM B 1991-1-3)</t>
  </si>
  <si>
    <t>dragende onderconstructie (dimensionering volgens EN 1991-1-3 en ÖNORM B 1991-1-3):</t>
  </si>
  <si>
    <t>nosilna podkonstrukcija (dimenzioniranje po EN 1991-1-3 in ÖNORM B 1991-1-3):</t>
  </si>
  <si>
    <t>bärande underkonstruktion (dimensionering enligt EN 1991-1-3 och ÖNORM B 1991-1-3):</t>
  </si>
  <si>
    <t>bærende underkonstruktion (dimensionering i henhold til EN 1991-1-3 og ÖNORM B 1991-1-3):</t>
  </si>
  <si>
    <t>bærende underkonstruksjon (dimensjonering etter EN 1991-1-3 og ÖNORM B 1991-1-3):</t>
  </si>
  <si>
    <t>nosiva potkonstrukcija (dimenzioniranje prema EN 1991-1-3 i ÖNORM B 1991-1-3):</t>
  </si>
  <si>
    <t>Tragfähige Unterkonstruktion (Bemessung gemäß EN 1991-1-3 und  ÖNORM B 1991-1-3):</t>
  </si>
  <si>
    <t>Einhaltung der PREFA Verlegerichtlinien und Montagehinweise:</t>
  </si>
  <si>
    <t>Compliance with PREFA installation guidelines and assembly instructions:</t>
  </si>
  <si>
    <t>Respect des directives de pose PREFA et des instructions de montage:</t>
  </si>
  <si>
    <t>Conformità alle linee guida di installazione PREFA e alle istruzioni di montaggio:</t>
  </si>
  <si>
    <t>Dodržování pokynů pro pokládku PREFA a návodů k montáži:</t>
  </si>
  <si>
    <t>Przestrzeganie wytycznych montażu PREFA i instrukcji montażowych:</t>
  </si>
  <si>
    <t>A PREFA telepítési útmutatók és összeszerelési utasítások betartása:</t>
  </si>
  <si>
    <t>Dodržiavanie pokynov na pokládku PREFA a inštrukcií na montáž</t>
  </si>
  <si>
    <t>Naleving van de PREFA leginstructies en montageaanwijzingen:</t>
  </si>
  <si>
    <t>Upoštevanje PREFA navodil za polaganje in montažnih navodil:</t>
  </si>
  <si>
    <t>Efterlevnad av PREFA:s installationsriktlinjer och monteringsanvisningar:</t>
  </si>
  <si>
    <t>Overholdelse af PREFA lægningsvejledninger og monteringsinstruktioner:</t>
  </si>
  <si>
    <t>Overholdelse av PREFA leggeanvisninger og monteringsinstruksjoner:</t>
  </si>
  <si>
    <t>Pridržavanje PREFA smjernica za postavljanje i uputa za montažu:</t>
  </si>
  <si>
    <t>Dachaufbauten h&gt;1,0m bzw. Solar- und Photovoltaikmodule sind in dieser Berechnung nicht berücksichtigt.</t>
  </si>
  <si>
    <t>Roof structures over 1.0m, as well as solar and photovoltaic modules, are not considered in this calculation.</t>
  </si>
  <si>
    <t>;Les constructions de toiture de plus de 1,0 m, ainsi que les modules solaires et photovoltaïques, ne sont pas pris en compte dans ce calcul.</t>
  </si>
  <si>
    <t>Le strutture di copertura oltre 1,0 m, così come i moduli solari e fotovoltaici, non sono considerati in questo calcolo.</t>
  </si>
  <si>
    <t>Střešní konstrukce vyšší než 1,0 m, stejně jako solární a fotovoltaické moduly, nejsou v této kalkulaci zahrnuty.</t>
  </si>
  <si>
    <t>Konstrukcje dachowe o wysokości powyżej 1,0 m oraz moduły słoneczne i fotowoltaiczne nie są uwzględnione w tych obliczeniach.</t>
  </si>
  <si>
    <t>A 1,0 m-nél magasabb tetőszerkezetek és a napelemek, valamint a fotovoltaikus modulok nem kerülnek figyelembe vételre ebben a számításban.</t>
  </si>
  <si>
    <t>Strešné konštrukcie vyššie ako 1,0 m, ako aj solárne a fotovoltaické moduly, nie sú zahrnuté v tomto výpočte.</t>
  </si>
  <si>
    <t>Dakconstructies hoger dan 1,0 m en zonnepanelen en fotovoltaïsche modules zijn niet meegenomen in deze berekening.</t>
  </si>
  <si>
    <t>Strešne konstrukcije višje od 1,0 m in solarni ter fotovoltaični moduli niso upoštevani v tej izračunu.</t>
  </si>
  <si>
    <t>Takstrukturer över 1,0 m samt sol- och fotovoltaiska moduler beaktas inte i denna beräkning.</t>
  </si>
  <si>
    <t>Tagkonstruktioner over 1,0 m samt sol- og fotovoltaiske moduler er ikke medtaget i denne beregning.</t>
  </si>
  <si>
    <t>Takstrukturer over 1,0 m, samt sol- og fotovoltaiske moduler, er ikke tatt med i denne beregningen.</t>
  </si>
  <si>
    <t>Krovne konstrukcije više od 1,0 m, kao i solarni i fotovoltački moduli, nisu uzeti u obzir u ovom izračunu.</t>
  </si>
  <si>
    <t>Das berechnete Verlegeschema ist vollflächig über die gesamte Dachfläche anzuordnen</t>
  </si>
  <si>
    <t>The calculated installation pattern must be arranged over the entire roof area</t>
  </si>
  <si>
    <t>Le schéma de pose calculé doit être disposé sur toute la surface du toit</t>
  </si>
  <si>
    <t>Lo schema di posa calcolato deve essere disposto su tutta la superficie del tetto</t>
  </si>
  <si>
    <t>Vypočítané pokládací schéma musí být rozmístěno po celé střešní ploše</t>
  </si>
  <si>
    <t>Obliczony schemat układania należy rozmieścić na całej powierzchni dachu</t>
  </si>
  <si>
    <t>A kiszámított lerakási séma az egész tetőfelületen elrendezendő</t>
  </si>
  <si>
    <t>Vypočítaná pokládacia schéma musí byť rozmiestnená na celej strešnej ploche</t>
  </si>
  <si>
    <t>Het berekende legschema moet over het gehele dakoppervlak worden aangebracht</t>
  </si>
  <si>
    <t>Izračunani načrt polaganja je treba razporediti po celotni strešni površini</t>
  </si>
  <si>
    <t>Det beräknade läggningsmönstret ska anordnas över hela takytan</t>
  </si>
  <si>
    <t>Det beregnede lægningsmønster skal arrangeres over hele tagfladen</t>
  </si>
  <si>
    <t>Det beregnede leggemønsteret må ordnes over hele takflaten</t>
  </si>
  <si>
    <t>Izračunati uzorak polaganja mora biti raspoređen po cijeloj krovnoj površini</t>
  </si>
  <si>
    <t>Diese Berechnung ist ausschließlich für PREFA Produkte gültig!</t>
  </si>
  <si>
    <t>This calculation is only valid for PREFA products!</t>
  </si>
  <si>
    <t>Ce calcul est uniquement valable pour les produits PREFA!</t>
  </si>
  <si>
    <t>Questo calcolo è valido solo per i prodotti PREFA!</t>
  </si>
  <si>
    <t>Tento výpočet je platný pouze pro produkty PREFA!</t>
  </si>
  <si>
    <t>Te obliczenia są ważne tylko dla produktów PREFA!</t>
  </si>
  <si>
    <t>Ez a számítás kizárólag a PREFA termékekre érvényes!</t>
  </si>
  <si>
    <t>Táto výpočet je platný iba pre produkty PREFA!</t>
  </si>
  <si>
    <t>Deze berekening is alleen geldig voor PREFA-producten!</t>
  </si>
  <si>
    <t>Ta izračun je veljaven samo za izdelke PREFA!</t>
  </si>
  <si>
    <t>Denna beräkning gäller endast för PREFA-produkter!</t>
  </si>
  <si>
    <t>Denne beregning er kun gyldig for PREFA produkter!</t>
  </si>
  <si>
    <t>Denne beregningen er bare gyldig for PREFA-produkter!</t>
  </si>
  <si>
    <t>Ovaj izračun vrijedi samo za PREFA proizvode!</t>
  </si>
  <si>
    <t>Die ersten beiden Reihen sind unabhängig des berechneten Verlegeschemas durchgehend mit Schneestopper zu bestücken</t>
  </si>
  <si>
    <t>The first two rows must be fitted with snow stoppers continuously, regardless of the calculated installation pattern</t>
  </si>
  <si>
    <t>Les deux premières rangées doivent être équipées de pare-neige en continu, indépendamment du schéma de pose calculé</t>
  </si>
  <si>
    <t>Le prime due file devono essere dotate di fermaneve in modo continuo, indipendentemente dallo schema di posa calcolato</t>
  </si>
  <si>
    <t>První dvě řady je třeba osadit sněhovými zarážkami nepřetržitě, bez ohledu na vypočítané pokládací schéma</t>
  </si>
  <si>
    <t>Dwa pierwsze rzędy należy zaopatrzyć w zatrzymywacze śniegu na całej długości, niezależnie od obliczonego układu kładzenia</t>
  </si>
  <si>
    <t>Az első két sorban folyamatosan hóállókat kell elhelyezni, a kiszámított elrendezési séma függetlenül</t>
  </si>
  <si>
    <t>Prvé dva rady je potrebné vybaviť zastávkami pre sneh nepretržite, nezávisle od vypočítaného pokládkového schémy</t>
  </si>
  <si>
    <t>De eerste twee rijen moeten continu worden voorzien van sneeuwstoppers, ongeacht het berekende legpatroon</t>
  </si>
  <si>
    <t>Prvi dve vrsti je treba opremiti s snegobrani neprekinjeno, ne glede na izračunan vzorec polaganja</t>
  </si>
  <si>
    <t>De två första raderna ska utrustas med snöstoppare kontinuerligt, oberoende av det beräknade läggningsmönstret</t>
  </si>
  <si>
    <t>De første to rækker skal forsynes med sne stoppere kontinuerligt, uafhængigt af det beregnede lægningsmønster</t>
  </si>
  <si>
    <t>De to første radene må utstyres med snøstoppere kontinuerlig, uavhengig av det beregnede leggemønsteret</t>
  </si>
  <si>
    <t>Prva dva reda moraju biti opremljena snježnim zaustavljačima kontinuirano, neovisno o izračunatoj shemi polaganja</t>
  </si>
  <si>
    <t>Laut ÖNORM B 3418 ist bei Schneehaltern aus Metall ab einer Dachneigung von 45° eine Kombination mit Schneefangsystemen auszuführen.</t>
  </si>
  <si>
    <t>According to ÖNORM B 3418, for metal snow guards on roofs with a pitch of 45° or more, a combination with snow retention systems must be used.</t>
  </si>
  <si>
    <t>Selon la norme ÖNORM B 3418, pour les dispositifs de retenue de neige en métal sur les toits avec une inclinaison de 45° ou plus, une combinaison avec des systèmes de retenue de neige doit être utilisée.</t>
  </si>
  <si>
    <t>In base alla norma ÖNORM B 3418, per i fermaneve in metallo su tetti con una pendenza di 45° o più, deve essere utilizzata una combinazione con i sistemi di ritenzione della neve.</t>
  </si>
  <si>
    <t>Dle normy ÖNORM B 3418 je pro kovové sněhové záchytné systémy na střechách se sklonem 45° nebo více nutné použít kombinaci s systémy na zadržení sněhu.</t>
  </si>
  <si>
    <t>Zgodnie z normą ÖNORM B 3418, dla metalowych zatrzymywaczy śniegu na dachach o nachyleniu 45° lub więcej, konieczne jest zastosowanie kombinacji z systemami retencji śniegu.</t>
  </si>
  <si>
    <t>Az ÖNORM B 3418 szerint, 45° vagy annál meredekebb tetőkön a fém hófogóknál hófogó rendszerekkel kell kombinálni.</t>
  </si>
  <si>
    <t>Podľa normy ÖNORM B 3418 je pre kovové snehové záchytne systémy na striechach so sklonom 45° alebo viac nutné použiť kombináciu so systémami na zadržanie snehu.</t>
  </si>
  <si>
    <t>Volgens de ÖNORM B 3418 moeten voor metalen sneeuwhouders op daken met een helling van 45° of meer, een combinatie met sneeuwretentiesystemen worden gebruikt.</t>
  </si>
  <si>
    <t>V skladu z ÖNORM B 3418 je za kovinske snežne zadrževalnike na strehah z naklonom 45° ali več potrebna kombinacija s sistemi za zadrževanje snega.</t>
  </si>
  <si>
    <t>Enligt ÖNORM B 3418 måste för metall snöskydd på tak med en lutning på 45° eller mer, en kombination med snöuppsamlingssystem användas.</t>
  </si>
  <si>
    <t>Ifølge ÖNORM B 3418 skal der på metal snefangere på tage med en hældning på 45° eller mere anvendes en kombination med sneopholdelsessystemer.</t>
  </si>
  <si>
    <t>Ifølge ÖNORM B 3418 må metall snøvakter på tak med en helning på 45° eller mer kombineres med snøretensjonssystemer.</t>
  </si>
  <si>
    <t>Prema ÖNORM B 3418, na krovovima s nagibom od 45° ili više, za metalne snežne hvatače potrebno je instalirati kombinaciju sa sustavima zadržavanja snijega.</t>
  </si>
  <si>
    <t>(=PREFA Schneerechenanlage an der Traufe)</t>
  </si>
  <si>
    <t>(=PREFA snow rake system at the eaves)</t>
  </si>
  <si>
    <t>(=Système de râteau à neige PREFA au niveau de l'avant-toit)</t>
  </si>
  <si>
    <t>(=Sistema di rastrello per neve PREFA sul cornicione)</t>
  </si>
  <si>
    <t>(=Systém PREFA pro odhrnování sněhu na okapu)</t>
  </si>
  <si>
    <t xml:space="preserve"> (=System odśnieżania PREFA przy rynnie)</t>
  </si>
  <si>
    <t>(=PREFA hórák rendszer az ereszcsatornánál)</t>
  </si>
  <si>
    <t>(=Systém PREFA na odhŕňanie snehu na okap)</t>
  </si>
  <si>
    <t>(=PREFA sneeuwruimsysteem aan de dakrand)</t>
  </si>
  <si>
    <t>(=Sistem za odstranjevanje snega PREFA na napu)</t>
  </si>
  <si>
    <t>(=PREFA snöröjningssystem vid takfoten)</t>
  </si>
  <si>
    <t>(=PREFA sne-rive system ved tagrenden)</t>
  </si>
  <si>
    <t>(=PREFA snø rake system ved takrennen)</t>
  </si>
  <si>
    <t>(=PREFA sustav za uklanjanje snijega na olucima)</t>
  </si>
  <si>
    <r>
      <t>Schneestange über mind. 3 Sparrenbreiten,  max. Schneestangenüberstand ≤ 0,3*e</t>
    </r>
    <r>
      <rPr>
        <vertAlign val="subscript"/>
        <sz val="11"/>
        <color theme="1"/>
        <rFont val="Arial"/>
        <family val="2"/>
      </rPr>
      <t>s</t>
    </r>
  </si>
  <si>
    <t>Snow guard over at least 3 rafter widths, max. snow guard projection ≤ 0.3*es</t>
  </si>
  <si>
    <t>Barre de neige sur au moins 3 largeurs d'arbalète, saillie maximale de la barre de neige ≤ 0,3*es</t>
  </si>
  <si>
    <t>Asta neve sopra almeno 3 larghezze di travetto, sporgenza massima asta neve ≤ 0,3*es</t>
  </si>
  <si>
    <t>Sněhová zátka nad minimálně 3 šířky příhradových nosníků, maximální výstupek sněhové zátěže ≤ 0,3*es</t>
  </si>
  <si>
    <t>Śnieżny uchwyt ponad co najmniej 3 szerokości krokwi, maksymalny występ uchwytu śnieżnego ≤ 0,3*es</t>
  </si>
  <si>
    <t>Hófogó legalább 3 gerendahéj szélesség felett, legfeljebb a hófogó kiállása ≤ 0,3*es</t>
  </si>
  <si>
    <t>Snežná zátka nad minimálne 3 šírkami priehradových nosníkov, maximálny výstupek snehovej záťaže ≤ 0,3*es</t>
  </si>
  <si>
    <t>Sneeuwvanger over ten minste 3 spantenbreedtes, max. sneeuwvangeruitsteek ≤ 0,3*es</t>
  </si>
  <si>
    <t>Snegobran nad vsaj 3 širinami tramov, največji previs snegobrana ≤ 0,3*es</t>
  </si>
  <si>
    <t>Snöskydd över minst 3 takstolsbredder, max. snöskyddsprojektion ≤ 0,3*es</t>
  </si>
  <si>
    <t>Snefang over mindst 3 spænderbredder, maks. snefangsprojektion ≤ 0,3*es</t>
  </si>
  <si>
    <t>Snøfanger over minst 3 sperrebredder, maks. snøfangerutstikk ≤ 0,3*es</t>
  </si>
  <si>
    <t>Snježna ograda iznad najmanje 3 širine rogova, maks. izbočina snježne ograda ≤ 0,3*es</t>
  </si>
  <si>
    <t>Schneerechenhaken auf jedem Sparren (Mindestgüte C24) montiert → Hakenabstand = Sparrenabstand</t>
  </si>
  <si>
    <t>Snow guard hooks mounted on every rafter (minimum quality C24) → Hook spacing = rafter spacing</t>
  </si>
  <si>
    <t>Crochets de protection contre la neige montés sur chaque chevron (qualité minimale C24) → Espacement des crochets = espacement des chevrons</t>
  </si>
  <si>
    <t>Staffe fermaneve montati su ogni trave (qualità minima C24) → Distanza tra i ganci = distanza tra le travi</t>
  </si>
  <si>
    <t>Sněhové háky namontované na každém krokvi (minimální kvalita C24) → Rozestup háků = rozestup krokve</t>
  </si>
  <si>
    <t>Haki zabezpieczające przed śniegiem zamontowane na każdym krokwi (minimalna jakość C24) → Odległość między hakami = odległość między krokwi</t>
  </si>
  <si>
    <t>Hóvédő akasztók minden gerendán elhelyezve (minimális minőség C24) → Akasztók távolsága = gerendák távolsága</t>
  </si>
  <si>
    <t>Snehové háky na každej krokve (minimálna kvalita C24) → Rozostup hákov = rozostup krokvy</t>
  </si>
  <si>
    <t>Sneeuwbeschermingshaken gemonteerd op elke spant (minimum kwaliteit C24) → Haakafstand = spantafstand</t>
  </si>
  <si>
    <t>Snegolovne kljuke montirane na vsakem špirovcu (minimalna kakovost C24) → Razmik kljuk = razmik špirovcev</t>
  </si>
  <si>
    <t>Snörasskyddskrokar monterade på varje takstol (minsta kvalitet C24) → Kroksavstånd = takstolsavstånd</t>
  </si>
  <si>
    <t>Snebeskyttelseskroge monteret på hver spær (minimum kvalitet C24) → Krogafstand = spærafstand</t>
  </si>
  <si>
    <t>Snøfangkroker montert på hver bjelke (minimum kvalitet C24) → Krokavstand = bjelkeavstand</t>
  </si>
  <si>
    <t>Kuke za zaštitu od snijega postavljene na svaku gredu (minimalna kvaliteta C24) → Razmak kuka = razmak greda</t>
  </si>
  <si>
    <t>Befestigung mittels beigepackten Holzschrauben 8x120 oder 8x220mm (4 Schrauben je Haken)</t>
  </si>
  <si>
    <t>Attachment using the included wood screws 8x120 or 8x220mm (4 screws per hook)</t>
  </si>
  <si>
    <t>Fixation à l'aide des vis à bois fournies 8x120 ou 8x220mm (4 vis par crochet)</t>
  </si>
  <si>
    <t>Fissaggio con le Viti per legno incluse 8x120 o 8x220mm (4 viti per staffa)</t>
  </si>
  <si>
    <t>Upevnění pomocí přiložených dřevěných šroubů 8x120 nebo 8x220mm (4 šrouby na háček)</t>
  </si>
  <si>
    <t>Mocowanie za pomocą dołączonych wkrętów drewnianych 8x120 lub 8x220mm (4 wkręty na hak)</t>
  </si>
  <si>
    <t>Rögzítés a mellékelt fa csavarokkal 8x120 vagy 8x220mm (4 csavar minden akasztóhoz)</t>
  </si>
  <si>
    <t>Upevnenie pomocou priložených drevených skrutiek 8x120 alebo 8x220mm (4 skrutky na háčik)</t>
  </si>
  <si>
    <t>Bevestiging met de meegeleverde houtschroeven 8x120 of 8x220mm (4 schroeven per haak)</t>
  </si>
  <si>
    <t>Pritrditev z priloženimi lesenimi vijaki 8x120 ali 8x220mm (4 vijaki na kavelj)</t>
  </si>
  <si>
    <t>Fästning med medföljande träskruvar 8x120 eller 8x220mm (4 skruvar per krok)</t>
  </si>
  <si>
    <t>Fastgørelse med de medfølgende træskruer 8x120 eller 8x220mm (4 skruer pr. krog)</t>
  </si>
  <si>
    <t>Festing med de medfølgende treskruene 8x120 eller 8x220mm (4 skruer per krok)</t>
  </si>
  <si>
    <t>Pričvršćivanje pomoću priloženih drvenih vijaka 8x120 ili 8x220mm (4 vijaka po kuki)</t>
  </si>
  <si>
    <t>Abstand e ist ein Maximalabstand und kann verringert werden</t>
  </si>
  <si>
    <t>Distance e is a maximum distance and can be reduced</t>
  </si>
  <si>
    <t>La distance e est une distance maximale et peut être réduite</t>
  </si>
  <si>
    <t>La distanza e è una distanza massima e può essere ridotta</t>
  </si>
  <si>
    <t>Vzdálenost e je maximální vzdálenost a může být zmenšena</t>
  </si>
  <si>
    <t>Odległość e jest maksymalną odległością i może być zmniejszona</t>
  </si>
  <si>
    <t>Az e távolság maximális távolság és csökkenthető</t>
  </si>
  <si>
    <t>Vzdialenosť e je maximálna vzdialenosť a môže byť znížená</t>
  </si>
  <si>
    <t>Afstand e is een maximale afstand en kan worden verkleind</t>
  </si>
  <si>
    <t>Razdalja e je največja razdalja in se lahko zmanjša</t>
  </si>
  <si>
    <t>Avstånd e är ett maximalt avstånd och kan minskas</t>
  </si>
  <si>
    <t>Afstand e er en maksimal afstand og kan reduceres</t>
  </si>
  <si>
    <t>Avstand e er en maksimal avstand og kan reduseres</t>
  </si>
  <si>
    <t>Udaljenost e je maksimalna udaljenost i može se smanjiti</t>
  </si>
  <si>
    <t>Abstand e so oft anwenden, bis lr ≤ e übrig bleibt</t>
  </si>
  <si>
    <t>Apply distance e as often as needed until lr ≤ e remains</t>
  </si>
  <si>
    <t>Appliquer la distance e aussi souvent que nécessaire jusqu'à ce qu'il reste lr ≤ e</t>
  </si>
  <si>
    <t>Applicare la distanza e tante volte quanto necessario fino a quando rimane lr ≤ e</t>
  </si>
  <si>
    <t>Použijte vzdálenost e tak často, jak je potřeba, dokud nezůstane lr ≤ e</t>
  </si>
  <si>
    <t>Zastosuj odległość e tak często, jak to konieczne, aż pozostanie lr ≤ e</t>
  </si>
  <si>
    <t>Alkalmazza az e távolságot annyiszor, amíg csak marad lr ≤ e</t>
  </si>
  <si>
    <t>Použite vzdialenosť e tak často, ako je potrebné, kým nezostane lr ≤ e</t>
  </si>
  <si>
    <t>Pas afstand e zo vaak toe als nodig totdat lr ≤ e overblijft</t>
  </si>
  <si>
    <t>Uporabite razdaljo e tako pogosto, dokler ne ostane lr ≤ e</t>
  </si>
  <si>
    <t>Tillämpa avståndet e så ofta som behövs tills lr ≤ e återstår</t>
  </si>
  <si>
    <t>Anvend afstand e så ofte som nødvendigt, indtil lr ≤ e forbliver</t>
  </si>
  <si>
    <t>Bruk avstand e så ofte som nødvendig til lr ≤ e gjenstår</t>
  </si>
  <si>
    <t>Koristite udaljenost e toliko puta koliko je potrebno sve dok ne preostane lr ≤ e</t>
  </si>
  <si>
    <t>Abstand e ≤</t>
  </si>
  <si>
    <t>Distance e ≤</t>
  </si>
  <si>
    <t>Distanza e ≤</t>
  </si>
  <si>
    <t>Vzdálenost e ≤</t>
  </si>
  <si>
    <t>Odległość e ≤</t>
  </si>
  <si>
    <t>Távolság e ≤</t>
  </si>
  <si>
    <t>Vzdialenosť e ≤</t>
  </si>
  <si>
    <t>Afstand e ≤</t>
  </si>
  <si>
    <t>Razdalja e ≤</t>
  </si>
  <si>
    <t>Avstånd e ≤</t>
  </si>
  <si>
    <t>Avstand e ≤</t>
  </si>
  <si>
    <t>Udaljenost e ≤</t>
  </si>
  <si>
    <r>
      <t>Rundholz Ø 140 mm über mind. 3 Sparrenbreiten, max. Rundholzüberstand ≤ 0,3*e</t>
    </r>
    <r>
      <rPr>
        <vertAlign val="subscript"/>
        <sz val="11"/>
        <color theme="1"/>
        <rFont val="Arial"/>
        <family val="2"/>
      </rPr>
      <t>s</t>
    </r>
  </si>
  <si>
    <t>Round log Ø 140 mm over at least 3 rafter widths, max. round log overhang ≤ 0.3*es</t>
  </si>
  <si>
    <t>Rondin Ø 140 mm sur au moins 3 largeurs de chevrons, débord maximal de rondin ≤ 0,3*es</t>
  </si>
  <si>
    <t>Tronco rotondo Ø 140 mm su almeno 3 larghezze di capriate, massima sporgenza del tronco rotondo ≤ 0,3*es</t>
  </si>
  <si>
    <t>Kulaté dřevo Ø 140 mm přes nejméně 3 šířky vazníků, max. převis kulatého dřeva ≤ 0,3*es</t>
  </si>
  <si>
    <t>Rundholz Ø 140 mm na co najmniej 3 szerokościach krokwi, maksymalny występ rundholza ≤ 0,3*es</t>
  </si>
  <si>
    <t>Kerek rönk Ø 140 mm legalább 3 gerendaszélességen át, max. kerek rönk túlnyúlás ≤ 0,3*es</t>
  </si>
  <si>
    <t>Kolové drevo Ø 140 mm cez najmenej 3 šírky trámov, max. previs kolového dreva ≤ 0,3*es</t>
  </si>
  <si>
    <t>Rondhout Ø 140 mm over minstens 3 spantbreedtes, max. rondhout overhang ≤ 0,3*es</t>
  </si>
  <si>
    <t>Okrugli les Ø 140 mm čez najmanj 3 širine tramov, maks. previs okroglega lesa ≤ 0,3*es</t>
  </si>
  <si>
    <t>Rundvirke Ø 140 mm över minst 3 takstolsbredder, max. rundvirkesöverhäng ≤ 0,3*es</t>
  </si>
  <si>
    <t>Rundtømmer Ø 140 mm over mindst 3 spærvidder, maks. rundtømmerudhæng ≤ 0,3*es</t>
  </si>
  <si>
    <t>Rundtømmer Ø 140 mm over minst 3 takstolbredder, maks. rundtømmerutstikk ≤ 0,3*es</t>
  </si>
  <si>
    <t>Okruglo drvo Ø 140 mm preko najmanje 3 širine rogova, maks. previs okruglog drveta ≤ 0,3*es</t>
  </si>
  <si>
    <t>Gebirgsschneefangstütze auf jedem Sparren (Mindestgüte C24) montiert → Stützenabstand = Sparrenabstand</t>
  </si>
  <si>
    <t>mountain snow-guard bracket support mounted on each rafter (minimum grade C24) → Support distance = rafter distance</t>
  </si>
  <si>
    <t>support de pare-neige pour rondins de montagne monté sur chaque chevron (qualité minimale C24) → Distance des supports = distance des chevrons</t>
  </si>
  <si>
    <t>Supporto Staffa fermaneve per legno tondo in montagna montato su ogni travetto (qualità minima C24) → Distanza supporti = distanza travetti</t>
  </si>
  <si>
    <t>Držák kulatiny pro zadržování sněhu na každém krokvi (minimální jakost C24) → Vzdálenost podpěr = vzdálenost krokve</t>
  </si>
  <si>
    <t>hak przeciwśniegowy do warunków górskich na każdym krokwiu (minimalna jakość C24) → Odległość wsporników = odległość krokwi</t>
  </si>
  <si>
    <t>hófogórönk tartó minden gerendán (minimális C24 minőség) → Támaszok távolsága = gerendák távolsága</t>
  </si>
  <si>
    <t>držiak horského zachytávača snehu pre rúrky kruhového prierezu na každom vazníku (minimálna kvalita C24) → Vzdialenosť podpôr = vzdialenosť vazníkov</t>
  </si>
  <si>
    <t>sneeuwvangsteun voor in het gebergte op elke spant (minimumkwaliteit C24) → Ondersteuningsafstand = spantafstand</t>
  </si>
  <si>
    <t>nosilec za linijski snegolov na vsakem tramovju (minimalna kakovost C24) → Razdalja podpor = razdalja med tramovi</t>
  </si>
  <si>
    <t>snöstoppsstötta på varje takstol (minsta kvalitet C24) → Stödavstånd = takstolsavstånd</t>
  </si>
  <si>
    <t>bjergsnefangstøtte monteret på hver spær (minimum kvalitet C24) → Støtteafstand = spærafstand</t>
  </si>
  <si>
    <t>fjellsnøfangerstøtte montert på hver bjelke (minimum kvalitet C24) → Støtteavstand = bjelkeavstand</t>
  </si>
  <si>
    <t>Nosač planinskog snjegobrana montirana na svakom rešetku (minimalna kvaliteta C24) → Razmak potpora = razmak rešetki</t>
  </si>
  <si>
    <t>Befestigung mittels beigepackten Holzschrauben 8x120 oder 8x220mm (4 Schrauben je Stütze)</t>
  </si>
  <si>
    <t>Attachment using the included wood screws 8x120 or 8x220mm (4 screws per support)</t>
  </si>
  <si>
    <t>Fixation à l'aide des vis à bois fournies 8x120 ou 8x220mm (4 vis par support)</t>
  </si>
  <si>
    <t>Fissaggio con le viti in legno incluse 8x120 o 8x220mm (4 viti per supporto)</t>
  </si>
  <si>
    <t>Upevnění pomocí přiložených dřevěných šroubů 8x120 nebo 8x220mm (4 šrouby na podporu)</t>
  </si>
  <si>
    <t>Mocowanie za pomocą dołączonych wkrętów drewnianych 8x120 lub 8x220mm (4 wkręty na wspornik)</t>
  </si>
  <si>
    <t>Rögzítés a mellékelt fa csavarokkal 8x120 vagy 8x220mm (4 csavar minden támasztékhoz)</t>
  </si>
  <si>
    <t>Upevnenie pomocou priložených drevených skrutiek 8x120 alebo 8x220mm (4 skrutky na podporu)</t>
  </si>
  <si>
    <t>Bevestiging met de meegeleverde houtschroeven 8x120 of 8x220mm (4 schroeven per steun)</t>
  </si>
  <si>
    <t>Pritrditev z priloženimi lesenimi vijaki 8x120 ali 8x220mm (4 vijaki na oporo)</t>
  </si>
  <si>
    <t>Fästning med medföljande träskruvar 8x120 eller 8x220mm (4 skruvar per stöd)</t>
  </si>
  <si>
    <t>Fastgørelse med de medfølgende træskruer 8x120 eller 8x220mm (4 skruer pr. støtte)</t>
  </si>
  <si>
    <t>Festing med de medfølgende treskruene 8x120 eller 8x220mm (4 skruer per støtte)</t>
  </si>
  <si>
    <t>Pričvršćivanje pomoću priloženih drvenih vijaka 8x120 ili 8x220mm (4 vijaka po potpori)</t>
  </si>
  <si>
    <r>
      <t>Rohre auf mindestens 3 Sailerklemmen befestigen, max. Schneestangenüberstand ≤ 0,3*e</t>
    </r>
    <r>
      <rPr>
        <vertAlign val="subscript"/>
        <sz val="11"/>
        <color theme="1"/>
        <rFont val="Arial"/>
        <family val="2"/>
      </rPr>
      <t>s</t>
    </r>
  </si>
  <si>
    <t>Attach pipes to at least 3 seam clamps, max. snow pole overhang ≤ 0.3*es</t>
  </si>
  <si>
    <t>Fixer les tuyaux à au moins 3 brides de maintien, débordement max. des Tube de neige ≤ 0,3*es</t>
  </si>
  <si>
    <t>Fissare i tubi a almeno 3 Piastre fermaneve, sbalzo massimo delle barre di neve ≤ 0,3*es</t>
  </si>
  <si>
    <t>Připevněte trubky na alespoň 3 Svěrky trubek sněholamu, max. převis sněhových tyčí ≤ 0,3*es</t>
  </si>
  <si>
    <t>Przymocuj rury do co najmniej 3 Zaciski do bariery śniegowej, maks. występ słupków śnieżnych ≤ 0,3*es</t>
  </si>
  <si>
    <t>Csövek rögzítése legalább 3 hófogórúd-tartók, max. hópálca túlnyúlás ≤ 0,3*es</t>
  </si>
  <si>
    <t>Trubky upevnite na aspoň 3 svorka rúrky zachytávača snehu, max. previs snežných tyčí ≤ 0,3*es</t>
  </si>
  <si>
    <t>Bevestig buizen aan minstens 3 Zeilklemmen, max. sneeuwpaal uitsteeksel ≤ 0,3*es</t>
  </si>
  <si>
    <t>Cevi pritrdite na vsaj 3 Držalo za cevi, max. previs snežnih palic ≤ 0,3*es</t>
  </si>
  <si>
    <t>Fäst rören på minst 3 segelklämmor, max. snöpinneöverhäng ≤ 0,3*es</t>
  </si>
  <si>
    <t>Fastgør rør til mindst 3 Sailerklemmer, maks. sne stang overhæng ≤ 0,3*es</t>
  </si>
  <si>
    <t>Fest rør til minst 3 Falseklemmer, maks. snøstang overheng ≤ 0,3*es</t>
  </si>
  <si>
    <t>Cijevi pričvrstite na najmanje 3 Obujmice, maks. preklop snježnih štapova ≤ 0,3*es</t>
  </si>
  <si>
    <t>Sailerklemme auf jedem Falz montiert → Klemmenabstand = Falzabstand</t>
  </si>
  <si>
    <t>seam clamps mounted on each seam → Clamp distance = tray width</t>
  </si>
  <si>
    <t>brides de maintien montée sur chaque pli → Distance de pince = distance de pli</t>
  </si>
  <si>
    <t>Piastre fermaneve montato su ogni aggraffatura → Distanza morsetti = distanza aggraffature</t>
  </si>
  <si>
    <t>Svěrky trubek sněholamu na každém záhybu → Vzdálenost svorek = vzdálenost záhybů</t>
  </si>
  <si>
    <t>Zaciski do bariery śniegowej zamocowana na każdym zgięciu → Odległość klamr = odległość zgięć</t>
  </si>
  <si>
    <t>hófogórúd-tartók minden hajtásnál felszerelve → Csipesztávolság = hajtástávolság</t>
  </si>
  <si>
    <t>svorka rúrky zachytávača snehu na každom záhybe → Vzdialenosť svoriek = vzdialenosť záhybov</t>
  </si>
  <si>
    <t>Zeilklemmen gemonteerd op elke vouw → Klem afstand = vouw afstand</t>
  </si>
  <si>
    <t>Držalo za cevi nameščena na vsakem pregibu → Razdalja sponk = razdalja pregibov</t>
  </si>
  <si>
    <t>segelklämmor monterad på varje veck → Klämmavstånd = veckavstånd</t>
  </si>
  <si>
    <t>Sailerklemmer monteret på hver fold → Klemmeafstand = foldafstand</t>
  </si>
  <si>
    <t>Falseklemmer montert på hver fold → Klemmeavstand = foldavstand</t>
  </si>
  <si>
    <t>Obujmice montirana na svakom naporu → Razmak kvačica = razmak nabora</t>
  </si>
  <si>
    <t>Sailerklemme (doppelt) an der Traufe</t>
  </si>
  <si>
    <t>two-pipe seam clamp at the eaves</t>
  </si>
  <si>
    <t>bride double à l'avant-toit</t>
  </si>
  <si>
    <t>Piastra fermaneve a doppio tubo alla grondaia</t>
  </si>
  <si>
    <t>Svěrka trubky sněhové zábrany dvojitá u okapu</t>
  </si>
  <si>
    <t>Mocowanie podwójne do bariery śniegowej przy okapie</t>
  </si>
  <si>
    <t>kétcsöves hófogótartó az eresznél</t>
  </si>
  <si>
    <t>dvojitá svorka rúrky zachytávača snehu pri odkvape</t>
  </si>
  <si>
    <t>Sailerklem dubbel aan de dakrand</t>
  </si>
  <si>
    <t>dvojno držalo ob strehi</t>
  </si>
  <si>
    <t>sailer-klämma dubbel vid takfoten</t>
  </si>
  <si>
    <t>sailer-klemme dobbelt ved tagskægget</t>
  </si>
  <si>
    <t>dobbel falseklemme ved takskjegget</t>
  </si>
  <si>
    <t>Obujmica (dvostruka) kod strehe</t>
  </si>
  <si>
    <t>Höhe des Doppelstehfalzes: 25 mm</t>
  </si>
  <si>
    <t>Height of double standing seam: 25 mm</t>
  </si>
  <si>
    <t>Hauteur du joint debout double : 25 mm</t>
  </si>
  <si>
    <t>Výška dvojitého stojného závěsu: 25 mm</t>
  </si>
  <si>
    <t>Wysokość podwójnego połączenia stojącego: 25 mm</t>
  </si>
  <si>
    <t>Dupla álló szeg magassága: 25 mm</t>
  </si>
  <si>
    <t>Výška dvojitého stojaceho závesu: 25 mm</t>
  </si>
  <si>
    <t>Hoogte van dubbele staande naad: 25 mm</t>
  </si>
  <si>
    <t>Višina dvojnega stoječega šiva: 25 mm</t>
  </si>
  <si>
    <t>Höjd av dubbelstående söm: 25 mm</t>
  </si>
  <si>
    <t>Højde af dobbeltstående søm: 25 mm</t>
  </si>
  <si>
    <t>Høyde på dobbel stående søm: 25 mm</t>
  </si>
  <si>
    <t>Visina dvostrukog stojećeg spoja: 25 mm</t>
  </si>
  <si>
    <t>Abstände e1 und e2 sind Maximalabstände und können verringert werden</t>
  </si>
  <si>
    <t>Distances e1 and e2 are maximum distances and can be reduced</t>
  </si>
  <si>
    <t>Les distances e1 et e2 sont des distances maximales et peuvent être réduites</t>
  </si>
  <si>
    <t>Le distanze e1 ed e2 sono distanze massime e possono essere ridotte</t>
  </si>
  <si>
    <t>Vzdálenosti e1 a e2 jsou maximální vzdálenosti a lze je snížit</t>
  </si>
  <si>
    <t>Odległości e1 i e2 są maksymalnymi odległościami i mogą zostać zmniejszone.</t>
  </si>
  <si>
    <t>Az e1 és e2 távolságok maximális távolságok, és csökkenthetők</t>
  </si>
  <si>
    <t>Vzdialenosti e1 a e2 sú maximálne vzdialenosti a môžu byť znížené</t>
  </si>
  <si>
    <t>Afstanden e1 en e2 zijn maximale afstanden en kunnen worden verkleind</t>
  </si>
  <si>
    <t>Razdalje e1 in e2 so največje razdalje in jih je mogoče zmanjšati</t>
  </si>
  <si>
    <t>Avstånden e1 och e2 är maximala avstånd och kan minskas</t>
  </si>
  <si>
    <t>Afstandene e1 og e2 er maksimale afstande og kan reduceres</t>
  </si>
  <si>
    <t>Avstandene e1 og e2 er maksimale avstander og kan reduseres</t>
  </si>
  <si>
    <t>Udaljenosti e1 i e2 su maksimalne udaljenosti i mogu se smanjiti</t>
  </si>
  <si>
    <t>Abstand e2 so oft anwenden, bis lr ≤ e2 übrig bleibt</t>
  </si>
  <si>
    <t>Apply distance e2 as often as needed until lr ≤ e2 remains</t>
  </si>
  <si>
    <t>Appliquer la distance e2 aussi souvent que nécessaire jusqu'à ce qu'il reste lr ≤ e2</t>
  </si>
  <si>
    <t>Applicare la distanza e2 tante volte quanto necessario fino a quando rimane lr ≤ e2</t>
  </si>
  <si>
    <t>Použijte vzdálenost e2 tak často, jak je potřeba, dokud nezůstane lr ≤ e2</t>
  </si>
  <si>
    <t>Zastosuj odległość e2 tak często, jak to konieczne, aż pozostanie lr ≤ e2</t>
  </si>
  <si>
    <t>Alkalmazza az e2 távolságot annyiszor, amíg csak marad lr ≤ e2</t>
  </si>
  <si>
    <t>Použite vzdialenosť e2 tak často, ako je potrebné, kým nezostane lr ≤ e2</t>
  </si>
  <si>
    <t>Pas afstand e2 zo vaak toe als nodig totdat lr ≤ e2 overblijft</t>
  </si>
  <si>
    <t>Uporabite razdaljo e2 tako pogosto, dokler ne ostane lr ≤ e2</t>
  </si>
  <si>
    <t>Tillämpa avståndet e2 så ofta som behövs tills lr ≤ e2 återstår</t>
  </si>
  <si>
    <t>Anvend afstand e2 så ofte som nødvendigt, indtil lr ≤ e2 forbliver</t>
  </si>
  <si>
    <t>Bruk avstand e2 så ofte som nødvendig til lr ≤ e2 gjenstår</t>
  </si>
  <si>
    <t>Koristite udaljenost e2 toliko puta koliko je potrebno sve dok ne preostane lr ≤ e2</t>
  </si>
  <si>
    <t>variable Eingabe</t>
  </si>
  <si>
    <t>variable input</t>
  </si>
  <si>
    <t>entrée variable</t>
  </si>
  <si>
    <t>input variabile</t>
  </si>
  <si>
    <t>proměnný vstup</t>
  </si>
  <si>
    <t>zmienny wejście</t>
  </si>
  <si>
    <t>változó bemenet</t>
  </si>
  <si>
    <t>premenný vstup</t>
  </si>
  <si>
    <t>variabele invoer</t>
  </si>
  <si>
    <t>spremenljivka vnosa</t>
  </si>
  <si>
    <t>variabel input</t>
  </si>
  <si>
    <t>variabel indgang</t>
  </si>
  <si>
    <t>variabel inngang</t>
  </si>
  <si>
    <t>varijabilni unos</t>
  </si>
  <si>
    <t>Falzabstand</t>
  </si>
  <si>
    <t>tray width</t>
  </si>
  <si>
    <t>distanza pieghe</t>
  </si>
  <si>
    <t>vzdálenost záhybů</t>
  </si>
  <si>
    <t>odległość zgięć</t>
  </si>
  <si>
    <t>hajtástávolság</t>
  </si>
  <si>
    <t>vzdialenosť záhybov</t>
  </si>
  <si>
    <t>vouw afstand</t>
  </si>
  <si>
    <t>razdalja pregibov</t>
  </si>
  <si>
    <t>veckavstånd</t>
  </si>
  <si>
    <t>foldafstand</t>
  </si>
  <si>
    <t>foldavstand</t>
  </si>
  <si>
    <t>razmak nabora</t>
  </si>
  <si>
    <t>Satteldach bzw. Walmdach</t>
  </si>
  <si>
    <t>Gable roof or hipped roof</t>
  </si>
  <si>
    <t>Toit à pignon ou toit en croupe</t>
  </si>
  <si>
    <t>Tetto a capanna o tetto a padiglione</t>
  </si>
  <si>
    <t>Sedlová střecha nebo valbová střecha</t>
  </si>
  <si>
    <t>Dach dwuspadowy lub dach czterospadowy</t>
  </si>
  <si>
    <t>Sík tető vagy csúcsos tető</t>
  </si>
  <si>
    <t>Sedlová strecha alebo valbová strecha</t>
  </si>
  <si>
    <t>Zadeldak of schilddak</t>
  </si>
  <si>
    <t>Saddle streha ali štirna streha</t>
  </si>
  <si>
    <t>Sadeltak eller valmat tak</t>
  </si>
  <si>
    <t>Sadeltag eller valmtag</t>
  </si>
  <si>
    <t>Saltak eller valmtak</t>
  </si>
  <si>
    <t>Dvostruki krov ili četverostrešni krov</t>
  </si>
  <si>
    <t>Pultdach</t>
  </si>
  <si>
    <t>mono pitch roof</t>
  </si>
  <si>
    <t>toit en appentis</t>
  </si>
  <si>
    <t>tetto a falda unica</t>
  </si>
  <si>
    <t>pultová střecha</t>
  </si>
  <si>
    <t>dach jednospadowy</t>
  </si>
  <si>
    <t>ferde tető</t>
  </si>
  <si>
    <t>pultová strecha</t>
  </si>
  <si>
    <t>lessenaarsdak</t>
  </si>
  <si>
    <t>enokapnica</t>
  </si>
  <si>
    <t>pulpettak</t>
  </si>
  <si>
    <t>pulsdækket tag</t>
  </si>
  <si>
    <t>pulttak</t>
  </si>
  <si>
    <t>jednokatni krov</t>
  </si>
  <si>
    <t>Berechnungsgrundlage</t>
  </si>
  <si>
    <t>calculation basis</t>
  </si>
  <si>
    <t>base de calcul</t>
  </si>
  <si>
    <t>base di calcolo</t>
  </si>
  <si>
    <t>výpočtový základ</t>
  </si>
  <si>
    <t>podstawa obliczeń</t>
  </si>
  <si>
    <t>számítási alap</t>
  </si>
  <si>
    <t>berekeningsbasis</t>
  </si>
  <si>
    <t>izračunska osnova</t>
  </si>
  <si>
    <t>beräkningsgrund</t>
  </si>
  <si>
    <t>beregningsgrundlag</t>
  </si>
  <si>
    <t>beregningsgrunnlag</t>
  </si>
  <si>
    <t>osnova za izračun</t>
  </si>
  <si>
    <t>Schneelast laut dlubal.com</t>
  </si>
  <si>
    <t>Snow load according to dlubal.com</t>
  </si>
  <si>
    <t>Charge de neige selon dlubal.com</t>
  </si>
  <si>
    <t>Carico neve secondo dlubal.com</t>
  </si>
  <si>
    <t>Sněhové zatížení podle dlubal.com</t>
  </si>
  <si>
    <t>Obciążenie śniegiem według dlubal.com</t>
  </si>
  <si>
    <t>Hóterhelés a dlubal.com szerint</t>
  </si>
  <si>
    <t>Snežné zaťaženie podľa dlubal.com</t>
  </si>
  <si>
    <t>Sneeuwbelasting volgens dlubal.com</t>
  </si>
  <si>
    <t>Snežna obremenitev po dlubal.com</t>
  </si>
  <si>
    <t>Snöbelastning enligt dlubal.com</t>
  </si>
  <si>
    <t>Snebelastning i henhold til dlubal.com</t>
  </si>
  <si>
    <t>Snølast i henhold til dlubal.com</t>
  </si>
  <si>
    <t>Snježno opterećenje prema dlubal.com</t>
  </si>
  <si>
    <t>Objekthöhe</t>
  </si>
  <si>
    <t>building height</t>
  </si>
  <si>
    <t>hauteur de l'objet</t>
  </si>
  <si>
    <t>altezza dell'oggetto</t>
  </si>
  <si>
    <t>výška objektu</t>
  </si>
  <si>
    <t>wysokość obiektu</t>
  </si>
  <si>
    <t>tárgy magassága</t>
  </si>
  <si>
    <t>objecthoogte</t>
  </si>
  <si>
    <t>višina objekta</t>
  </si>
  <si>
    <t>objektshöjd</t>
  </si>
  <si>
    <t>objekthøjde</t>
  </si>
  <si>
    <t>objekthøyde</t>
  </si>
  <si>
    <t>visina objekta</t>
  </si>
  <si>
    <t>m.ü.M.</t>
  </si>
  <si>
    <t>a.s.l.</t>
  </si>
  <si>
    <t>m d'altitude</t>
  </si>
  <si>
    <t>s.l.m.</t>
  </si>
  <si>
    <t>n.m.</t>
  </si>
  <si>
    <t>npm</t>
  </si>
  <si>
    <t>tengerszint feletti magasságban</t>
  </si>
  <si>
    <t>m boven zeeniveau</t>
  </si>
  <si>
    <t>n.m.v.</t>
  </si>
  <si>
    <t>m ö.h.</t>
  </si>
  <si>
    <t>m.o.h.</t>
  </si>
  <si>
    <t>Bezugshöhe</t>
  </si>
  <si>
    <t>reference height</t>
  </si>
  <si>
    <t>hauteur de référence</t>
  </si>
  <si>
    <t>altezza di riferimento</t>
  </si>
  <si>
    <t>referenční výška</t>
  </si>
  <si>
    <t>wysokość odniesienia</t>
  </si>
  <si>
    <t>referencia magasság</t>
  </si>
  <si>
    <t>referenčná výška</t>
  </si>
  <si>
    <t>referentiehoogte</t>
  </si>
  <si>
    <t>referenčna višina</t>
  </si>
  <si>
    <t>referenshöjd</t>
  </si>
  <si>
    <t>referencehøjde</t>
  </si>
  <si>
    <t>referansehøyde</t>
  </si>
  <si>
    <t>referentna visina</t>
  </si>
  <si>
    <t>MAX. GRUNDWERT</t>
  </si>
  <si>
    <t>MAX. BASE VALUE</t>
  </si>
  <si>
    <t>VALEUR MAX. DE BASE</t>
  </si>
  <si>
    <t>VALORE MAX. DI BASE</t>
  </si>
  <si>
    <t>MAX. ZÁKLADNÍ HODNOTA</t>
  </si>
  <si>
    <t>MAKSYMALNA WARTOŚĆ PODST.</t>
  </si>
  <si>
    <t>MAX. ALAPÉRTÉK</t>
  </si>
  <si>
    <t>MAX. ZÁKLADNÁ HODNOTA</t>
  </si>
  <si>
    <t>MAX. GRONDWAARDE</t>
  </si>
  <si>
    <t>NAJVEČJA OSNOVNA VRED.</t>
  </si>
  <si>
    <t>MAX. GRUNDVÄRDE</t>
  </si>
  <si>
    <t>MAKSIMAL GRUNDVÆRDI</t>
  </si>
  <si>
    <t>MAKSIMAL GRUNNVERDI</t>
  </si>
  <si>
    <t>MAKSIMALNA OSN. VRIJEDNOST</t>
  </si>
  <si>
    <t>DACHGEOMETRIE</t>
  </si>
  <si>
    <t>ROOF GEOMETRY</t>
  </si>
  <si>
    <t>GÉOMÉTRIE DU TOIT</t>
  </si>
  <si>
    <t>GEOMETRIA DEL TETTO</t>
  </si>
  <si>
    <t>GEOMETRIE STŘECHY</t>
  </si>
  <si>
    <t>GEOMETRIA DACHU</t>
  </si>
  <si>
    <t>TETŐGEOMETRIA</t>
  </si>
  <si>
    <t>GEOMETRIA STRECHY</t>
  </si>
  <si>
    <t>DAKGEOMETRIE</t>
  </si>
  <si>
    <t>GEOMETRIJA STREHE</t>
  </si>
  <si>
    <t>TAKGEOMETRI</t>
  </si>
  <si>
    <t>TAGGEOMETRI</t>
  </si>
  <si>
    <t>GEOMETRIJA KROVA</t>
  </si>
  <si>
    <t>Formbeiwert</t>
  </si>
  <si>
    <t>form factor</t>
  </si>
  <si>
    <t>coefficient de forme</t>
  </si>
  <si>
    <t>coefficiente di forma</t>
  </si>
  <si>
    <t>koeficient tvaru</t>
  </si>
  <si>
    <t>współczynnik formuły</t>
  </si>
  <si>
    <t>alaktényező</t>
  </si>
  <si>
    <t>vormfactor</t>
  </si>
  <si>
    <t>faktor oblike</t>
  </si>
  <si>
    <t>formfaktor</t>
  </si>
  <si>
    <t>oblikovni faktor</t>
  </si>
  <si>
    <t>Formbeiwert µ1 laut Önorm B 1991-1-3:2022</t>
  </si>
  <si>
    <t>form factor µ1 according to Önorm B 1991-1-3:2022</t>
  </si>
  <si>
    <t>coefficient de forme µ1 selon la norme Önorm B 1991-1-3:2022</t>
  </si>
  <si>
    <t>coefficiente di forma µ1 secondo la norma Önorm B 1991-1-3:2022</t>
  </si>
  <si>
    <t>koeficient tvaru µ1 podle normy Önorm B 1991-1-3:2022</t>
  </si>
  <si>
    <t>współczynnik formuły µ1 zgodnie z normą Önorm B 1991-1-3:2022</t>
  </si>
  <si>
    <t>alaktényező µ1 a Önorm B 1991-1-3:2022</t>
  </si>
  <si>
    <t>koeficient tvaru µ1 podľa normy Önorm B 1991-1-3:2022</t>
  </si>
  <si>
    <t>vormfactor µ1 volgens Önorm B 1991-1-3:2022</t>
  </si>
  <si>
    <t>faktor oblike µ1 v skladu z Önorm B 1991-1-3:2022</t>
  </si>
  <si>
    <t>formfaktor µ1 enligt Önorm B 1991-1-3:2022</t>
  </si>
  <si>
    <t>formfaktor µ1 ifølge Önorm B 1991-1-3:2022</t>
  </si>
  <si>
    <t>formfaktor µ1 i henhold til Önorm B 1991-1-3:2022</t>
  </si>
  <si>
    <t>oblikovni faktor µ1 prema normi Önorm B 1991-1-3:2022</t>
  </si>
  <si>
    <t>Formbeiwert µ1 laut SIA 261</t>
  </si>
  <si>
    <t>form factor µ1 according to SIA 261</t>
  </si>
  <si>
    <t>coefficient de forme µ1 selon la norme SIA 261</t>
  </si>
  <si>
    <t>coefficiente di forma µ1 secondo la norma SIA 261</t>
  </si>
  <si>
    <t>koeficient tvaru µ1 podle normy SIA 261</t>
  </si>
  <si>
    <t>współczynnik formuły µ1 zgodnie z normą SIA 261</t>
  </si>
  <si>
    <t>alaktényező µ1 a SIA 261 szerint</t>
  </si>
  <si>
    <t>koeficient tvaru µ1 podľa normy SIA 261</t>
  </si>
  <si>
    <t>vormfactor µ1 volgens SIA 261</t>
  </si>
  <si>
    <t>faktor oblike µ1 v skladu z SIA 261</t>
  </si>
  <si>
    <t>formfaktor µ1 enligt SIA 261</t>
  </si>
  <si>
    <t>formfaktor µ1 ifølge SIA 261</t>
  </si>
  <si>
    <t>formfaktor µ1 i henhold til SIA 261</t>
  </si>
  <si>
    <t>oblikovni faktor µ1 prema normi SIA 261</t>
  </si>
  <si>
    <t>Schneelast</t>
  </si>
  <si>
    <t>snow load</t>
  </si>
  <si>
    <t>charge de neige</t>
  </si>
  <si>
    <t>carico neve</t>
  </si>
  <si>
    <t>sněhové zatížení</t>
  </si>
  <si>
    <t>obciążenie śniegiem</t>
  </si>
  <si>
    <t>hóterhelés</t>
  </si>
  <si>
    <t>snehové zaťaženie</t>
  </si>
  <si>
    <t>sneeuwbelasting</t>
  </si>
  <si>
    <t>snežna obremenitev</t>
  </si>
  <si>
    <t>snöbelastning</t>
  </si>
  <si>
    <t>snebelastning</t>
  </si>
  <si>
    <t>snølast</t>
  </si>
  <si>
    <t>snježno opterećenje</t>
  </si>
  <si>
    <t>Tragfähige Unterkonstruktion (Bemessung gemäß DIN EN 1991-1-3)</t>
  </si>
  <si>
    <t>load-bearing substructure (design according to DIN EN 1991-1-3)</t>
  </si>
  <si>
    <t>structure porteuse (dimensionnement selon DIN EN 1991-1-3)</t>
  </si>
  <si>
    <t>sottostuttura portante (dimensionamento secondo DIN EN 1991-1-3)</t>
  </si>
  <si>
    <t>nosná podkonstrukce (dimenzování dle DIN EN 1991-1-3)</t>
  </si>
  <si>
    <t>nośna konstrukcja wsporcza (obliczenia zgodnie z DIN EN 1991-1-3)</t>
  </si>
  <si>
    <t>teherhordó alkonstrukció (tervezés az DIN EN 1991-1-3)</t>
  </si>
  <si>
    <t>nosná podkonštrukcia (rozmery podľa DIN EN 1991-1-3)</t>
  </si>
  <si>
    <t>dragende onderconstructie (dimensionering volgens DIN EN 1991-1-3)</t>
  </si>
  <si>
    <t>nosilna podkonstrukcija (dimenzioniranje po DIN EN 1991-1-3)</t>
  </si>
  <si>
    <t>bärande underkonstruktion (dimensionering enligt DIN EN 1991-1-3)</t>
  </si>
  <si>
    <t>bærende underkonstruktion (dimensionering i henhold til DIN EN 1991-1-3)</t>
  </si>
  <si>
    <t>bærende underkonstruksjon (dimensjonering etter DIN EN 1991-1-3)</t>
  </si>
  <si>
    <t>nosiva potkonstrukcija (dimenzioniranje prema DIN EN 1991-1-3)</t>
  </si>
  <si>
    <t>Tragfähige Unterkonstruktion (Bemessung gemäß EN 1991-1-3 und SIA 261)</t>
  </si>
  <si>
    <t>load-bearing substructure (design according to EN 1991-1-3 and SIA 261)</t>
  </si>
  <si>
    <t>structure porteuse (dimensionnement selon EN 1991-1-3 et SIA 261)</t>
  </si>
  <si>
    <t>sottostuttura portante (dimensionamento secondo EN 1991-1-3 e SIA 261)</t>
  </si>
  <si>
    <t>nosná podkonstrukce (dimenzování dle EN 1991-1-3 a SIA 261)</t>
  </si>
  <si>
    <t>nośna konstrukcja wsporcza (obliczenia zgodnie z EN 1991-1-3 i SIA 261)</t>
  </si>
  <si>
    <t>teherhordó alkonstrukció (tervezés az EN 1991-1-3 és SIA 261 szerint)</t>
  </si>
  <si>
    <t>nosná podkonštrukcia (rozmery podľa EN 1991-1-3 a SIA 261)</t>
  </si>
  <si>
    <t>dragende onderconstructie (dimensionering volgens EN 1991-1-3 en SIA 261)</t>
  </si>
  <si>
    <t>nosilna podkonstrukcija (dimenzioniranje po EN 1991-1-3 in SIA 261)</t>
  </si>
  <si>
    <t>bärande underkonstruktion (dimensionering enligt EN 1991-1-3 och SIA 261)</t>
  </si>
  <si>
    <t>bærende underkonstruktion (dimensionering i henhold til EN 1991-1-3 og SIA 261)</t>
  </si>
  <si>
    <t>bærende underkonstruksjon (dimensjonering etter EN 1991-1-3 og SIA 261)</t>
  </si>
  <si>
    <t>nosiva potkonstrukcija (dimenzioniranje prema EN 1991-1-3 i SIA 261)</t>
  </si>
  <si>
    <t>Tragfähige Unterkonstruktion (Bemessung gemäß EN 1991-1-3)</t>
  </si>
  <si>
    <t>load-bearing substructure (design according to EN 1991-1-3)</t>
  </si>
  <si>
    <t>structure porteuse (dimensionnement selon EN 1991-1-3)</t>
  </si>
  <si>
    <t>sottostuttura portante (dimensionamento secondo EN 1991-1-3)</t>
  </si>
  <si>
    <t>nosná podkonstrukce (dimenzování dle EN 1991-1-3)</t>
  </si>
  <si>
    <t>nośna konstrukcja wsporcza (obliczenia zgodnie z EN 1991-1-3)</t>
  </si>
  <si>
    <t>teherhordó alkonstrukció (tervezés az EN 1991-1-3)</t>
  </si>
  <si>
    <t>nosná podkonštrukcia (rozmery podľa EN 1991-1-3)</t>
  </si>
  <si>
    <t>dragende onderconstructie (dimensionering volgens EN 1991-1-3)</t>
  </si>
  <si>
    <t>nosilna podkonstrukcija (dimenzioniranje po EN 1991-1-3)</t>
  </si>
  <si>
    <t>bärande underkonstruktion (dimensionering enligt EN 1991-1-3)</t>
  </si>
  <si>
    <t>bærende underkonstruktion (dimensionering i henhold til EN 1991-1-3)</t>
  </si>
  <si>
    <t>bærende underkonstruksjon (dimensjonering etter EN 1991-1-3)</t>
  </si>
  <si>
    <t>nosiva potkonstrukcija (dimenzioniranje prema EN 1991-1-3)</t>
  </si>
  <si>
    <t>Falzabst.</t>
  </si>
  <si>
    <t>dist. Pieghevole</t>
  </si>
  <si>
    <t>roz. Složení</t>
  </si>
  <si>
    <t>odst. Składania</t>
  </si>
  <si>
    <t>hajtás táv.</t>
  </si>
  <si>
    <t>vzd. Zloženia</t>
  </si>
  <si>
    <t>vouwafst.</t>
  </si>
  <si>
    <t>raz. Zlaganja</t>
  </si>
  <si>
    <t>vikavst.</t>
  </si>
  <si>
    <t>foldafst.</t>
  </si>
  <si>
    <t>foldavst.</t>
  </si>
  <si>
    <t>raz. savijanja</t>
  </si>
  <si>
    <t>Variabel:</t>
  </si>
  <si>
    <t>variable:</t>
  </si>
  <si>
    <t>variabile:</t>
  </si>
  <si>
    <t>proměnná:</t>
  </si>
  <si>
    <t>zmienna:</t>
  </si>
  <si>
    <t>változó:</t>
  </si>
  <si>
    <t>premenná:</t>
  </si>
  <si>
    <t>variabele:</t>
  </si>
  <si>
    <t>spremenljivka:</t>
  </si>
  <si>
    <t>variabel:</t>
  </si>
  <si>
    <t>varijabla</t>
  </si>
  <si>
    <t>Bitte den Filter öffnen und mit ok bestätigen, um die Ergebnisse anzuzeigen</t>
  </si>
  <si>
    <t>Please open the filter and confirm with ok to display the results.</t>
  </si>
  <si>
    <t>Veuillez ouvrir le filtre et confirmer avec ok pour afficher les résultats.</t>
  </si>
  <si>
    <t>Si prega di aprire il filtro e confermare con ok per visualizzare i risultati.</t>
  </si>
  <si>
    <t>Otevřete prosím filtr a potvrďte ok pro zobrazení výsledků.</t>
  </si>
  <si>
    <t>Proszę otworzyć filtr i potwierdzić ok, aby wyświetlić wyniki.</t>
  </si>
  <si>
    <t>Kérjük, nyissa meg a szűrőt és erősítse meg ok-val az eredmények megjelenítéséhez.</t>
  </si>
  <si>
    <t>Prosím, otvorte filter a potvrďte ok pre zobrazenie výsledkov.</t>
  </si>
  <si>
    <t>Open alstublieft het filter en bevestig met ok om de resultaten weer te geven.</t>
  </si>
  <si>
    <t>Prosimo, odprite filter in potrdite z ok, da prikažete rezultate.</t>
  </si>
  <si>
    <t>Vänligen öppna filtret och bekräfta med ok för att visa resultaten.</t>
  </si>
  <si>
    <t>Åbn venligst filteret og bekræft med ok for at vise resultaterne.</t>
  </si>
  <si>
    <t>Vennligst åpne filteret og bekreft med ok for å vise resultatene.</t>
  </si>
  <si>
    <t>Molim otvorite filter i potvrdite s ok kako biste prikazali rezultate.</t>
  </si>
  <si>
    <t>Bitte führen Sie vor der automatisierten Mengenermittlung immer zuerst die Berechnung aus.</t>
  </si>
  <si>
    <t>Please always perform the calculation first before the automated quantity determination.</t>
  </si>
  <si>
    <t>Cliquez sur le filtre et confirmer avec OK pour voir les résultats</t>
  </si>
  <si>
    <t>Si prega di eseguire sempre prima il calcolo prima della determinazione automatica della quantità.</t>
  </si>
  <si>
    <t>Vždy nejprve proveďte výpočet před automatickým stanovením množství.</t>
  </si>
  <si>
    <t>Proszę zawsze najpierw przeprowadzić obliczenia przed automatycznym określeniem ilości.</t>
  </si>
  <si>
    <t>Kérjük, mindig először végezze el a számítást az automatikus mennyiségi meghatározás előtt.</t>
  </si>
  <si>
    <t>Pred automatickým určením množstva vždy najprv vykonajte výpočet.</t>
  </si>
  <si>
    <t>Voer altijd eerst de berekening uit voor de geautomatiseerde hoeveelheidsbepaling.</t>
  </si>
  <si>
    <t>Pred avtomatizirano določitvijo količine vedno najprej izvedite izračun.</t>
  </si>
  <si>
    <t>Utför alltid beräkningen först innan den automatiska kvantitetsbestämningen.</t>
  </si>
  <si>
    <t>Udfør altid beregningen først, før den automatiske kvantitetsbestemmelse.</t>
  </si>
  <si>
    <t>Vennligst utfør alltid beregningen først før den automatiske mengdeberegningen.</t>
  </si>
  <si>
    <t>Molimo vas da uvijek prvo izvršite izračun prije automatskog određivanja količine.</t>
  </si>
  <si>
    <t>Traufenlänge</t>
  </si>
  <si>
    <t>eaves length</t>
  </si>
  <si>
    <t>longueur des avant-toits</t>
  </si>
  <si>
    <t>lunghezza del grondaia</t>
  </si>
  <si>
    <t>délka okapu</t>
  </si>
  <si>
    <t>długość okapu</t>
  </si>
  <si>
    <t>eresz hossza</t>
  </si>
  <si>
    <t>dĺžka strechy</t>
  </si>
  <si>
    <t>lengte van de dakrand</t>
  </si>
  <si>
    <t>dolžina strehe</t>
  </si>
  <si>
    <t>taklängd</t>
  </si>
  <si>
    <t>længde af tagudhæng</t>
  </si>
  <si>
    <t>lengde på takutspring</t>
  </si>
  <si>
    <t>dužina krovišta</t>
  </si>
  <si>
    <t>Dachfläche</t>
  </si>
  <si>
    <t>roof area</t>
  </si>
  <si>
    <t>surface de toit</t>
  </si>
  <si>
    <t>superficie del tetto</t>
  </si>
  <si>
    <t>střešní plocha</t>
  </si>
  <si>
    <t>powierzchnia dachu</t>
  </si>
  <si>
    <t>tetőfelület</t>
  </si>
  <si>
    <t>strešná plocha</t>
  </si>
  <si>
    <t>dakoppervlakte</t>
  </si>
  <si>
    <t>površina strehe</t>
  </si>
  <si>
    <t>takyta</t>
  </si>
  <si>
    <t>tagflade</t>
  </si>
  <si>
    <t>takflate</t>
  </si>
  <si>
    <t>površina krova</t>
  </si>
  <si>
    <t>Sparrenlänge</t>
  </si>
  <si>
    <t>rafter length</t>
  </si>
  <si>
    <t>longueur des chevrons</t>
  </si>
  <si>
    <t>Lunghezza della trave</t>
  </si>
  <si>
    <t>délka krokve</t>
  </si>
  <si>
    <t>Długość krokwi</t>
  </si>
  <si>
    <t>Szarufahosszúság</t>
  </si>
  <si>
    <t>Dĺžka krokvy</t>
  </si>
  <si>
    <t>Spantlengte</t>
  </si>
  <si>
    <t>Dolžina špirovca</t>
  </si>
  <si>
    <t>Längd på sparre</t>
  </si>
  <si>
    <t>Spærlængde</t>
  </si>
  <si>
    <t>Sperrelengde</t>
  </si>
  <si>
    <t>Duljina roženica</t>
  </si>
  <si>
    <t>Rundstange</t>
  </si>
  <si>
    <t>tube pare-neige</t>
  </si>
  <si>
    <t>Tubo fermaneve</t>
  </si>
  <si>
    <t>Tyč sněhové zábrany</t>
  </si>
  <si>
    <t>pręt okrągły</t>
  </si>
  <si>
    <t>hófogórúd</t>
  </si>
  <si>
    <t>rúrka zachytávača snehu</t>
  </si>
  <si>
    <t>ronde stang</t>
  </si>
  <si>
    <t>cev</t>
  </si>
  <si>
    <t>rundstång</t>
  </si>
  <si>
    <t>rundstang</t>
  </si>
  <si>
    <t>rund stang</t>
  </si>
  <si>
    <t>Okrugla šipka</t>
  </si>
  <si>
    <t>Wandschindel</t>
  </si>
  <si>
    <t>FAÇADE SHINGLE</t>
  </si>
  <si>
    <t>Wandschindelhaft</t>
  </si>
  <si>
    <t>Trapezblech</t>
  </si>
  <si>
    <t>trapezoidal sheet</t>
  </si>
  <si>
    <t>tôle trapézoïdale</t>
  </si>
  <si>
    <t>Lamiera trapezoidale</t>
  </si>
  <si>
    <t>trapézový plech</t>
  </si>
  <si>
    <t>blacha trapezowa</t>
  </si>
  <si>
    <t>trapézlemez</t>
  </si>
  <si>
    <t>trapeziumvormige plaat</t>
  </si>
  <si>
    <t>trapezna pločevina</t>
  </si>
  <si>
    <t>trapetsplåt</t>
  </si>
  <si>
    <t>trapezplade</t>
  </si>
  <si>
    <t>trapesplate</t>
  </si>
  <si>
    <t>trapezni lim</t>
  </si>
  <si>
    <t>Product Engineering</t>
  </si>
  <si>
    <t>Ingénierie de produit</t>
  </si>
  <si>
    <t>Ingegneria del prodotto</t>
  </si>
  <si>
    <t>Technika výrobků</t>
  </si>
  <si>
    <t>Inżynieria produktu</t>
  </si>
  <si>
    <t>Terméktechnológia</t>
  </si>
  <si>
    <t>Výrobková technika</t>
  </si>
  <si>
    <t>Producttechniek</t>
  </si>
  <si>
    <t>Izdelkovna tehnika</t>
  </si>
  <si>
    <t>Produktteknik</t>
  </si>
  <si>
    <t>Produktteknikk</t>
  </si>
  <si>
    <t>Tehnologija proizvoda</t>
  </si>
  <si>
    <t>Solarhalter Sunny Spezial</t>
  </si>
  <si>
    <t>solar bracket Sunny Special</t>
  </si>
  <si>
    <t>support solaire Sunny Spécial</t>
  </si>
  <si>
    <t>Staffa per pannelli solari Sunny Speciale</t>
  </si>
  <si>
    <t>Solární držák Sunny Speciální</t>
  </si>
  <si>
    <t>Uchwyt do paneli fotowoltaicznych Sunny Specjalny</t>
  </si>
  <si>
    <t>Sunny napelemtartó Speciális</t>
  </si>
  <si>
    <t>solárny držiak Sunny Špeciálny</t>
  </si>
  <si>
    <t>Solarhouder Sunny Speciaal</t>
  </si>
  <si>
    <t>Držalo za solarni panel Sunny Posebno</t>
  </si>
  <si>
    <t>solhållare Sunny Special</t>
  </si>
  <si>
    <t>Solcelleholder Sunny Special</t>
  </si>
  <si>
    <t>Holder for solcellepanel Sunny Spesiell</t>
  </si>
  <si>
    <t>Solar držač Sunny Posebno</t>
  </si>
  <si>
    <t>Ab einer Schneeregellast von 3,25 kN/m² oder in den Geländekategorien 0, I oder II ist eine Verlegung auf Vollschalung laut nationalen Vorgaben mit Bitumentrennlage erforderlich.</t>
  </si>
  <si>
    <t>From a snow load of 3.25 kN/m² or in terrain categories 0, I, or II, installation on a full formwork according to national regulations with a bitumen separation layer is required.</t>
  </si>
  <si>
    <t>À partir d'une charge de neige de 3,25 kN/m² ou dans les catégories de terrain 0, I ou II, une installation sur un coffrage intégral selon les réglementations nationales avec une couche de séparation en bitume est requise.</t>
  </si>
  <si>
    <t>A partire da un carico di neve di 3,25 kN/m² o nelle categorie di terreno 0, I o II, è richiesta un'installazione su casseforme complete secondo le normative nazionali con un strato di separazione in bitume.</t>
  </si>
  <si>
    <t>Při sněhové zátěži 3,25 kN/m² nebo v terénních kategoriích 0, I nebo II je podle národních předpisů vyžadována instalace na plném bednění s bitumenovou separační vrstvou.</t>
  </si>
  <si>
    <t>Od obciążenia śniegiem 3,25 kN/m² lub w kategoriach terenowych 0, I lub II, wymagana jest instalacja na pełnej deskowaniu zgodnie z krajowymi przepisami z warstwą separacyjną z bitumu.</t>
  </si>
  <si>
    <t>Havas terhelés esetén 3,25 kN/m², vagy 0, I vagy II terepkategóriában a nemzeti előírások szerint teljes zsaluzáson történő lerakás szükséges bitumenes szétválasztó réteggel.</t>
  </si>
  <si>
    <t>Pri snehovej záťaži 3,25 kN/m² alebo v terénnych kategóriách 0, I alebo II je podľa národných predpisov potrebná inštalácia na plnom debnení s bitúmenovou separačnou vrstvou.</t>
  </si>
  <si>
    <t>Vanaf een sneeuwlast van 3,25 kN/m² of in terreincategorieën 0, I of II, is installatie op volle bekisting volgens nationale voorschriften met een bitumenscheidinglaag vereist.</t>
  </si>
  <si>
    <t>Ob snežni obremenitvi 3,25 kN/m² ali v terenskih kategorijah 0, I ali II je potrebna instalacija na polni opaži v skladu z nacionalnimi predpisi z bitumensko ločilno plastjo.</t>
  </si>
  <si>
    <t>Från en snöbelastning på 3,25 kN/m² eller i terrängkategorierna 0, I eller II, krävs installation på full formning enligt nationella föreskrifter med ett bitumen separationsskikt.</t>
  </si>
  <si>
    <t>Fra en snebelastning på 3,25 kN/m² eller i terrænkategorierne 0, I eller II, er installation på fuld forskalling ifølge nationale forskrifter med et bitumen adskillelseslag nødvendigt.</t>
  </si>
  <si>
    <t>Fra en snøbelastning på 3,25 kN/m² eller i terrengkategoriene 0, I eller II, kreves installasjon på full forskaling i henhold til nasjonale forskrifter med et bitumen separasjonslag.</t>
  </si>
  <si>
    <t>Od snježnog opterećenja od 3,25 kN/m² ili u terenskim kategorijama 0, I ili II, potrebna je instalacija na punoj oplati prema nacionalnim propisima s bitumenskim odvojnim slojem.</t>
  </si>
  <si>
    <t>Verlegeschema P3 (8 Stk./m²)</t>
  </si>
  <si>
    <t>Installation diagram P3 (8  per m²)</t>
  </si>
  <si>
    <t>Schéma de pose P3 (8 arrêts de neige par m²)</t>
  </si>
  <si>
    <t>Schema di posa P3 (8 pz./m²)</t>
  </si>
  <si>
    <t>Schemat montażowy P3 (8 szt./m²)</t>
  </si>
  <si>
    <t>fektetési séma P3 (8 db/m²)</t>
  </si>
  <si>
    <t>Installatieschema P3 (8 st./m²)</t>
  </si>
  <si>
    <t>Läggningsschema P3 (8 st/m²)</t>
  </si>
  <si>
    <t>Læggediagram P3 (8 stk./m²)</t>
  </si>
  <si>
    <t>Legge skjema P3 (8 stk./m²)</t>
  </si>
  <si>
    <t>Shema postavljanja P3 (8 kom./m²)</t>
  </si>
  <si>
    <t>Unterdeckung</t>
  </si>
  <si>
    <t>separating layer</t>
  </si>
  <si>
    <t>Membrana</t>
  </si>
  <si>
    <t>membrana jako warstwa rozdzielająca</t>
  </si>
  <si>
    <t>scheidingslaag</t>
  </si>
  <si>
    <t>ločilna plast</t>
  </si>
  <si>
    <t>skillelag</t>
  </si>
  <si>
    <t>razdjelni sloj</t>
  </si>
  <si>
    <t>Kreuzverbinder</t>
  </si>
  <si>
    <t>cross connector</t>
  </si>
  <si>
    <t>connecteur croisé</t>
  </si>
  <si>
    <t>connettore a croce</t>
  </si>
  <si>
    <t>křížový konektor</t>
  </si>
  <si>
    <t>łącznik krzyżowy</t>
  </si>
  <si>
    <t>kereszt csatlakozó</t>
  </si>
  <si>
    <t>krížový konektor</t>
  </si>
  <si>
    <t>kruisconnector</t>
  </si>
  <si>
    <t>križni konektor</t>
  </si>
  <si>
    <t>korskontakt</t>
  </si>
  <si>
    <t>krydsforbinder</t>
  </si>
  <si>
    <t>krysskobling</t>
  </si>
  <si>
    <t>Roof window flashing with an insert wedge on a roof pitch over 25°.</t>
  </si>
  <si>
    <t>Fenêtre de toit avec coyau pour pentes de toit supérieures à 25° Utilisation dans les régions à fort enneigement.</t>
  </si>
  <si>
    <t>gesamt 470</t>
  </si>
  <si>
    <t>total 470*</t>
  </si>
  <si>
    <t>totale 470*</t>
  </si>
  <si>
    <t>celkem 470*</t>
  </si>
  <si>
    <t>łącznie 470*</t>
  </si>
  <si>
    <t>összesen 470*</t>
  </si>
  <si>
    <t>spolu 470*</t>
  </si>
  <si>
    <t>totaal 470*</t>
  </si>
  <si>
    <t>skupaj 470*</t>
  </si>
  <si>
    <t>totalt 470*</t>
  </si>
  <si>
    <t>i alt 470*</t>
  </si>
  <si>
    <t>ukupno 470*</t>
  </si>
  <si>
    <t>Vollschalung lt. nationalen Vorgaben</t>
  </si>
  <si>
    <t>casseforme complete secondo le normative nazionali</t>
  </si>
  <si>
    <t>podle národních předpisů vyžadována instalace</t>
  </si>
  <si>
    <t>Serrage à vis six pans</t>
  </si>
  <si>
    <t>Serrage à poignée étoile</t>
  </si>
  <si>
    <t>Stockage</t>
  </si>
  <si>
    <t>(nécessaire en cas de montage permanent)</t>
  </si>
  <si>
    <t>Le support du système doit être plat afin de garantir une adaptation optimale du joint de sol. En outre, dans le cas des pavés, il faut veiller à ce que les fondations et la fixation soient adéquates afin d'éviter un affaissemement. Avant de monter le système de batardeaux anti-crue PREFA, il faut d'abord déterminer si l'ouvrage est adapté au montage d'un point de vue statique.</t>
  </si>
  <si>
    <t>Tous les produits de protection contre les inondations PREFA sont disponibles auprès des partenaires PREFA</t>
  </si>
  <si>
    <t>Anfragen bitte an: technik.ch@prefa.com</t>
  </si>
  <si>
    <t>Veuillez adresser vos demandes à : philippe.mamie@prefa.com</t>
  </si>
  <si>
    <t>Marge supplémentaire</t>
  </si>
  <si>
    <t>Notes:</t>
  </si>
  <si>
    <t>Pièces thermolaquées</t>
  </si>
  <si>
    <t>Choix du système</t>
  </si>
  <si>
    <t>Liste des pièces</t>
  </si>
  <si>
    <t>Profil en applique 25 (profil en h monté en applique), fourni sans joint, percé et ébavuré</t>
  </si>
  <si>
    <t>Profil en applique 25 (profil en h monté en applique), longueur personnalisée, fourni sans joint, percé et ébavuré</t>
  </si>
  <si>
    <t>Levier</t>
  </si>
  <si>
    <t>Emelőkar</t>
  </si>
  <si>
    <t>Rundprofil 50-Vario 15° exkl. Dichtung, gebohrt und entgratet</t>
  </si>
  <si>
    <t>Round profile 50 Vario 15° excl. seal, drilled and deburred</t>
  </si>
  <si>
    <t>Profil rond 50 (Vario 15°), fourni sans joint, percé et ébavuré</t>
  </si>
  <si>
    <t>profilo circolare 50-Vario 15°, esclusa guarnizione, forato e sbavato</t>
  </si>
  <si>
    <t>Kruhový profil 50-Vario 15°, bez těsnění, vrtaný, bez otřepů</t>
  </si>
  <si>
    <t>Profil okrągły 50 Vario 15° bez uszczelki, nawiercony i okrawany</t>
  </si>
  <si>
    <t>Körprofil 50-Vario 15° tömítés nélkül, furatolva és sorjázva</t>
  </si>
  <si>
    <t>Kruhový profil 50 – Vario 15° bez tesnenia, navŕtaný a odhrotovaný</t>
  </si>
  <si>
    <t>Rondprofiel 50-Vario 15° excl. afdichting, geboord en afgebraamd</t>
  </si>
  <si>
    <t>Okrogli profil 50-Vario 15°, brez tesnila, z izvrtinami in posnetimi robovi</t>
  </si>
  <si>
    <t>Rundprofil 50-Vario 15° exkl. tätning, borrad och avgradad</t>
  </si>
  <si>
    <t>Rund profil 50-Vario 15° ekskl. tætning, forboret og afgratet</t>
  </si>
  <si>
    <t>Rundprofil 50-Vario 15° ekskl. tetning, boret og avgradet</t>
  </si>
  <si>
    <t>Okrugli profil 50-Vario 15° bez brtve, bušen i s obrađenim rubovima</t>
  </si>
  <si>
    <t>Rundprofil 50-Vario 15° Sonderlänge exkl. Dichtung, (Stangenware)</t>
  </si>
  <si>
    <t>Round profile 50 Vario 15° special length excl. seal, drilled and deburred</t>
  </si>
  <si>
    <t>Profil rond 50 (Vario 15°), longueur personnalisée, fourni sans joint, percé et ébavuré</t>
  </si>
  <si>
    <t>profilo circolare 50-Vario 15° lunghezza fuori standard, esclusa guarnizione, forato e sbavato</t>
  </si>
  <si>
    <t>Kruhový profil 50-Vario 15°, zvláštní délka, bez těsnění,vrtaný, bez otřepů</t>
  </si>
  <si>
    <t>Profil okrągły 50-Vario 15°, długość specjalna bez uszczelki, nawiercony i okrawany</t>
  </si>
  <si>
    <t>Körprofil 50-Vario 15° tömítés nélkül, egyedi hosszméret, furatolva és sorjázva</t>
  </si>
  <si>
    <t>Kruhový profil 50 – Vario 15°, neštandardná dĺžka, bez tesnenia, navŕtaný a odhrotovaný</t>
  </si>
  <si>
    <t>Rondprofiel 50-Vario 15° aangepaste lengte excl. afdichting, geboord en afgebraamd</t>
  </si>
  <si>
    <t>Okrogli profil 50-Vario 15°, posebna dolžina, brez tesnila, z izvrtinami in posnetimi robovi</t>
  </si>
  <si>
    <t>Rundprofil 50-Vario 15° speciallängd exkl. tätning, borrad och avgradad</t>
  </si>
  <si>
    <t>Rund profil 50-Vario 15° speciallængde ekskl. tætning, forboret og afgratet</t>
  </si>
  <si>
    <t>Rundprofil 50-Vario 15° spesiallengde ekskl. tetning, boret og avgradet</t>
  </si>
  <si>
    <t>Okrugli profil 50-Vario 15° posebna duljina bez brtve, bušen i s obrađenim rubovima</t>
  </si>
  <si>
    <t>Rundprofil 50-Vario 30° exkl. Dichtung, gebohrt und entgratet</t>
  </si>
  <si>
    <t>Round profile 50 Vario 30° excl. seal, drilled and deburred</t>
  </si>
  <si>
    <t>Profil rond 50 (Vario 30°), fourni sans joint, percé et ébavuré</t>
  </si>
  <si>
    <t>profilo circolare 50-Vario 30°, esclusa guarnizione, forato e sbavato</t>
  </si>
  <si>
    <t>Kruhový profil 50-Vario 30°, bez těsnění, vrtaný, bez otřepů</t>
  </si>
  <si>
    <t>Profil okrągły 50 Vario 30° bez uszczelki, nawiercony i okrawany</t>
  </si>
  <si>
    <t>Körprofil 50-Vario 30° tömítés nélkül, furatolva és sorjázva</t>
  </si>
  <si>
    <t>Kruhový profil 50 – Vario 30° bez tesnenia, navŕtaný a odhrotovaný</t>
  </si>
  <si>
    <t>Rondprofiel 50-Vario 30° excl. afdichting, geboord en afgebraamd</t>
  </si>
  <si>
    <t>Okrogli profil 50-Vario 30°, brez tesnila, z izvrtinami in posnetimi robovi</t>
  </si>
  <si>
    <t>Rundprofil 50-Vario 30° exkl. tätning, borrad och avgradad</t>
  </si>
  <si>
    <t>Rund profil 50-Vario 30° ekskl. tætning, forboret og afgratet</t>
  </si>
  <si>
    <t>Rundprofil 50-Vario 30° ekskl. tetning, boret og avgradet</t>
  </si>
  <si>
    <t>Okrugli profil 50-Vario 30° bez brtve, bušen i s obrađenim rubovima</t>
  </si>
  <si>
    <t>Rundprofil 50-Vario 30° Sonderlänge exkl. Dichtung, (Stangenware)</t>
  </si>
  <si>
    <t>Round profile 50 Vario 30° special length excl. seal, drilled and deburred</t>
  </si>
  <si>
    <t>Profil rond 50 (Vario 30°), longueur personnalisée, fourni sans joint, percé et ébavuré</t>
  </si>
  <si>
    <t>profilo circolare 50-Vario 30° lunghezza fuori standard, esclusa guarnizione, forato e sbavato</t>
  </si>
  <si>
    <t>Kruhový profil 50-Vario 30°, zvláštní délka, bez těsnění,vrtaný, bez otřepů</t>
  </si>
  <si>
    <t>Profil okrągły 50-Vario 30°, długość specjalna bez uszczelki, nawiercony i okrawany</t>
  </si>
  <si>
    <t>Körprofil 50-Vario 30° tömítés nélkül, egyedi hosszméret, furatolva és sorjázva</t>
  </si>
  <si>
    <t>Kruhový profil 50 – Vario 30°, neštandardná dĺžka, bez tesnenia, navŕtaný a odhrotovaný</t>
  </si>
  <si>
    <t>Rondprofiel 50-Vario 30° aangepaste lengte excl. afdichting, geboord en afgebraamd</t>
  </si>
  <si>
    <t>Okrogli profil 50-Vario 30°, posebna dolžina, brez tesnila, z izvrtinami in posnetimi robovi</t>
  </si>
  <si>
    <t>Rundprofil 50-Vario 30° speciallängd exkl. tätning, borrad och avgradad</t>
  </si>
  <si>
    <t>Rund profil 50-Vario 30° speciallængde ekskl. tætning, forboret og afgratet</t>
  </si>
  <si>
    <t>Rundprofil 50-Vario 30° spesiallengde ekskl. tetning, boret og avgradet</t>
  </si>
  <si>
    <t>Okrugli profil 50-Vario 30° posebna duljina bez brtve, bušen i s obrađenim rubovima</t>
  </si>
  <si>
    <t>Rundprofil 50-Vario 45° exkl. Dichtung, gebohrt und entgratet</t>
  </si>
  <si>
    <t>Round profile 50 Vario 45° excl. seal, drilled and deburred</t>
  </si>
  <si>
    <t>Profil rond 50 (Vario 45°), fourni sans joint, percé et ébavuré</t>
  </si>
  <si>
    <t>profilo circolare 50-Vario 45°, esclusa guarnizione, forato e sbavato</t>
  </si>
  <si>
    <t>Kruhový profil 50-Vario 45°, bez těsnění, vrtaný, bez otřepů</t>
  </si>
  <si>
    <t>Profil okrągły 50 Vario 45° bez uszczelki, nawiercony i okrawany</t>
  </si>
  <si>
    <t>Körprofil 50-Vario 45° tömítés nélkül, furatolva és sorjázva</t>
  </si>
  <si>
    <t>Kruhový profil 50 – Vario 45° bez tesnenia, navŕtaný a odhrotovaný</t>
  </si>
  <si>
    <t>Rondprofiel 50-Vario 45° excl. afdichting, geboord en afgebraamd</t>
  </si>
  <si>
    <t>Okrogli profil 50-Vario 45°, brez tesnila, z izvrtinami in posnetimi robovi</t>
  </si>
  <si>
    <t>Rundprofil 50-Vario 45° exkl. tätning, borrad och avgradad</t>
  </si>
  <si>
    <t>Rund profil 50-Vario 45° ekskl. tætning, forboret og afgratet</t>
  </si>
  <si>
    <t>Rundprofil 50-Vario 45° ekskl. tetning, boret og avgradet</t>
  </si>
  <si>
    <t>Okrugli profil 50-Vario 45° bez brtve, bušen i s obrađenim rubovima</t>
  </si>
  <si>
    <t>Rundprofil 50-Vario 45° Sonderlänge exkl. Dichtung, (Stangenware)</t>
  </si>
  <si>
    <t>Round profile 50 Vario 45° special length excl. seal, drilled and deburred</t>
  </si>
  <si>
    <t>Profil rond 50 (Vario 45°), longueur personnalisée, fourni sans joint, percé et ébavuré</t>
  </si>
  <si>
    <t>profilo circolare 50-Vario 45° lunghezza fuori standard, esclusa guarnizione, forato e sbavato</t>
  </si>
  <si>
    <t>Kruhový profil 50-Vario 45°, zvláštní délka, bez těsnění,vrtaný, bez otřepů</t>
  </si>
  <si>
    <t>Profil okrągły 50-Vario 45°, długość specjalna bez uszczelki, nawiercony i okrawany</t>
  </si>
  <si>
    <t>Körprofil 50-Vario 45° tömítés nélkül, egyedi hosszméret, furatolva és sorjázva</t>
  </si>
  <si>
    <t>Kruhový profil 50 – Vario 45°, neštandardná dĺžka, bez tesnenia, navŕtaný a odhrotovaný</t>
  </si>
  <si>
    <t>Rondprofiel 50-Vario 45° aangepaste lengte excl. afdichting, geboord en afgebraamd</t>
  </si>
  <si>
    <t>Okrogli profil 50-Vario 45°, posebna dolžina, brez tesnila, z izvrtinami in posnetimi robovi</t>
  </si>
  <si>
    <t>Rundprofil 50-Vario 45° speciallängd exkl. tätning, borrad och avgradad</t>
  </si>
  <si>
    <t>Rund profil 50-Vario 45° speciallængde ekskl. tætning, forboret og afgratet</t>
  </si>
  <si>
    <t>Rundprofil 50-Vario 45° spesiallengde ekskl. tetning, boret og avgradet</t>
  </si>
  <si>
    <t>Okrugli profil 50-Vario 45° posebna duljina bez brtve, bušen i s obrađenim rubovima</t>
  </si>
  <si>
    <t>Rundprofil 50-Vario 60° exkl. Dichtung, gebohrt und entgratet</t>
  </si>
  <si>
    <t>Round profile 50 Vario 60° excl. seal, drilled and deburred</t>
  </si>
  <si>
    <t>Profil rond 50 (Vario 60°), fourni sans joint, percé et ébavuré</t>
  </si>
  <si>
    <t>profilo circolare 50-Vario 60°, esclusa guarnizione, forato e sbavato</t>
  </si>
  <si>
    <t>Kruhový profil 50-Vario 60°, bez těsnění, vrtaný, bez otřepů</t>
  </si>
  <si>
    <t>Profil okrągły 50 Vario 60° bez uszczelki, nawiercony i okrawany</t>
  </si>
  <si>
    <t>Körprofil 50-Vario 60° tömítés nélkül, furatolva és sorjázva</t>
  </si>
  <si>
    <t>Kruhový profil 50 – Vario 60° bez tesnenia, navŕtaný a odhrotovaný</t>
  </si>
  <si>
    <t>Rondprofiel 50-Vario 60° excl. afdichting, geboord en afgebraamd</t>
  </si>
  <si>
    <t>Okrogli profil 50-Vario 60°, brez tesnila, z izvrtinami in posnetimi robovi</t>
  </si>
  <si>
    <t>Rundprofil 50-Vario 60° exkl. tätning, borrad och avgradad</t>
  </si>
  <si>
    <t>Rund profil 50-Vario 60° ekskl. tætning, forboret og afgratet</t>
  </si>
  <si>
    <t>Rundprofil 50-Vario 60° ekskl. tetning, boret og avgradet</t>
  </si>
  <si>
    <t>Okrugli profil 50-Vario 60° bez brtve, bušen i s obrađenim rubovima</t>
  </si>
  <si>
    <t>Rundprofil 50-Vario 60° Sonderlänge exkl. Dichtung, (Stangenware)</t>
  </si>
  <si>
    <t>Round profile 50 Vario 60° special length excl. seal, drilled and deburred</t>
  </si>
  <si>
    <t>Profil rond 50 (Vario 60°), longueur personnalisée, fourni sans joint, percé et ébavuré</t>
  </si>
  <si>
    <t>profilo circolare 50-Vario 60° lunghezza fuori standard, esclusa guarnizione, forato e sbavato</t>
  </si>
  <si>
    <t>Kruhový profil 50-Vario 60°, zvláštní délka, bez těsnění,vrtaný, bez otřepů</t>
  </si>
  <si>
    <t>Profil okrągły 50-Vario 60°, długość specjalna bez uszczelki, nawiercony i okrawany</t>
  </si>
  <si>
    <t>Körprofil 50-Vario 60° tömítés nélkül, egyedi hosszméret, furatolva és sorjázva</t>
  </si>
  <si>
    <t>Kruhový profil 50 – Vario 60°, neštandardná dĺžka, bez tesnenia, navŕtaný a odhrotovaný</t>
  </si>
  <si>
    <t>Rondprofiel 50-Vario 60° aangepaste lengte excl. afdichting, geboord en afgebraamd</t>
  </si>
  <si>
    <t>Okrogli profil 50-Vario 60°, posebna dolžina, brez tesnila, z izvrtinami in posnetimi robovi</t>
  </si>
  <si>
    <t>Rundprofil 50-Vario 60° speciallängd exkl. tätning, borrad och avgradad</t>
  </si>
  <si>
    <t>Rund profil 50-Vario 60° speciallængde ekskl. tætning, forboret og afgratet</t>
  </si>
  <si>
    <t>Rundprofil 50-Vario 60° spesiallengde ekskl. tetning, boret og avgradet</t>
  </si>
  <si>
    <t>Okrugli profil 50-Vario 60° posebna duljina bez brtve, bušen i s obrađenim rubovima</t>
  </si>
  <si>
    <t>Rundprofil 50-Vario 75° exkl. Dichtung, gebohrt und entgratet</t>
  </si>
  <si>
    <t>Round profile 50 Vario 75° excl. seal, drilled and deburred</t>
  </si>
  <si>
    <t>Profil rond 50 (Vario 75°), fourni sans joint, percé et ébavuré</t>
  </si>
  <si>
    <t>profilo circolare 50-Vario 75°, esclusa guarnizione, forato e sbavato</t>
  </si>
  <si>
    <t>Kruhový profil 50-Vario 75°, bez těsnění, vrtaný, bez otřepů</t>
  </si>
  <si>
    <t>Profil okrągły 50 Vario 75° bez uszczelki, nawiercony i okrawany</t>
  </si>
  <si>
    <t>Körprofil 50-Vario 75° tömítés nélkül, furatolva és sorjázva</t>
  </si>
  <si>
    <t>Kruhový profil 50 – Vario 75° bez tesnenia, navŕtaný a odhrotovaný</t>
  </si>
  <si>
    <t>Rondprofiel 50-Vario 75° excl. afdichting, geboord en afgebraamd</t>
  </si>
  <si>
    <t>Okrogli profil 50-Vario 75°, brez tesnila, z izvrtinami in posnetimi robovi</t>
  </si>
  <si>
    <t>Rundprofil 50-Vario 75° exkl. tätning, borrad och avgradad</t>
  </si>
  <si>
    <t>Rund profil 50-Vario 75° ekskl. tætning, forboret og afgratet</t>
  </si>
  <si>
    <t>Rundprofil 50-Vario 75° ekskl. tetning, boret og avgradet</t>
  </si>
  <si>
    <t>Okrugli profil 50-Vario 75° bez brtve, bušen i s obrađenim rubovima</t>
  </si>
  <si>
    <t>Rundprofil 50-Vario 75° Sonderlänge exkl. Dichtung, (Stangenware)</t>
  </si>
  <si>
    <t>Round profile 50 Vario 75° special length excl. seal, drilled and deburred</t>
  </si>
  <si>
    <t>Profil rond 50 (Vario 75°), longueur personnalisée, fourni sans joint, percé et ébavuré</t>
  </si>
  <si>
    <t>profilo circolare 50-Vario 75° lunghezza fuori standard, esclusa guarnizione, forato e sbavato</t>
  </si>
  <si>
    <t>Kruhový profil 50-Vario 75°, zvláštní délka, bez těsnění,vrtaný, bez otřepů</t>
  </si>
  <si>
    <t>Profil okrągły 50-Vario 75°, długość specjalna bez uszczelki, nawiercony i okrawany</t>
  </si>
  <si>
    <t>Körprofil 50-Vario 75° tömítés nélkül, egyedi hosszméret, furatolva és sorjázva</t>
  </si>
  <si>
    <t>Kruhový profil 50 – Vario 75°, neštandardná dĺžka, bez tesnenia, navŕtaný a odhrotovaný</t>
  </si>
  <si>
    <t>Rondprofiel 50-Vario 75° aangepaste lengte excl. afdichting, geboord en afgebraamd</t>
  </si>
  <si>
    <t>Okrogli profil 50-Vario 75°, posebna dolžina, brez tesnila, z izvrtinami in posnetimi robovi</t>
  </si>
  <si>
    <t>Rundprofil 50-Vario 75° speciallängd exkl. tätning, borrad och avgradad</t>
  </si>
  <si>
    <t>Rund profil 50-Vario 75° speciallængde ekskl. tætning, forboret og afgratet</t>
  </si>
  <si>
    <t>Rundprofil 50-Vario 75° spesiallengde ekskl. tetning, boret og avgradet</t>
  </si>
  <si>
    <t>Okrugli profil 50-Vario 75° posebna duljina bez brtve, bušen i s obrađenim rubovima</t>
  </si>
  <si>
    <t>Rundprofil 80-Vario 15° exkl. Dichtung, gebohrt und entgratet</t>
  </si>
  <si>
    <t>profilo circolare 80-Vario 15°, esclusa guarnizione, forato e sbavato</t>
  </si>
  <si>
    <t>Kruhový profil 80-Vario 15°, bez těsnění, vrtaný, bez otřepů</t>
  </si>
  <si>
    <t>Körprofil 80-Vario 15° tömítés nélkül, furatolva és sorjázva</t>
  </si>
  <si>
    <t>Rondprofiel 80-Vario 15° excl. afdichting, geboord en afgebraamd</t>
  </si>
  <si>
    <t>Okrogli profil 80-Vario 15°, brez tesnila, z izvrtinami in posnetimi robovi</t>
  </si>
  <si>
    <t>Rundprofil 80-Vario 15° exkl. tätning, borrad och avgradad</t>
  </si>
  <si>
    <t>Rund profil 80-Vario 15° ekskl. tætning, forboret og afgratet</t>
  </si>
  <si>
    <t>Rundprofil 80-Vario 15° ekskl. tetning, boret og avgradet</t>
  </si>
  <si>
    <t>Okrugli profil 80-Vario 15° bez brtve, bušen i s obrađenim rubovima</t>
  </si>
  <si>
    <t>Rundprofil 80-Vario 15° Sonderlänge exkl. Dichtung, (Stangenware)</t>
  </si>
  <si>
    <t>profilo circolare 80-Vario 15° lunghezza fuori standard, esclusa guarnizione, forato e sbavato</t>
  </si>
  <si>
    <t>Kruhový profil 80-Vario 15°, zvláštní délka, bez těsnění,vrtaný, bez otřepů</t>
  </si>
  <si>
    <t>Profil okrągły 80-Vario 15°, długość specjalna bez uszczelki, nawiercony i okrawany</t>
  </si>
  <si>
    <t>Körprofil 80-Vario 15° tömítés nélkül, egyedi hosszméret, furatolva és sorjázva</t>
  </si>
  <si>
    <t>Rondprofiel 80-Vario 15° aangepaste lengte excl. afdichting, geboord en afgebraamd</t>
  </si>
  <si>
    <t>Okrogli profil 80-Vario 15°, posebna dolžina, brez tesnila, z izvrtinami in posnetimi robovi</t>
  </si>
  <si>
    <t>Rundprofil 80-Vario 15° speciallängd exkl. tätning, borrad och avgradad</t>
  </si>
  <si>
    <t>Rund profil 80-Vario 15° speciallængde ekskl. tætning, forboret og afgratet</t>
  </si>
  <si>
    <t>Rundprofil 80-Vario 15° spesiallengde ekskl. tetning, boret og avgradet</t>
  </si>
  <si>
    <t>Okrugli profil 80-Vario 15° posebna duljina bez brtve, bušen i s obrađenim rubovima</t>
  </si>
  <si>
    <t>Rundprofil 80-Vario 30° exkl. Dichtung, gebohrt und entgratet</t>
  </si>
  <si>
    <t>profilo circolare 80-Vario 30°, esclusa guarnizione, forato e sbavato</t>
  </si>
  <si>
    <t>Kruhový profil 80-Vario 30°, bez těsnění, vrtaný, bez otřepů</t>
  </si>
  <si>
    <t>Körprofil 80-Vario 30° tömítés nélkül, furatolva és sorjázva</t>
  </si>
  <si>
    <t>Rondprofiel 80-Vario 30° excl. afdichting, geboord en afgebraamd</t>
  </si>
  <si>
    <t>Okrogli profil 80-Vario 30°, brez tesnila, z izvrtinami in posnetimi robovi</t>
  </si>
  <si>
    <t>Rundprofil 80-Vario 30° exkl. tätning, borrad och avgradad</t>
  </si>
  <si>
    <t>Rund profil 80-Vario 30° ekskl. tætning, forboret og afgratet</t>
  </si>
  <si>
    <t>Rundprofil 80-Vario 30° ekskl. tetning, boret og avgradet</t>
  </si>
  <si>
    <t>Okrugli profil 80-Vario 30° bez brtve, bušen i s obrađenim rubovima</t>
  </si>
  <si>
    <t>Rundprofil 80-Vario 30° Sonderlänge exkl. Dichtung, (Stangenware)</t>
  </si>
  <si>
    <t>profilo circolare 80-Vario 30° lunghezza fuori standard, esclusa guarnizione, forato e sbavato</t>
  </si>
  <si>
    <t>Kruhový profil 80-Vario 30°, zvláštní délka, bez těsnění,vrtaný, bez otřepů</t>
  </si>
  <si>
    <t>Profil okrągły 80-Vario 30°, długość specjalna bez uszczelki, nawiercony i okrawany</t>
  </si>
  <si>
    <t>Körprofil 80-Vario 30° tömítés nélkül, egyedi hosszméret, furatolva és sorjázva</t>
  </si>
  <si>
    <t>Rondprofiel 80-Vario 30° aangepaste lengte excl. afdichting, geboord en afgebraamd</t>
  </si>
  <si>
    <t>Okrogli profil 80-Vario 30°, posebna dolžina, brez tesnila, z izvrtinami in posnetimi robovi</t>
  </si>
  <si>
    <t>Rundprofil 80-Vario 30° speciallängd exkl. tätning, borrad och avgradad</t>
  </si>
  <si>
    <t>Rund profil 80-Vario 30° speciallængde ekskl. tætning, forboret og afgratet</t>
  </si>
  <si>
    <t>Rundprofil 80-Vario 30° spesiallengde ekskl. tetning, boret og avgradet</t>
  </si>
  <si>
    <t>Okrugli profil 80-Vario 30° posebna duljina bez brtve, bušen i s obrađenim rubovima</t>
  </si>
  <si>
    <t>Rundprofil 80-Vario 45° exkl. Dichtung, gebohrt und entgratet</t>
  </si>
  <si>
    <t>profilo circolare 80-Vario 45°, esclusa guarnizione, forato e sbavato</t>
  </si>
  <si>
    <t>Kruhový profil 80-Vario 45°, bez těsnění, vrtaný, bez otřepů</t>
  </si>
  <si>
    <t>Körprofil 80-Vario 45° tömítés nélkül, furatolva és sorjázva</t>
  </si>
  <si>
    <t>Rondprofiel 80-Vario 45° excl. afdichting, geboord en afgebraamd</t>
  </si>
  <si>
    <t>Okrogli profil 80-Vario 45°, brez tesnila, z izvrtinami in posnetimi robovi</t>
  </si>
  <si>
    <t>Rundprofil 80-Vario 45° exkl. tätning, borrad och avgradad</t>
  </si>
  <si>
    <t>Rund profil 80-Vario 45° ekskl. tætning, forboret og afgratet</t>
  </si>
  <si>
    <t>Rundprofil 80-Vario 45° ekskl. tetning, boret og avgradet</t>
  </si>
  <si>
    <t>Okrugli profil 80-Vario 45° bez brtve, bušen i s obrađenim rubovima</t>
  </si>
  <si>
    <t>Rundprofil 80-Vario 45° Sonderlänge exkl. Dichtung, (Stangenware)</t>
  </si>
  <si>
    <t>profilo circolare 80-Vario 45° lunghezza fuori standard, esclusa guarnizione, forato e sbavato</t>
  </si>
  <si>
    <t>Kruhový profil 80-Vario 45°, zvláštní délka, bez těsnění,vrtaný, bez otřepů</t>
  </si>
  <si>
    <t>Profil okrągły 80-Vario 45°, długość specjalna bez uszczelki, nawiercony i okrawany</t>
  </si>
  <si>
    <t>Körprofil 80-Vario 45° tömítés nélkül, egyedi hosszméret, furatolva és sorjázva</t>
  </si>
  <si>
    <t>Rondprofiel 80-Vario 45° aangepaste lengte excl. afdichting, geboord en afgebraamd</t>
  </si>
  <si>
    <t>Okrogli profil 80-Vario 45°, posebna dolžina, brez tesnila, z izvrtinami in posnetimi robovi</t>
  </si>
  <si>
    <t>Rundprofil 80-Vario 45° speciallängd exkl. tätning, borrad och avgradad</t>
  </si>
  <si>
    <t>Rund profil 80-Vario 45° speciallængde ekskl. tætning, forboret og afgratet</t>
  </si>
  <si>
    <t>Rundprofil 80-Vario 45° spesiallengde ekskl. tetning, boret og avgradet</t>
  </si>
  <si>
    <t>Okrugli profil 80-Vario 45° posebna duljina bez brtve, bušen i s obrađenim rubovima</t>
  </si>
  <si>
    <t>Rundprofil 80-Vario 60° exkl. Dichtung, gebohrt und entgratet</t>
  </si>
  <si>
    <t>profilo circolare 80-Vario 60°, esclusa guarnizione, forato e sbavato</t>
  </si>
  <si>
    <t>Kruhový profil 80-Vario 60°, bez těsnění, vrtaný, bez otřepů</t>
  </si>
  <si>
    <t>Körprofil 80-Vario 60° tömítés nélkül, furatolva és sorjázva</t>
  </si>
  <si>
    <t>Rondprofiel 80-Vario 60° excl. afdichting, geboord en afgebraamd</t>
  </si>
  <si>
    <t>Okrogli profil 80-Vario 60°, brez tesnila, z izvrtinami in posnetimi robovi</t>
  </si>
  <si>
    <t>Rundprofil 80-Vario 60° exkl. tätning, borrad och avgradad</t>
  </si>
  <si>
    <t>Rund profil 80-Vario 60° ekskl. tætning, forboret og afgratet</t>
  </si>
  <si>
    <t>Rundprofil 80-Vario 60° ekskl. tetning, boret og avgradet</t>
  </si>
  <si>
    <t>Okrugli profil 80-Vario 60° bez brtve, bušen i s obrađenim rubovima</t>
  </si>
  <si>
    <t>Rundprofil 80-Vario 60° Sonderlänge exkl. Dichtung, (Stangenware)</t>
  </si>
  <si>
    <t>profilo circolare 80-Vario 60° lunghezza fuori standard, esclusa guarnizione, forato e sbavato</t>
  </si>
  <si>
    <t>Kruhový profil 80-Vario 60°, zvláštní délka, bez těsnění,vrtaný, bez otřepů</t>
  </si>
  <si>
    <t>Profil okrągły 80-Vario 60°, długość specjalna bez uszczelki, nawiercony i okrawany</t>
  </si>
  <si>
    <t>Körprofil 80-Vario 60° tömítés nélkül, egyedi hosszméret, furatolva és sorjázva</t>
  </si>
  <si>
    <t>Rondprofiel 80-Vario 60° aangepaste lengte excl. afdichting, geboord en afgebraamd</t>
  </si>
  <si>
    <t>Okrogli profil 80-Vario 60°, posebna dolžina, brez tesnila, z izvrtinami in posnetimi robovi</t>
  </si>
  <si>
    <t>Rundprofil 80-Vario 60° speciallängd exkl. tätning, borrad och avgradad</t>
  </si>
  <si>
    <t>Rund profil 80-Vario 60° speciallængde ekskl. tætning, forboret og afgratet</t>
  </si>
  <si>
    <t>Rundprofil 80-Vario 60° spesiallengde ekskl. tetning, boret og avgradet</t>
  </si>
  <si>
    <t>Okrugli profil 80-Vario 60° posebna duljina bez brtve, bušen i s obrađenim rubovima</t>
  </si>
  <si>
    <t>Pièce de serrage à poignée étoile (montage dans l'embrasure)</t>
  </si>
  <si>
    <t>Pièce de serrage avec vis 6 pans (montage dans l'embrasure)</t>
  </si>
  <si>
    <t>Profilé en U 25 (dans l'embrasure), joint non compris, percé et ébavuré</t>
  </si>
  <si>
    <t>Nom du fichier :</t>
  </si>
  <si>
    <t>Technique des produits</t>
  </si>
  <si>
    <t>Installations calculées suivantes:</t>
  </si>
  <si>
    <t>(Bord supérieur de l'évidement - bord supérieur du DB)</t>
  </si>
  <si>
    <t>(Bord supérieur du linteau - bord supérieur du DB)</t>
  </si>
  <si>
    <t>Strangpressprofile</t>
  </si>
  <si>
    <t>Befestigungsmittel Siding - Aluminium UK 4,8 x 19 mm</t>
  </si>
  <si>
    <t>Befestigungsmittel Siding - Holz UK 4,9 x 35 mm</t>
  </si>
  <si>
    <t>Startprofil (Länge: 2.000 mm) P.10 anthrazit</t>
  </si>
  <si>
    <t>profil d’angle sortant en croix (longueur : 2 500 mm)</t>
  </si>
  <si>
    <t>roh vnější 2 - dílný, délka 3000 mm</t>
  </si>
  <si>
    <t>angle rentrant (longueur : 3 000 mm)</t>
  </si>
  <si>
    <t>angolo interno; L = 3000 mm</t>
  </si>
  <si>
    <t>vnitřní roh, délka 3000 mm</t>
  </si>
  <si>
    <t>Narożnik wewnętrzny L=3000 mm</t>
  </si>
  <si>
    <t>belső sarok profil H = 3.000 mm</t>
  </si>
  <si>
    <t>binnenhoek L = 3000 mm</t>
  </si>
  <si>
    <t>Notranji vogal (dolžina: 3.000 mm)</t>
  </si>
  <si>
    <t>invändigt hörn L = 3.000 mm</t>
  </si>
  <si>
    <t>indvendigt hjørne L = 3.000 mm</t>
  </si>
  <si>
    <t>innvendig hjørne L = 3000 mm</t>
  </si>
  <si>
    <t>Unutarnji kut L = 3.000 mm</t>
  </si>
  <si>
    <t>Stückliste Siding</t>
  </si>
  <si>
    <t>Nomemclature – siding</t>
  </si>
  <si>
    <t>138 x 1,0 mm</t>
  </si>
  <si>
    <t>Hinweis: Kombination von unterschiedlichen Baubreiten muss in der Materialstärke der größeren Baubreite ausgeführt werden.</t>
  </si>
  <si>
    <t>Note: when combining different visible widths, the thickness of the material should correspond to the thickness of the largest visible width.</t>
  </si>
  <si>
    <t>Remarque : Lorsque l’on combine différentes largeurs utiles, l’épaisseur du matériau doit correspondre à celle de la plus grande largeur utile.</t>
  </si>
  <si>
    <t>Nota: volendo abbinare larghezze d'ingombro diverse, lo spessore del materiale deve essere quello della larghezza d'ingombro maggiore per tutti gli elementi.</t>
  </si>
  <si>
    <t>Při kombinaci různých stavebních šířek lamel se používá k výrobě materiál tloušťky nejširší lamely.</t>
  </si>
  <si>
    <t>Uwaga: W przypadku połączenia różnych szerokości konstrukcyjnych grubość materiału powinna odpowiadać materiałowi o większej szerokości konstrukcyjnej.</t>
  </si>
  <si>
    <t>Figyelmeztetés: különböző fedési szélességek esetén a legszélesebb elem anyagvastagsága lesz a mértékadó.</t>
  </si>
  <si>
    <t>Poznámka: Pri kombinácii panelov rôznych stavebných šírok musia byť panely vyhotovené v hrúbke materiálu väčšej stavebnej šírky.</t>
  </si>
  <si>
    <t>Aanwijzing: bij het combineren van verschillende breedtes, moet de dikte van de grootste breedte als materiaaldikte worden genomen.</t>
  </si>
  <si>
    <t>Opozorilo: Pri kombinaciji različnih gradbenih širin mora debelina materiala ustrezati debelini največje gradbene širine.</t>
  </si>
  <si>
    <t>Observera: Om olika bredder kombineras måste materialets tjocklek motsvara den bredare bredden.</t>
  </si>
  <si>
    <t>Bemærk: Kombination med forskellige byggebredder skal udføres i materialetykkelsen for den største byggebredde.</t>
  </si>
  <si>
    <t>Merk: Ved kombinasjon av ulike byggebredder må materialtykkelsen til den største byggebredden brukes.</t>
  </si>
  <si>
    <t>Napomena: kod kombiniranja različitih ugradbenih širina, debljina materijala mora odgovarati debljini najšire ugradbene širine.</t>
  </si>
  <si>
    <t>Patentnieten (4 × 9,5 mm)</t>
  </si>
  <si>
    <t>patent rivets 4 × 9,5 mm</t>
  </si>
  <si>
    <t>rivets brevetés (4 × 9,5 mm)</t>
  </si>
  <si>
    <t>rivetti 4 × 9,5 mm</t>
  </si>
  <si>
    <t>trhací nýt 4 x 9,5 mm</t>
  </si>
  <si>
    <t>Nit fasadowy 4x9,5 mm</t>
  </si>
  <si>
    <t>patentszegecs 4 9,5 mm</t>
  </si>
  <si>
    <t>trhací nit 4 x 9,5 mm</t>
  </si>
  <si>
    <t>gepatenteerde klinknagels 4 x 9,5 mm</t>
  </si>
  <si>
    <t>Patentne kovice (4 × 9,5 mm)</t>
  </si>
  <si>
    <t>patenterade nitar 4 x 9,5 mm</t>
  </si>
  <si>
    <t>patentnitte 4 x 9,5 mm</t>
  </si>
  <si>
    <t>patenterte nagler 4 x 9,5 mm</t>
  </si>
  <si>
    <t>Zakovice 4 x 9,5 mm</t>
  </si>
  <si>
    <t>angle rentrant PREFA, L = 3 000 mm (plusieurs éléments)</t>
  </si>
  <si>
    <t>Angolo interno PREFA L = 3.000 mm (in più parti)</t>
  </si>
  <si>
    <t>PREFA vnitřní roh L = 3000 mm (vícedílný)</t>
  </si>
  <si>
    <t>Narożnik wewnętrzny PREFA L = 3000 mm (wieloczęściowy)</t>
  </si>
  <si>
    <t>PREFA belső sarok L = 3000 mm (többrészes)</t>
  </si>
  <si>
    <t>PREFA vnútorný rohový profil L = 3 000 mm (viacdielny)</t>
  </si>
  <si>
    <t>PREFA-binnenhoek L = 3.000 mm (meerdelig)</t>
  </si>
  <si>
    <t>Notranii vogal PREFA D = 3.000 mm (večdelni)</t>
  </si>
  <si>
    <t>PREFA innerhörn L = 3 000 mm (flerdelat)</t>
  </si>
  <si>
    <t>PREFA inderhjørne L = 3.000 mm (flerdelt)</t>
  </si>
  <si>
    <t>PREFA-innerhjørne L = 3000 mm (flerdelt)</t>
  </si>
  <si>
    <t>PREFA unutarnji kut L = 3.000 mm (višedijelni)</t>
  </si>
  <si>
    <t>Die dargestellten Details sind Beispiele für den Standardfall und dienen als Leitfaden für Planer und Verarbeiter.</t>
  </si>
  <si>
    <t>The details presented are examples for the standard case and serve as a guide for planners and processors.</t>
  </si>
  <si>
    <t>Les détails présentés sont des exemples pour le cas standard et servent de guide pour les planificateurs et les transformateurs.</t>
  </si>
  <si>
    <t>I dettagli presentati sono esempi per il caso standard e servono da guida per i pianificatori e i processori.</t>
  </si>
  <si>
    <t>Prezentované detaily jsou příklady pro standardní případ a slouží jako průvodce pro plánovače a zpracovatele.</t>
  </si>
  <si>
    <t>Przedstawione szczegóły są przykładami na standardowy przypadek i służą jako przewodnik dla planistów i procesorów.</t>
  </si>
  <si>
    <t>A bemutatott részletek a szabványos eset példái és útmutatóként szolgálnak a tervezőknek és feldolgozóknak.</t>
  </si>
  <si>
    <t>Predstavené detaily sú príkladmi pre štandardný prípad a slúžia ako sprievodca pre plánovačov a spracovateľov.</t>
  </si>
  <si>
    <t>De gepresenteerde details zijn voorbeelden voor het standaardgeval en dienen als leidraad voor planners en verwerkers.</t>
  </si>
  <si>
    <t>Predstavljene podrobnosti so primeri za standardni primer in služijo kot vodnik za načrtovalce in procesorje.</t>
  </si>
  <si>
    <t>De presenterade detaljerna är exempel på det standardfall och fungerar som en guide för planerare och processorer.</t>
  </si>
  <si>
    <t>De præsenterede detaljer er eksempler på standardtilfældet og tjener som en guide for planlæggere og processorer.</t>
  </si>
  <si>
    <t>De presenterte detaljene er eksempler på standardtilfellet og fungerer som en veiledning for planleggere og prosessorer.</t>
  </si>
  <si>
    <t>Predstavljeni detalji su primjeri za standardni slučaj i služe kao vodič za planere i procesore.</t>
  </si>
  <si>
    <t>Objekte, die entweder speziellen Vorschriften (z.B. Brandschutzanforderungen) unterliegen oder sich in einer exponierten Lage (z.B. hohe Schnee- oder Windlasten) befinden, sind gesondert zu betrachten. Sie können PREFA in solchen Fällen gerne kontaktieren.</t>
  </si>
  <si>
    <t>Objects that are either subject to special regulations (e.g. fire safety requirements) or are located in an exposed location (e.g. high snow or wind loads) must be considered separately. You are welcome to contact PREFA in such cases.</t>
  </si>
  <si>
    <t>Les objets qui sont soit soumis à des réglementations spéciales (par exemple, les exigences de sécurité incendie) ou qui sont situés dans un endroit exposé (par exemple, des charges de neige ou de vent élevées) doivent être considérés séparément. Vous êtes les bienvenus à contacter PREFA dans de tels cas.</t>
  </si>
  <si>
    <t>Gli oggetti che sono o soggetti a regolamenti speciali (ad es. requisiti di sicurezza antincendio) o si trovano in una posizione esposta (ad es. carichi di neve o vento elevati) devono essere considerati separatamente. Siete i benvenuti a contattare PREFA in tali casi.</t>
  </si>
  <si>
    <t>Objekty, které jsou buď podléhající speciálním předpisům (např. požadavkům na požární bezpečnost) nebo se nacházejí na exponovaném místě (např. vysoké sněhové nebo větrné zatížení), musí být posuzovány samostatně. V takových případech můžete s důvěrou kontaktovat PREFA.</t>
  </si>
  <si>
    <t>Obiekty, które podlegają specjalnym przepisom (np. wymagania przeciwpożarowe) lub znajdują się w miejscu narażonym na działanie (np. wysokie obciążenie śniegiem lub wiatrem), muszą być rozpatrywane oddzielnie. W takich przypadkach zapraszamy do kontaktu z PREFA.</t>
  </si>
  <si>
    <t>Azokat a tárgyakat, amelyek vagy speciális szabályozásoknak (pl. tűzvédelmi követelmények) vannak alávetve, vagy kiemelt helyen találhatók (pl. magas hó- vagy szélterhelés), külön kell kezelni. Ilyen esetekben szívesen fordulhatnak a PREFA-hoz.</t>
  </si>
  <si>
    <t>Objekty, ktoré sú buď podľa špeciálnych predpisov (napr. požiadavky na požiarnu bezpečnosť) alebo sa nachádzajú na exponovanom mieste (napr. vysoké snehové alebo veterné zaťaženie), je potrebné posudzovať samostatne. V takýchto prípadoch nás môžete kľudne kontaktovať PREFA.</t>
  </si>
  <si>
    <t>Objecten die ofwel onderworpen zijn aan speciale voorschriften (bijv. brandveiligheidseisen) of zich op een blootgestelde locatie bevinden (bijv. hoge sneeuw- of windbelasting), moeten apart worden beschouwd. U bent van harte welkom om PREFA in dergelijke gevallen te contacteren.</t>
  </si>
  <si>
    <t>Objekte, ki so bodisi podvrženi posebnim predpisom (npr. zahtevam za požarno varnost) ali se nahajajo na izpostavljenem mestu (npr. velike obremenitve z snegom ali vetrom), je treba obravnavati ločeno. V takih primerih ste dobrodošli, da kontaktirate PREFA.</t>
  </si>
  <si>
    <t>Objekt som antingen är föremål för särskilda föreskrifter (t.ex. brandskyddskrav) eller befinner sig på en exponerad plats (t.ex. höga snö- eller vindbelastningar) måste betraktas separat. Du är välkommen att kontakta PREFA i sådana fall.</t>
  </si>
  <si>
    <t>Objekter, der enten er underlagt særlige regler (f.eks. brandbeskyttelseskrav) eller befinder sig på en eksponeret placering (f.eks. høje sne- eller vindbelastninger), skal betragtes separat. Du er velkommen til at kontakte PREFA i sådanne tilfælde.</t>
  </si>
  <si>
    <t>Objekter som enten er underlagt spesielle forskrifter (f.eks. brannsikkerhetskrav) eller er plassert på et eksponert sted (f.eks. høy snø- eller vindlast), må vurderes separat. Du er velkommen til å kontakte PREFA i slike tilfeller.</t>
  </si>
  <si>
    <t>Objekti koji su ili podložni posebnim propisima (npr. zahtjevi za zaštitu od požara) ili se nalaze na izloženom mjestu (npr. visoka snježna ili vjetrena opterećenja) moraju se posebno razmatrati. U takvim slučajevima slobodno se obratite PREFA.</t>
  </si>
  <si>
    <t>Außenecke mehrteilig (Länge: 3.000 mm)</t>
  </si>
  <si>
    <t>profil d’angle sortant en croix (plusieurs éléments : 3 000 mm)</t>
  </si>
  <si>
    <t>angolo esterno (in più parti); L = 3000 mm</t>
  </si>
  <si>
    <t>roh vnější vícedílný L=3000 mm</t>
  </si>
  <si>
    <t>Narożnik zewnętrzny wieloczęściowy L=3000 mm</t>
  </si>
  <si>
    <t>külső sarok profil többrészes H = 3.000 mm</t>
  </si>
  <si>
    <t>vonkajší rohový profil (viacdielny; L = 3.000 mm)</t>
  </si>
  <si>
    <t>buitenhoek meerdelig L = 3000 mm</t>
  </si>
  <si>
    <t>Zunanji vogal (večdelni; D = 3.000 mm)</t>
  </si>
  <si>
    <t>utvändigt hörn flerdelat L = 3.000 mm</t>
  </si>
  <si>
    <t>udvendigt hjørne flerdelt L = 3.000 mm</t>
  </si>
  <si>
    <t>yttervinkel flerdelt L = 3000 mm</t>
  </si>
  <si>
    <t>Vanjski kut višedijelni L = 3.000 mm</t>
  </si>
  <si>
    <t>Abschlussprofil geklebt 2-teilig (Länge: 2.500 mm)</t>
  </si>
  <si>
    <t>profil de fin collé (longueur : 2 500 mm)</t>
  </si>
  <si>
    <t>profilo di chiusura 2 parti incollato; L = 2500 mm</t>
  </si>
  <si>
    <t>ukončovací profil 2 - dílný lepené,  délka 2500 mm</t>
  </si>
  <si>
    <t>Profil końcowy 2-częściowy klejone L=2500 mm</t>
  </si>
  <si>
    <t>lezáró profil 2-részes ragasztva H = 2.500 mm</t>
  </si>
  <si>
    <t>ukončovací profil 2 - dielny lepený (dĺžka: 2500 mm)</t>
  </si>
  <si>
    <t>afsluitprofiel 2-delig gelijmd L = 2500 mm</t>
  </si>
  <si>
    <t>Zaključni profil 2-delni lepljeno (dolžina: 2.500 mm)</t>
  </si>
  <si>
    <t>ändprofil 2-delad limmad L = 2.500 mm</t>
  </si>
  <si>
    <t>afslutningsprofil 2-delt limet L = 2.500 mm</t>
  </si>
  <si>
    <t>avslutningsprofil 2-delt Limt L = 2500 mm</t>
  </si>
  <si>
    <t>Završni profil 2-dijelni zalijepljeno L = 2.500 mm</t>
  </si>
  <si>
    <t>Schnittlochblende (Länge: 3.000 mm)</t>
  </si>
  <si>
    <t>perforated plate; L = 3,000 mm</t>
  </si>
  <si>
    <t>cache de départ perforé (longueur : 3 000 mm)</t>
  </si>
  <si>
    <t>canaletta di ventilazione; L = 3000 mm</t>
  </si>
  <si>
    <t>ukončovací profil perforovaný, délka 3000 mm</t>
  </si>
  <si>
    <t>Przysłona L=3000 mm</t>
  </si>
  <si>
    <t>szellőző profil H = 3.000 mm</t>
  </si>
  <si>
    <t>ukončovací profil perforovaný, dĺžka 3000 mm</t>
  </si>
  <si>
    <t>snijgatkap L = 3000 mm</t>
  </si>
  <si>
    <t>Perforirana zaslonka (dolžina: 3.000 mm)</t>
  </si>
  <si>
    <t>sektionshålslist L = 3.000 mm</t>
  </si>
  <si>
    <t>snithulsblænde L = 3.000 mm</t>
  </si>
  <si>
    <t>perforert plate L = 3000 mm</t>
  </si>
  <si>
    <t>Perforirana blenda L = 3.000 mm</t>
  </si>
  <si>
    <t>Startprofil (Länge: 3.000 mm)</t>
  </si>
  <si>
    <t>starter profile; L = 3,000 mm</t>
  </si>
  <si>
    <t>profil de départ (longueur : 3 000 mm)</t>
  </si>
  <si>
    <t>Profilo di partenza; L = 3000 mm</t>
  </si>
  <si>
    <t>Startovací profil, délka 3000 mm</t>
  </si>
  <si>
    <t>Profil początkowy L=3000 mm</t>
  </si>
  <si>
    <t>indítóprofil H = 3.000 mm</t>
  </si>
  <si>
    <t>štartovací profil dĺžka 3000 mm</t>
  </si>
  <si>
    <t>Startprofiel L = 3000 mm</t>
  </si>
  <si>
    <t>Začetni profil (dolžina: 3.000 mm)</t>
  </si>
  <si>
    <t>startprofil L = 3.000 mm</t>
  </si>
  <si>
    <t>Startprofil L = 3.000 mm</t>
  </si>
  <si>
    <t>Startprofil L = 3000 mm</t>
  </si>
  <si>
    <t>Početni profil L = 3.000 mm</t>
  </si>
  <si>
    <t>Wetterschenkel (Länge: 3.000 mm)</t>
  </si>
  <si>
    <t>drip; L = 3,000 mm</t>
  </si>
  <si>
    <t>renvoi d’eau (longueur : 3 000 mm)</t>
  </si>
  <si>
    <t>gocciolatoio; L = 3000 mm</t>
  </si>
  <si>
    <t>okapnice, délka 3000 mm</t>
  </si>
  <si>
    <t>Okapnik L=3000 mm</t>
  </si>
  <si>
    <t>viharléc H = 3.000 mm</t>
  </si>
  <si>
    <t>odkvapnicový profil, dĺžka 3000 mm</t>
  </si>
  <si>
    <t>weldorpel L = 3000 mm</t>
  </si>
  <si>
    <t>Odkapni profil (dolžina: 3.000 mm)</t>
  </si>
  <si>
    <t>väderskänkel L = 3.000 mm</t>
  </si>
  <si>
    <t>vejrvinkelben L = 3.000 mm</t>
  </si>
  <si>
    <t>vindusbeslag L = 3000 mm</t>
  </si>
  <si>
    <t>Okapni lim L = 3.000 mm</t>
  </si>
  <si>
    <t>Leibungsblech (Länge: 3.000 mm)</t>
  </si>
  <si>
    <t>Stoßblech (Länge: 3.000 mm)</t>
  </si>
  <si>
    <t>joint connection; L = 3,000 mm</t>
  </si>
  <si>
    <t>profil de raccord T (longueur : 3 000 mm)</t>
  </si>
  <si>
    <t>profilo di battuta; L = 3000 mm</t>
  </si>
  <si>
    <t>dělící profil, délka 3000 mm</t>
  </si>
  <si>
    <t>Blacha stykowa L=3000 mm</t>
  </si>
  <si>
    <t>illesztőprofil H = 3.000 mm</t>
  </si>
  <si>
    <t>stykový plech, dĺžka 3000 mm</t>
  </si>
  <si>
    <t>stootplaat L = 3000 mm</t>
  </si>
  <si>
    <t>Spojna pločevina (dolžina: 3.000 mm)</t>
  </si>
  <si>
    <t>skarvplåt L = 3.000 mm</t>
  </si>
  <si>
    <t>stødplade L = 3.000 mm</t>
  </si>
  <si>
    <t>laskeplate L = 3000 mm</t>
  </si>
  <si>
    <t>Sudarni lim L = 3.000 mm</t>
  </si>
  <si>
    <t>Außenecke 2-teilig (Länge: 3.000 mm)</t>
  </si>
  <si>
    <t>profil d’angle sortant en croix (longueur : 3 000 mm)</t>
  </si>
  <si>
    <t>angolo esterno (2 parti); L = 3000 mm</t>
  </si>
  <si>
    <t>Narożnik zewnętrzny 2-częściowy L=3000 mm</t>
  </si>
  <si>
    <t>külső sarok profil 2-részes H = 3.000 mm</t>
  </si>
  <si>
    <t>vonkajší rohový profil (2 - dielny; L = 3.000 mm)</t>
  </si>
  <si>
    <t>buitenhoek 2-delig L = 3000 mm</t>
  </si>
  <si>
    <t>Zunanji vogal (2-delni; D = 3.000 mm)</t>
  </si>
  <si>
    <t>utvändigt hörn 2-delad L = 3.000 mm</t>
  </si>
  <si>
    <t>udvendigt hjørne 2-delt L = 3.000 mm</t>
  </si>
  <si>
    <t>yttervinkel 2-delt L = 3000 mm</t>
  </si>
  <si>
    <t>Vanjski kut 2-dijelni L = 3.000 mm</t>
  </si>
  <si>
    <t>Taschenprofil gekantet (Länge: 3.000 mm)</t>
  </si>
  <si>
    <t>profil replié , L = 3 000 mm</t>
  </si>
  <si>
    <t>Profilo ripiegato  L = 3.000 mm squadrato</t>
  </si>
  <si>
    <t>KANTOWANY PROFIL  DO WAŁU PROFILOWEGO L = 3000 mm</t>
  </si>
  <si>
    <t>Žepni profil  D = 3.000 mm obrobljen</t>
  </si>
  <si>
    <t>Steckleiste (Länge: 3.000 mm)</t>
  </si>
  <si>
    <t>profil de jonction (longueur : 3 000 mm)</t>
  </si>
  <si>
    <t>listello a innesto; L = 3000 mm</t>
  </si>
  <si>
    <t>příponka ostění, délka 3000 mm</t>
  </si>
  <si>
    <t>Listwa L=3000 mm</t>
  </si>
  <si>
    <t>csatlakozó léc H = 3.000 mm</t>
  </si>
  <si>
    <t>plech na ostenie, dĺžka 3000 mm</t>
  </si>
  <si>
    <t>steekframe L = 3000 mm</t>
  </si>
  <si>
    <t>Vtična letev (dolžina: 3.000 mm)</t>
  </si>
  <si>
    <t>instickslist L = 3.000 mm</t>
  </si>
  <si>
    <t>stikliste L = 3.000 mm</t>
  </si>
  <si>
    <t>innstikkslist L = 3000 mm</t>
  </si>
  <si>
    <t>Utična lajsna L = 3.000 mm</t>
  </si>
  <si>
    <t>Eckwinkel außen (Länge: 3.000 mm)</t>
  </si>
  <si>
    <t>external corner flashing; L = 3,000 mm</t>
  </si>
  <si>
    <t>équerre d’angle sortant (longueur : 3 000 mm)</t>
  </si>
  <si>
    <t>angolare esterno; L = 3000 mm</t>
  </si>
  <si>
    <t>roh vnější , délka 3000 mm</t>
  </si>
  <si>
    <t>Narożnik zewnętrzny L=3000 mm</t>
  </si>
  <si>
    <t>külső sarok profil H = 3.000 mm</t>
  </si>
  <si>
    <t>rohový profil vonkajší (dĺžka: 3000 mm)</t>
  </si>
  <si>
    <t>hoek buiten L = 3000 mm</t>
  </si>
  <si>
    <t>Kotnik zunaj (dolžina: 3.000 mm)</t>
  </si>
  <si>
    <t>utvändig hörnvinkel L = 3.000 mm</t>
  </si>
  <si>
    <t>hjørnevinkel udvendig L = 3.000 mm</t>
  </si>
  <si>
    <t>utvendig hjørnevinkel L = 3000 mm</t>
  </si>
  <si>
    <t>Kut vanjski L = 3.000 mm</t>
  </si>
  <si>
    <t>Abschlussprofil (Länge: 3.000 mm)</t>
  </si>
  <si>
    <t>profil de fin (longueur : 3 000 mm)</t>
  </si>
  <si>
    <t>profilo di chiusura; L = 3000 mm</t>
  </si>
  <si>
    <t>ukončovací profil,  délka 3000 mm</t>
  </si>
  <si>
    <t>Profil końcowy L=3000 mm</t>
  </si>
  <si>
    <t>lezáró profil H = 3.000 mm</t>
  </si>
  <si>
    <t>ukončovací profil (dĺžka: 3000 mm)</t>
  </si>
  <si>
    <t>afsluitprofiel L = 3000 mm</t>
  </si>
  <si>
    <t>Zaključni profil (dolžina: 3.000 mm)</t>
  </si>
  <si>
    <t>ändprofil L = 3.000 mm</t>
  </si>
  <si>
    <t>afslutningsprofil L = 3.000 mm</t>
  </si>
  <si>
    <t>avslutningsprofil L = 3000 mm</t>
  </si>
  <si>
    <t>Završni profil L = 3.000 mm</t>
  </si>
  <si>
    <t>Sockelprofil (Länge: 3.000 mm)</t>
  </si>
  <si>
    <t>base profile; L = 3,000 mm</t>
  </si>
  <si>
    <t>profil de soubassement (longueur : 3 000 mm)</t>
  </si>
  <si>
    <t>zoccolo; L = 3000 mm</t>
  </si>
  <si>
    <t>soklový profil, délka 3000 mm</t>
  </si>
  <si>
    <t>Profil cokołowy L=3000 mm</t>
  </si>
  <si>
    <t>párkányprofil H = 3.000 mm</t>
  </si>
  <si>
    <t>soklový profil, dĺžka 3000 mm</t>
  </si>
  <si>
    <t>sokkelprofiel L = 3000 mm</t>
  </si>
  <si>
    <t>Profil za podzidek (dolžina: 3.000 mm)</t>
  </si>
  <si>
    <t>sockelprofil L = 3.000 mm</t>
  </si>
  <si>
    <t>sokkelprofil L = 3.000 mm</t>
  </si>
  <si>
    <t>sokkelprofil L = 3000 mm</t>
  </si>
  <si>
    <t>Profil sokla L = 3.000 mm</t>
  </si>
  <si>
    <t>Abschlussprofil geklebt 2-teilig (Länge: 3.000 mm)</t>
  </si>
  <si>
    <t>profil de fin collé (longueur : 3 000 mm)</t>
  </si>
  <si>
    <t>profilo di chiusura 3 parti incollato; L = 3000 mm</t>
  </si>
  <si>
    <t>ukončovací profil 3 - dílný lepené,  délka 3000 mm</t>
  </si>
  <si>
    <t>Profil końcowy 2-częściowy klejone L=3000 mm</t>
  </si>
  <si>
    <t>lezáró profil 2-részes ragasztva H = 3.000 mm</t>
  </si>
  <si>
    <t>ukončovací profil 3 - dielny lepený (dĺžka: 3000 mm)</t>
  </si>
  <si>
    <t>afsluitprofiel 2-delig gelijmd L = 3000 mm</t>
  </si>
  <si>
    <t>Zaključni profil 2-delni lepljeno (dolžina: 3.000 mm)</t>
  </si>
  <si>
    <t>ändprofil 2-delad limmad L = 3.000 mm</t>
  </si>
  <si>
    <t>afslutningsprofil 2-delt limet L = 3.000 mm</t>
  </si>
  <si>
    <t>avslutningsprofil 2-delt Limt L = 3000 mm</t>
  </si>
  <si>
    <t>Završni profil 2-dijelni zalijepljeno L = 3.000 mm</t>
  </si>
  <si>
    <t>Rillennägel gebunden</t>
  </si>
  <si>
    <t>Clou pour cloueuse Bull Tack Power</t>
  </si>
  <si>
    <t>Dichtschraube NIRO, 4,5x25</t>
  </si>
  <si>
    <t>Vis inox avec rondelle d'étanchéité 4,5 x 25 mm sans vis autoperceuse</t>
  </si>
  <si>
    <t>Śruba ze stali nierdzewnej z podkładką uszczelniającą 4,5 x 25 mm bez końcówki wiercącej</t>
  </si>
  <si>
    <t>Rozsdamentes tömített csavar 4,5 x 25 mm, nem önmetsző</t>
  </si>
  <si>
    <t>Skrutka z nehrdzavejúcej ocele s tesniacim krúžkom 4,5 x 25 mm bez vrtného hrotu</t>
  </si>
  <si>
    <t>RVS SCHROEF MET AFDICHTRING 4,5 x 25 mm zonder boorpunt</t>
  </si>
  <si>
    <t>ROSTFRI SKRUV
MED TÄTNINGSBRICKA 4,5 x 25 mm: utan borrspets</t>
  </si>
  <si>
    <t>SKRUE AF RUSTFAST STÅL
MED TÆTNINGSSKIVE 4,5 x 25 mm uden borespids</t>
  </si>
  <si>
    <t>SKRUE I RUSTFRITT STÅL
MED TETNINGSSKIVE 4,5 x 25 mm: uten borspiss</t>
  </si>
  <si>
    <t>Nehrđajući vijak s brtvenom pločicom 4,5 x 25 mm bez samoreznog vrha</t>
  </si>
  <si>
    <t>Dichtschraube NIRO 4,5 x 45 mm, für Grat- und Firstreiter</t>
  </si>
  <si>
    <t>stainless steel screw and sealing washer 4,5 x 45 mm for hip and ridge cap</t>
  </si>
  <si>
    <t>Vis en acier inoxydable et rondelle d’étanchéité 4,5 x 45 mm pour faîtières et arêtiers</t>
  </si>
  <si>
    <t>Nerezový vrut s těsnící podložkou 4,5 x 45 mm pro malý hřebenáč</t>
  </si>
  <si>
    <t xml:space="preserve">wkręt ze stali nierdzewnej z uszczelnieniem 4,5 x 45 mm do gąsiora dachowego </t>
  </si>
  <si>
    <t>Rozsdamentes acél csavar tömítő alátéttel 4,5 x 45 mm él- és taréjgerinc elemhez</t>
  </si>
  <si>
    <t>Skrutky z nehrdzavejúcej ocele s tesniacim krúžkom 4,5 x 45 mm pre hrebeň resp. nárožie</t>
  </si>
  <si>
    <t>Niro-schroef met afdichtingschijf 4,5 x 45 mm voor graat-/vorstafdekking</t>
  </si>
  <si>
    <t>Kleparski nerjaveči vijaki s podložko 4,5 x 45 mm za grebenske slemenjake</t>
  </si>
  <si>
    <t>Niro-skruv med tätningsbricka 4,5 x 45 mm för nockpanna</t>
  </si>
  <si>
    <t>Niro-skrue med tætningsskive 4,5 x 45 mm til rygnings-/mønningsrytter</t>
  </si>
  <si>
    <t>Skrue i rustfritt stål med tetningsskive 4,5 x 45 mm for mønestein</t>
  </si>
  <si>
    <t>Nehrđajući vijak s brtvenom pločicom 4,5 x 45 mm za sljemenjak</t>
  </si>
  <si>
    <t>Dichtschraube NIRO 4,5 x 60 mm, für Jet-Lüfter</t>
  </si>
  <si>
    <t>stainless steel screw and sealing washer 4,5 x 60 mm for ridge vent</t>
  </si>
  <si>
    <t>Vis en acier inoxydable et rondelle d’étanchéité 4,5 x 60 mm pour faîtières ventilées</t>
  </si>
  <si>
    <t>Nerezový vrut s těsnící podložkou 4,5 x 60 mm pr Jet-Lüfter</t>
  </si>
  <si>
    <t>wkręt ze stali nierdzewnej z uszczelnieniem 4,5 x 60 mm do gąsiora wentylowanego.</t>
  </si>
  <si>
    <t>Rozsdamentes acél csavar tömítő alátéttel 4,5 x 60 mm szellőző gerincelemhez</t>
  </si>
  <si>
    <t>Skrutky z nehrdzavejúcej ocele s tesniacim krúžkom 4,5 x 60 mm pre Jet-Lüfter</t>
  </si>
  <si>
    <t>Niro-schroef met afdichtingschijf 4,5 x 60 mm voor jetventilator</t>
  </si>
  <si>
    <t>Kleparski nerjaveči vijaki s podložko 4,5 x 60 mm za jet-zračne slemenjake</t>
  </si>
  <si>
    <t>Niro-skruv med tätningsbricka 4,5 x 60 mm för Jet-ventilation</t>
  </si>
  <si>
    <t>Niro-skrue med tætningsskive 4,5 x 60 mm til jet-ventilator</t>
  </si>
  <si>
    <t>Skrue i rustfritt stål med tetningsskive 4,5 x 60 mm for kanalventilasjon</t>
  </si>
  <si>
    <t>Nehrđajući vijak s brtvenom pločicom 4,5 x 60 mm za Jet-odzračni sljemenjak</t>
  </si>
  <si>
    <t>Haken für Schneerechensystem, inkl. Befestigungsmaterial</t>
  </si>
  <si>
    <t>Système pare-neige (205 × 66 × 303 mm)</t>
  </si>
  <si>
    <t>sustav rešetkastog snjegobrana (205 x 66 x 303 mm)</t>
  </si>
  <si>
    <t>Haken für Schneerechensystem XL, inkl. Befestigungsmaterial</t>
  </si>
  <si>
    <t>pipe-style snow guard system XL (205 × 66 × 303 mm)</t>
  </si>
  <si>
    <t>Système pare-neige XL (205 × 66 × 303 mm)</t>
  </si>
  <si>
    <t>Staffa fermaneve a triplo tubolare esagonale XL (205 x 66 x 303 mm)</t>
  </si>
  <si>
    <t>Držák sněhové zábrany profilované trubky XL (205 x 66 x 303 mm)</t>
  </si>
  <si>
    <t>rurowy system ochrony przed śniegiem XL (205 × 66 × 303 mm)</t>
  </si>
  <si>
    <t>hófogórendszer XL (205 x 66 x 303 mm)</t>
  </si>
  <si>
    <t>systémový rúrkový zachytávač snehu pre profilované rúrky XL (205 x 66 x 303 mm)</t>
  </si>
  <si>
    <t>sneeuwharksysteem XL (205 x 66 x 303 mm)</t>
  </si>
  <si>
    <t>sistem za linijski snegolov XL (205x66x303 mm)</t>
  </si>
  <si>
    <t>snöräckessystem XL (205 x 66 x 303 mm)</t>
  </si>
  <si>
    <t>snegittersystem XL (205 x 66 x 303 mm)</t>
  </si>
  <si>
    <t>snøfangersystem XL (205 x 66 x 303 mm)</t>
  </si>
  <si>
    <t>sustav rešetkastog snjegobrana XL (205 x 66 x 303 mm)</t>
  </si>
  <si>
    <t>Abschluss für Schneerechensystem XL</t>
  </si>
  <si>
    <t>end piece for pipe-style snow guard system XL</t>
  </si>
  <si>
    <t>Embout de système pare-neige XL</t>
  </si>
  <si>
    <t>Testata per tubolare fermaneve XL</t>
  </si>
  <si>
    <t>Ukončení zábrany profilované trubky XL</t>
  </si>
  <si>
    <t>element wykończeniowy do barier śniegowych XL</t>
  </si>
  <si>
    <t>hófogórúd rendszer záróelem XL</t>
  </si>
  <si>
    <t>ukončovací prvok zachytávača snehu pre profilované rúrky XL</t>
  </si>
  <si>
    <t>sneeuwharksysteem afsluiting XL</t>
  </si>
  <si>
    <t>zaključek za linijski snegolov XL</t>
  </si>
  <si>
    <t>snöräckessystem slutstycke XL</t>
  </si>
  <si>
    <t>snegittersystem afslutning XL</t>
  </si>
  <si>
    <t>snøfangersystem endestykke XL</t>
  </si>
  <si>
    <t>završetak sustava rešetkastog snjegobrana XL</t>
  </si>
  <si>
    <t>2,8/25 (1 kg = ca. 570 St.)</t>
  </si>
  <si>
    <t>28/25 (1 kg = env. 570)</t>
  </si>
  <si>
    <t>28/25 (1 kg = cca. 570 kom.)</t>
  </si>
  <si>
    <t>2,8/30 (1 kg = ca. 480 St.)</t>
  </si>
  <si>
    <t>28/30 (1 kg = env. 480)</t>
  </si>
  <si>
    <t>28/30 (1 kg = cca. 480 kom.)</t>
  </si>
  <si>
    <t>2,8/40 (1 kg = ca. 380 St.)</t>
  </si>
  <si>
    <t>28/40 (1 kg = env. 380)</t>
  </si>
  <si>
    <t>28/40 (1 kg = cca. 380 kom.)</t>
  </si>
  <si>
    <t>Länge 26 mm (3.200 Stk/Karton)</t>
  </si>
  <si>
    <t>Longueur : 26 mm (3 200 par carton)</t>
  </si>
  <si>
    <t>Duljina 26 mm (3.200 kom./kutija)</t>
  </si>
  <si>
    <t>Länge 35 mm (2.400 Stk/Karton)</t>
  </si>
  <si>
    <t>Longueur : 35 mm (2 400 par carton)</t>
  </si>
  <si>
    <t>Duljina 35 mm (2.400 kom./kutija)</t>
  </si>
  <si>
    <t>Länge 26 mm (3.200 Stk/Karton) NIRO</t>
  </si>
  <si>
    <t>Longueur : 26 mm (3 200 par carton), inox</t>
  </si>
  <si>
    <t>Duljina 26 mm (3.200 kom./kutija) nehrđajući</t>
  </si>
  <si>
    <t>(4,5 x 45 mm, 250 Stk/Pkt)</t>
  </si>
  <si>
    <t>(4,5 × 45 mm, 250 par paquet)</t>
  </si>
  <si>
    <t>(4,5 x 45 mm, 250 kom./pak.)</t>
  </si>
  <si>
    <t>(4,5 x 45 mm, 250 Stk/Pkt, blank)</t>
  </si>
  <si>
    <t>(4,5 × 45 mm, 250 par paquet, aluminium naturel)</t>
  </si>
  <si>
    <t>(4,5 x 45 mm, 250 kom./pak. prirodni aluminij)</t>
  </si>
  <si>
    <t>(4,5 x 60 mm, 100 Stk/Pkt)</t>
  </si>
  <si>
    <t>(4,5 × 60 mm, 100 par paquet)</t>
  </si>
  <si>
    <t>(4,5 x 60 mm, 100 kom./pak.)</t>
  </si>
  <si>
    <t>(4,5 x 60 mm, 100 Stk/Pkt, blank)</t>
  </si>
  <si>
    <t>(4,5 × 60 mm, 100 par paquet, aluminium naturel)</t>
  </si>
  <si>
    <t>(4,5 x 60 mm, 100 kom./pak. prirodni aluminij)</t>
  </si>
  <si>
    <t>0,7 × 500 mm</t>
  </si>
  <si>
    <t>0,7 × 650 mm</t>
  </si>
  <si>
    <t>0,7 × 1 000 mm</t>
  </si>
  <si>
    <t>1 500 mm</t>
  </si>
  <si>
    <t>3 000 mm</t>
  </si>
  <si>
    <t>60 ø × 3 000 mm</t>
  </si>
  <si>
    <t>100 ø × 1 450 mm</t>
  </si>
  <si>
    <t>100 ø 700-1 100 mm</t>
  </si>
  <si>
    <t>Froschmaulluke stucco für DS.19</t>
  </si>
  <si>
    <t>frog-mouth vent, stucco, for DS.19</t>
  </si>
  <si>
    <t>chatière pour bardeaux, stucco, pour DS.19</t>
  </si>
  <si>
    <t>Bocchetta aerazione goffrata DS.19</t>
  </si>
  <si>
    <t>Odvětrávací haubna stucco pro DS.19</t>
  </si>
  <si>
    <t>Wywietrznik dla DS.19</t>
  </si>
  <si>
    <t>pontszellőző stukkó DS.19</t>
  </si>
  <si>
    <t>odvetrávací stucco DS.19</t>
  </si>
  <si>
    <t>žabji zračnik stucco za DS.19</t>
  </si>
  <si>
    <t>halvmåneformad kåpa stuckatur för DS.19</t>
  </si>
  <si>
    <t>frømundsluge stucco til DS.19</t>
  </si>
  <si>
    <t>froskemunnsformet luke stucco for DS.19</t>
  </si>
  <si>
    <t>pojedinačni odzračnik stucco za krovnu DS.19</t>
  </si>
  <si>
    <t>Froschmaulluke stucco für R.16</t>
  </si>
  <si>
    <t>frog-mouth vent, stucco, for R.16</t>
  </si>
  <si>
    <t>chatière pour bardeaux, stucco, pour R.16</t>
  </si>
  <si>
    <t>Bocchetta aerazione goffrata R.16</t>
  </si>
  <si>
    <t>Odvětrávací haubna stucco pro R.16</t>
  </si>
  <si>
    <t>Wywietrznik dla R.16</t>
  </si>
  <si>
    <t>pontszellőző stukkó R.16</t>
  </si>
  <si>
    <t>odvetrávací stucco R.16</t>
  </si>
  <si>
    <t>žabji zračnik stucco za R.16</t>
  </si>
  <si>
    <t>halvmåneformad kåpa stuckatur för R.16</t>
  </si>
  <si>
    <t>frømundsluge stucco til R.16</t>
  </si>
  <si>
    <t>froskemunnsformet luke stucco for R.16</t>
  </si>
  <si>
    <t>pojedinačni odzračnik stucco za krovnu R.16</t>
  </si>
  <si>
    <t>Froschmaulluke stucco für DR29x29</t>
  </si>
  <si>
    <t>frog-mouth vent, stucco, for DR29x29</t>
  </si>
  <si>
    <t>chatière pour bardeaux, stucco, pour DR29x29</t>
  </si>
  <si>
    <t>Bocchetta aerazione goffrata DR29x29</t>
  </si>
  <si>
    <t>Odvětrávací haubna stucco pro DR29x29</t>
  </si>
  <si>
    <t>Wywietrznik dla DR29x29</t>
  </si>
  <si>
    <t>pontszellőző stukkó DR29x29</t>
  </si>
  <si>
    <t>odvetrávací stucco DR29x29</t>
  </si>
  <si>
    <t>žabji zračnik stucco za DR29x29</t>
  </si>
  <si>
    <t>halvmåneformad kåpa stuckatur för DR29x29</t>
  </si>
  <si>
    <t>frømundsluge stucco til DR29x29</t>
  </si>
  <si>
    <t>froskemunnsformet luke stucco for DR29x29</t>
  </si>
  <si>
    <t>pojedinačni odzračnik stucco za krovnu DR29x29</t>
  </si>
  <si>
    <t>Froschmaulluke stucco für DR44x44</t>
  </si>
  <si>
    <t>frog-mouth vent, stucco, for DR44x44</t>
  </si>
  <si>
    <t>chatière pour bardeaux, stucco, pour DR44x44</t>
  </si>
  <si>
    <t>Bocchetta aerazione goffrata DR44x44</t>
  </si>
  <si>
    <t>Odvětrávací haubna stucco pro DR44x44</t>
  </si>
  <si>
    <t>Wywietrznik dla DR44x44</t>
  </si>
  <si>
    <t>pontszellőző stukkó DR44x44</t>
  </si>
  <si>
    <t>odvetrávací stucco DR44x44</t>
  </si>
  <si>
    <t>žabji zračnik stucco za DR44x44</t>
  </si>
  <si>
    <t>halvmåneformad kåpa stuckatur för DR44x44</t>
  </si>
  <si>
    <t>frømundsluge stucco til DR44x44</t>
  </si>
  <si>
    <t>froskemunnsformet luke stucco for DR44x44</t>
  </si>
  <si>
    <t>pojedinačni odzračnik stucco za krovnu DR44x44</t>
  </si>
  <si>
    <t>Froschmaulluke stucco für FX.12 groß</t>
  </si>
  <si>
    <t>frog-mouth vent, stucco, for FX.12</t>
  </si>
  <si>
    <t>chatière pour bardeaux, stucco, pour FX.12</t>
  </si>
  <si>
    <t>Bocchetta aerazione goffrata FX.12</t>
  </si>
  <si>
    <t>Odvětrávací haubna stucco pro FX.12</t>
  </si>
  <si>
    <t>Wywietrznik dla FX.12</t>
  </si>
  <si>
    <t>pontszellőző stukkó FX.12</t>
  </si>
  <si>
    <t>odvetrávací stucco FX.12</t>
  </si>
  <si>
    <t>žabji zračnik stucco za FX.12</t>
  </si>
  <si>
    <t>halvmåneformad kåpa stuckatur för FX.12</t>
  </si>
  <si>
    <t>frømundsluge stucco til FX.12</t>
  </si>
  <si>
    <t>froskemunnsformet luke stucco for FX.12</t>
  </si>
  <si>
    <t>pojedinačni odzračnik stucco za krovnu FX.12</t>
  </si>
  <si>
    <t>Froschmaulluke stucco für FX.12 klein</t>
  </si>
  <si>
    <t>Holzrahmen (Innenmaß: 595x595 mm)</t>
  </si>
  <si>
    <t>Châssis en bois (Mesure intérieure: 595x595 mm)</t>
  </si>
  <si>
    <t>Rama wyłazowa drewniana wymiar wewnętrzny 595x595 mm)</t>
  </si>
  <si>
    <t>Fakeret (belső méret: 595x595 mm)</t>
  </si>
  <si>
    <t>Drevený rám (vnútorný rozmer: 595x595 mm)</t>
  </si>
  <si>
    <t>HOUTEN OMRANDING (595x595 mm)</t>
  </si>
  <si>
    <t>TRÄRAM (invändigt mått:
595×595 mm)</t>
  </si>
  <si>
    <t>TRÆRAMME
indvendigt mål:
595×595 mm</t>
  </si>
  <si>
    <t>TRERAMME
innvendig mål:
595×595 mm</t>
  </si>
  <si>
    <t>Drveni okvir (unutarnja mjera: 595x595 mm)</t>
  </si>
  <si>
    <t>Laufstegstütze für Falzdächer</t>
  </si>
  <si>
    <t>support de chemin de circulation (pour chemins de circulation)</t>
  </si>
  <si>
    <t>nosač stepenice</t>
  </si>
  <si>
    <t>Dachrinne 3 m</t>
  </si>
  <si>
    <t>aluminium gutter with protective film on the outside 3 m</t>
  </si>
  <si>
    <t>gouttière en aluminium avec film de protection (face extérieure) 3 m</t>
  </si>
  <si>
    <t>Canali di gronda in alluminio con pellicola protettiva lato esterno 3 m</t>
  </si>
  <si>
    <t>Hliníkový žlab s ochranou folií na vnější straně 3 m</t>
  </si>
  <si>
    <t>rynna z folią ochronną na zewnątrz 3 m</t>
  </si>
  <si>
    <t>alumínium függő ereszcsatorna külső védőfóliával 3 m</t>
  </si>
  <si>
    <t>hliníkový polkruhový žľab s ochrannou fóliou na vonkajšej strane 3 m</t>
  </si>
  <si>
    <t>aluminium dakgoot met beschermfolie buiten 3 m</t>
  </si>
  <si>
    <t>aluminajsti strešni žleb z zaščitno folino na zun. Strani 3 m</t>
  </si>
  <si>
    <t>takränna av aluminium med utvändig skyddsfolie 3 m</t>
  </si>
  <si>
    <t>aluminium tagrende med udvendig beskyttelsesfolie 3 m</t>
  </si>
  <si>
    <t>takrenne i aluminium med utvendig beskyttelsesfolie 3 m</t>
  </si>
  <si>
    <t>aluminijski krovni žlijeb sa zaštitnom folijom izvana 3 m</t>
  </si>
  <si>
    <t>Dachrinne 5 m</t>
  </si>
  <si>
    <t>aluminium gutter with protective film on the outside 5 m</t>
  </si>
  <si>
    <t>gouttière en aluminium avec film de protection (face extérieure) 5 m</t>
  </si>
  <si>
    <t>Canali di gronda in alluminio con pellicola protettiva lato esterno 5 m</t>
  </si>
  <si>
    <t>Hliníkový žlab s ochranou folií na vnější straně 5 m</t>
  </si>
  <si>
    <t>rynna z folią ochronną na zewnątrz 5 m</t>
  </si>
  <si>
    <t>alumínium függő ereszcsatorna külső védőfóliával 5 m</t>
  </si>
  <si>
    <t>hliníkový polkruhový žľab s ochrannou fóliou na vonkajšej strane  5 m</t>
  </si>
  <si>
    <t>aluminium dakgoot met beschermfolie buiten 5 m</t>
  </si>
  <si>
    <t>aluminajsti strešni žleb z zaščitno folino na zun. Strani 5 m</t>
  </si>
  <si>
    <t>takränna av aluminium med utvändig skyddsfolie 5 m</t>
  </si>
  <si>
    <t>aluminium tagrende med udvendig beskyttelsesfolie 5 m</t>
  </si>
  <si>
    <t>takrenne i aluminium med utvendig beskyttelsesfolie 5 m</t>
  </si>
  <si>
    <t>aluminijski krovni žlijeb sa zaštitnom folijom izvana 5 m</t>
  </si>
  <si>
    <t>Dachrinne 6 m</t>
  </si>
  <si>
    <t>aluminium gutter with protective film on the outside 6 m</t>
  </si>
  <si>
    <t>gouttière en aluminium avec film de protection (face extérieure) 6 m</t>
  </si>
  <si>
    <t>Canali di gronda in alluminio con pellicola protettiva lato esterno 6 m</t>
  </si>
  <si>
    <t>Hliníkový žlab s ochranou folií na vnější straně 6 m</t>
  </si>
  <si>
    <t>rynna z folią ochronną na zewnątrz 6 m</t>
  </si>
  <si>
    <t>alumínium függő ereszcsatorna külső védőfóliával 6 m</t>
  </si>
  <si>
    <t>hliníkový polkruhový žľab s ochrannou fóliou na vonkajšej strane  6 m</t>
  </si>
  <si>
    <t>aluminium dakgoot met beschermfolie buiten 6 m</t>
  </si>
  <si>
    <t>aluminajsti strešni žleb z zaščitno folino na zun. Strani 6 m</t>
  </si>
  <si>
    <t>takränna av aluminium med utvändig skyddsfolie 6 m</t>
  </si>
  <si>
    <t>aluminium tagrende med udvendig beskyttelsesfolie 6 m</t>
  </si>
  <si>
    <t>takrenne i aluminium med utvendig beskyttelsesfolie 6 m</t>
  </si>
  <si>
    <t>aluminijski krovni žlijeb sa zaštitnom folijom izvana 6 m</t>
  </si>
  <si>
    <t>Kastenrinne 3 m</t>
  </si>
  <si>
    <t>aluminium box gutter 3 m</t>
  </si>
  <si>
    <t>gouttière carrée en aluminium 3 m</t>
  </si>
  <si>
    <t>Canale quadro di gronda in alluminio 3 m</t>
  </si>
  <si>
    <t>Hliníkový žlab hranatý 3 m</t>
  </si>
  <si>
    <t>Rynna kwadratowa ? 3 m</t>
  </si>
  <si>
    <t>alumínium négyszögszelvényű ereszcsatorna 3 m</t>
  </si>
  <si>
    <t>hliníkový hranatý žľab 3 m</t>
  </si>
  <si>
    <t>aluminium bakgoot 3 m</t>
  </si>
  <si>
    <t>pravokotni žleb 3 m</t>
  </si>
  <si>
    <t>lådränna av aluminium 3 m</t>
  </si>
  <si>
    <t>aluminiumskasserende 3 m</t>
  </si>
  <si>
    <t>firkantrenne i aluminium 3 m</t>
  </si>
  <si>
    <t>aluminijski sandučasti žlijeb 3 m</t>
  </si>
  <si>
    <t>Kastenrinne 5 m</t>
  </si>
  <si>
    <t>aluminium box gutter  5 m</t>
  </si>
  <si>
    <t>gouttière carrée en aluminium 5 m</t>
  </si>
  <si>
    <t>Canale quadro di gronda in alluminio 5 m</t>
  </si>
  <si>
    <t>Hliníkový žlab hranatý 5 m</t>
  </si>
  <si>
    <t>Rynna prostokątna 6 m</t>
  </si>
  <si>
    <t>alumínium négyszögszelvényű ereszcsatorna 5 m</t>
  </si>
  <si>
    <t>hliníkový hranatý žľab 5 m</t>
  </si>
  <si>
    <t>aluminium bakgoot 5 m</t>
  </si>
  <si>
    <t>pravokotni žleb 5 m</t>
  </si>
  <si>
    <t>lådränna av aluminium 5 m</t>
  </si>
  <si>
    <t>aluminiumskasserende 5 m</t>
  </si>
  <si>
    <t>firkantrenne i aluminium 5 m</t>
  </si>
  <si>
    <t>aluminijski sandučasti žlijeb 5 m</t>
  </si>
  <si>
    <t>Kastenrinne 6 m</t>
  </si>
  <si>
    <t>aluminium box gutter  6 m</t>
  </si>
  <si>
    <t>gouttière carrée en aluminium 6 m</t>
  </si>
  <si>
    <t>Canale quadro di gronda in alluminio 6 m</t>
  </si>
  <si>
    <t>Hliníkový žlab hranatý 6 m</t>
  </si>
  <si>
    <t>Rynna kwadratowa ? 6 m</t>
  </si>
  <si>
    <t>alumínium négyszögszelvényű ereszcsatorna 6 m</t>
  </si>
  <si>
    <t>hliníkový hranatý žľab 6 m</t>
  </si>
  <si>
    <t>aluminium bakgoot 6 m</t>
  </si>
  <si>
    <t>pravokotni žleb 6 m</t>
  </si>
  <si>
    <t>lådränna av aluminium 6 m</t>
  </si>
  <si>
    <t>aluminiumskasserende 6 m</t>
  </si>
  <si>
    <t>firkantrenne i aluminium 6 m</t>
  </si>
  <si>
    <t>aluminijski sandučasti žlijeb 6 m</t>
  </si>
  <si>
    <t>Uwaga: Oferta ważna przez 1 miesiąc; Czas dostawy na zapytanie; brak materiałów montażowych w zestawie</t>
  </si>
  <si>
    <t>Note: Offer valid for 1 month; delivery time upon request; assembly materials not included.</t>
  </si>
  <si>
    <t>Remarque : Offre valable pendant 1 mois ; délai de livraison sur demande ; matériel de montage non inclus.</t>
  </si>
  <si>
    <t>Nota: Offerta valida per 1 mese; tempo di consegna su richiesta; materiale di montaggio non incluso.</t>
  </si>
  <si>
    <t>Poznámka: Platnost nabídky 1 měsíc; dodací lhůta na vyžádání; montážní materiál není součástí.</t>
  </si>
  <si>
    <t>Megjegyzés: Ajánlat érvényes 1 hónapig; szállítási idő kérésre; összeszereléshez szükséges anyag nem tartalmazza.</t>
  </si>
  <si>
    <t>Poznámka: Platnosť ponuky 1 mesiac; dodací termín na vyžiadanie; montážny materiál nie je zahrnutý.</t>
  </si>
  <si>
    <t>Opmerking: Aanbieding geldig voor 1 maand; levertijd op aanvraag; montage materiaal niet inbegrepen.</t>
  </si>
  <si>
    <t>Opomba: Ponudba velja 1 mesec; čas dostave po naročilu; montažni material ni vključen.</t>
  </si>
  <si>
    <t>Obs: Erbjudandet gäller i 1 månad; leveranstid på begäran; monteringsmaterial ingår ej.</t>
  </si>
  <si>
    <t>Bemærk: Tilbuddet er gyldigt i 1 måned; leveringstid efter anmodning; monteringsmateriale medfølger ikke.</t>
  </si>
  <si>
    <t>Merk: Tilbudet er gyldig i 1 måned; leveringstid på forespørsel; monteringsmateriale er ikke inkludert.</t>
  </si>
  <si>
    <t>Napomena: Ponuda vrijedi 1 mjesec; rok isporuke na zahtjev; montažni materijal nije uključen.</t>
  </si>
  <si>
    <t>Spannstück mit Sterngriff zum seitlich Einfädeln</t>
  </si>
  <si>
    <t>Spannstück mit Sechskantschraube zum seitlichen Einfädeln</t>
  </si>
  <si>
    <t>BERECHNUNG ALT (VOLLEINSTAU)</t>
  </si>
  <si>
    <t>Ø100</t>
  </si>
  <si>
    <t>Ø100 ⌀ × 1.450 mm</t>
  </si>
  <si>
    <t>Ø100 ⌀ 700–1.100 mm</t>
  </si>
  <si>
    <t>Ø120</t>
  </si>
  <si>
    <t>Ø150</t>
  </si>
  <si>
    <t>Ø60</t>
  </si>
  <si>
    <t>Ø60 × 3.000 mm</t>
  </si>
  <si>
    <t>Ø80</t>
  </si>
  <si>
    <t>end profile for ripple profile (PREFA)</t>
  </si>
  <si>
    <t>profilo di chiusura; L = 2000 mm</t>
  </si>
  <si>
    <t>ukončovací profil,  délka 2000 mm</t>
  </si>
  <si>
    <t>Profil końcowy L=2000 mm</t>
  </si>
  <si>
    <t>lezáró profil H = 2.000 mm</t>
  </si>
  <si>
    <t>afsluitprofiel L = 2000 mm</t>
  </si>
  <si>
    <t>ändprofil L = 2.000 mm</t>
  </si>
  <si>
    <t>afslutningsprofil L = 2.000 mm</t>
  </si>
  <si>
    <t>avslutningsprofil L = 2000 mm</t>
  </si>
  <si>
    <t>Završni profil L = 2.000 mm</t>
  </si>
  <si>
    <t>external corner (2 elements); L = 2,000 mm</t>
  </si>
  <si>
    <t>Innenecke einteilig (Länge: 2.000 mm)</t>
  </si>
  <si>
    <t>internal corner (one-piece); L = 2,000 mm</t>
  </si>
  <si>
    <t>kútový profil, dĺžka 2000 mm</t>
  </si>
  <si>
    <t>pocket flashing (PREFA)</t>
  </si>
  <si>
    <t>pocket flashing; L = 2,000 mm</t>
  </si>
  <si>
    <t>Narożnik</t>
  </si>
  <si>
    <t>w przypadku poddasza użytkowego, o ile nie jest to konstrukcja niewentylowana</t>
  </si>
  <si>
    <t>beépített tetőtér esetén, kivéve, ha az nem egy szellőztetés nélküli szerkezet</t>
  </si>
  <si>
    <t>pri povalovom priestore s vykurovaním, pokiaľ nejde o nevetrané konštrukcie</t>
  </si>
  <si>
    <t>in het geval van een uitgebouwde zolder, tenzij het een ongeventileerde constructie is</t>
  </si>
  <si>
    <t>v primeru razširjenega podstrešja, razen če je konstrukcija neprezračena</t>
  </si>
  <si>
    <t>Vid ombyggd vind såvida inte konstruktionen är oventilerad</t>
  </si>
  <si>
    <t>Ved udvidet loftrum, medmindre konstruktionen er uventileret</t>
  </si>
  <si>
    <t>Ved ombygd loft, med mindre konstruksjonen er uventilert</t>
  </si>
  <si>
    <t>kod preuređenog potkrovlja, osim ako konstrukcija nije ventilirana</t>
  </si>
  <si>
    <r>
      <t xml:space="preserve">POJISTNÁ HYDROIZOLACE(podle ÖNORM </t>
    </r>
    <r>
      <rPr>
        <sz val="11"/>
        <color rgb="FF000000"/>
        <rFont val="Arial"/>
        <family val="2"/>
      </rPr>
      <t>B 4119)</t>
    </r>
  </si>
  <si>
    <r>
      <t xml:space="preserve">MEMBRANA SZALUNKOWA  (patrz ÖNORM </t>
    </r>
    <r>
      <rPr>
        <sz val="11"/>
        <color rgb="FF000000"/>
        <rFont val="Arial"/>
        <family val="2"/>
      </rPr>
      <t>B 4119)</t>
    </r>
  </si>
  <si>
    <r>
      <t xml:space="preserve">TETŐALÁTÉT (az ÖNORM </t>
    </r>
    <r>
      <rPr>
        <sz val="11"/>
        <color rgb="FF000000"/>
        <rFont val="Arial"/>
        <family val="2"/>
      </rPr>
      <t>B 4119 szerint)</t>
    </r>
  </si>
  <si>
    <r>
      <t>PODKLADOVÝ PÁS (podľa ÖNORM </t>
    </r>
    <r>
      <rPr>
        <sz val="11"/>
        <color rgb="FF000000"/>
        <rFont val="Arial"/>
        <family val="2"/>
      </rPr>
      <t>B 4119)</t>
    </r>
  </si>
  <si>
    <r>
      <t xml:space="preserve">SCHOORSTEENMEMBRAAN (volgens ÖNORM </t>
    </r>
    <r>
      <rPr>
        <sz val="11"/>
        <color rgb="FF000000"/>
        <rFont val="Arial"/>
        <family val="2"/>
      </rPr>
      <t>B 4119)</t>
    </r>
  </si>
  <si>
    <r>
      <t xml:space="preserve">PODLOŽNA MEMBRANA (po ÖNORM </t>
    </r>
    <r>
      <rPr>
        <sz val="11"/>
        <color rgb="FF000000"/>
        <rFont val="Arial"/>
        <family val="2"/>
      </rPr>
      <t>B 4119)</t>
    </r>
  </si>
  <si>
    <r>
      <t xml:space="preserve">UNDERLAGSMEMBRAN(enligt ÖNORM </t>
    </r>
    <r>
      <rPr>
        <sz val="11"/>
        <color rgb="FF000000"/>
        <rFont val="Arial"/>
        <family val="2"/>
      </rPr>
      <t>B 4119)</t>
    </r>
  </si>
  <si>
    <r>
      <t xml:space="preserve">UNDERTAG (iht. ÖNORM </t>
    </r>
    <r>
      <rPr>
        <sz val="11"/>
        <color rgb="FF000000"/>
        <rFont val="Arial"/>
        <family val="2"/>
      </rPr>
      <t>B 4119)</t>
    </r>
  </si>
  <si>
    <r>
      <t xml:space="preserve">UNDERLIGGENDE DEKKLAG iht. ÖNORM </t>
    </r>
    <r>
      <rPr>
        <sz val="11"/>
        <color rgb="FF000000"/>
        <rFont val="Arial"/>
        <family val="2"/>
      </rPr>
      <t>B 4119)</t>
    </r>
  </si>
  <si>
    <r>
      <t xml:space="preserve">PODLOGA (prema ÖNORM </t>
    </r>
    <r>
      <rPr>
        <sz val="11"/>
        <color rgb="FF000000"/>
        <rFont val="Arial"/>
        <family val="2"/>
      </rPr>
      <t>B 4119)</t>
    </r>
  </si>
  <si>
    <t>prosty</t>
  </si>
  <si>
    <t>Einfassungsplatte für Dachschindel DS.19</t>
  </si>
  <si>
    <t>Element wentylacyjny dla Dachówka łupkowa DS.19</t>
  </si>
  <si>
    <t>kivezető elem tetőfedő zsindelyhez DS.19</t>
  </si>
  <si>
    <t>inwerkplaat voor dakschindel DS.19</t>
  </si>
  <si>
    <t>infattningsplatta för takshingel DS.19</t>
  </si>
  <si>
    <t>innfatningsplate for takshingel DS.19</t>
  </si>
  <si>
    <t>Podložna ploča za krovnu šindru DS.19</t>
  </si>
  <si>
    <r>
      <t>film cutter for fixed point (</t>
    </r>
    <r>
      <rPr>
        <sz val="11"/>
        <color rgb="FF000000"/>
        <rFont val="Arial"/>
        <family val="2"/>
      </rPr>
      <t>⌀ 5,1 mm)</t>
    </r>
  </si>
  <si>
    <r>
      <t>Řezačka fólie pro pevný bod (</t>
    </r>
    <r>
      <rPr>
        <sz val="11"/>
        <color rgb="FF000000"/>
        <rFont val="Arial"/>
        <family val="2"/>
      </rPr>
      <t>⌀5,1 mm)</t>
    </r>
  </si>
  <si>
    <r>
      <t>Obcinarka do folii do punktu stałego (</t>
    </r>
    <r>
      <rPr>
        <sz val="11"/>
        <color rgb="FF000000"/>
        <rFont val="Arial"/>
        <family val="2"/>
      </rPr>
      <t>⌀ 5,1 mm)</t>
    </r>
  </si>
  <si>
    <r>
      <t>fóliavágó fixponthoz (</t>
    </r>
    <r>
      <rPr>
        <sz val="11"/>
        <color rgb="FF000000"/>
        <rFont val="Arial"/>
        <family val="2"/>
      </rPr>
      <t>⌀ 5,1 mm)</t>
    </r>
  </si>
  <si>
    <r>
      <t>vyrezávač fólie pre pevné body (</t>
    </r>
    <r>
      <rPr>
        <sz val="11"/>
        <color rgb="FF000000"/>
        <rFont val="Arial"/>
        <family val="2"/>
      </rPr>
      <t>⌀ 5,1 mm)</t>
    </r>
  </si>
  <si>
    <r>
      <t>Foliesnijder voor bevestigingspunt (</t>
    </r>
    <r>
      <rPr>
        <sz val="11"/>
        <color rgb="FF000000"/>
        <rFont val="Arial"/>
        <family val="2"/>
      </rPr>
      <t>⌀ 5,1 mm)</t>
    </r>
  </si>
  <si>
    <r>
      <t>Rezalnik folije za fiksno točko (</t>
    </r>
    <r>
      <rPr>
        <sz val="11"/>
        <color rgb="FF000000"/>
        <rFont val="Arial"/>
        <family val="2"/>
      </rPr>
      <t>⌀ 5,1 mm)</t>
    </r>
  </si>
  <si>
    <r>
      <t>folieskärare för fast punkt (</t>
    </r>
    <r>
      <rPr>
        <sz val="11"/>
        <color rgb="FF000000"/>
        <rFont val="Arial"/>
        <family val="2"/>
      </rPr>
      <t>⌀ 5,1 mm)</t>
    </r>
  </si>
  <si>
    <r>
      <t>Folieskærer til fixpunkt (</t>
    </r>
    <r>
      <rPr>
        <sz val="11"/>
        <color rgb="FF000000"/>
        <rFont val="Arial"/>
        <family val="2"/>
      </rPr>
      <t>⌀ 5,1 mm)</t>
    </r>
  </si>
  <si>
    <r>
      <t>Foliekutter for fastpunkt (</t>
    </r>
    <r>
      <rPr>
        <sz val="11"/>
        <color rgb="FF000000"/>
        <rFont val="Arial"/>
        <family val="2"/>
      </rPr>
      <t>⌀ 5,1 mm)</t>
    </r>
  </si>
  <si>
    <r>
      <t>Rezač folije za fiksnu točku (</t>
    </r>
    <r>
      <rPr>
        <sz val="11"/>
        <color rgb="FF000000"/>
        <rFont val="Arial"/>
        <family val="2"/>
      </rPr>
      <t>⌀ 5,1 mm)</t>
    </r>
  </si>
  <si>
    <r>
      <t>film cutter for sliding point (</t>
    </r>
    <r>
      <rPr>
        <sz val="11"/>
        <color rgb="FF000000"/>
        <rFont val="Arial"/>
        <family val="2"/>
      </rPr>
      <t>⌀ 9,5 mm)</t>
    </r>
  </si>
  <si>
    <r>
      <t>Řezačka fólie pro kluzný bod (</t>
    </r>
    <r>
      <rPr>
        <sz val="11"/>
        <color rgb="FF000000"/>
        <rFont val="Arial"/>
        <family val="2"/>
      </rPr>
      <t>⌀9,5 mm)</t>
    </r>
  </si>
  <si>
    <r>
      <t>Obcinarka do folii do punktu przesuwnego (</t>
    </r>
    <r>
      <rPr>
        <sz val="11"/>
        <color rgb="FF000000"/>
        <rFont val="Arial"/>
        <family val="2"/>
      </rPr>
      <t>⌀ 9,5 mm)</t>
    </r>
  </si>
  <si>
    <r>
      <t>fóliavágó csúszóponthoz (</t>
    </r>
    <r>
      <rPr>
        <sz val="11"/>
        <color rgb="FF000000"/>
        <rFont val="Arial"/>
        <family val="2"/>
      </rPr>
      <t>⌀ 9,5 mm)</t>
    </r>
  </si>
  <si>
    <r>
      <t>vyrezávač fólie pre posuvné body (</t>
    </r>
    <r>
      <rPr>
        <sz val="11"/>
        <color rgb="FF000000"/>
        <rFont val="Arial"/>
        <family val="2"/>
      </rPr>
      <t>⌀ 9,5 mm)</t>
    </r>
  </si>
  <si>
    <r>
      <t>Foliesnijder voor schuifpuntpunt (</t>
    </r>
    <r>
      <rPr>
        <sz val="11"/>
        <color rgb="FF000000"/>
        <rFont val="Arial"/>
        <family val="2"/>
      </rPr>
      <t>⌀ 9,5 mm)</t>
    </r>
  </si>
  <si>
    <r>
      <t>Rezalnik folije za drsno točko (</t>
    </r>
    <r>
      <rPr>
        <sz val="11"/>
        <color rgb="FF000000"/>
        <rFont val="Arial"/>
        <family val="2"/>
      </rPr>
      <t>⌀ 9,5 mm)</t>
    </r>
  </si>
  <si>
    <r>
      <t>folieskärare för glidpunkt (</t>
    </r>
    <r>
      <rPr>
        <sz val="11"/>
        <color rgb="FF000000"/>
        <rFont val="Arial"/>
        <family val="2"/>
      </rPr>
      <t>⌀ 9,5 mm)</t>
    </r>
  </si>
  <si>
    <r>
      <t>Folieskærer til glidepunkt (</t>
    </r>
    <r>
      <rPr>
        <sz val="11"/>
        <color rgb="FF000000"/>
        <rFont val="Arial"/>
        <family val="2"/>
      </rPr>
      <t>⌀ 9,5 mm)</t>
    </r>
  </si>
  <si>
    <r>
      <t>Foliekutter for glidepunkt (</t>
    </r>
    <r>
      <rPr>
        <sz val="11"/>
        <color rgb="FF000000"/>
        <rFont val="Arial"/>
        <family val="2"/>
      </rPr>
      <t>⌀ 9,5 mm)</t>
    </r>
  </si>
  <si>
    <r>
      <t>Rezač folije za kliznu točku (</t>
    </r>
    <r>
      <rPr>
        <sz val="11"/>
        <color rgb="FF000000"/>
        <rFont val="Arial"/>
        <family val="2"/>
      </rPr>
      <t>⌀ 9,5 mm)</t>
    </r>
  </si>
  <si>
    <r>
      <t>m</t>
    </r>
    <r>
      <rPr>
        <vertAlign val="superscript"/>
        <sz val="11"/>
        <color theme="1"/>
        <rFont val="Arial"/>
        <family val="2"/>
      </rPr>
      <t>1</t>
    </r>
  </si>
  <si>
    <t>end profile</t>
  </si>
  <si>
    <t>ukončovací profil, dĺžka 2000 mm</t>
  </si>
  <si>
    <t>end profile for serrated profile (PREFA)</t>
  </si>
  <si>
    <t>[VV]</t>
  </si>
  <si>
    <t>[L] notranja odprtina</t>
  </si>
  <si>
    <t>[tm]</t>
  </si>
  <si>
    <t>[kos]</t>
  </si>
  <si>
    <r>
      <rPr>
        <sz val="11"/>
        <rFont val="Arial"/>
        <family val="2"/>
      </rPr>
      <t>Pokrov V 25, z izvrtinami in posnetimi robovi</t>
    </r>
  </si>
  <si>
    <r>
      <rPr>
        <sz val="11"/>
        <rFont val="Arial"/>
        <family val="2"/>
      </rPr>
      <t>Pokrov V 50, z izvrtinami in posnetimi robovi</t>
    </r>
  </si>
  <si>
    <r>
      <rPr>
        <sz val="11"/>
        <rFont val="Arial"/>
        <family val="2"/>
      </rPr>
      <t>Pokrov V 80, z izvrtinami in posnetimi robovi</t>
    </r>
  </si>
  <si>
    <r>
      <rPr>
        <sz val="11"/>
        <rFont val="Arial"/>
        <family val="2"/>
      </rPr>
      <t>Pokrov VO 25, z izvrtinami in posnetimi robovi</t>
    </r>
  </si>
  <si>
    <r>
      <rPr>
        <sz val="11"/>
        <rFont val="Arial"/>
        <family val="2"/>
      </rPr>
      <t>Pokrov VO 50, z izvrtinami in posnetimi robovi</t>
    </r>
  </si>
  <si>
    <r>
      <rPr>
        <sz val="11"/>
        <rFont val="Arial"/>
        <family val="2"/>
      </rPr>
      <t>Pokrov VO 80, z izvrtinami in posnetimi robovi</t>
    </r>
  </si>
  <si>
    <t>Pozor! Največja dolžina pri prevleki 3.000 mm</t>
  </si>
  <si>
    <t>POZOR: izbranih je preveč okroglih profilov</t>
  </si>
  <si>
    <t>trk naplavin (samo pri vnosu vpadnega kota),</t>
  </si>
  <si>
    <t>Masa naplavin: m</t>
  </si>
  <si>
    <t>Vpadni kot [°]:</t>
  </si>
  <si>
    <t>Število polj:</t>
  </si>
  <si>
    <t>Število enakih sistemov:</t>
  </si>
  <si>
    <t>Doplačilo za izrez stranskih delov za zajezitvene lamele</t>
  </si>
  <si>
    <t>Doplačilo za spremembo dolžine stranskih delov</t>
  </si>
  <si>
    <t>Doplačilo za uro načrtovanja</t>
  </si>
  <si>
    <r>
      <rPr>
        <sz val="11"/>
        <rFont val="Arial"/>
        <family val="2"/>
      </rPr>
      <t>Doplačilo za varjenje sider (na 300 mm)</t>
    </r>
  </si>
  <si>
    <t>Izrez stranskih delov za zajezitveni prečnik</t>
  </si>
  <si>
    <t>Vrsta izvedbe</t>
  </si>
  <si>
    <t>PREFA ne prevzema nobene odgovornosti v primeru nestrokovne montaže in/ali vzdrževanja ali uporabe neoriginalne dodatne opreme.</t>
  </si>
  <si>
    <t>Pri sistemu 25 je mogoče le 1 polje!</t>
  </si>
  <si>
    <t>prevlečeno</t>
  </si>
  <si>
    <t>Prevleka</t>
  </si>
  <si>
    <t>BHW = visoka voda za dimenzioniranje</t>
  </si>
  <si>
    <t>prazno</t>
  </si>
  <si>
    <t>Talno tesnilo 25</t>
  </si>
  <si>
    <t>Talno tesnilo 50</t>
  </si>
  <si>
    <t>Talno tesnilo 80</t>
  </si>
  <si>
    <t>Talna puša</t>
  </si>
  <si>
    <t>Talna puša 50/80, prevlečeni aluminij, vključno s pokrovom in tesnilom</t>
  </si>
  <si>
    <r>
      <t>Markhylsa 50/80 aluminiu</t>
    </r>
    <r>
      <rPr>
        <sz val="11"/>
        <rFont val="Arial"/>
        <family val="2"/>
      </rPr>
      <t>m, ytbehandlad</t>
    </r>
    <r>
      <rPr>
        <sz val="11"/>
        <color theme="1"/>
        <rFont val="Arial"/>
        <family val="2"/>
      </rPr>
      <t>, inkl. lock med tätning</t>
    </r>
  </si>
  <si>
    <t>Talna puša 50/80, prevlečeno nerjavno jeklo, vključno s pokrovom in tesnilom</t>
  </si>
  <si>
    <r>
      <t xml:space="preserve">Markhylsa 50/80 rostfritt stål, </t>
    </r>
    <r>
      <rPr>
        <sz val="11"/>
        <rFont val="Arial"/>
        <family val="2"/>
      </rPr>
      <t>ytbehandlad</t>
    </r>
    <r>
      <rPr>
        <sz val="11"/>
        <color theme="1"/>
        <rFont val="Arial"/>
        <family val="2"/>
      </rPr>
      <t>, inkl. lock med tätning</t>
    </r>
  </si>
  <si>
    <r>
      <t>Markhylsa 50/80 Vario aluminium,</t>
    </r>
    <r>
      <rPr>
        <sz val="11"/>
        <color rgb="FFFFFF00"/>
        <rFont val="Arial"/>
        <family val="2"/>
      </rPr>
      <t xml:space="preserve"> </t>
    </r>
    <r>
      <rPr>
        <sz val="11"/>
        <rFont val="Arial"/>
        <family val="2"/>
      </rPr>
      <t>ytbehandlad</t>
    </r>
    <r>
      <rPr>
        <sz val="11"/>
        <color theme="1"/>
        <rFont val="Arial"/>
        <family val="2"/>
      </rPr>
      <t>, inkl. lock med tätning</t>
    </r>
  </si>
  <si>
    <r>
      <t xml:space="preserve">Markhylsa 50/80 Vario rostfritt stål, </t>
    </r>
    <r>
      <rPr>
        <sz val="11"/>
        <rFont val="Arial"/>
        <family val="2"/>
      </rPr>
      <t>ytbehandlad</t>
    </r>
    <r>
      <rPr>
        <sz val="11"/>
        <color theme="1"/>
        <rFont val="Arial"/>
        <family val="2"/>
      </rPr>
      <t>, inkl. lock med tätning</t>
    </r>
  </si>
  <si>
    <t>Pokrov za talno pušo</t>
  </si>
  <si>
    <t>zwięzły</t>
  </si>
  <si>
    <r>
      <rPr>
        <sz val="11"/>
        <rFont val="Arial"/>
        <family val="2"/>
      </rPr>
      <t>Zvezno</t>
    </r>
  </si>
  <si>
    <r>
      <rPr>
        <sz val="11"/>
        <rFont val="Arial"/>
        <family val="2"/>
      </rPr>
      <t>Zajezitvene lamele</t>
    </r>
  </si>
  <si>
    <t>Zajezitvena lamela 25/200, brez tesnila, odrezana, s posnetimi robovi</t>
  </si>
  <si>
    <t>Zajezitvena lamela 50/150, brez tesnila, odrezana, s posnetimi robovi</t>
  </si>
  <si>
    <t>Zajezitvena lamela 50/200, brez tesnila, odrezana, s posnetimi robovi</t>
  </si>
  <si>
    <r>
      <t>DÄMMBALK 50/200 exkl. tätning,</t>
    </r>
    <r>
      <rPr>
        <sz val="11"/>
        <rFont val="Arial"/>
        <family val="2"/>
      </rPr>
      <t xml:space="preserve"> kapad &amp; avgradad</t>
    </r>
  </si>
  <si>
    <t>Zajezitvena lamela 80/200, brez tesnila, odrezana, s posnetimi robovi</t>
  </si>
  <si>
    <r>
      <t>DÄMMBALK 80/200 exkl. tätning, kapad &amp;</t>
    </r>
    <r>
      <rPr>
        <sz val="11"/>
        <rFont val="Arial"/>
        <family val="2"/>
      </rPr>
      <t xml:space="preserve"> avgradad</t>
    </r>
  </si>
  <si>
    <t>Tesnilo za zajezitveno lamelo (25)</t>
  </si>
  <si>
    <t>Tesnilo za zajezitveno lamelo (50+80)</t>
  </si>
  <si>
    <t>in nestrokovne uporabe gradbenih elementov, med drugim tudi pri poškodbah zaradi mehanskega vpliva oseb in predmetov.</t>
  </si>
  <si>
    <t>Orodje za izračun upošteva zahteve tehničnega lista 6/BWK, izdaja december 2005:</t>
  </si>
  <si>
    <t>Orodje za izračun se nanaša izključno na sisteme protipoplavne zaščite PREFA.</t>
  </si>
  <si>
    <r>
      <t>Beräkningsverktyget är uteslutande avsett för PREFA-</t>
    </r>
    <r>
      <rPr>
        <sz val="11"/>
        <color rgb="FFFFFF00"/>
        <rFont val="Arial"/>
        <family val="2"/>
      </rPr>
      <t xml:space="preserve">. </t>
    </r>
    <r>
      <rPr>
        <sz val="11"/>
        <rFont val="Arial"/>
        <family val="2"/>
      </rPr>
      <t>översvämningsskydd</t>
    </r>
  </si>
  <si>
    <t>Vnos podatkov</t>
  </si>
  <si>
    <r>
      <rPr>
        <sz val="11"/>
        <rFont val="Arial"/>
        <family val="2"/>
      </rPr>
      <t>Trajno talno tesnilo 50</t>
    </r>
  </si>
  <si>
    <r>
      <rPr>
        <sz val="11"/>
        <rFont val="Arial"/>
        <family val="2"/>
      </rPr>
      <t>Trajno talno tesnilo 80</t>
    </r>
  </si>
  <si>
    <r>
      <rPr>
        <sz val="11"/>
        <rFont val="Arial"/>
        <family val="2"/>
      </rPr>
      <t>Trajno talno tesnilo:</t>
    </r>
  </si>
  <si>
    <t>Določitev polja notranje odprtine:</t>
  </si>
  <si>
    <r>
      <t>Dense water incl. debris:  r</t>
    </r>
    <r>
      <rPr>
        <vertAlign val="subscript"/>
        <sz val="11"/>
        <color rgb="FF000000"/>
        <rFont val="Arial"/>
        <family val="2"/>
      </rPr>
      <t>w</t>
    </r>
  </si>
  <si>
    <r>
      <t>Hustota vody vrát. prímesí:  r</t>
    </r>
    <r>
      <rPr>
        <vertAlign val="subscript"/>
        <sz val="11"/>
        <color rgb="FF000000"/>
        <rFont val="Arial"/>
        <family val="2"/>
      </rPr>
      <t>w</t>
    </r>
  </si>
  <si>
    <r>
      <rPr>
        <sz val="11"/>
        <rFont val="Arial"/>
        <family val="2"/>
      </rPr>
      <t>Gostota vode, vključno s prodnim nanosom: r</t>
    </r>
    <r>
      <rPr>
        <vertAlign val="subscript"/>
        <sz val="11"/>
        <rFont val="Arial"/>
        <family val="2"/>
      </rPr>
      <t>w</t>
    </r>
  </si>
  <si>
    <r>
      <t>Vattendensitet inkl. slam:  r</t>
    </r>
    <r>
      <rPr>
        <vertAlign val="subscript"/>
        <sz val="11"/>
        <color rgb="FF000000"/>
        <rFont val="Arial"/>
        <family val="2"/>
      </rPr>
      <t>w</t>
    </r>
  </si>
  <si>
    <r>
      <t>Vandtæthed, inkl. sediment:  r</t>
    </r>
    <r>
      <rPr>
        <vertAlign val="subscript"/>
        <sz val="11"/>
        <color rgb="FF000000"/>
        <rFont val="Arial"/>
        <family val="2"/>
      </rPr>
      <t>w</t>
    </r>
  </si>
  <si>
    <r>
      <t>Tetthet for vann inkl. rullestein:  r</t>
    </r>
    <r>
      <rPr>
        <vertAlign val="subscript"/>
        <sz val="11"/>
        <color rgb="FF000000"/>
        <rFont val="Arial"/>
        <family val="2"/>
      </rPr>
      <t>w</t>
    </r>
  </si>
  <si>
    <r>
      <t>Gustoća vode uklj. nanose:  r</t>
    </r>
    <r>
      <rPr>
        <vertAlign val="subscript"/>
        <sz val="11"/>
        <color rgb="FF000000"/>
        <rFont val="Arial"/>
        <family val="2"/>
      </rPr>
      <t>w</t>
    </r>
  </si>
  <si>
    <t>Tömítés padlóhüvely-fedélhez nagy ø DM 230 mm</t>
  </si>
  <si>
    <r>
      <rPr>
        <sz val="11"/>
        <rFont val="Arial"/>
        <family val="2"/>
      </rPr>
      <t>Tesnilo za pokrov in talno pušo, veliko, premer 230 mm</t>
    </r>
  </si>
  <si>
    <r>
      <rPr>
        <sz val="11"/>
        <rFont val="Arial"/>
        <family val="2"/>
      </rPr>
      <t>Tesnilo za pokrov in talno pušo, majhno, premer 170 mm</t>
    </r>
  </si>
  <si>
    <t>Rezultati izračuna niso uporabni za druge izdelke ali uporabe.</t>
  </si>
  <si>
    <r>
      <t>Beräkningsresultaten kan inte tillämpas på andra produkter eller</t>
    </r>
    <r>
      <rPr>
        <sz val="11"/>
        <color rgb="FFFFFF00"/>
        <rFont val="Arial"/>
        <family val="2"/>
      </rPr>
      <t xml:space="preserve"> </t>
    </r>
    <r>
      <rPr>
        <sz val="11"/>
        <rFont val="Arial"/>
        <family val="2"/>
      </rPr>
      <t>användningsområden.</t>
    </r>
  </si>
  <si>
    <t>Rezultati izračuna so uporabni samo za sistem protipoplavne zaščite, ki ga zajemajo vhodni podatki.</t>
  </si>
  <si>
    <r>
      <t xml:space="preserve">Beräkningsresultaten ska bara användas för det </t>
    </r>
    <r>
      <rPr>
        <sz val="11"/>
        <rFont val="Arial"/>
        <family val="2"/>
      </rPr>
      <t xml:space="preserve">övervämningsskydd </t>
    </r>
    <r>
      <rPr>
        <sz val="11"/>
        <color theme="1"/>
        <rFont val="Arial"/>
        <family val="2"/>
      </rPr>
      <t>som inmatade data hänvisar till.</t>
    </r>
  </si>
  <si>
    <t>Orodje za izračun samodejno obdela podatke, ki jih vnese uporabnik, brez preverjanja njihove pravilnosti.</t>
  </si>
  <si>
    <t>Upogibanje</t>
  </si>
  <si>
    <t>Izključitev odgovornosti PREFA velja tudi v primeru gradbenih pomanjkljivosti, zlasti v primeru neustrezno vodotesne gradbene osnove gradbenega objekta, delovanja hidrostatične sile</t>
  </si>
  <si>
    <r>
      <t>Även strukturella brister, i synnerhet</t>
    </r>
    <r>
      <rPr>
        <sz val="11"/>
        <color rgb="FFFFFF00"/>
        <rFont val="Arial"/>
        <family val="2"/>
      </rPr>
      <t xml:space="preserve"> </t>
    </r>
    <r>
      <rPr>
        <sz val="11"/>
        <rFont val="Arial"/>
        <family val="2"/>
      </rPr>
      <t>byggnadskonstruction</t>
    </r>
    <r>
      <rPr>
        <sz val="11"/>
        <color theme="1"/>
        <rFont val="Arial"/>
        <family val="2"/>
      </rPr>
      <t xml:space="preserve"> som inte är vattentät, hydrostatisk kraft och felaktig hantering av komponenter,</t>
    </r>
  </si>
  <si>
    <t>Nerjavno jeklo</t>
  </si>
  <si>
    <t>Soglasje</t>
  </si>
  <si>
    <t>E-naslov:</t>
  </si>
  <si>
    <t>Končna vsota</t>
  </si>
  <si>
    <t>Višina profila:</t>
  </si>
  <si>
    <t>FB = nadvodje</t>
  </si>
  <si>
    <t>Polje št.</t>
  </si>
  <si>
    <t>Hitrost pretoka: v</t>
  </si>
  <si>
    <t>Izračunajo oziroma upoštevajo se naslednji dokazi:</t>
  </si>
  <si>
    <t>Nadvodje [mm]:</t>
  </si>
  <si>
    <t>Skupna dolžina</t>
  </si>
  <si>
    <t>Osnovni profil 50 (H-profil pred špaleto) brez tesnila, z izvrtinami in posnetimi robovi</t>
  </si>
  <si>
    <t>Osnovni profil 50 (H-profil pred špaleto) Posebna dolžina brez tesnila, z izvrtinami in posnetimi robovi</t>
  </si>
  <si>
    <t>Osnovni profil 50 (H-profil pred špaleto) V palicah, brez tesnila, z izvrtinami in posnetimi robovi</t>
  </si>
  <si>
    <t>Osnovni profil 80 (H-profil pred špaleto) brez tesnila, z izvrtinami in posnetimi robovi</t>
  </si>
  <si>
    <t>Osnovni profil 80 (H-profil pred špaleto) Posebna dolžina brez tesnila, z izvrtinami in posnetimi robovi</t>
  </si>
  <si>
    <t>Osnovni profil 80 (H-profil pred špaleto) V palicah, brez tesnila, z izvrtinami in posnetimi robovi</t>
  </si>
  <si>
    <t>Tesnilo za osnovni profil</t>
  </si>
  <si>
    <r>
      <rPr>
        <sz val="11"/>
        <rFont val="Arial"/>
        <family val="2"/>
      </rPr>
      <t>Držalo za zajezitveno lamelo</t>
    </r>
  </si>
  <si>
    <r>
      <rPr>
        <sz val="11"/>
        <rFont val="Arial"/>
        <family val="2"/>
      </rPr>
      <t>Držalo za zajezitveno lamelo:</t>
    </r>
  </si>
  <si>
    <r>
      <rPr>
        <sz val="11"/>
        <rFont val="Arial"/>
        <family val="2"/>
      </rPr>
      <t>Pripomoček za dviganje</t>
    </r>
  </si>
  <si>
    <t>sistema protipoplavne zaščite in možnega napačnega vnosa podatkov za izračun predstavljajo le neobvezujoča priporočila.</t>
  </si>
  <si>
    <t>hidrodinamični vpliv,</t>
  </si>
  <si>
    <t>Hidrostatično in dinamično</t>
  </si>
  <si>
    <t>hidrostatični vpliv,</t>
  </si>
  <si>
    <t>w ścianie</t>
  </si>
  <si>
    <r>
      <rPr>
        <sz val="11"/>
        <rFont val="Arial"/>
        <family val="2"/>
      </rPr>
      <t>V špaleti</t>
    </r>
  </si>
  <si>
    <t>małe</t>
  </si>
  <si>
    <t>brez</t>
  </si>
  <si>
    <t>kg/kos</t>
  </si>
  <si>
    <t>lahko rezultati izračuna zaradi individualnih konstrukcijskih posebnosti vsakega</t>
  </si>
  <si>
    <r>
      <rPr>
        <sz val="11"/>
        <rFont val="Arial"/>
        <family val="2"/>
      </rPr>
      <t>Zakriti ležaji</t>
    </r>
  </si>
  <si>
    <t>Zaščita okolice</t>
  </si>
  <si>
    <t>Sprememba dolžine stranskih delov</t>
  </si>
  <si>
    <t>Želena dolžina sistema [mm]:</t>
  </si>
  <si>
    <t>Levo</t>
  </si>
  <si>
    <t>z naplavinami</t>
  </si>
  <si>
    <r>
      <rPr>
        <sz val="11"/>
        <rFont val="Arial"/>
        <family val="2"/>
      </rPr>
      <t>Vrsta montaže</t>
    </r>
  </si>
  <si>
    <r>
      <rPr>
        <sz val="11"/>
        <rFont val="Arial"/>
        <family val="2"/>
      </rPr>
      <t>Montažni pripomoček za talno pušo</t>
    </r>
  </si>
  <si>
    <r>
      <rPr>
        <sz val="11"/>
        <rFont val="Arial"/>
        <family val="2"/>
      </rPr>
      <t>Držalo za zajezitveno lamelo: najv. 1750</t>
    </r>
  </si>
  <si>
    <t>Držalo, vključno z vpenjalnim kosom, sidrom in navojno palico</t>
  </si>
  <si>
    <t>Zaščita objektov</t>
  </si>
  <si>
    <t>Čeprav je orodje za izračun PREFA izdelano z največjo skrbnostjo,</t>
  </si>
  <si>
    <t>Ravna zajezitvena lamela</t>
  </si>
  <si>
    <r>
      <rPr>
        <sz val="11"/>
        <rFont val="Arial"/>
        <family val="2"/>
      </rPr>
      <t>Ritning-</t>
    </r>
    <r>
      <rPr>
        <sz val="11"/>
        <color theme="1"/>
        <rFont val="Arial"/>
        <family val="2"/>
      </rPr>
      <t>DÄMMBALK</t>
    </r>
  </si>
  <si>
    <t>PREFA nudi uporabnikom brezplačno orodje za izračun sistemov protipoplavne zaščite PREFA.</t>
  </si>
  <si>
    <t>SISTEM PROTIPOPLAVNE ZAŠČITE PREFA</t>
  </si>
  <si>
    <t>VPRAŠALNIK ZA IZBIRO SISTEMA PROTIPOPLAVNE ZAŠČITE PREFA</t>
  </si>
  <si>
    <r>
      <t>Frågeformulär för PREFA</t>
    </r>
    <r>
      <rPr>
        <sz val="11"/>
        <color rgb="FFFFFF00"/>
        <rFont val="Arial"/>
        <family val="2"/>
      </rPr>
      <t>-</t>
    </r>
    <r>
      <rPr>
        <sz val="11"/>
        <rFont val="Arial"/>
        <family val="2"/>
      </rPr>
      <t>översvämningsskydd</t>
    </r>
  </si>
  <si>
    <t>PREFA v zvezi s tem ne prevzema nobene odgovornosti za pravilnost ali popolnost rezultatov izračuna ali za odškodninske zahtevke, ki izhajajo iz tega.</t>
  </si>
  <si>
    <t>PREFA ne prevzema nobene garancije za absolutno preprečevanje škode.</t>
  </si>
  <si>
    <t>PREFA razume orodje za izračun kot pripomoček za strokovnjaka, ki pa ga v posamičnem primeru ne odvezuje obveznosti za samostojno preverjanje.</t>
  </si>
  <si>
    <t>Cena brez DDV</t>
  </si>
  <si>
    <t>Cena na tm ali kos</t>
  </si>
  <si>
    <t>Prevelika višina profila!</t>
  </si>
  <si>
    <t>Popust</t>
  </si>
  <si>
    <t>Barva RAL ali PREFA:</t>
  </si>
  <si>
    <t>Okrogli profil</t>
  </si>
  <si>
    <t>Okrogli profil 50 brez tesnila, z izvrtinami in posnetimi robovi</t>
  </si>
  <si>
    <t>Okrogli profil 50, posebna dolžina, brez tesnila, z izvrtinami in posnetimi robovi</t>
  </si>
  <si>
    <t>Okrogli profil 50–90°, brez tesnila, z izvrtinami in posnetimi robovi</t>
  </si>
  <si>
    <t>Okrogli profil 50–90°, posebna dolžina, brez tesnila, z izvrtinami in posnetimi robovi</t>
  </si>
  <si>
    <t>Okrogli profil 50-Vario, brez tesnila, z izvrtinami in posnetimi robovi</t>
  </si>
  <si>
    <t>Okrogli profil 50-Vario, posebna dolžina, brez tesnila, z izvrtinami in posnetimi robovi</t>
  </si>
  <si>
    <t>Okrogli profil 80 brez tesnila, z izvrtinami in posnetimi robovi</t>
  </si>
  <si>
    <t>Okrogli profil 80°, brez tesnila, z izvrtinami in posnetimi robovi</t>
  </si>
  <si>
    <t>Okrogli profil 80°, Posebna dolžina brez tesnila, z izvrtinami in posnetimi robovi</t>
  </si>
  <si>
    <t>Okrogli profil 80, posebna dolžina, brez tesnila, z izvrtinami in posnetimi robovi</t>
  </si>
  <si>
    <t>Okrogli profil 80–90°, brez tesnila, z izvrtinami in posnetimi robovi</t>
  </si>
  <si>
    <t>Okrogli profil 80–90°, posebna dolžina, brez tesnila, z izvrtinami in posnetimi robovi</t>
  </si>
  <si>
    <t>Okrogli profil 80-Vario, brez tesnila, z izvrtinami in posnetimi robovi</t>
  </si>
  <si>
    <t>Okrogli profil 80-Vario, posebna dolžina, brez tesnila, z izvrtinami in posnetimi robovi</t>
  </si>
  <si>
    <t>Okrogli profil 90°</t>
  </si>
  <si>
    <t>Okrogli profil, velik</t>
  </si>
  <si>
    <t>Okrogli profil Vario</t>
  </si>
  <si>
    <r>
      <rPr>
        <sz val="11"/>
        <rFont val="Arial"/>
        <family val="2"/>
      </rPr>
      <t>Stranski deli</t>
    </r>
  </si>
  <si>
    <t>Montažno orodje za sidranje</t>
  </si>
  <si>
    <r>
      <rPr>
        <sz val="11"/>
        <rFont val="Arial"/>
        <family val="2"/>
      </rPr>
      <t>Varnostni vijak za pokrov:</t>
    </r>
  </si>
  <si>
    <r>
      <rPr>
        <sz val="11"/>
        <rFont val="Arial"/>
        <family val="2"/>
      </rPr>
      <t>Varnostni vijak za pokrov</t>
    </r>
  </si>
  <si>
    <r>
      <rPr>
        <sz val="11"/>
        <rFont val="Arial"/>
        <family val="2"/>
      </rPr>
      <t>Posebni stroški</t>
    </r>
  </si>
  <si>
    <t>Posebni popust</t>
  </si>
  <si>
    <t>Vpenjalni kos s 6-robim vijakom:</t>
  </si>
  <si>
    <r>
      <rPr>
        <sz val="11"/>
        <rFont val="Arial"/>
        <family val="2"/>
      </rPr>
      <t>Vpenjalni kos z zvezdastim gumbom:</t>
    </r>
  </si>
  <si>
    <t>Statyczne wykorzystanie belek w %</t>
  </si>
  <si>
    <t>Statični izkoristek zajezitvene lamele v %</t>
  </si>
  <si>
    <t>Statični izkoristek stojal v %</t>
  </si>
  <si>
    <t>Statični izračun</t>
  </si>
  <si>
    <t>Zajezitvena višina (Visoka voda za dimenzioniranje) [mm]:</t>
  </si>
  <si>
    <t>Ure</t>
  </si>
  <si>
    <t>Stojalo št.</t>
  </si>
  <si>
    <r>
      <rPr>
        <sz val="11"/>
        <rFont val="Arial"/>
        <family val="2"/>
      </rPr>
      <t xml:space="preserve">Stolpe </t>
    </r>
    <r>
      <rPr>
        <sz val="11"/>
        <color theme="1"/>
        <rFont val="Arial"/>
        <family val="2"/>
      </rPr>
      <t>nr</t>
    </r>
  </si>
  <si>
    <t>Kos</t>
  </si>
  <si>
    <t>Sistem 25:</t>
  </si>
  <si>
    <t>Sistem 50:</t>
  </si>
  <si>
    <t>Sistem 80:</t>
  </si>
  <si>
    <t>Nosilna zanesljivost</t>
  </si>
  <si>
    <r>
      <rPr>
        <sz val="11"/>
        <rFont val="Arial"/>
        <family val="2"/>
      </rPr>
      <t xml:space="preserve">Strukturell </t>
    </r>
    <r>
      <rPr>
        <sz val="11"/>
        <color theme="1"/>
        <rFont val="Arial"/>
        <family val="2"/>
      </rPr>
      <t>säkerhet</t>
    </r>
  </si>
  <si>
    <t>U-profil 25, brez tesnila pred špaleto, z izvrtinami in posnetimi robovi</t>
  </si>
  <si>
    <t>U-profil 25, brez tesnila, z izvrtinami in posnetimi robovi</t>
  </si>
  <si>
    <t>U-profil 25, posebna dolžina, brez tesnila pred špaleto, z izvrtinami in posnetimi robovi</t>
  </si>
  <si>
    <t>U-profil 25, posebna dolžina, brez tesnila, z izvrtinami in posnetimi robovi</t>
  </si>
  <si>
    <t>U-profil 50 brez tesnila, z izvrtinami in posnetimi robovi</t>
  </si>
  <si>
    <t>U-profil 50, posebna dolžina, brez tesnila, z izvrtinami in posnetimi robovi</t>
  </si>
  <si>
    <t>U-profil 80, brez tesnila, z izvrtinami in posnetimi robovi</t>
  </si>
  <si>
    <t>U-profil 80, posebna dolžina brez tesnila, z izvrtinami in posnetimi robovi</t>
  </si>
  <si>
    <r>
      <rPr>
        <sz val="11"/>
        <rFont val="Arial"/>
        <family val="2"/>
      </rPr>
      <t>Navarjeno sidro 300 mm</t>
    </r>
  </si>
  <si>
    <t>Popolna zajezitev</t>
  </si>
  <si>
    <t>před ostěním</t>
  </si>
  <si>
    <r>
      <rPr>
        <sz val="11"/>
        <rFont val="Arial"/>
        <family val="2"/>
      </rPr>
      <t>Pred špaleto</t>
    </r>
  </si>
  <si>
    <t>predpostavke za statično dokazilo (po potrebi se lahko spremenijo):</t>
  </si>
  <si>
    <t>VS = popolna zajezitev</t>
  </si>
  <si>
    <r>
      <t>Heavy water: g</t>
    </r>
    <r>
      <rPr>
        <vertAlign val="subscript"/>
        <sz val="11"/>
        <color rgb="FF000000"/>
        <rFont val="Arial"/>
        <family val="2"/>
      </rPr>
      <t>w</t>
    </r>
  </si>
  <si>
    <r>
      <t>Špecifická hmotnosť vody: g</t>
    </r>
    <r>
      <rPr>
        <vertAlign val="subscript"/>
        <sz val="11"/>
        <color rgb="FF000000"/>
        <rFont val="Arial"/>
        <family val="2"/>
      </rPr>
      <t>w</t>
    </r>
  </si>
  <si>
    <r>
      <rPr>
        <sz val="11"/>
        <rFont val="Arial"/>
        <family val="2"/>
      </rPr>
      <t>Gostota vode: g</t>
    </r>
    <r>
      <rPr>
        <vertAlign val="subscript"/>
        <sz val="11"/>
        <rFont val="Arial"/>
        <family val="2"/>
      </rPr>
      <t>w</t>
    </r>
  </si>
  <si>
    <r>
      <t>Vattnets densitet: g</t>
    </r>
    <r>
      <rPr>
        <vertAlign val="subscript"/>
        <sz val="11"/>
        <color rgb="FF000000"/>
        <rFont val="Arial"/>
        <family val="2"/>
      </rPr>
      <t>w</t>
    </r>
  </si>
  <si>
    <r>
      <t>Vægt af vand: g</t>
    </r>
    <r>
      <rPr>
        <vertAlign val="subscript"/>
        <sz val="11"/>
        <color rgb="FF000000"/>
        <rFont val="Arial"/>
        <family val="2"/>
      </rPr>
      <t>w</t>
    </r>
  </si>
  <si>
    <r>
      <t>Volumvekt vann: g</t>
    </r>
    <r>
      <rPr>
        <vertAlign val="subscript"/>
        <sz val="11"/>
        <color rgb="FF000000"/>
        <rFont val="Arial"/>
        <family val="2"/>
      </rPr>
      <t>w</t>
    </r>
  </si>
  <si>
    <r>
      <t>Specifična težina vode: g</t>
    </r>
    <r>
      <rPr>
        <vertAlign val="subscript"/>
        <sz val="11"/>
        <color rgb="FF000000"/>
        <rFont val="Arial"/>
        <family val="2"/>
      </rPr>
      <t>w</t>
    </r>
  </si>
  <si>
    <t>Dodatna oprema</t>
  </si>
  <si>
    <t>Vmesna vsota</t>
  </si>
  <si>
    <t>internal corner L = 3,000 mm (in several parts)</t>
  </si>
  <si>
    <t>FORMULAIRE DE COMMANDE : PRODUITS SPÉCIAUX</t>
  </si>
  <si>
    <t>ÉQUERRE DE GOUTTIÈRE 2D</t>
  </si>
  <si>
    <t>GUTTER ANGLE 3D</t>
  </si>
  <si>
    <t>ÉQUERRE DE GOUTTIÈRE 3D</t>
  </si>
  <si>
    <t>EMBRANCHEMENT (SIMPLE)</t>
  </si>
  <si>
    <t>EMBRANCHEMENT (DOUBLE)</t>
  </si>
  <si>
    <t>EMBRANCHEMENT POUR TUYAU DE DESCENTE CARRÉ (SIMPLE)</t>
  </si>
  <si>
    <t>EMBRANCHEMENT POUR TUYAU DE DESCENTE CARRÉ (DOUBLE)</t>
  </si>
  <si>
    <t>starter profile P.10 special colours (length: 2.000 mm)</t>
  </si>
  <si>
    <t>profil de départ; L = 2 000 mm P.10 autre teinte</t>
  </si>
  <si>
    <t>Pocket flashing (length 3.000 mm)</t>
  </si>
  <si>
    <t>Width measured in roof pitch</t>
  </si>
  <si>
    <t>largeur mesurée selon la pente de toit</t>
  </si>
  <si>
    <t>Longueur de bande de départ</t>
  </si>
  <si>
    <t>Patte pour losange 29 x29</t>
  </si>
  <si>
    <t>min 10mm</t>
  </si>
  <si>
    <t>stainless steel preformed fixed clip for fastening with screws</t>
  </si>
  <si>
    <t>Patte inox fixe pour fixation à la vis</t>
  </si>
  <si>
    <t>stainless steel preformed sliding clip for fastening with screws</t>
  </si>
  <si>
    <t>Patte coulissante standard inox pour fixation à la vis</t>
  </si>
  <si>
    <t>stainless steel preformed long sliding clip for fastening with screws</t>
  </si>
  <si>
    <t>Patte longue coulissante inox pour fixation à la vis</t>
  </si>
  <si>
    <t>perforated siding without shadow gap</t>
  </si>
  <si>
    <t>Siding perforé sans joint creux</t>
  </si>
  <si>
    <t>Special screw 5,5 x 25 mm for Aluminium supporting substructure</t>
  </si>
  <si>
    <t>Vis spéciale pour sous-construction en aluminium 5,5 x 25 mm</t>
  </si>
  <si>
    <t>Special screw 5,5 x 25 mm for steel supporting substructure</t>
  </si>
  <si>
    <t>Vis spéciale pour sous-construction en acier 5,5 x 25 mm</t>
  </si>
  <si>
    <t>special screw for timber sub-structure framework</t>
  </si>
  <si>
    <t>Vis spéciale pour sous-construction en bois 4,9 x 35 mm</t>
  </si>
  <si>
    <t>façade screw for aluminium sub-structure framework</t>
  </si>
  <si>
    <t>Vis de façade pour sous-construction en aluminium</t>
  </si>
  <si>
    <t>fixed point bushing for façade screw</t>
  </si>
  <si>
    <t>Douille de guidage pour point fixe vis de façade</t>
  </si>
  <si>
    <t>sliding point bushing for façade screw</t>
  </si>
  <si>
    <t>Douille de guidage pour point coulissant vis de façade</t>
  </si>
  <si>
    <t>POINT COULISSANT</t>
  </si>
  <si>
    <t>perforated</t>
  </si>
  <si>
    <t>Perforé</t>
  </si>
  <si>
    <t>countersunk screws</t>
  </si>
  <si>
    <t>Vis à tête fraisée</t>
  </si>
  <si>
    <t>overlapping 100 mm</t>
  </si>
  <si>
    <t>Recouvrement 100 mm</t>
  </si>
  <si>
    <t>Fixation permettant une dilatation suffisante</t>
  </si>
  <si>
    <t>in schneereichen Gebieten ab 35° (70%)</t>
  </si>
  <si>
    <t>in snow-rich areas from 35° (70%)</t>
  </si>
  <si>
    <t>Dans les zones enneigées à partir de 35° (70%)</t>
  </si>
  <si>
    <t>Alle Rechte vorbehalten. Diese Unterlage darf nur zu dem von uns genehmigten Zweck verwendet und nicht ohne unsere Zustimmung Dritten zugänglich gemacht werden.</t>
  </si>
  <si>
    <t>Copyright reserved. This document may only be used for the purpose approved by us and must not be disclosed to third parties without our consent.</t>
  </si>
  <si>
    <t>Tous droits réservés. Ce document ne peut être utilisé que dans le but que nous avons approuvé et ne peut être mis à la disposition de tiers sans notre consentement.</t>
  </si>
  <si>
    <t>(min. 8 cm pour les versions avec un couché-relevé / Grisonne)</t>
  </si>
  <si>
    <t>Waterproof with Prefa sealing gel</t>
  </si>
  <si>
    <t>Complément d'étancheité avec le Falzgel</t>
  </si>
  <si>
    <t>seam: solid connection</t>
  </si>
  <si>
    <t>Agrafe : raccordement fixe</t>
  </si>
  <si>
    <t>with ridge</t>
  </si>
  <si>
    <t>Avec moulure</t>
  </si>
  <si>
    <t>Relevé</t>
  </si>
  <si>
    <t>longitudinal seam</t>
  </si>
  <si>
    <t>Agrafe longitudinale</t>
  </si>
  <si>
    <t>eaves closure</t>
  </si>
  <si>
    <t>seam connections (cross seam)</t>
  </si>
  <si>
    <t>couché relevé</t>
  </si>
  <si>
    <t>pipe connections</t>
  </si>
  <si>
    <t>Raccordements de tuyaux</t>
  </si>
  <si>
    <t>Égout avec languette étirée à double sertissage</t>
  </si>
  <si>
    <t xml:space="preserve">Rabat de l'égout </t>
  </si>
  <si>
    <t>Etirage</t>
  </si>
  <si>
    <t>Rabat de l'égout pour les languette étirées en joint debout</t>
  </si>
  <si>
    <t>PART 1 Upper Part</t>
  </si>
  <si>
    <t>PARTIE 1 partie supérieure</t>
  </si>
  <si>
    <t>PART 2 Lower Part</t>
  </si>
  <si>
    <t>PARTIE 2 partie inférieure</t>
  </si>
  <si>
    <t>Agrafe longitudinale de faïtière</t>
  </si>
  <si>
    <t>Commencez le pliage des petits et des grands joints angulaires.</t>
  </si>
  <si>
    <t xml:space="preserve">Marquez le pli écrasé. </t>
  </si>
  <si>
    <t>Tirez la bissectrice vers l’arrière, en direction du faîte.</t>
  </si>
  <si>
    <t>Réalisez progressivement le rebord de faîtière, poursuivez le pli écrasé.</t>
  </si>
  <si>
    <t>Appuyez pour fermer le pli écrasé,</t>
  </si>
  <si>
    <t>puis rabattez-le dans le sens opposé au joint angulaire (uniquement sur la couverture)</t>
  </si>
  <si>
    <t>Accrochez et fermez l’agrafe longitudinale.</t>
  </si>
  <si>
    <t>Fermez les languettes de recouvrement.</t>
  </si>
  <si>
    <t>Frappez le pli écrasé de la sous-couverture contre le pli écrasé de la couverture.</t>
  </si>
  <si>
    <t>Hauteur de l’agrafe</t>
  </si>
  <si>
    <t>Agrafe du faîtage</t>
  </si>
  <si>
    <t>Ligne de relevé</t>
  </si>
  <si>
    <t>Bissectrice</t>
  </si>
  <si>
    <t>Faîtage agrafé en pénétration</t>
  </si>
  <si>
    <t>Relevé de la toiture</t>
  </si>
  <si>
    <t>Agrafe longitudinale de faîtière</t>
  </si>
  <si>
    <t>Joint debout</t>
  </si>
  <si>
    <t>Angle de raccordement mural à joint debout</t>
  </si>
  <si>
    <t>Méthode de pliage</t>
  </si>
  <si>
    <t>Amorcez le pliage</t>
  </si>
  <si>
    <t>Roof Area</t>
  </si>
  <si>
    <t>Surface de toiture</t>
  </si>
  <si>
    <t>coupé</t>
  </si>
  <si>
    <t>chimney surround</t>
  </si>
  <si>
    <t>Abergement de cheminée</t>
  </si>
  <si>
    <t>Abergement de fenêtre de toit</t>
  </si>
  <si>
    <t>Ligne de pliage</t>
  </si>
  <si>
    <t>Réalisation d'une Grisonne</t>
  </si>
  <si>
    <t>Marquer 150 mm et aplatir les joint</t>
  </si>
  <si>
    <t>Avec une pince à bec, pliez le relevé en diagonale vers l’intérieur</t>
  </si>
  <si>
    <t>Coupez en diagonale des deux côtés sur 10 mm</t>
  </si>
  <si>
    <t>Faites une entaille d’env. 8 mm sur la petite pliure et d’env. 15 mm sur la grande pliure</t>
  </si>
  <si>
    <t xml:space="preserve">Fermez l’agrafe longitudinale, </t>
  </si>
  <si>
    <t>reformez le relevé de la grisonne</t>
  </si>
  <si>
    <t>Agrafez le relevé</t>
  </si>
  <si>
    <t>Relevé pour un ressaut</t>
  </si>
  <si>
    <t>Hauteur de relever du mur inférieur</t>
  </si>
  <si>
    <t>Hauteur du ressaut</t>
  </si>
  <si>
    <t>Bande</t>
  </si>
  <si>
    <t>Abergement</t>
  </si>
  <si>
    <t>Agrafe transversale double</t>
  </si>
  <si>
    <t xml:space="preserve">Bardeaux </t>
  </si>
  <si>
    <t>façade shingle clip</t>
  </si>
  <si>
    <t>Patte pour Bardeaux</t>
  </si>
  <si>
    <t>full formwork according to national guidelines</t>
  </si>
  <si>
    <t>Voligeage selon spécifications nationales</t>
  </si>
  <si>
    <t>storing</t>
  </si>
  <si>
    <t>required for permanent installation</t>
  </si>
  <si>
    <t>All PREFA flood protection products are available from our PREFA partners.</t>
  </si>
  <si>
    <t>Please send inquiries to: technik.ch@prefa.com</t>
  </si>
  <si>
    <t>NOTES:</t>
  </si>
  <si>
    <t>Custom Fabrication</t>
  </si>
  <si>
    <t>System Choice</t>
  </si>
  <si>
    <t>Parts List</t>
  </si>
  <si>
    <t>storage casing (central part)</t>
  </si>
  <si>
    <t>storage casing (side part)</t>
  </si>
  <si>
    <t>compression clamp with star-shaped handle (flush installation in thereveal)</t>
  </si>
  <si>
    <t>compression clamp with hex-head screw (flush installation in thereveal)</t>
  </si>
  <si>
    <t>U-profile without seal, drilled and deburred</t>
  </si>
  <si>
    <t>coating flat rate</t>
  </si>
  <si>
    <t>file name:</t>
  </si>
  <si>
    <t>en mm</t>
  </si>
  <si>
    <t>extruded profiles</t>
  </si>
  <si>
    <t>Profils extrudés</t>
  </si>
  <si>
    <t>fasteners for siding - aluminium sub-structure framework 4.8 x 19 mm</t>
  </si>
  <si>
    <t>Fixation SIDING - Aluminium UK 4,8 x 19 mm</t>
  </si>
  <si>
    <t>Special screw 4,9 x 35 mm for timber supporting substructure</t>
  </si>
  <si>
    <t>Fixation SIDING - Bois UK 4,9 x 35 mm</t>
  </si>
  <si>
    <t>Starter profile(length: 2.000 mm) =.10 anthra</t>
  </si>
  <si>
    <t>Profil de départ (longueur : 2 000 mm) P.10 anthracite</t>
  </si>
  <si>
    <t>Habillage de tableau (longueur : 2 500 mm)</t>
  </si>
  <si>
    <t>Innenecke einteilig (Länge: 3.000 mm)</t>
  </si>
  <si>
    <t>internal corner (one-piece); L = 3,000 mm</t>
  </si>
  <si>
    <t>kútový profil, dĺžka 3000 mm</t>
  </si>
  <si>
    <t>external corner (multipart); L = 3,000 mm</t>
  </si>
  <si>
    <t>end profile glued ( two parts); L = 2,500 mm</t>
  </si>
  <si>
    <t>jamb flashing(length: 3.000 mm)</t>
  </si>
  <si>
    <t>Habillage de tableau (longueur : 3000 mm)</t>
  </si>
  <si>
    <t>external corner (2 elements); L = 3,000 mm</t>
  </si>
  <si>
    <t>pocket flashing; L = 3,000 mm</t>
  </si>
  <si>
    <t>end profile; L = 3,000 mm</t>
  </si>
  <si>
    <t>end profile 3 elements glued; L = 3,000 mm</t>
  </si>
  <si>
    <t>Counter batten - Ventilation</t>
  </si>
  <si>
    <t>Contre-latte de ventilation</t>
  </si>
  <si>
    <t>Selbstbohrschraube Stahl - UK</t>
  </si>
  <si>
    <t>self-drilling screw steel sub-structure framework</t>
  </si>
  <si>
    <t>Vis autoperceuse acier - UK</t>
  </si>
  <si>
    <t>Befestigungsmittel für Strangpressprofile auf Aluminium-Unterkonstruktion</t>
  </si>
  <si>
    <t>fasteners for extruded profiles on aluminium sub-structure framework</t>
  </si>
  <si>
    <t>Moyenne de fixation pour profilés extrudés sur sous-structure en aluminium</t>
  </si>
  <si>
    <t>Taurus-BEF-10 auf Fußteilen</t>
  </si>
  <si>
    <t>Taurus-BEF-10 according on mounts</t>
  </si>
  <si>
    <t>Taurus-BEF-10 monté sur platines</t>
  </si>
  <si>
    <t>Taurus-BEF-10 su basi di fissaggio</t>
  </si>
  <si>
    <t>Taurus-BEF-10 na kruhových podložkách</t>
  </si>
  <si>
    <t>Taurus-BEF-10</t>
  </si>
  <si>
    <t>Taurus-BEF-10 na kruhových podperách</t>
  </si>
  <si>
    <t>Taurus-BEF-10 op voetdelen</t>
  </si>
  <si>
    <t>Taurus-BEF-10 na podložnih elementih</t>
  </si>
  <si>
    <t>Taurus-BEF-10 på understycken</t>
  </si>
  <si>
    <t>Taurus-BEF-10 på foddele</t>
  </si>
  <si>
    <t>Taurus-BEF-10 på underdeler</t>
  </si>
  <si>
    <t>Taurus-BEF-10 na stopama</t>
  </si>
  <si>
    <t>Einzelanschlagspunkt auf Fußteilen</t>
  </si>
  <si>
    <t>single anchor point according on mounts</t>
  </si>
  <si>
    <t>point d’ancrage unique monté sur platines</t>
  </si>
  <si>
    <t>Punto di attacco singolo su basi di fissaggio</t>
  </si>
  <si>
    <t>EAP kotvící zařízení na kruhových podložkách</t>
  </si>
  <si>
    <t>kotviaci bod na kruhových podperách</t>
  </si>
  <si>
    <t>Enkel bevestigingspunt op voetdelen</t>
  </si>
  <si>
    <t>Ena sidrna točka na podložnih elementih</t>
  </si>
  <si>
    <t>enkel ankarpunkt på understycken</t>
  </si>
  <si>
    <t>Enkelt ankerpunkt på foddele</t>
  </si>
  <si>
    <t>Enkeltstående anslagspunkt på underdeler</t>
  </si>
  <si>
    <t>Jedna točka sidrenja na stopama</t>
  </si>
  <si>
    <t>Magazinschrauber für Hafte geschraubt</t>
  </si>
  <si>
    <t>Magazine screwdriver for clips screwed</t>
  </si>
  <si>
    <t>Tournevis de magazine pour pattes de fixation vissé</t>
  </si>
  <si>
    <t>Avvitatore a magazine per Graffette avvitato</t>
  </si>
  <si>
    <t>Časopisový šroubovák pro příponky šroubovaný</t>
  </si>
  <si>
    <t>Śrubokręt magazynowy do Zaczep przykręcony</t>
  </si>
  <si>
    <t>Magazin csavarhúzóhoz Hafter becsavart</t>
  </si>
  <si>
    <t>Magazínový skrutkovač pre príponky skrutkovaný</t>
  </si>
  <si>
    <t>Magazineschroevendraaier voor Schachten vastgeschroefd</t>
  </si>
  <si>
    <t>Vijak za revijo za Pritrditev privezan z vijaki</t>
  </si>
  <si>
    <t>Magasinskruvdragare för fästen skruvad</t>
  </si>
  <si>
    <t>Magasinskruetrækker til Hæftning skruet</t>
  </si>
  <si>
    <t>Magasinskruetrekker for Hefte skrudd</t>
  </si>
  <si>
    <t>Magazinski odvijač za Učvršćivači sjeban</t>
  </si>
  <si>
    <t>Magazinschrauben für Hafte</t>
  </si>
  <si>
    <t>magazine screws for clips</t>
  </si>
  <si>
    <t>vis de magazine pour pattes de fixation vissé</t>
  </si>
  <si>
    <t>viti per magazine per Graffette avvitato</t>
  </si>
  <si>
    <t>šrouby do časopisu pro příponky šroubovaný</t>
  </si>
  <si>
    <t>śruby magazynowe do Zaczep przykręcony</t>
  </si>
  <si>
    <t>magazin csavarok Hafter becsavart</t>
  </si>
  <si>
    <t>skrutky do časopisu pre príponky skrutkovaný</t>
  </si>
  <si>
    <t>magazineschroeven voor Schachten vastgeschroefd</t>
  </si>
  <si>
    <t>vijaki za revijo za Pritrditev privezan z vijaki</t>
  </si>
  <si>
    <t>tidningsskruvar för fästen skruvad</t>
  </si>
  <si>
    <t>magasinskruer til Hæftning skruet</t>
  </si>
  <si>
    <t>magasinskruer for Hefte skrudd</t>
  </si>
  <si>
    <t>vijci za časopise za Učvršćivači sjeban</t>
  </si>
  <si>
    <t>Spezialbits</t>
  </si>
  <si>
    <t>special bits</t>
  </si>
  <si>
    <t>bit spécial</t>
  </si>
  <si>
    <t>bit speciale</t>
  </si>
  <si>
    <t>speciální bit</t>
  </si>
  <si>
    <t>specjalny bit</t>
  </si>
  <si>
    <t>speciális bit</t>
  </si>
  <si>
    <t>špeciálny bit</t>
  </si>
  <si>
    <t>speciale bit</t>
  </si>
  <si>
    <t>poseben bit</t>
  </si>
  <si>
    <t>speciell bit</t>
  </si>
  <si>
    <t>speciel bit</t>
  </si>
  <si>
    <t>spesiell bit</t>
  </si>
  <si>
    <t>poseban bit</t>
  </si>
  <si>
    <t>bündig</t>
  </si>
  <si>
    <t>i.d.L.</t>
  </si>
  <si>
    <t>v.d.L.</t>
  </si>
  <si>
    <t>Cage de protection (pc du milieu)</t>
  </si>
  <si>
    <t>Cage de protection (pc de côté)</t>
  </si>
  <si>
    <t>H003000</t>
  </si>
  <si>
    <t>H003020</t>
  </si>
  <si>
    <t>H003010</t>
  </si>
  <si>
    <t>H003030</t>
  </si>
  <si>
    <t>Aufpreis Ausfräsung Seitenteile für Dammbalken (2 Stk)</t>
  </si>
  <si>
    <t>(Dammbalken-Mindestlänge)</t>
  </si>
  <si>
    <t>Ausfräsungen Dammbalken</t>
  </si>
  <si>
    <t>(almeno 80 mm aggraffatura a gradini [aggraffatura grigionese])</t>
  </si>
  <si>
    <t>0.7 × 500 mm</t>
  </si>
  <si>
    <t>0,7 x 500 mm</t>
  </si>
  <si>
    <t>0,7 x 500 mm</t>
  </si>
  <si>
    <t>1.500 mm</t>
  </si>
  <si>
    <t>1,500 mm</t>
  </si>
  <si>
    <t>1500mm</t>
  </si>
  <si>
    <t>1.500 mm</t>
  </si>
  <si>
    <t>1500 mm</t>
  </si>
  <si>
    <t>1500 mm</t>
  </si>
  <si>
    <t>500/35 x 7</t>
  </si>
  <si>
    <t>Abschlussprofil (Länge: 2.500 mm)</t>
  </si>
  <si>
    <t>end profile; L = 2,500 mm</t>
  </si>
  <si>
    <t>profilo di chiusura; L = 2500 mm</t>
  </si>
  <si>
    <t>ukončovací profil,  délka 2500 mm</t>
  </si>
  <si>
    <t>Profil końcowy L=2500 mm</t>
  </si>
  <si>
    <t>lezáró profil H = 2.500 mm</t>
  </si>
  <si>
    <t>ukončovací profil (dĺžka: 2500 mm)</t>
  </si>
  <si>
    <t>afsluitprofiel L = 2500 mm</t>
  </si>
  <si>
    <t>Zaključni profil (dolžina: 2.500 mm)</t>
  </si>
  <si>
    <t>ändprofil L = 2.500 mm</t>
  </si>
  <si>
    <t>afslutningsprofil L = 2.500 mm</t>
  </si>
  <si>
    <t>avslutningsprofil L = 2500 mm</t>
  </si>
  <si>
    <t>Završni profil L = 2.500 mm</t>
  </si>
  <si>
    <t>Tecnica applicativa</t>
  </si>
  <si>
    <t>materiale di fissaggio doga – vite per metallo 4,8 × 19 mm</t>
  </si>
  <si>
    <t>materiale di fissaggio doga – vite per legno 4,9 × 38 mm</t>
  </si>
  <si>
    <t>Modulo d'ordine</t>
  </si>
  <si>
    <t>Scegliere la tipologia di fuga (scuretto)</t>
  </si>
  <si>
    <t>Richiesta clip antivento!</t>
  </si>
  <si>
    <t>Aggraffatura trasversale doppia</t>
  </si>
  <si>
    <t>Raccordo angolare per Tubo</t>
  </si>
  <si>
    <t>Eckwinkel außen (Länge: 2.500 mm)</t>
  </si>
  <si>
    <t>external corner flashing; L = 2,500 mm</t>
  </si>
  <si>
    <t>angolare esterno; L = 2500 mm</t>
  </si>
  <si>
    <t>roh vnější , délka 2500 mm</t>
  </si>
  <si>
    <t>Narożnik zewnętrzny L=2500 mm</t>
  </si>
  <si>
    <t>külső sarok profil H = 2.500 mm</t>
  </si>
  <si>
    <t>rohový profil vonkajší (dĺžka: 2500 mm)</t>
  </si>
  <si>
    <t>hoek buiten L = 2500 mm</t>
  </si>
  <si>
    <t>Kotnik zunaj (dolžina: 2.500 mm)</t>
  </si>
  <si>
    <t>utvändig hörnvinkel L = 2.500 mm</t>
  </si>
  <si>
    <t>hjørnevinkel udvendig L = 2.500 mm</t>
  </si>
  <si>
    <t>utvendig hjørnevinkel L = 2500 mm</t>
  </si>
  <si>
    <t>Kut vanjski L = 2.500 mm</t>
  </si>
  <si>
    <t>Aggraffatura trasversale semplice</t>
  </si>
  <si>
    <t>Scaglia finale</t>
  </si>
  <si>
    <t>Scaglia finale per Scaglia 29</t>
  </si>
  <si>
    <t>Scaglia finale per Scaglia 44</t>
  </si>
  <si>
    <t>Questionario</t>
  </si>
  <si>
    <t>eventuale nastro sigillante</t>
  </si>
  <si>
    <t>eventuale inserto di tenuta</t>
  </si>
  <si>
    <t>eventuale strato di separazione</t>
  </si>
  <si>
    <t>Inserire la posizione dell'aggraffatura</t>
  </si>
  <si>
    <t>Esecuzione colmo in PREFALZ</t>
  </si>
  <si>
    <t>Esecuzione colmo con displuvio</t>
  </si>
  <si>
    <t>Esecuzione colmo con copricolmo ventilato</t>
  </si>
  <si>
    <t>Jointure :</t>
  </si>
  <si>
    <t>Sistema fermaneve con legno tondo</t>
  </si>
  <si>
    <t>Esecuzione di un gradino di pendenza (sbalzo)</t>
  </si>
  <si>
    <t>Esecuzione di un gradino di pendenza con correntino (sbalzo)</t>
  </si>
  <si>
    <t>Grat- und Firstreiter (500 × 1,00 mm; stucco) inkl. Niro-Schraube 4,5 × 45 mm und Dichtscheibe</t>
  </si>
  <si>
    <t>hip and ridge cap (500 × 1.00 mm), stucco
including stainless steel screw (4.5 × 45 mm) and sealing washer</t>
  </si>
  <si>
    <t>Copricolmo/Displuvio 500 x 1,00 mm, goffrato.
Incl.  Vite inox 4,5x45mm rondella di tenuta</t>
  </si>
  <si>
    <t>Hřebenáč malý 500 x 1,00 mm stucco
včetně nerez. vrutu 4,5x45mm a těsnící podložky</t>
  </si>
  <si>
    <t>gąsior dachowy (500 × 1.00 mm), stucco
z wkrętami ze stali nierdzewnej (4.5 × 45 mm) i uszczelnieniem</t>
  </si>
  <si>
    <t>él- és taréjgerinc elem 500 x 1,00 mm stukkó, 4,5x45mm rozsdamentes csavarral és tömítő alátéttel</t>
  </si>
  <si>
    <t>hrebenáč na hreneň resp. na nárožie, 500 x 1,00 mm, stucco
vrátane nerezovej skrutky 4,5 x 45mm s tesniacou podložkou</t>
  </si>
  <si>
    <t>graat- en vorstafdekking 500 x 1,00 mm stucco
incl. Niro-schroef 4,5 x 45 mm en afdichtingschijf</t>
  </si>
  <si>
    <t>grebenski slemenjak 500 x 1,00 mm, stucco, vklj. S klepraskimi nerjavečimi vijaki 4,5 x 45 mmin podložko</t>
  </si>
  <si>
    <t>nockpanna 500 x 1,00 mm stuckatur inkl. Niro-skruv 4,5 x 45 mm och tätningsbricka</t>
  </si>
  <si>
    <t>rygnings- og mønningsrytter 500 x 1,00 mm stucco
inkl. Niro-skrue 4,5x45 mm og tætningsskive</t>
  </si>
  <si>
    <t>mønestein 500 x 1,00 mm stucco
inkl. skrue i rustfritt stål 4,5x45mm og tetningsskive</t>
  </si>
  <si>
    <t>Sljemenjak (500 × 1,00 mm; stucco) uklj. nehrđajući vijak 4,5 × 45 mm i brtvena podloga</t>
  </si>
  <si>
    <t>Sezione orizzontale - Spalletta della finestra</t>
  </si>
  <si>
    <t>Sezione orizzontale - Spalletta della finestra (variante 1)</t>
  </si>
  <si>
    <t>Sezione orizzontale - Spalletta della finestra (variante 2)</t>
  </si>
  <si>
    <t>Sezione orizzontale - Spalletta della finestra (variante 3)</t>
  </si>
  <si>
    <t>Contenuto:</t>
  </si>
  <si>
    <t>Angolo interno piegato</t>
  </si>
  <si>
    <t>Angolo interno piegato (variante 1)</t>
  </si>
  <si>
    <t>Angolo interno piegato (variante 2)</t>
  </si>
  <si>
    <t>Angolo interno piegato (variante 3)</t>
  </si>
  <si>
    <t>Canale quadro incassato</t>
  </si>
  <si>
    <t>Kaminhut (1.500 × 800 mm)</t>
  </si>
  <si>
    <t>chimney cap ( 1,500 × 800 mm)</t>
  </si>
  <si>
    <t>Cappello camino 1.500 x 800 mm</t>
  </si>
  <si>
    <t xml:space="preserve"> Kryt komínu - Napoleon 1.500 x 800 mm</t>
  </si>
  <si>
    <t>daszek kominowy ( 1,500 × 800 mm)</t>
  </si>
  <si>
    <t>kéményfedél 1.500 x 800 mm</t>
  </si>
  <si>
    <t>komínová strieška 1.500 x 800 mm</t>
  </si>
  <si>
    <t>schoorsteenkap 1500 x 800 mm</t>
  </si>
  <si>
    <t>iskrolov za dimnik 1500x800mm</t>
  </si>
  <si>
    <t>skorstenshuv 1.500 x 800 mm</t>
  </si>
  <si>
    <t>skorstenshat 1.500 x 800 mm</t>
  </si>
  <si>
    <t>pipehatt 1500 x 800 mm</t>
  </si>
  <si>
    <t>Dimnjačka kapa (1.500 × 800 mm)</t>
  </si>
  <si>
    <t>Kastenrinnenendboden 500 (links)</t>
  </si>
  <si>
    <t>box gutter end cap 500, left</t>
  </si>
  <si>
    <t>Testata per canale quadro sv. 500 - sinistra</t>
  </si>
  <si>
    <t>Čelo žlabu pro hranaté žlaby 500 levé</t>
  </si>
  <si>
    <t>Denko rynny prostokątnej 500 lewe</t>
  </si>
  <si>
    <t>négyszögszelvényű ereszcsatorna végelem 500 jobbos</t>
  </si>
  <si>
    <t>čelo hranatého žľabu 500 ľavé</t>
  </si>
  <si>
    <t>eindbodem bakgoot 500 links</t>
  </si>
  <si>
    <t>zapora za pravokotni žleb 500 levih</t>
  </si>
  <si>
    <t>lådrännebotten 500 vänster</t>
  </si>
  <si>
    <t>kasserendeendebund 500 venstre</t>
  </si>
  <si>
    <t>endebunn firkantrenne 500 venstre</t>
  </si>
  <si>
    <t>Čelo sandučastog žlijeba 500 (lijevo)</t>
  </si>
  <si>
    <t>Kastenrinnenendboden 500 (rechts)</t>
  </si>
  <si>
    <t>box gutter end cap 500, right</t>
  </si>
  <si>
    <t>Testata per canale quadro sv. 500 - destra</t>
  </si>
  <si>
    <t>Čelo žlabu pro hranaté žlaby 500 pravé</t>
  </si>
  <si>
    <t>Denko rynny prostokątnej 500 prawe</t>
  </si>
  <si>
    <t>négyszögszelvényű ereszcsatorna végelem 500 balos</t>
  </si>
  <si>
    <t>čelo hranatého žľabu 500 pravé</t>
  </si>
  <si>
    <t>eindbodem bakgoot 500 rechts</t>
  </si>
  <si>
    <t>zapora za pravokotni žleb, 500 desnih</t>
  </si>
  <si>
    <t>lådrännebotten 500 höger</t>
  </si>
  <si>
    <t>kasserendeendebund 500 højre</t>
  </si>
  <si>
    <t>endebunn firkantrenne 500 høyre</t>
  </si>
  <si>
    <t>Čelo sandučastog žlijeba 500 (desno)</t>
  </si>
  <si>
    <t>Laibungsblech (Länge: 2.500 mm)</t>
  </si>
  <si>
    <t>jamb flashing; L = 2,500 mm</t>
  </si>
  <si>
    <t>stipite in lamiera; L = 2500 mm</t>
  </si>
  <si>
    <t>profil ostění, délka 2500 mm</t>
  </si>
  <si>
    <t>Oścież L=2500 mm</t>
  </si>
  <si>
    <t>ablakkáva profil H = 2.500 mm</t>
  </si>
  <si>
    <t>ostenie, dĺžka 2500 mm</t>
  </si>
  <si>
    <t>kozijnplaat L = 2500 mm</t>
  </si>
  <si>
    <t>Pločevina za špaleto (dolžina: 2.500 mm)</t>
  </si>
  <si>
    <t>smygplåt L = 2.500 mm</t>
  </si>
  <si>
    <t>lysningsplade L = 2.500 mm</t>
  </si>
  <si>
    <t>smygplate L = 2500 mm</t>
  </si>
  <si>
    <t>Limena špaleta L = 2.500 mm</t>
  </si>
  <si>
    <t>Quantità minima</t>
  </si>
  <si>
    <t>Dima di ausilio per montaggio della clip antivento (per spessore di 1,0 mm)</t>
  </si>
  <si>
    <t>Dima di ausilio per montaggio della clip antivento (per spessore di 1,2 mm)</t>
  </si>
  <si>
    <t>Borchia tappabuchi Ø 30 mm</t>
  </si>
  <si>
    <t>Nastro impermeabilizzazione punto chiodo (≤ 35°)</t>
  </si>
  <si>
    <t>Esecuzione della mantovana con strisce sul frontone</t>
  </si>
  <si>
    <t>Esecuzione della mantovana con frontalino</t>
  </si>
  <si>
    <t>Esecuzione della mantovana incassata</t>
  </si>
  <si>
    <t>Esecuzione di mantovane (varianti 1, 2, 3)</t>
  </si>
  <si>
    <t>Prefalz Farbaluminiumband; 0,7 × 500 mm</t>
  </si>
  <si>
    <t>Prefalz colour aluminium strip 0.7 × 500 mm</t>
  </si>
  <si>
    <t>PREFALZ Nastro in alluminio preverniciato 0,7x500 mm</t>
  </si>
  <si>
    <t>PREFALZ barevný plech 0,7x500 mm</t>
  </si>
  <si>
    <t>Prefalz aluminiowa blacha powlekana 0,7 × 500 mm</t>
  </si>
  <si>
    <t>PREFALZ bevonatos alumínium szalag 0,7x500 mm</t>
  </si>
  <si>
    <t>PREFALZ farebné hliníkové zvitky 0,7x500 mm</t>
  </si>
  <si>
    <t>Prefalz gekleurde aluminium band 0,7 × 500 mm</t>
  </si>
  <si>
    <t>PREFALZ barvani aluminijasti trak 0,7 x 500 mm</t>
  </si>
  <si>
    <t>Prefalz färgytbehandlat aluminiumband 0,7 × 500 mm</t>
  </si>
  <si>
    <t>Prefalz farvealuminiumsbånd 0,7 × 500 mm</t>
  </si>
  <si>
    <t>Prefalz fargealuminiumsbånd 0,7 × 500 mm</t>
  </si>
  <si>
    <t>PREFALZ aluminijska traka u boji; 0,7 × 500 mm</t>
  </si>
  <si>
    <t>PREFALZ Farbaluminiumband; 0,7 × 500 mm</t>
  </si>
  <si>
    <t>Pluviale quadro - cassetta di raccolta fuori standard</t>
  </si>
  <si>
    <t>Restituire per fax:</t>
  </si>
  <si>
    <t>Cicogna per canale di gronda</t>
  </si>
  <si>
    <t>Cicogna per canale di gronda con ferro in costa (ruotata)</t>
  </si>
  <si>
    <t>Cicogna per canale quadro</t>
  </si>
  <si>
    <t>Cicogna per canale di gronda con ferro in costa</t>
  </si>
  <si>
    <t>Cicogna svizzera</t>
  </si>
  <si>
    <t>Selezionare lunghezza canale:</t>
  </si>
  <si>
    <t>Bocchetta di scarico</t>
  </si>
  <si>
    <t>Gomito per pluviale quadro</t>
  </si>
  <si>
    <t>Braga (quadrato; doppio)</t>
  </si>
  <si>
    <t>Braga (quadrato; singolo)</t>
  </si>
  <si>
    <t>Braga (rotondo; singolo)</t>
  </si>
  <si>
    <t>Braga (rotondo; doppio)</t>
  </si>
  <si>
    <t>Piastra fermaneve con asola per aggraffatura diagonale</t>
  </si>
  <si>
    <t>Lamiera di gronda</t>
  </si>
  <si>
    <t>Tavola di gronda</t>
  </si>
  <si>
    <t>Sistema fermaneve a triplo tubolare esagonale (205 x 66 x 303 mm)</t>
  </si>
  <si>
    <t>Naso fermaneve per FX.12</t>
  </si>
  <si>
    <t>Naso fermaneve per Tegola R.16 e FX.12</t>
  </si>
  <si>
    <t>Sezione - Copertina muro perimetrale</t>
  </si>
  <si>
    <t>Schnittlochblende (Länge: 2.500 mm)</t>
  </si>
  <si>
    <t>perforated plate; L = 2,500 mm</t>
  </si>
  <si>
    <t>canaletta di ventilazione; L = 2500 mm</t>
  </si>
  <si>
    <t>ukončovací profil perforovaný, délka 2500 mm</t>
  </si>
  <si>
    <t>Przysłona L=2500 mm</t>
  </si>
  <si>
    <t>szellőző profil H = 2.500 mm</t>
  </si>
  <si>
    <t>ukončovací profil perforovaný, dĺžka 2500 mm</t>
  </si>
  <si>
    <t>snijgatkap L = 2500 mm</t>
  </si>
  <si>
    <t>Perforirana zaslonka (dolžina: 2.500 mm)</t>
  </si>
  <si>
    <t>sektionshålslist L = 2.500 mm</t>
  </si>
  <si>
    <t>snithulsblænde L = 2.500 mm</t>
  </si>
  <si>
    <t>perforert plate L = 2500 mm</t>
  </si>
  <si>
    <t>Perforirana blenda L = 2.500 mm</t>
  </si>
  <si>
    <t>Accessori per Doghe</t>
  </si>
  <si>
    <t>Spostamento (quadrato)</t>
  </si>
  <si>
    <t>Spostamento (rotondo)</t>
  </si>
  <si>
    <t>Sockelprofil (Länge: 2.500 mm)</t>
  </si>
  <si>
    <t>base profile; L = 2,500 mm</t>
  </si>
  <si>
    <t>Zoccolo; L = 2500 mm</t>
  </si>
  <si>
    <t>soklový profil, délka 2500 mm</t>
  </si>
  <si>
    <t>Profil cokołowy L=2500 mm</t>
  </si>
  <si>
    <t>párkányprofil H = 2.500 mm</t>
  </si>
  <si>
    <t>soklový profil, dĺžka 2500 mm</t>
  </si>
  <si>
    <t>sokkelprofiel L = 2500 mm</t>
  </si>
  <si>
    <t>Profil za podzidek (dolžina: 2.500 mm)</t>
  </si>
  <si>
    <t>sockelprofil L = 2.500 mm</t>
  </si>
  <si>
    <t>sokkelprofil L = 2.500 mm</t>
  </si>
  <si>
    <t>sokkelprofil L = 2500 mm</t>
  </si>
  <si>
    <t>Profil sokla L = 2.500 mm</t>
  </si>
  <si>
    <t>Angolo di gronda fuori standard - 2D</t>
  </si>
  <si>
    <t>Cassetta di raccolta fuori standard</t>
  </si>
  <si>
    <t>Travi</t>
  </si>
  <si>
    <t>Rivestimento travi</t>
  </si>
  <si>
    <t>Scaglia di partenza per scaglia 29</t>
  </si>
  <si>
    <t>Scaglia di partenza per scaglia 44</t>
  </si>
  <si>
    <t>Scaglia di partenza per scaglia per facciata</t>
  </si>
  <si>
    <t>Listello a innesto; L = 2000 mm</t>
  </si>
  <si>
    <t>Strato separatore a filamento 3D</t>
  </si>
  <si>
    <t>Taschenprofil (Länge: 2.500 mm)</t>
  </si>
  <si>
    <t>channel profile; L = 2,500 mm</t>
  </si>
  <si>
    <t>profilo ripiegato; L = 2500 mm</t>
  </si>
  <si>
    <t>ukončovací profil pro Sidings, délka 2500 mm</t>
  </si>
  <si>
    <t>Profil kantowany L=2500 mm</t>
  </si>
  <si>
    <t>takaróprofil H = 2.500 mm</t>
  </si>
  <si>
    <t>kryt režných otvorov, dĺžka 2500 mm</t>
  </si>
  <si>
    <t>zakprofiel L = 2500 mm</t>
  </si>
  <si>
    <t>Žepni profil (dolžina: 2.500 mm)</t>
  </si>
  <si>
    <t>fickprofil L = 2.500 mm</t>
  </si>
  <si>
    <t>lommeprofil L = 2.500 mm</t>
  </si>
  <si>
    <t>lommeprofil L = 2500 mm</t>
  </si>
  <si>
    <t>C-Profil L = 2.500 mm</t>
  </si>
  <si>
    <t>Raccordo alla gronda con cicogne con ferro in costa (ruotati)</t>
  </si>
  <si>
    <t>Raccordo alla gronda con cicogne con ferro in costa (variante 1)</t>
  </si>
  <si>
    <t>Raccordo alla gronda con cicogne con ferro in costa (variante 2)</t>
  </si>
  <si>
    <t>Schémas de pose</t>
  </si>
  <si>
    <t>Versatz 60–2.500 mm</t>
  </si>
  <si>
    <t>Step 60-2,500 mm</t>
  </si>
  <si>
    <t>Sfalsatura 60-2.500 mm</t>
  </si>
  <si>
    <t>Přesazení  60–2500 mm</t>
  </si>
  <si>
    <t>Przesunięcie 60–2500 mm</t>
  </si>
  <si>
    <t>eltolás 60–2500 mm</t>
  </si>
  <si>
    <t>zapustenie 60 – 2 500 mm</t>
  </si>
  <si>
    <t>Correctie 60-2.500 mm</t>
  </si>
  <si>
    <t>Zamik 60–2.500 mm</t>
  </si>
  <si>
    <t>Offset 60-2 500 mm</t>
  </si>
  <si>
    <t>Forskydning 60–2.500 mm</t>
  </si>
  <si>
    <t>Forskyvning 60–2500 mm</t>
  </si>
  <si>
    <t>Odstupanje 60–2.500 mm</t>
  </si>
  <si>
    <t>Versatz 60–2.500 mm</t>
  </si>
  <si>
    <t>Sezione verticale - Muretto perimetrale</t>
  </si>
  <si>
    <t>Sezione verticale - Dettaglio muretto perimetrale</t>
  </si>
  <si>
    <t>Sezione verticale - Sostituzione successiva</t>
  </si>
  <si>
    <t>Wetterschenkel (Länge: 2.500 mm)</t>
  </si>
  <si>
    <t>drip; L = 2,500 mm</t>
  </si>
  <si>
    <t>gocciolatoio; L = 2500 mm</t>
  </si>
  <si>
    <t>okapnice, délka 2500 mm</t>
  </si>
  <si>
    <t>Okapnik L=2500 mm</t>
  </si>
  <si>
    <t>viharléc H = 2.500 mm</t>
  </si>
  <si>
    <t>odkvapnicový profil, dĺžka 2500 mm</t>
  </si>
  <si>
    <t>weldorpel L = 2500 mm</t>
  </si>
  <si>
    <t>Odkapni profil (dolžina: 2.500 mm)</t>
  </si>
  <si>
    <t>väderskänkel L = 2.500 mm</t>
  </si>
  <si>
    <t>vejrvinkelben L = 2.500 mm</t>
  </si>
  <si>
    <t>vindusbeslag L = 2500 mm</t>
  </si>
  <si>
    <t>Okapni lim L = 2.500 mm</t>
  </si>
  <si>
    <t>Infiltrazione di acqua piovana indotta dal vento attraverso le fughe di una copertura del tetto</t>
  </si>
  <si>
    <t>Commentaires :</t>
  </si>
  <si>
    <t>Struttura a doppio tavolato - Sottotetto reso abitabile (variante 1)</t>
  </si>
  <si>
    <t>Struttura a doppio tavolato - Sottotetto reso abitabile (variante 2)</t>
  </si>
  <si>
    <t>Struttura a doppio tavolato - Sottotetto non abitabile</t>
  </si>
  <si>
    <t>Finestra per tetto con telaio a cunei</t>
  </si>
  <si>
    <t>Strato separatore</t>
  </si>
  <si>
    <t>Schema di posa TE2 (4 pz./m² - prime due file continue)</t>
  </si>
  <si>
    <t>Schema di posa TE3 (8 pz./m²)</t>
  </si>
  <si>
    <t>Naso fermaneve - Schema di posa TE1</t>
  </si>
  <si>
    <t>Naso fermaneve - Schema di posa TE2</t>
  </si>
  <si>
    <t>Naso fermaneve - Schema di posa TE3</t>
  </si>
  <si>
    <t>Naso fermaneve - Schema di posa R.16 1</t>
  </si>
  <si>
    <t>Naso fermaneve - Schema di posa R.16 2</t>
  </si>
  <si>
    <t>Naso fermaneve - Schema di posa R.16 3</t>
  </si>
  <si>
    <t>con strisce sigillachiodo</t>
  </si>
  <si>
    <t>Richiesta</t>
  </si>
  <si>
    <r>
      <t xml:space="preserve">nel caso di un </t>
    </r>
    <r>
      <rPr>
        <sz val="11"/>
        <color theme="1"/>
        <rFont val="Calibri"/>
        <family val="2"/>
        <scheme val="minor"/>
      </rPr>
      <t>sottotetto reso abitabile, a meno che non si tratti di una costruzione non ventilata</t>
    </r>
  </si>
  <si>
    <r>
      <t xml:space="preserve">Membrana sottomanto </t>
    </r>
    <r>
      <rPr>
        <sz val="11"/>
        <color theme="1"/>
        <rFont val="Calibri"/>
        <family val="2"/>
        <scheme val="minor"/>
      </rPr>
      <t xml:space="preserve">(secondo la norma ÖNORM </t>
    </r>
    <r>
      <rPr>
        <sz val="11"/>
        <color rgb="FF000000"/>
        <rFont val="Calibri"/>
        <family val="2"/>
        <scheme val="minor"/>
      </rPr>
      <t>B 4119)</t>
    </r>
  </si>
  <si>
    <t>Membrana sottomanto (qualità minima)</t>
  </si>
  <si>
    <t>Naso fermaneve - Schema di posa S1</t>
  </si>
  <si>
    <t>Naso fermaneve - Schema di posa S2</t>
  </si>
  <si>
    <t>Naso fermaneve - Schema di posa S3</t>
  </si>
  <si>
    <t>Naso fermaneve - Schema di posa DS.19 1</t>
  </si>
  <si>
    <t>Naso fermaneve - Schema di posa DS.19 2</t>
  </si>
  <si>
    <t>Naso fermaneve - Schema di posa DS.19 3</t>
  </si>
  <si>
    <t>Naso fermaneve - Schema di posa DR29 1</t>
  </si>
  <si>
    <t>Naso fermaneve - Schema di posa DR29 2</t>
  </si>
  <si>
    <t>Naso fermaneve - Schema di posa DR29 3</t>
  </si>
  <si>
    <t>Naso fermaneve - Schema di posa DR44 1</t>
  </si>
  <si>
    <t>Naso fermaneve - Schema di posa DR44 2</t>
  </si>
  <si>
    <t>Naso fermaneve - Schema di posa DR44 3</t>
  </si>
  <si>
    <t>Naso fermaneve - Schema di posa FX.12 1</t>
  </si>
  <si>
    <t>Naso fermaneve - Schema di posa FX.12 2</t>
  </si>
  <si>
    <t>Naso fermaneve - Schema di posa FX.12 3</t>
  </si>
  <si>
    <t>Doga angolare</t>
  </si>
  <si>
    <t>Scelta del materiale</t>
  </si>
  <si>
    <t>Finitura</t>
  </si>
  <si>
    <t>500 kg</t>
  </si>
  <si>
    <t>PREFABOND - accessori</t>
  </si>
  <si>
    <r>
      <t>Taglierina per lamiera per punto fisso (</t>
    </r>
    <r>
      <rPr>
        <sz val="10"/>
        <color rgb="FF000000"/>
        <rFont val="Menlo"/>
        <family val="2"/>
      </rPr>
      <t>⌀</t>
    </r>
    <r>
      <rPr>
        <sz val="10"/>
        <color rgb="FF000000"/>
        <rFont val="Calibri"/>
        <family val="2"/>
        <scheme val="minor"/>
      </rPr>
      <t> 5,1 mm)</t>
    </r>
  </si>
  <si>
    <r>
      <t>Taglierina per lamiera per punto scorrevole (</t>
    </r>
    <r>
      <rPr>
        <sz val="10"/>
        <color rgb="FF000000"/>
        <rFont val="Menlo"/>
        <family val="2"/>
      </rPr>
      <t>⌀</t>
    </r>
    <r>
      <rPr>
        <sz val="10"/>
        <color rgb="FF000000"/>
        <rFont val="Calibri"/>
        <family val="2"/>
        <scheme val="minor"/>
      </rPr>
      <t> 9,5 mm)</t>
    </r>
  </si>
  <si>
    <t>Misura di posa</t>
  </si>
  <si>
    <t>Susottostruttura in alluminio</t>
  </si>
  <si>
    <t>Giunto di testa</t>
  </si>
  <si>
    <t>Angolo del muro</t>
  </si>
  <si>
    <t>Doga e Doga.X (orizzontale)</t>
  </si>
  <si>
    <t>Doga con profilo UZ</t>
  </si>
  <si>
    <t>Doga e Doga.X (verticale)</t>
  </si>
  <si>
    <t>Angolo esterno (variante 1)</t>
  </si>
  <si>
    <t>Angolo esterno (variante 2)</t>
  </si>
  <si>
    <t>Architrave della finestra con frangisole</t>
  </si>
  <si>
    <t>Sezione orizzontale - angolo esterno (variante 1)</t>
  </si>
  <si>
    <t>Sezione orizzontale - angolo esterno (variante 2)</t>
  </si>
  <si>
    <t>Rivestimento spalletta finestra (variante 1)</t>
  </si>
  <si>
    <t>Rivestimento spalletta finestra (variante 2)</t>
  </si>
  <si>
    <t>Sezione orizzontale - Rivestimento spalletta finestra (variante 1)</t>
  </si>
  <si>
    <t>Sezione orizzontale - Rivestimento spalletta finestra (variante 2)</t>
  </si>
  <si>
    <t>Misura battitraccia</t>
  </si>
  <si>
    <t>Marcapiano</t>
  </si>
  <si>
    <t>Aufpreis Ausfräsung Seitenteile für Dammbalken</t>
  </si>
  <si>
    <t>Aufpreis Längenänderung Seitenteile</t>
  </si>
  <si>
    <t>Ausfräsung Seitenteile für DB</t>
  </si>
  <si>
    <t>Fresatura montante a parete</t>
  </si>
  <si>
    <t>guarnizione a pavimento a lunga durata 25</t>
  </si>
  <si>
    <t>Die Gültigkeit dieses Dokumentes endet mit 31.12.2023</t>
  </si>
  <si>
    <t>This document is valid until 31 December 2023</t>
  </si>
  <si>
    <t>La validité du présent document expire le 31/12/2023</t>
  </si>
  <si>
    <t>Documento valido fino al 31.12.2023</t>
  </si>
  <si>
    <t>Platnost tohoto dokumentu končí k 31.12.2023</t>
  </si>
  <si>
    <t>Niniejszy dokument jest ważny do dnia 31.12.2023 r.</t>
  </si>
  <si>
    <t>Jelen dokumentum 2023 12.31-ig érvényes</t>
  </si>
  <si>
    <t>Platnosť tohto dokumentu končí 31. 12. 2023</t>
  </si>
  <si>
    <t>De geldigheid van dit document eindigt op 31-12-2023</t>
  </si>
  <si>
    <t>Ta dokument je veljaven do 31. 12. 2023.</t>
  </si>
  <si>
    <t>Detta dokument upphör att gälla 2023-12-31</t>
  </si>
  <si>
    <t>Gyldigheden af dette dokument ophører 31.12.2023</t>
  </si>
  <si>
    <t>Dette dokumentet er gyldig til 31.12.2023</t>
  </si>
  <si>
    <t>Valjanost ovog dokumenta prestaje s 31.12.2023.</t>
  </si>
  <si>
    <t>Halterung für Dammbalken Seitenteil</t>
  </si>
  <si>
    <t>Dimensionamento</t>
  </si>
  <si>
    <t>Coefficiente di combinazione</t>
  </si>
  <si>
    <t>Längenänderung Seitenteile</t>
  </si>
  <si>
    <t>Montaggio</t>
  </si>
  <si>
    <t>PREFA Sistema anti esondazione</t>
  </si>
  <si>
    <t>Foglio di calcolo Diga Prefa</t>
  </si>
  <si>
    <t>Questionario Diga Prefa</t>
  </si>
  <si>
    <t>Seitenteile</t>
  </si>
  <si>
    <t>Statica</t>
  </si>
  <si>
    <t>Statica sponde</t>
  </si>
  <si>
    <t>Statica montante circolare</t>
  </si>
  <si>
    <t>Finestra per tetto con pendenza della copertura superiore a 25°</t>
  </si>
  <si>
    <t>Fuge.500</t>
  </si>
  <si>
    <t>joint 500</t>
  </si>
  <si>
    <t>Fuga.500</t>
  </si>
  <si>
    <t>spára.500</t>
  </si>
  <si>
    <t>Fuga  .500</t>
  </si>
  <si>
    <t>fuga.500</t>
  </si>
  <si>
    <t>škára.500</t>
  </si>
  <si>
    <t>-voeg.500</t>
  </si>
  <si>
    <t>fog.500</t>
  </si>
  <si>
    <t>Dima di ausilio per il montaggio PREFA clip antivento per materiale di spessore 1,5 mm</t>
  </si>
  <si>
    <t>Questionario per prodotti fuori standard</t>
  </si>
  <si>
    <t>Angolo di gronda 2D</t>
  </si>
  <si>
    <t>Angolo di gronda 3D</t>
  </si>
  <si>
    <t>Gomito</t>
  </si>
  <si>
    <t>Cassetta di raccolta</t>
  </si>
  <si>
    <t>Braga (un lato)</t>
  </si>
  <si>
    <t>Braga (due lati)</t>
  </si>
  <si>
    <t>Braga per pluviale quadro (un lato)</t>
  </si>
  <si>
    <t>Braga per pluviale quadro (due lati)</t>
  </si>
  <si>
    <t>Spostamento per pluviale quadro</t>
  </si>
  <si>
    <t>Spostamento</t>
  </si>
  <si>
    <t>Cassetta di raccolta per pluviale quadro</t>
  </si>
  <si>
    <t>Angolo di gronda esterno</t>
  </si>
  <si>
    <t>Angolo di gronda interno</t>
  </si>
  <si>
    <t>Pluviale quadro 100x80mm</t>
  </si>
  <si>
    <t>Profilo di partenza Prefa L=2000mm colore fuori standard P.10</t>
  </si>
  <si>
    <t xml:space="preserve">Profilo a tasca Prefa L=2500mm </t>
  </si>
  <si>
    <t>Startprofiel L=3000mm</t>
  </si>
  <si>
    <t>Fickprofil L=3000 mm</t>
  </si>
  <si>
    <t>Lommeprofil(Holdevinkel) L=3000 mm</t>
  </si>
  <si>
    <t>Lommeprofil(Festevinkel) L=3000</t>
  </si>
  <si>
    <t>Larghezza rilevata in pendenza</t>
  </si>
  <si>
    <t>Distanza</t>
  </si>
  <si>
    <t>Base di ancoraggio</t>
  </si>
  <si>
    <t>Lunghezza scossalina di gronda</t>
  </si>
  <si>
    <t>Graffetta per Scaglia 29 per facciata</t>
  </si>
  <si>
    <t>Staffa di collegamento</t>
  </si>
  <si>
    <t>Graffetta fissa in acciaio inox per fissaggio con viti</t>
  </si>
  <si>
    <t>Graffetta scorrevole in acciaio inox per fissaggio con viti</t>
  </si>
  <si>
    <t>Graffetta scorrevole maggiorata in acciaio inox per fissaggio con viti</t>
  </si>
  <si>
    <t>Doga perforata senza fuga</t>
  </si>
  <si>
    <t>Vite speciale per sottostruttura in alluminio</t>
  </si>
  <si>
    <t>Speciale Schroef Alu 5,5x25 mm</t>
  </si>
  <si>
    <t>Specialskruv Alu 5,5x25 mm</t>
  </si>
  <si>
    <t>Specialskrue Alu 5,5x25 mm</t>
  </si>
  <si>
    <t>Vite speciale per sottostruttura in acciaio</t>
  </si>
  <si>
    <t>Speciale Schroef Stalen 5,5x25 mm</t>
  </si>
  <si>
    <t>Specialskruv Stål  5,5x25 mm</t>
  </si>
  <si>
    <t>Specialskrue Stål 5,5x25 mm</t>
  </si>
  <si>
    <t>Vite speciale per sottostruttura in legno</t>
  </si>
  <si>
    <t>Speciale Schroef Hputen 4,9x35 mm</t>
  </si>
  <si>
    <t>Specialskruv Trä 4,9x35 mm</t>
  </si>
  <si>
    <t>Specialskrue Tre 4,9x35 mm</t>
  </si>
  <si>
    <t>Vite per facciata per sottostruttura in alluminio</t>
  </si>
  <si>
    <t>Anello per punto fisso per vite per facciata</t>
  </si>
  <si>
    <t>Anello per punto scorrevole per vite per facciata</t>
  </si>
  <si>
    <t>perforata</t>
  </si>
  <si>
    <t>Vite a testa svasata</t>
  </si>
  <si>
    <t>Sovrapposizione 100mm</t>
  </si>
  <si>
    <t>Adatto alla dilatazione</t>
  </si>
  <si>
    <t>in località ad elevato carico neve da 35° (70%)</t>
  </si>
  <si>
    <t>Tutti i diritti sono riservati. Questo documento può essere utilizzato solo per gli scopi da noi autorizzati e non può essere reso accessibile a terzi senza il nostro consenso.</t>
  </si>
  <si>
    <t>(min. 8cm per esecuzione con aggraffatura tipo "Stiefel")</t>
  </si>
  <si>
    <t>Impermeabilizzato con Gel Prefa</t>
  </si>
  <si>
    <t>Aggraffatura: connessione forte</t>
  </si>
  <si>
    <t>con scanalatura</t>
  </si>
  <si>
    <t>bordare</t>
  </si>
  <si>
    <t>aggraffatura longitudinale</t>
  </si>
  <si>
    <t>Raccordo alla gronda aggraffatura diritta</t>
  </si>
  <si>
    <t>Raccordi aggraffati (aggraffature trasversali)</t>
  </si>
  <si>
    <t>Collegamenti per pluviali</t>
  </si>
  <si>
    <t>Raccordo alla gronda aggraffatura doppia arrotondata</t>
  </si>
  <si>
    <t>Ribattuta alla gronda</t>
  </si>
  <si>
    <t>Sporgenza di gronda</t>
  </si>
  <si>
    <t>Raccordo alla gronda aggraffatura angolare arrotondata</t>
  </si>
  <si>
    <t>PEZZO 1 pezzo superiore</t>
  </si>
  <si>
    <t>PEZZO 2 pezzo inferiore</t>
  </si>
  <si>
    <t>Esecuzione colmo - aggraffatura longitudinale</t>
  </si>
  <si>
    <t>Pre incidere l'aggraffatura angolare grande e piccola</t>
  </si>
  <si>
    <t>Indicare la piega</t>
  </si>
  <si>
    <t>Tirare la bisettrice dell'angolo all'indietro verso il colmo</t>
  </si>
  <si>
    <t>Tirare lentamente verso l'alto l'alzata del colmo, seguendo la formazione delle pieghe</t>
  </si>
  <si>
    <t>Stringere la piega e premere nella direzione opposta</t>
  </si>
  <si>
    <t>Piegare formando l'aggraffatura ad angolo (solo sulla sovrapposizione)</t>
  </si>
  <si>
    <t>Agganciare l'aggraffatura longitudinale e comprimere</t>
  </si>
  <si>
    <t>comprimere il lembo di copertura</t>
  </si>
  <si>
    <t>Battere la piega del rivestimento sottostante alla piega del rivestimento soprastante.</t>
  </si>
  <si>
    <t>Altezza di aggraffatura del colmo</t>
  </si>
  <si>
    <t>Aggraffatura di colmo</t>
  </si>
  <si>
    <t>Linea di rialzo del colmo</t>
  </si>
  <si>
    <t>Bisettrice d'angolo</t>
  </si>
  <si>
    <t>Posizionare la piega superiore contro la direzione dell'aggraffatura principale</t>
  </si>
  <si>
    <t>Preparare il colmo prima della profilatura</t>
  </si>
  <si>
    <t>Vertice del tetto</t>
  </si>
  <si>
    <t>Esecuzione del colmo con aggraffatura longitudinale</t>
  </si>
  <si>
    <t>Linea di piega</t>
  </si>
  <si>
    <t>Raccordo a parete Aggraffatura angolare</t>
  </si>
  <si>
    <t>Processo di aggraffatura:</t>
  </si>
  <si>
    <t>Pre piegare l'aggraffatura angolare</t>
  </si>
  <si>
    <t>Piegare il naso del coperchio verso l'alto</t>
  </si>
  <si>
    <t>Piegare il naso della lamiera verso il basso, questo deve essere sormontato dall'aggraffatura angolare</t>
  </si>
  <si>
    <t>La bisettrice angolare deve essere tirata in avanti verso la superficie del tetto</t>
  </si>
  <si>
    <t>Piegare verso l'alto il raccordo a parete in corrispondenza della linea di piega</t>
  </si>
  <si>
    <t>Seguire la formazione delle pieghe, correggere se necessario.</t>
  </si>
  <si>
    <t>Formare una piega e chiuderla (martellando)</t>
  </si>
  <si>
    <t>Agganciare l'aggraffatura angolare e chiudere</t>
  </si>
  <si>
    <t>Naso di chiusura B.) adattare all'aggraffatura angolare</t>
  </si>
  <si>
    <t>Raccordo a parete per aggraffatura angolare in due pezzi</t>
  </si>
  <si>
    <t>Indicare la piega - la bisettrice deve essere tirata in avanti verso il tetto.</t>
  </si>
  <si>
    <t>Area del tetto</t>
  </si>
  <si>
    <t>tagliare</t>
  </si>
  <si>
    <t>Conversa camino</t>
  </si>
  <si>
    <t>Converse - Finestra da tetto</t>
  </si>
  <si>
    <t>Linea di aggraffatura</t>
  </si>
  <si>
    <t>Processo di aggraffatura - Aggraffatura tipo "stiefel"</t>
  </si>
  <si>
    <t>Segnare 150mm, spianare le aggraffature</t>
  </si>
  <si>
    <t>Con una pinza a punta girare diagonalmente verso l'interno l'aggraffatura</t>
  </si>
  <si>
    <t>Tagliare diagonalmente su entrambi i lati 10mm</t>
  </si>
  <si>
    <t>Tagliare ca. 8mm nella aggraffatura piccola e ca. 15 in quella grande</t>
  </si>
  <si>
    <t>Chiudere l'aggraffatura longitudinale e ripiegare i lembi tra loro</t>
  </si>
  <si>
    <t>Aggraffatura doppia</t>
  </si>
  <si>
    <t>Aggraffatura "stiefel" terminata</t>
  </si>
  <si>
    <t>Raccordo a parete laterale in corrispondenza del gradino di pendenza</t>
  </si>
  <si>
    <t>Altezza dell'intradosso del risvolto a parete</t>
  </si>
  <si>
    <t>Altezza del gradino di pendenza</t>
  </si>
  <si>
    <t>Binario</t>
  </si>
  <si>
    <t>Piastra del collo</t>
  </si>
  <si>
    <t>Interasse delle travature</t>
  </si>
  <si>
    <t>Altezza doppia aggraffatura: 25 mm</t>
  </si>
  <si>
    <t>Formbeiwert µ1 laut DIN EN 1991-1-3:2023</t>
  </si>
  <si>
    <t>form factor µ1 according to DIN EN 1991-1-3:2023</t>
  </si>
  <si>
    <t>coefficient de forme µ1 selon la norme DIN EN 1991-1-3:2023</t>
  </si>
  <si>
    <t>coefficiente di forma µ1 secondo la norma DIN EN 1991-1-3:2023</t>
  </si>
  <si>
    <t>koeficient tvaru µ1 podle normy DIN EN 1991-1-3:2023</t>
  </si>
  <si>
    <t>współczynnik formuły µ1 zgodnie z normą DIN EN 1991-1-3:2023</t>
  </si>
  <si>
    <t>alaktényező µ1 a DIN EN 1991-1-3:2023 szerint</t>
  </si>
  <si>
    <t>koeficient tvaru µ1 podľa normy DIN EN 1991-1-3:2023</t>
  </si>
  <si>
    <t>vormfactor µ1 volgens DIN EN 1991-1-3:2023</t>
  </si>
  <si>
    <t>faktor oblike µ1 v skladu z DIN EN 1991-1-3:2023</t>
  </si>
  <si>
    <t>formfaktor µ1 enligt DIN EN 1991-1-3:2023</t>
  </si>
  <si>
    <t>formfaktor µ1 ifølge DIN EN 1991-1-3:2023</t>
  </si>
  <si>
    <t>formfaktor µ1 i henhold til DIN EN 1991-1-3:2023</t>
  </si>
  <si>
    <t>oblikovni faktor µ1 prema normi DIN EN 1991-1-3:2023</t>
  </si>
  <si>
    <t>Formbeiwert µ1 laut EN 1991-1-3:2023</t>
  </si>
  <si>
    <t>form factor µ1 according to EN 1991-1-3:2023</t>
  </si>
  <si>
    <t>coefficient de forme µ1 selon la norme EN 1991-1-3:2023</t>
  </si>
  <si>
    <t>coefficiente di forma µ1 secondo la norma EN 1991-1-3:2023</t>
  </si>
  <si>
    <t>koeficient tvaru µ1 podle normy EN 1991-1-3:2023</t>
  </si>
  <si>
    <t>współczynnik formuły µ1 zgodnie z normą EN 1991-1-3:2023</t>
  </si>
  <si>
    <t>alaktényező µ1 a EN 1991-1-3:2023 szerint</t>
  </si>
  <si>
    <t>koeficient tvaru µ1 podľa normy EN 1991-1-3:2023</t>
  </si>
  <si>
    <t>vormfactor µ1 volgens EN 1991-1-3:2023</t>
  </si>
  <si>
    <t>faktor oblike µ1 v skladu z EN 1991-1-3:2023</t>
  </si>
  <si>
    <t>formfaktor µ1 enligt EN 1991-1-3:2023</t>
  </si>
  <si>
    <t>formfaktor µ1 ifølge EN 1991-1-3:2023</t>
  </si>
  <si>
    <t>formfaktor µ1 i henhold til EN 1991-1-3:2023</t>
  </si>
  <si>
    <t>oblikovni faktor µ1 prema normi EN 1991-1-3:2023</t>
  </si>
  <si>
    <t>Scandola a parete</t>
  </si>
  <si>
    <t>Graffetta per scandola a parete</t>
  </si>
  <si>
    <t>Leibungsblech (Länge: 2.500 mm)</t>
  </si>
  <si>
    <t>jamb flashing(length: 2.500 mm)</t>
  </si>
  <si>
    <t>Dagkantprofiel L=2500 mm</t>
  </si>
  <si>
    <t>Smyglist L=2500 mm</t>
  </si>
  <si>
    <t>Lysningsplade L=3000 mm</t>
  </si>
  <si>
    <t>Smygplate L=2500 mm</t>
  </si>
  <si>
    <t>Außenecke 2-teilig (Länge: 2.500 mm)</t>
  </si>
  <si>
    <t>external corner (2 elements); L = 2,500 mm</t>
  </si>
  <si>
    <t>angolo esterno (2 parti); L = 2500 mm</t>
  </si>
  <si>
    <t>roh vnější 2 - dílný, délka 3500 mm</t>
  </si>
  <si>
    <t>Narożnik zewnętrzny 2-częściowy L=2500 mm</t>
  </si>
  <si>
    <t>külső sarok profil 2-részes H = 2.500 mm</t>
  </si>
  <si>
    <t>vonkajší rohový profil (2 - dielny; L = 2.500 mm)</t>
  </si>
  <si>
    <t>buitenhoek 2-delig L = 2500 mm</t>
  </si>
  <si>
    <t>Zunanji vogal (2-delni; D = 2.500 mm)</t>
  </si>
  <si>
    <t>utvändigt hörn 2-delad L = 2.500 mm</t>
  </si>
  <si>
    <t>udvendigt hjørne 2-delt L = 2.500 mm</t>
  </si>
  <si>
    <t>yttervinkel 2-delt L = 2500 mm</t>
  </si>
  <si>
    <t>Vanjski kut 2-dijelni L = 2.500 mm</t>
  </si>
  <si>
    <t>Dagkantprofiel L=3000 mm</t>
  </si>
  <si>
    <t>Smyglist L=3000 mm</t>
  </si>
  <si>
    <t>Smygplate L=3000 mm</t>
  </si>
  <si>
    <t>pocket flashing L = 3,000 mm folded</t>
  </si>
  <si>
    <t>ukončovací profil L = 3000 mm hraněný</t>
  </si>
  <si>
    <t>zsebes profil L = 3000 mm hajtott</t>
  </si>
  <si>
    <t>kapsový profil L = 3 000 mm ohýbaný</t>
  </si>
  <si>
    <t>zakprofiel L = 3.000 mm gevoegd</t>
  </si>
  <si>
    <t>fickprofil L = 3 000 mm kantad</t>
  </si>
  <si>
    <t>taskeprofil L = 3.000 mm kantet</t>
  </si>
  <si>
    <t>lommeprofil L = 3000 mm kantet</t>
  </si>
  <si>
    <t>C profil L = 3.000 mm, kantiran</t>
  </si>
  <si>
    <t>Projekt-ID:</t>
  </si>
  <si>
    <t>Project-ID:</t>
  </si>
  <si>
    <t>Projet-ID:</t>
  </si>
  <si>
    <t>Progetto-ID:</t>
  </si>
  <si>
    <t>Prosjekt-ID:</t>
  </si>
  <si>
    <t>Lastenermittlung:</t>
  </si>
  <si>
    <t>Standort:</t>
  </si>
  <si>
    <t>Location:</t>
  </si>
  <si>
    <t>Emplacement :</t>
  </si>
  <si>
    <t>Posizione:</t>
  </si>
  <si>
    <t>Poloha:</t>
  </si>
  <si>
    <t>Lokalizacja:</t>
  </si>
  <si>
    <t>Helyszín:</t>
  </si>
  <si>
    <t>Locatie:</t>
  </si>
  <si>
    <t>Lokacija:</t>
  </si>
  <si>
    <t>Plats:</t>
  </si>
  <si>
    <t>Placering:</t>
  </si>
  <si>
    <t>Plassering:</t>
  </si>
  <si>
    <t>Maximaler Grundwert:</t>
  </si>
  <si>
    <t>Maximum base value:</t>
  </si>
  <si>
    <t>Valeur de base maximale :</t>
  </si>
  <si>
    <t>Valore di base massimo:</t>
  </si>
  <si>
    <t>Maximální základní hodnota:</t>
  </si>
  <si>
    <t>Maksymalna wartość podstawowa:</t>
  </si>
  <si>
    <t>Maximális alapérték:</t>
  </si>
  <si>
    <t>Maximálna základná hodnota:</t>
  </si>
  <si>
    <t>Maximale basiswaarde:</t>
  </si>
  <si>
    <t>Maksimalna osnovna vrednost:</t>
  </si>
  <si>
    <t>Maximalt basvärde:</t>
  </si>
  <si>
    <t>Maksimalt grundværdi:</t>
  </si>
  <si>
    <t>Maksimal grunnverdi:</t>
  </si>
  <si>
    <t>Maksimalna osnovna vrijednost:</t>
  </si>
  <si>
    <t>Dachgeometrie:</t>
  </si>
  <si>
    <t>Roof geometry:</t>
  </si>
  <si>
    <t>Géométrie du toit :</t>
  </si>
  <si>
    <t>Geometria del tetto:</t>
  </si>
  <si>
    <t>Střešní geometrie:</t>
  </si>
  <si>
    <t>Geometria dachu:</t>
  </si>
  <si>
    <t>Tető geometria:</t>
  </si>
  <si>
    <t>Geometria strechy:</t>
  </si>
  <si>
    <t>Dakgeometrie:</t>
  </si>
  <si>
    <t>Geometrija strehe:</t>
  </si>
  <si>
    <t>Takgeometri:</t>
  </si>
  <si>
    <t>Taggeometri:</t>
  </si>
  <si>
    <t>Geometrija krova:</t>
  </si>
  <si>
    <t>Dachschneelasten:</t>
  </si>
  <si>
    <t>Roof snow loads:</t>
  </si>
  <si>
    <t>Charges de neige sur le toit :</t>
  </si>
  <si>
    <t>Carichi nevosi sul tetto:</t>
  </si>
  <si>
    <t>Sněhové zatížení střechy:</t>
  </si>
  <si>
    <t>Obciążenie śnieżne na dachu:</t>
  </si>
  <si>
    <t>Tetőhómérsékletek:</t>
  </si>
  <si>
    <t>Snežné zaťaženie strechy:</t>
  </si>
  <si>
    <t>Dak sneeuwbelastingen:</t>
  </si>
  <si>
    <t>Snežne obremenitve strehe:</t>
  </si>
  <si>
    <t>Tak snöbelastningar:</t>
  </si>
  <si>
    <t>Tag snebelastninger:</t>
  </si>
  <si>
    <t>Tak snøbelastninger:</t>
  </si>
  <si>
    <t>Snježne opterećenja krova:</t>
  </si>
  <si>
    <t>charakteristische Schneelast</t>
  </si>
  <si>
    <t>characteristic snow load</t>
  </si>
  <si>
    <t>charge de neige caractéristique</t>
  </si>
  <si>
    <t>carico neve caratteristico</t>
  </si>
  <si>
    <t>charakteristická sněhová zátěž</t>
  </si>
  <si>
    <t>charakterystyczne obciążenie śnieżne</t>
  </si>
  <si>
    <t>jellemző hóterhelés</t>
  </si>
  <si>
    <t>charakteristické snehové zaťaženie</t>
  </si>
  <si>
    <t>karakteristieke sneeuwbelasting</t>
  </si>
  <si>
    <t>značilna snežna obremenitev</t>
  </si>
  <si>
    <t>karaktäristisk snöbelastning</t>
  </si>
  <si>
    <t>karakteristisk snebelastning</t>
  </si>
  <si>
    <t>karakteristisk snølast</t>
  </si>
  <si>
    <t>karakteristično snježno opterećenje</t>
  </si>
  <si>
    <r>
      <t>Dachparallel S</t>
    </r>
    <r>
      <rPr>
        <vertAlign val="subscript"/>
        <sz val="11"/>
        <color theme="1"/>
        <rFont val="Arial"/>
        <family val="2"/>
      </rPr>
      <t>H</t>
    </r>
    <r>
      <rPr>
        <sz val="11"/>
        <color theme="1"/>
        <rFont val="Arial"/>
        <family val="2"/>
      </rPr>
      <t xml:space="preserve"> [kN/m²]:</t>
    </r>
  </si>
  <si>
    <r>
      <t>Roof parallel S</t>
    </r>
    <r>
      <rPr>
        <vertAlign val="subscript"/>
        <sz val="11"/>
        <color theme="1"/>
        <rFont val="Arial"/>
        <family val="2"/>
      </rPr>
      <t>H</t>
    </r>
    <r>
      <rPr>
        <sz val="11"/>
        <color theme="1"/>
        <rFont val="Arial"/>
        <family val="2"/>
      </rPr>
      <t xml:space="preserve"> [kN/m²]:</t>
    </r>
  </si>
  <si>
    <r>
      <t>Parallèle au toit S</t>
    </r>
    <r>
      <rPr>
        <vertAlign val="subscript"/>
        <sz val="11"/>
        <color theme="1"/>
        <rFont val="Arial"/>
        <family val="2"/>
      </rPr>
      <t>H</t>
    </r>
    <r>
      <rPr>
        <sz val="11"/>
        <color theme="1"/>
        <rFont val="Arial"/>
        <family val="2"/>
      </rPr>
      <t xml:space="preserve"> [kN/m²] :</t>
    </r>
  </si>
  <si>
    <r>
      <t>Parallelo del tetto S</t>
    </r>
    <r>
      <rPr>
        <vertAlign val="subscript"/>
        <sz val="11"/>
        <color theme="1"/>
        <rFont val="Arial"/>
        <family val="2"/>
      </rPr>
      <t>H</t>
    </r>
    <r>
      <rPr>
        <sz val="11"/>
        <color theme="1"/>
        <rFont val="Arial"/>
        <family val="2"/>
      </rPr>
      <t xml:space="preserve"> [kN/m²]:</t>
    </r>
  </si>
  <si>
    <r>
      <t>Střešní paralelní S</t>
    </r>
    <r>
      <rPr>
        <vertAlign val="subscript"/>
        <sz val="11"/>
        <color theme="1"/>
        <rFont val="Arial"/>
        <family val="2"/>
      </rPr>
      <t>H</t>
    </r>
    <r>
      <rPr>
        <sz val="11"/>
        <color theme="1"/>
        <rFont val="Arial"/>
        <family val="2"/>
      </rPr>
      <t xml:space="preserve"> [kN/m²]:</t>
    </r>
  </si>
  <si>
    <r>
      <t>Równoległy do dachu S</t>
    </r>
    <r>
      <rPr>
        <vertAlign val="subscript"/>
        <sz val="11"/>
        <color theme="1"/>
        <rFont val="Arial"/>
        <family val="2"/>
      </rPr>
      <t>H</t>
    </r>
    <r>
      <rPr>
        <sz val="11"/>
        <color theme="1"/>
        <rFont val="Arial"/>
        <family val="2"/>
      </rPr>
      <t xml:space="preserve"> [kN/m²]:</t>
    </r>
  </si>
  <si>
    <r>
      <t>Tetővel párhuzamos S</t>
    </r>
    <r>
      <rPr>
        <vertAlign val="subscript"/>
        <sz val="11"/>
        <color theme="1"/>
        <rFont val="Arial"/>
        <family val="2"/>
      </rPr>
      <t>H</t>
    </r>
    <r>
      <rPr>
        <sz val="11"/>
        <color theme="1"/>
        <rFont val="Arial"/>
        <family val="2"/>
      </rPr>
      <t xml:space="preserve"> [kN/m²]:</t>
    </r>
  </si>
  <si>
    <r>
      <t>Paralelný s strechou S</t>
    </r>
    <r>
      <rPr>
        <vertAlign val="subscript"/>
        <sz val="11"/>
        <color theme="1"/>
        <rFont val="Arial"/>
        <family val="2"/>
      </rPr>
      <t>H</t>
    </r>
    <r>
      <rPr>
        <sz val="11"/>
        <color theme="1"/>
        <rFont val="Arial"/>
        <family val="2"/>
      </rPr>
      <t xml:space="preserve"> [kN/m²]:</t>
    </r>
  </si>
  <si>
    <r>
      <t>Dakparallel S</t>
    </r>
    <r>
      <rPr>
        <vertAlign val="subscript"/>
        <sz val="11"/>
        <color theme="1"/>
        <rFont val="Arial"/>
        <family val="2"/>
      </rPr>
      <t>H</t>
    </r>
    <r>
      <rPr>
        <sz val="11"/>
        <color theme="1"/>
        <rFont val="Arial"/>
        <family val="2"/>
      </rPr>
      <t xml:space="preserve"> [kN/m²]:</t>
    </r>
  </si>
  <si>
    <r>
      <t>Streha vzporedno S</t>
    </r>
    <r>
      <rPr>
        <vertAlign val="subscript"/>
        <sz val="11"/>
        <color theme="1"/>
        <rFont val="Arial"/>
        <family val="2"/>
      </rPr>
      <t>H</t>
    </r>
    <r>
      <rPr>
        <sz val="11"/>
        <color theme="1"/>
        <rFont val="Arial"/>
        <family val="2"/>
      </rPr>
      <t xml:space="preserve"> [kN/m²]:</t>
    </r>
  </si>
  <si>
    <r>
      <t>Takparallell S</t>
    </r>
    <r>
      <rPr>
        <vertAlign val="subscript"/>
        <sz val="11"/>
        <color theme="1"/>
        <rFont val="Arial"/>
        <family val="2"/>
      </rPr>
      <t>H</t>
    </r>
    <r>
      <rPr>
        <sz val="11"/>
        <color theme="1"/>
        <rFont val="Arial"/>
        <family val="2"/>
      </rPr>
      <t xml:space="preserve"> [kN/m²]:</t>
    </r>
  </si>
  <si>
    <r>
      <t>Tagparallelt S</t>
    </r>
    <r>
      <rPr>
        <vertAlign val="subscript"/>
        <sz val="11"/>
        <color theme="1"/>
        <rFont val="Arial"/>
        <family val="2"/>
      </rPr>
      <t>H</t>
    </r>
    <r>
      <rPr>
        <sz val="11"/>
        <color theme="1"/>
        <rFont val="Arial"/>
        <family val="2"/>
      </rPr>
      <t xml:space="preserve"> [kN/m²]:</t>
    </r>
  </si>
  <si>
    <r>
      <t>Krovna paralelni S</t>
    </r>
    <r>
      <rPr>
        <vertAlign val="subscript"/>
        <sz val="11"/>
        <color theme="1"/>
        <rFont val="Arial"/>
        <family val="2"/>
      </rPr>
      <t>H</t>
    </r>
    <r>
      <rPr>
        <sz val="11"/>
        <color theme="1"/>
        <rFont val="Arial"/>
        <family val="2"/>
      </rPr>
      <t xml:space="preserve"> [kN/m²]:</t>
    </r>
  </si>
  <si>
    <r>
      <t>Dachnormale S</t>
    </r>
    <r>
      <rPr>
        <vertAlign val="subscript"/>
        <sz val="11"/>
        <color theme="1"/>
        <rFont val="Arial"/>
        <family val="2"/>
      </rPr>
      <t>V</t>
    </r>
    <r>
      <rPr>
        <sz val="11"/>
        <color theme="1"/>
        <rFont val="Arial"/>
        <family val="2"/>
      </rPr>
      <t xml:space="preserve"> [kN/m²]:</t>
    </r>
  </si>
  <si>
    <r>
      <t>Roof normal S</t>
    </r>
    <r>
      <rPr>
        <vertAlign val="subscript"/>
        <sz val="11"/>
        <color theme="1"/>
        <rFont val="Arial"/>
        <family val="2"/>
      </rPr>
      <t>V</t>
    </r>
    <r>
      <rPr>
        <sz val="11"/>
        <color theme="1"/>
        <rFont val="Arial"/>
        <family val="2"/>
      </rPr>
      <t xml:space="preserve"> [kN/m²]:</t>
    </r>
  </si>
  <si>
    <r>
      <t>Normale au toit S</t>
    </r>
    <r>
      <rPr>
        <vertAlign val="subscript"/>
        <sz val="11"/>
        <color theme="1"/>
        <rFont val="Arial"/>
        <family val="2"/>
      </rPr>
      <t>V</t>
    </r>
    <r>
      <rPr>
        <sz val="11"/>
        <color theme="1"/>
        <rFont val="Arial"/>
        <family val="2"/>
      </rPr>
      <t xml:space="preserve"> [kN/m²] :</t>
    </r>
  </si>
  <si>
    <r>
      <t>Normale del tetto S</t>
    </r>
    <r>
      <rPr>
        <vertAlign val="subscript"/>
        <sz val="11"/>
        <color theme="1"/>
        <rFont val="Arial"/>
        <family val="2"/>
      </rPr>
      <t>V</t>
    </r>
    <r>
      <rPr>
        <sz val="11"/>
        <color theme="1"/>
        <rFont val="Arial"/>
        <family val="2"/>
      </rPr>
      <t xml:space="preserve"> [kN/m²]:</t>
    </r>
  </si>
  <si>
    <r>
      <t>Střešní normála S</t>
    </r>
    <r>
      <rPr>
        <vertAlign val="subscript"/>
        <sz val="11"/>
        <color theme="1"/>
        <rFont val="Arial"/>
        <family val="2"/>
      </rPr>
      <t>V</t>
    </r>
    <r>
      <rPr>
        <sz val="11"/>
        <color theme="1"/>
        <rFont val="Arial"/>
        <family val="2"/>
      </rPr>
      <t xml:space="preserve"> [kN/m²]:</t>
    </r>
  </si>
  <si>
    <r>
      <t>Normalna dachu S</t>
    </r>
    <r>
      <rPr>
        <vertAlign val="subscript"/>
        <sz val="11"/>
        <color theme="1"/>
        <rFont val="Arial"/>
        <family val="2"/>
      </rPr>
      <t>V</t>
    </r>
    <r>
      <rPr>
        <sz val="11"/>
        <color theme="1"/>
        <rFont val="Arial"/>
        <family val="2"/>
      </rPr>
      <t xml:space="preserve"> [kN/m²]:</t>
    </r>
  </si>
  <si>
    <r>
      <t>Tető normális S</t>
    </r>
    <r>
      <rPr>
        <vertAlign val="subscript"/>
        <sz val="11"/>
        <color theme="1"/>
        <rFont val="Arial"/>
        <family val="2"/>
      </rPr>
      <t>V</t>
    </r>
    <r>
      <rPr>
        <sz val="11"/>
        <color theme="1"/>
        <rFont val="Arial"/>
        <family val="2"/>
      </rPr>
      <t xml:space="preserve"> [kN/m²]:</t>
    </r>
  </si>
  <si>
    <r>
      <t>Strešná normála S</t>
    </r>
    <r>
      <rPr>
        <vertAlign val="subscript"/>
        <sz val="11"/>
        <color theme="1"/>
        <rFont val="Arial"/>
        <family val="2"/>
      </rPr>
      <t>V</t>
    </r>
    <r>
      <rPr>
        <sz val="11"/>
        <color theme="1"/>
        <rFont val="Arial"/>
        <family val="2"/>
      </rPr>
      <t xml:space="preserve"> [kN/m²]:</t>
    </r>
  </si>
  <si>
    <r>
      <t>Daknormaal S</t>
    </r>
    <r>
      <rPr>
        <vertAlign val="subscript"/>
        <sz val="11"/>
        <color theme="1"/>
        <rFont val="Arial"/>
        <family val="2"/>
      </rPr>
      <t>V</t>
    </r>
    <r>
      <rPr>
        <sz val="11"/>
        <color theme="1"/>
        <rFont val="Arial"/>
        <family val="2"/>
      </rPr>
      <t xml:space="preserve"> [kN/m²]:</t>
    </r>
  </si>
  <si>
    <r>
      <t>Strešna normala S</t>
    </r>
    <r>
      <rPr>
        <vertAlign val="subscript"/>
        <sz val="11"/>
        <color theme="1"/>
        <rFont val="Arial"/>
        <family val="2"/>
      </rPr>
      <t>V</t>
    </r>
    <r>
      <rPr>
        <sz val="11"/>
        <color theme="1"/>
        <rFont val="Arial"/>
        <family val="2"/>
      </rPr>
      <t xml:space="preserve"> [kN/m²]:</t>
    </r>
  </si>
  <si>
    <r>
      <t>Taknormal S</t>
    </r>
    <r>
      <rPr>
        <vertAlign val="subscript"/>
        <sz val="11"/>
        <color theme="1"/>
        <rFont val="Arial"/>
        <family val="2"/>
      </rPr>
      <t>V</t>
    </r>
    <r>
      <rPr>
        <sz val="11"/>
        <color theme="1"/>
        <rFont val="Arial"/>
        <family val="2"/>
      </rPr>
      <t xml:space="preserve"> [kN/m²]:</t>
    </r>
  </si>
  <si>
    <r>
      <t>Tagnormal S</t>
    </r>
    <r>
      <rPr>
        <vertAlign val="subscript"/>
        <sz val="11"/>
        <color theme="1"/>
        <rFont val="Arial"/>
        <family val="2"/>
      </rPr>
      <t>V</t>
    </r>
    <r>
      <rPr>
        <sz val="11"/>
        <color theme="1"/>
        <rFont val="Arial"/>
        <family val="2"/>
      </rPr>
      <t xml:space="preserve"> [kN/m²]:</t>
    </r>
  </si>
  <si>
    <r>
      <t>Krovna normala S</t>
    </r>
    <r>
      <rPr>
        <vertAlign val="subscript"/>
        <sz val="11"/>
        <color theme="1"/>
        <rFont val="Arial"/>
        <family val="2"/>
      </rPr>
      <t>V</t>
    </r>
    <r>
      <rPr>
        <sz val="11"/>
        <color theme="1"/>
        <rFont val="Arial"/>
        <family val="2"/>
      </rPr>
      <t xml:space="preserve"> [kN/m²]:</t>
    </r>
  </si>
  <si>
    <t>Schneeüberhang an der Traufe Se [kN/lfm]:</t>
  </si>
  <si>
    <t>Snow overhang on the eaves Se [kN/lfm]:</t>
  </si>
  <si>
    <t>Surplomb de neige à l'avant-toit Se [kN/lfm]:</t>
  </si>
  <si>
    <t>Sporgenza di neve sulla grondaia Se [kN/lfm]:</t>
  </si>
  <si>
    <t>Sněhový přesah na okapu Se [kN/lfm]:</t>
  </si>
  <si>
    <t>Hókarnis az ereszen Se [kN/lfm]:</t>
  </si>
  <si>
    <t>Hókornis a eresz alatt Se [kN/lfm]:</t>
  </si>
  <si>
    <t>Snežný previs na okap Se [kN/lfm]:</t>
  </si>
  <si>
    <t>Sneeuwoverhang bij de dakrand Se [kN/lfm]:</t>
  </si>
  <si>
    <t>Snežni rob pri žlebu Se [kN/lfm]:</t>
  </si>
  <si>
    <t>Snöutstick vid takfoten Se [kN/lfm]:</t>
  </si>
  <si>
    <t>Sneoverhæng ved tagrenden Se [kN/lfm]:</t>
  </si>
  <si>
    <t>Snøoverheng ved takskjegget Se [kN/lfm]:</t>
  </si>
  <si>
    <t>Snježni vis na strehama Se [kN/lfm]:</t>
  </si>
  <si>
    <t>Schneeüberhang seh [kN/lfm]:</t>
  </si>
  <si>
    <t>Snow overhang seh [kN/lfm]:</t>
  </si>
  <si>
    <t>Surplomb de neige seh [kN/lfm]:</t>
  </si>
  <si>
    <t>Sporgenza di neve seh [kN/lfm]:</t>
  </si>
  <si>
    <t>Sněhový přesah seh [kN/lfm]:</t>
  </si>
  <si>
    <t>Krawędź śnieżna seh [kN/lfm]:</t>
  </si>
  <si>
    <t>Hókornis seh [kN/lfm]:</t>
  </si>
  <si>
    <t>Snežný previs seh [kN/lfm]:</t>
  </si>
  <si>
    <t>Sneeuwoverhang seh [kN/lfm]:</t>
  </si>
  <si>
    <t>Snežni rob seh [kN/lfm]:</t>
  </si>
  <si>
    <t>Snövall seh [kN/lfm]:</t>
  </si>
  <si>
    <t>Sneoverhæng seh [kN/lfm]:</t>
  </si>
  <si>
    <t>Snøoverheng seh [kN/lfm]:</t>
  </si>
  <si>
    <t>Snježni vis seh [kN/lfm]:</t>
  </si>
  <si>
    <t>laut ÖNORM B 1991-1-3:2018</t>
  </si>
  <si>
    <t>according to ÖNORM B 1991-1-3:2018</t>
  </si>
  <si>
    <t>selon ÖNORM B 1991-1-3:2018</t>
  </si>
  <si>
    <t>secondo ÖNORM B 1991-1-3:2018</t>
  </si>
  <si>
    <t>podle ÖNORM B 1991-1-3:2018</t>
  </si>
  <si>
    <t>zgodnie z ÖNORM B 1991-1-3:2018</t>
  </si>
  <si>
    <t>szerint ÖNORM B 1991-1-3:2018</t>
  </si>
  <si>
    <t>podľa ÖNORM B 1991-1-3:2018</t>
  </si>
  <si>
    <t>volgens ÖNORM B 1991-1-3:2018</t>
  </si>
  <si>
    <t>po ÖNORM B 1991-1-3:2018</t>
  </si>
  <si>
    <t>enligt ÖNORM B 1991-1-3:2018</t>
  </si>
  <si>
    <t>ifølge ÖNORM B 1991-1-3:2018</t>
  </si>
  <si>
    <t>i henhold tilÖNORM B 1991-1-3:2018</t>
  </si>
  <si>
    <t>prema ÖNORM B 1991-1-3:2018</t>
  </si>
  <si>
    <t>laut DIN EN 1991-1-3:2023</t>
  </si>
  <si>
    <t>according to DIN EN 1991-1-3:2023</t>
  </si>
  <si>
    <t>selon DIN EN 1991-1-3:2023</t>
  </si>
  <si>
    <t>secondo DIN EN 1991-1-3:2023</t>
  </si>
  <si>
    <t>podle DIN EN 1991-1-3:2023</t>
  </si>
  <si>
    <t>zgodnie z DIN EN 1991-1-3:2023</t>
  </si>
  <si>
    <t>szerint DIN EN 1991-1-3:2023</t>
  </si>
  <si>
    <t>podľa DIN EN 1991-1-3:2023</t>
  </si>
  <si>
    <t>volgens DIN EN 1991-1-3:2023</t>
  </si>
  <si>
    <t>po DIN EN 1991-1-3:2023</t>
  </si>
  <si>
    <t>enligt DIN EN 1991-1-3:2023</t>
  </si>
  <si>
    <t>ifølge DIN EN 1991-1-3:2023</t>
  </si>
  <si>
    <t>i henhold tilDIN EN 1991-1-3:2023</t>
  </si>
  <si>
    <t>prema DIN EN 1991-1-3:2023</t>
  </si>
  <si>
    <t>laut EN 1991-1-3:2003</t>
  </si>
  <si>
    <t>according to EN 1991-1-3:2003</t>
  </si>
  <si>
    <t>selon EN 1991-1-3:2003</t>
  </si>
  <si>
    <t>secondo EN 1991-1-3:2003</t>
  </si>
  <si>
    <t>podle EN 1991-1-3:2003</t>
  </si>
  <si>
    <t>zgodnie z EN 1991-1-3:2003</t>
  </si>
  <si>
    <t>szerint EN 1991-1-3:2003</t>
  </si>
  <si>
    <t>podľa EN 1991-1-3:2003</t>
  </si>
  <si>
    <t>volgens EN 1991-1-3:2003</t>
  </si>
  <si>
    <t>po EN 1991-1-3:2003</t>
  </si>
  <si>
    <t>enligt EN 1991-1-3:2003</t>
  </si>
  <si>
    <t>ifølge EN 1991-1-3:2003</t>
  </si>
  <si>
    <t>i henhold tilEN 1991-1-3:2003</t>
  </si>
  <si>
    <t>prema EN 1991-1-3:2003</t>
  </si>
  <si>
    <t>laut SIA 261</t>
  </si>
  <si>
    <t>according to SIA 261</t>
  </si>
  <si>
    <t>selon SIA 261</t>
  </si>
  <si>
    <t>secondo SIA 261</t>
  </si>
  <si>
    <t>podle SIA 261</t>
  </si>
  <si>
    <t>zgodnie z SIA 261</t>
  </si>
  <si>
    <t>szerint SIA 261</t>
  </si>
  <si>
    <t>podľa SIA 261</t>
  </si>
  <si>
    <t>volgens SIA 261</t>
  </si>
  <si>
    <t>po SIA 261</t>
  </si>
  <si>
    <t>enligt SIA 261</t>
  </si>
  <si>
    <t>ifølge SIA 261</t>
  </si>
  <si>
    <t>i henhold tilSIA 261</t>
  </si>
  <si>
    <t>prema SIA 261</t>
  </si>
  <si>
    <t>Nachweis in der Fläche:</t>
  </si>
  <si>
    <t>PREFA HWS Partner</t>
  </si>
  <si>
    <t>Nr.</t>
  </si>
  <si>
    <t>Firma</t>
  </si>
  <si>
    <t>Vorname</t>
  </si>
  <si>
    <t>Strasse</t>
  </si>
  <si>
    <t xml:space="preserve">PLZ </t>
  </si>
  <si>
    <t>Ort</t>
  </si>
  <si>
    <t>Kurs Juli 2022</t>
  </si>
  <si>
    <t>E. Lutz AG</t>
  </si>
  <si>
    <t>Marc</t>
  </si>
  <si>
    <t>Hilfiker</t>
  </si>
  <si>
    <t xml:space="preserve">Rothenring 9A </t>
  </si>
  <si>
    <t>Luzern</t>
  </si>
  <si>
    <t>E.Lutz AG</t>
  </si>
  <si>
    <t>Patrick</t>
  </si>
  <si>
    <t>Kretz</t>
  </si>
  <si>
    <t>Spenglerei Schuler GmbH</t>
  </si>
  <si>
    <t>Marco</t>
  </si>
  <si>
    <t>Schuler</t>
  </si>
  <si>
    <t xml:space="preserve">Höhenweg 10 </t>
  </si>
  <si>
    <t>Rothenthurm</t>
  </si>
  <si>
    <t>Preisig AG</t>
  </si>
  <si>
    <t>Michael</t>
  </si>
  <si>
    <t>Hotz</t>
  </si>
  <si>
    <t xml:space="preserve">Siewerdtstr. 9 </t>
  </si>
  <si>
    <t>Zürich</t>
  </si>
  <si>
    <t>Lars</t>
  </si>
  <si>
    <t>Frank</t>
  </si>
  <si>
    <t>Dach-Walser AG</t>
  </si>
  <si>
    <t>Roger</t>
  </si>
  <si>
    <t>Walser</t>
  </si>
  <si>
    <t>Bodenstrasse 2</t>
  </si>
  <si>
    <t>Unterterzen</t>
  </si>
  <si>
    <t>Gurtner Haustechnik GmbH</t>
  </si>
  <si>
    <t>Roland</t>
  </si>
  <si>
    <t>Gurtner</t>
  </si>
  <si>
    <t>Dorfstrasse 60</t>
  </si>
  <si>
    <t>Guntalingen</t>
  </si>
  <si>
    <t>GYR AG</t>
  </si>
  <si>
    <t>Fabian</t>
  </si>
  <si>
    <t>Gyr</t>
  </si>
  <si>
    <t xml:space="preserve">Kapellstrasse 15 </t>
  </si>
  <si>
    <t>Galgenen</t>
  </si>
  <si>
    <t>Rytz AG</t>
  </si>
  <si>
    <t>Michel</t>
  </si>
  <si>
    <t>Martin</t>
  </si>
  <si>
    <t>Hauptstrasse 1</t>
  </si>
  <si>
    <t>Zunzgen</t>
  </si>
  <si>
    <t>Kurs Sept 2022</t>
  </si>
  <si>
    <t>Sven</t>
  </si>
  <si>
    <t>Hein</t>
  </si>
  <si>
    <t>Hauptstrasse 2</t>
  </si>
  <si>
    <t>Manuel</t>
  </si>
  <si>
    <t>Cordero</t>
  </si>
  <si>
    <t>Meriton</t>
  </si>
  <si>
    <t>Veliu</t>
  </si>
  <si>
    <t>FIBA Metallbau GmbH</t>
  </si>
  <si>
    <t>Jan</t>
  </si>
  <si>
    <t>Fischbacher</t>
  </si>
  <si>
    <t>Schulweg 5</t>
  </si>
  <si>
    <t>Schlatt</t>
  </si>
  <si>
    <t>ALLDACH AG</t>
  </si>
  <si>
    <t>Dennis</t>
  </si>
  <si>
    <t>Westermann</t>
  </si>
  <si>
    <t>Bahnhofstrasse 29</t>
  </si>
  <si>
    <t>Oberrieden</t>
  </si>
  <si>
    <t>Jeremi</t>
  </si>
  <si>
    <t>Kobelski</t>
  </si>
  <si>
    <t>Lars Blocks Handwerkerservice</t>
  </si>
  <si>
    <t>Blocks</t>
  </si>
  <si>
    <t>Bohnenackerweg 430</t>
  </si>
  <si>
    <t>Zetzwil</t>
  </si>
  <si>
    <t>Kunz Dachtech GmbH</t>
  </si>
  <si>
    <t>Jeffrey</t>
  </si>
  <si>
    <t>Gordon</t>
  </si>
  <si>
    <t>Industriestrasse 3</t>
  </si>
  <si>
    <t>Brittnau</t>
  </si>
  <si>
    <t xml:space="preserve">Bamert </t>
  </si>
  <si>
    <t>Dominic</t>
  </si>
  <si>
    <t>Sigi Ag</t>
  </si>
  <si>
    <t>Siegenthaler</t>
  </si>
  <si>
    <t>Am Bach 3</t>
  </si>
  <si>
    <t>Diessbach</t>
  </si>
  <si>
    <t>Kurs Okt. 2022</t>
  </si>
  <si>
    <t>Thomas</t>
  </si>
  <si>
    <t>Spiess AG</t>
  </si>
  <si>
    <t xml:space="preserve">Simon </t>
  </si>
  <si>
    <t>Meister</t>
  </si>
  <si>
    <t>Erlenweg 2</t>
  </si>
  <si>
    <t>Adelboden</t>
  </si>
  <si>
    <t>Dejan</t>
  </si>
  <si>
    <t>Schranz</t>
  </si>
  <si>
    <t>Daniel Artho GmbH</t>
  </si>
  <si>
    <t>Daniel</t>
  </si>
  <si>
    <t>Artho</t>
  </si>
  <si>
    <t>Weiherstrasse 3</t>
  </si>
  <si>
    <t>Effretikon</t>
  </si>
  <si>
    <t>Dick Ag</t>
  </si>
  <si>
    <t>Fredy</t>
  </si>
  <si>
    <t>Kindler</t>
  </si>
  <si>
    <t>Alte Gerlafingenstrasse 10</t>
  </si>
  <si>
    <t>Biberist</t>
  </si>
  <si>
    <t>Kurs Nov. 2022</t>
  </si>
  <si>
    <t>Ziörjen Metallbau AG</t>
  </si>
  <si>
    <t>Adrian</t>
  </si>
  <si>
    <t>Ziörjen</t>
  </si>
  <si>
    <t>Lenkstrasse 25</t>
  </si>
  <si>
    <t>Lenk</t>
  </si>
  <si>
    <t>Simon</t>
  </si>
  <si>
    <t>Truninger Spenglerei AG</t>
  </si>
  <si>
    <t>Truninger</t>
  </si>
  <si>
    <t>Tösstalstrasse 9</t>
  </si>
  <si>
    <t>Rikon</t>
  </si>
  <si>
    <t xml:space="preserve">A-Z Spenglerei </t>
  </si>
  <si>
    <t>Gregor</t>
  </si>
  <si>
    <t>Hebler</t>
  </si>
  <si>
    <t>St. Ottilien 2</t>
  </si>
  <si>
    <t>Buttisholz</t>
  </si>
  <si>
    <t>Kaufmann Spenglerei + Sanitär AG</t>
  </si>
  <si>
    <t>Daniela</t>
  </si>
  <si>
    <t>Durrer</t>
  </si>
  <si>
    <t>Im Hanselmaa 6</t>
  </si>
  <si>
    <t>Egg b. Zürich</t>
  </si>
  <si>
    <t>Kurs Dez. 2022</t>
  </si>
  <si>
    <t>Dürr Haustechnik AG</t>
  </si>
  <si>
    <t xml:space="preserve">Matthias </t>
  </si>
  <si>
    <t>Stauffacher</t>
  </si>
  <si>
    <t>Haagestrasse 61</t>
  </si>
  <si>
    <t>Gams</t>
  </si>
  <si>
    <t>Zingrich Spenglerei Plus GmbH</t>
  </si>
  <si>
    <t xml:space="preserve">Markus </t>
  </si>
  <si>
    <t>Zingrich</t>
  </si>
  <si>
    <t>Mittelweg 15</t>
  </si>
  <si>
    <t>Wilderswil</t>
  </si>
  <si>
    <t>Thomas Bollinger GmbH</t>
  </si>
  <si>
    <t>Dülli</t>
  </si>
  <si>
    <t>Geerenweg 1</t>
  </si>
  <si>
    <t>Schleitheim</t>
  </si>
  <si>
    <t>Ismail</t>
  </si>
  <si>
    <t>Serifi</t>
  </si>
  <si>
    <t>Tomasini Spenglerei GmbH</t>
  </si>
  <si>
    <t xml:space="preserve">Carlo </t>
  </si>
  <si>
    <t>Tomasini</t>
  </si>
  <si>
    <t>Bontenfeldstrasse 2</t>
  </si>
  <si>
    <t>Oberriet</t>
  </si>
  <si>
    <t>Waga Spenglertechnik AG</t>
  </si>
  <si>
    <t>Feusi</t>
  </si>
  <si>
    <t xml:space="preserve">Pumpwerkstrasse 6a </t>
  </si>
  <si>
    <t>Sirnach</t>
  </si>
  <si>
    <t>Firmenkurs Waga</t>
  </si>
  <si>
    <t xml:space="preserve">Waga </t>
  </si>
  <si>
    <t>Hinder</t>
  </si>
  <si>
    <t>Waga AG</t>
  </si>
  <si>
    <t xml:space="preserve">Eliane </t>
  </si>
  <si>
    <t>Rütsche</t>
  </si>
  <si>
    <t>Wülser Lostorf AG</t>
  </si>
  <si>
    <t>Stefan</t>
  </si>
  <si>
    <t>Spielmann</t>
  </si>
  <si>
    <t>Hauptstrasse 14</t>
  </si>
  <si>
    <t>Lostorf</t>
  </si>
  <si>
    <t>Kurs Mai 2023</t>
  </si>
  <si>
    <t>Debrunner Acifer AG</t>
  </si>
  <si>
    <t>Wernli</t>
  </si>
  <si>
    <t>Bächliackerweg 4</t>
  </si>
  <si>
    <t>Frenkendorf</t>
  </si>
  <si>
    <t>Jacqueline</t>
  </si>
  <si>
    <t>Krügel</t>
  </si>
  <si>
    <t>Janik</t>
  </si>
  <si>
    <t>Hofmann</t>
  </si>
  <si>
    <t>Neu-Met</t>
  </si>
  <si>
    <t>Obertüfer</t>
  </si>
  <si>
    <t xml:space="preserve">Maiengrün 6 </t>
  </si>
  <si>
    <t>Neuenkirch</t>
  </si>
  <si>
    <t>Haas</t>
  </si>
  <si>
    <t>Xaver</t>
  </si>
  <si>
    <t>10.a</t>
  </si>
  <si>
    <t>Beeler Metallbau</t>
  </si>
  <si>
    <t>Rolf</t>
  </si>
  <si>
    <t>Beeler</t>
  </si>
  <si>
    <t>Erlistrasse 3</t>
  </si>
  <si>
    <t>Küssnacht</t>
  </si>
  <si>
    <t>Beeler Metallbau Schlosserei GmbH</t>
  </si>
  <si>
    <t xml:space="preserve">Erlistrasse 4 </t>
  </si>
  <si>
    <t>Föhn Spenglerei AG</t>
  </si>
  <si>
    <t>Tobias</t>
  </si>
  <si>
    <t>Limacher</t>
  </si>
  <si>
    <t>In den Matten 25</t>
  </si>
  <si>
    <t>Einsiedeln</t>
  </si>
  <si>
    <t>Kurs Juli 2023</t>
  </si>
  <si>
    <t>Zimmermann Spenglerei GmbH</t>
  </si>
  <si>
    <t xml:space="preserve">Martin </t>
  </si>
  <si>
    <t>Zimmermann</t>
  </si>
  <si>
    <t>Unterer Schachen 1</t>
  </si>
  <si>
    <t>Gretzenbach</t>
  </si>
  <si>
    <t>Steinmann Bedachung und Holzbau GmbH</t>
  </si>
  <si>
    <t>Steinmann</t>
  </si>
  <si>
    <t>Bettenen 1</t>
  </si>
  <si>
    <t>Niederurnen</t>
  </si>
  <si>
    <t>Steinmann GmbH</t>
  </si>
  <si>
    <t>Robert</t>
  </si>
  <si>
    <t>Spenglerei Arnold AG</t>
  </si>
  <si>
    <t>Rüdiger</t>
  </si>
  <si>
    <t>Müller</t>
  </si>
  <si>
    <t xml:space="preserve">Seemattstrasse 1 </t>
  </si>
  <si>
    <t>Flüelen</t>
  </si>
  <si>
    <t>Kurs Sept. 23</t>
  </si>
  <si>
    <t>Franz</t>
  </si>
  <si>
    <t>Arnold</t>
  </si>
  <si>
    <t>Franz Flückiger AG</t>
  </si>
  <si>
    <t>Jérôme</t>
  </si>
  <si>
    <t>Kissling</t>
  </si>
  <si>
    <t>Dennliweg 19</t>
  </si>
  <si>
    <t>Langenthal</t>
  </si>
  <si>
    <t>Hubschmid GmbH Bedachungen Spenglerei</t>
  </si>
  <si>
    <t xml:space="preserve">Peter </t>
  </si>
  <si>
    <t>Waine</t>
  </si>
  <si>
    <t>Hauptstrasse 69</t>
  </si>
  <si>
    <t>Niederbdorf BL</t>
  </si>
  <si>
    <t>Hubschmid GmbH</t>
  </si>
  <si>
    <t>Christian</t>
  </si>
  <si>
    <t>Spenglerei Schmitt</t>
  </si>
  <si>
    <t>Schmitt</t>
  </si>
  <si>
    <t>Oberes Totengässi 2</t>
  </si>
  <si>
    <t>Leuk</t>
  </si>
  <si>
    <t>Nuno</t>
  </si>
  <si>
    <t>Silva</t>
  </si>
  <si>
    <t>Beat Brönnimann GmbH</t>
  </si>
  <si>
    <t>Raphael</t>
  </si>
  <si>
    <t>Zwick</t>
  </si>
  <si>
    <t xml:space="preserve">Mingerstrasse 6 </t>
  </si>
  <si>
    <t>St. Gallen</t>
  </si>
  <si>
    <t>Kurs Nov. 23</t>
  </si>
  <si>
    <t>Brönnimann GmbH</t>
  </si>
  <si>
    <t>Hamburger</t>
  </si>
  <si>
    <t>Emme Haustechnik GmbH</t>
  </si>
  <si>
    <t>Bachofner</t>
  </si>
  <si>
    <t xml:space="preserve">Gotthelfstrasse 21 </t>
  </si>
  <si>
    <t>Lützelflüh-Goldb</t>
  </si>
  <si>
    <t>Emme GmbH</t>
  </si>
  <si>
    <t>Joel</t>
  </si>
  <si>
    <t>Gerber</t>
  </si>
  <si>
    <t>Martin Borer Spenglerei</t>
  </si>
  <si>
    <t>Borer</t>
  </si>
  <si>
    <t xml:space="preserve">Lerchenstrasse 11 </t>
  </si>
  <si>
    <t>Aesch</t>
  </si>
  <si>
    <t xml:space="preserve">Martin Borer </t>
  </si>
  <si>
    <t>Alexandra</t>
  </si>
  <si>
    <t>Wanner</t>
  </si>
  <si>
    <t>Russi Metallbau AG</t>
  </si>
  <si>
    <t>Sebastian</t>
  </si>
  <si>
    <t>Volken</t>
  </si>
  <si>
    <t xml:space="preserve">Fieschertalstrasse 183 </t>
  </si>
  <si>
    <t>Fieschertal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</si>
</sst>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7" formatCode="&quot;CHF&quot;\ #,##0.00;&quot;CHF&quot;\ \-#,##0.00"/>
    <numFmt numFmtId="44" formatCode="_ &quot;CHF&quot;\ * #,##0.00_ ;_ &quot;CHF&quot;\ * \-#,##0.00_ ;_ &quot;CHF&quot;\ * &quot;-&quot;??_ ;_ @_ "/>
    <numFmt numFmtId="164" formatCode="0.000"/>
    <numFmt numFmtId="165" formatCode="#,##0.00\ &quot;€&quot;"/>
    <numFmt numFmtId="166" formatCode="0.00000"/>
    <numFmt numFmtId="167" formatCode="0\ &quot;*&quot;"/>
  </numFmts>
  <fonts count="90">
    <font>
      <sz val="11"/>
      <color theme="1"/>
      <name val="Calibri"/>
      <family val="2"/>
      <scheme val="minor"/>
    </font>
    <font>
      <sz val="11"/>
      <color theme="1"/>
      <name val="Arial"/>
      <family val="2"/>
    </font>
    <font>
      <vertAlign val="superscript"/>
      <sz val="11"/>
      <color indexed="8"/>
      <name val="Arial"/>
      <family val="2"/>
    </font>
    <font>
      <sz val="11"/>
      <color indexed="8"/>
      <name val="Arial"/>
      <family val="2"/>
    </font>
    <font>
      <sz val="11"/>
      <color rgb="FF000000"/>
      <name val="Arial"/>
      <family val="2"/>
    </font>
    <font>
      <vertAlign val="superscript"/>
      <sz val="11"/>
      <color rgb="FF000000"/>
      <name val="Arial"/>
      <family val="2"/>
    </font>
    <font>
      <sz val="11"/>
      <name val="Calibri"/>
      <family val="2"/>
      <scheme val="minor"/>
    </font>
    <font>
      <vertAlign val="subscript"/>
      <sz val="11"/>
      <name val="Arial"/>
      <family val="2"/>
    </font>
    <font>
      <b/>
      <sz val="9"/>
      <color indexed="81"/>
      <name val="Segoe UI"/>
      <family val="2"/>
    </font>
    <font>
      <b/>
      <sz val="12"/>
      <color rgb="FFFF0000"/>
      <name val="Arial"/>
      <family val="2"/>
    </font>
    <font>
      <b/>
      <sz val="11"/>
      <color theme="1"/>
      <name val="Arial"/>
      <family val="2"/>
    </font>
    <font>
      <b/>
      <sz val="20"/>
      <color rgb="FFFF0000"/>
      <name val="Arial"/>
      <family val="2"/>
    </font>
    <font>
      <sz val="10"/>
      <color theme="1"/>
      <name val="Arial"/>
      <family val="2"/>
    </font>
    <font>
      <sz val="9"/>
      <color theme="1"/>
      <name val="Arial"/>
      <family val="2"/>
    </font>
    <font>
      <sz val="8"/>
      <color theme="1"/>
      <name val="Arial"/>
      <family val="2"/>
    </font>
    <font>
      <b/>
      <sz val="8"/>
      <color theme="1"/>
      <name val="Arial"/>
      <family val="2"/>
    </font>
    <font>
      <b/>
      <sz val="9"/>
      <color rgb="FFFF0000"/>
      <name val="Arial"/>
      <family val="2"/>
    </font>
    <font>
      <b/>
      <sz val="10"/>
      <color rgb="FFFF0000"/>
      <name val="Arial"/>
      <family val="2"/>
    </font>
    <font>
      <sz val="10"/>
      <name val="Arial"/>
      <family val="2"/>
    </font>
    <font>
      <sz val="10"/>
      <name val="Calibri"/>
      <family val="2"/>
      <scheme val="minor"/>
    </font>
    <font>
      <b/>
      <sz val="16"/>
      <color rgb="FFFF0000"/>
      <name val="Arial"/>
      <family val="2"/>
    </font>
    <font>
      <sz val="10"/>
      <color theme="1"/>
      <name val="Calibri"/>
      <family val="2"/>
      <scheme val="minor"/>
    </font>
    <font>
      <sz val="10"/>
      <color theme="0" tint="-0.249977111117893"/>
      <name val="Calibri"/>
      <family val="2"/>
      <scheme val="minor"/>
    </font>
    <font>
      <sz val="10"/>
      <color theme="0"/>
      <name val="Arial"/>
      <family val="2"/>
    </font>
    <font>
      <sz val="10"/>
      <color theme="0"/>
      <name val="Calibri"/>
      <family val="2"/>
      <scheme val="minor"/>
    </font>
    <font>
      <b/>
      <sz val="10"/>
      <color theme="1"/>
      <name val="Arial"/>
      <family val="2"/>
    </font>
    <font>
      <sz val="11"/>
      <color theme="0" tint="-0.249977111117893"/>
      <name val="Calibri"/>
      <family val="2"/>
      <scheme val="minor"/>
    </font>
    <font>
      <sz val="9"/>
      <color theme="0"/>
      <name val="Arial"/>
      <family val="2"/>
    </font>
    <font>
      <sz val="8"/>
      <color theme="0"/>
      <name val="Arial"/>
      <family val="2"/>
    </font>
    <font>
      <b/>
      <sz val="9"/>
      <name val="Arial"/>
      <family val="2"/>
    </font>
    <font>
      <sz val="8"/>
      <color theme="1"/>
      <name val="Calibri"/>
      <family val="2"/>
      <scheme val="minor"/>
    </font>
    <font>
      <sz val="7"/>
      <color theme="1"/>
      <name val="Calibri"/>
      <family val="2"/>
      <scheme val="minor"/>
    </font>
    <font>
      <b/>
      <sz val="12"/>
      <color theme="1"/>
      <name val="Calibri"/>
      <family val="2"/>
      <scheme val="minor"/>
    </font>
    <font>
      <sz val="5"/>
      <color theme="1"/>
      <name val="Calibri"/>
      <family val="2"/>
      <scheme val="minor"/>
    </font>
    <font>
      <sz val="6"/>
      <color theme="1"/>
      <name val="Calibri"/>
      <family val="2"/>
      <scheme val="minor"/>
    </font>
    <font>
      <sz val="9"/>
      <color theme="1"/>
      <name val="Calibri"/>
      <family val="2"/>
      <scheme val="minor"/>
    </font>
    <font>
      <sz val="11"/>
      <color theme="0" tint="-0.249977111117893"/>
      <name val="Arial"/>
      <family val="2"/>
    </font>
    <font>
      <u/>
      <sz val="11"/>
      <color theme="10"/>
      <name val="Calibri"/>
      <family val="2"/>
      <scheme val="minor"/>
    </font>
    <font>
      <sz val="8"/>
      <name val="Calibri"/>
      <family val="2"/>
      <scheme val="minor"/>
    </font>
    <font>
      <sz val="10"/>
      <color theme="1"/>
      <name val="Roboto Light"/>
      <family val="2"/>
    </font>
    <font>
      <sz val="10"/>
      <name val="Roboto Light"/>
    </font>
    <font>
      <b/>
      <i/>
      <sz val="20"/>
      <color indexed="55"/>
      <name val="Roboto Light"/>
    </font>
    <font>
      <sz val="8"/>
      <color indexed="8"/>
      <name val="Roboto Light"/>
    </font>
    <font>
      <sz val="8"/>
      <name val="Roboto Light"/>
    </font>
    <font>
      <sz val="8"/>
      <color theme="0" tint="-0.499984740745262"/>
      <name val="Roboto Light"/>
    </font>
    <font>
      <sz val="8"/>
      <color indexed="23"/>
      <name val="Roboto Light"/>
    </font>
    <font>
      <b/>
      <sz val="10"/>
      <name val="Arial"/>
      <family val="2"/>
    </font>
    <font>
      <vertAlign val="subscript"/>
      <sz val="10"/>
      <name val="Roboto Light"/>
    </font>
    <font>
      <i/>
      <sz val="10"/>
      <name val="Roboto Light"/>
    </font>
    <font>
      <sz val="10"/>
      <name val="Roboto Black"/>
    </font>
    <font>
      <sz val="8"/>
      <color theme="1"/>
      <name val="Roboto Light"/>
      <family val="2"/>
    </font>
    <font>
      <sz val="8"/>
      <color theme="1"/>
      <name val="Roboto Light"/>
    </font>
    <font>
      <sz val="12"/>
      <name val="Roboto Black"/>
    </font>
    <font>
      <sz val="10"/>
      <color theme="1"/>
      <name val="Roboto Black"/>
    </font>
    <font>
      <i/>
      <sz val="10"/>
      <color theme="1"/>
      <name val="Roboto Light"/>
    </font>
    <font>
      <b/>
      <sz val="8"/>
      <color indexed="8"/>
      <name val="Roboto Light"/>
    </font>
    <font>
      <sz val="10"/>
      <color rgb="FF0070C0"/>
      <name val="Roboto Light"/>
    </font>
    <font>
      <b/>
      <sz val="10"/>
      <name val="Roboto Light"/>
    </font>
    <font>
      <i/>
      <sz val="10"/>
      <color theme="1"/>
      <name val="Roboto Black"/>
    </font>
    <font>
      <i/>
      <sz val="10"/>
      <name val="Roboto Black"/>
    </font>
    <font>
      <vertAlign val="subscript"/>
      <sz val="10"/>
      <color theme="1"/>
      <name val="Roboto Light"/>
    </font>
    <font>
      <sz val="10"/>
      <color theme="1"/>
      <name val="Roboto Light"/>
    </font>
    <font>
      <sz val="10"/>
      <color rgb="FFFF0000"/>
      <name val="Roboto Black"/>
    </font>
    <font>
      <vertAlign val="superscript"/>
      <sz val="8"/>
      <name val="Roboto Light"/>
    </font>
    <font>
      <sz val="8"/>
      <color theme="1"/>
      <name val="Roboto Black"/>
    </font>
    <font>
      <vertAlign val="subscript"/>
      <sz val="10"/>
      <name val="Roboto Black"/>
    </font>
    <font>
      <vertAlign val="subscript"/>
      <sz val="10"/>
      <color theme="1"/>
      <name val="Roboto Black"/>
    </font>
    <font>
      <sz val="48"/>
      <color theme="1"/>
      <name val="Calibri"/>
      <family val="2"/>
      <scheme val="minor"/>
    </font>
    <font>
      <b/>
      <sz val="12"/>
      <color rgb="FFC00000"/>
      <name val="Calibri"/>
      <family val="2"/>
      <scheme val="minor"/>
    </font>
    <font>
      <sz val="10"/>
      <color rgb="FF0070C0"/>
      <name val="Roboto Light"/>
      <family val="2"/>
    </font>
    <font>
      <sz val="7"/>
      <color theme="1"/>
      <name val="Arial"/>
      <family val="2"/>
    </font>
    <font>
      <sz val="11"/>
      <color theme="0"/>
      <name val="Arial"/>
      <family val="2"/>
    </font>
    <font>
      <sz val="11"/>
      <color theme="1"/>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sz val="11"/>
      <color theme="0"/>
      <name val="Calibri"/>
      <family val="2"/>
      <scheme val="minor"/>
    </font>
    <font>
      <sz val="6"/>
      <color theme="0"/>
      <name val="Calibri"/>
      <family val="2"/>
      <scheme val="minor"/>
    </font>
    <font>
      <sz val="9"/>
      <color theme="0" tint="-4.9989318521683403E-2"/>
      <name val="Arial"/>
      <family val="2"/>
    </font>
    <font>
      <vertAlign val="subscript"/>
      <sz val="11"/>
      <color theme="1"/>
      <name val="Arial"/>
      <family val="2"/>
    </font>
    <font>
      <sz val="6"/>
      <name val="Calibri"/>
      <family val="2"/>
      <scheme val="minor"/>
    </font>
    <font>
      <vertAlign val="superscript"/>
      <sz val="11"/>
      <color theme="1"/>
      <name val="Arial"/>
      <family val="2"/>
    </font>
    <font>
      <sz val="11"/>
      <name val="Arial"/>
      <family val="2"/>
    </font>
    <font>
      <sz val="11"/>
      <color rgb="FFFFFF00"/>
      <name val="Arial"/>
      <family val="2"/>
    </font>
    <font>
      <vertAlign val="subscript"/>
      <sz val="11"/>
      <color rgb="FF000000"/>
      <name val="Arial"/>
      <family val="2"/>
    </font>
    <font>
      <sz val="8"/>
      <name val="Arial"/>
      <family val="2"/>
    </font>
    <font>
      <sz val="8"/>
      <color theme="0" tint="-0.499984740745262"/>
      <name val="Calibri"/>
      <family val="2"/>
      <scheme val="minor"/>
    </font>
    <font>
      <sz val="11"/>
      <color rgb="FF000000"/>
      <name val="Calibri"/>
      <family val="2"/>
      <scheme val="minor"/>
    </font>
    <font>
      <sz val="10"/>
      <color rgb="FF000000"/>
      <name val="Menlo"/>
      <family val="2"/>
    </font>
    <font>
      <sz val="10"/>
      <color rgb="FF000000"/>
      <name val="Calibri"/>
      <family val="2"/>
      <scheme val="minor"/>
    </font>
  </fonts>
  <fills count="15">
    <fill>
      <patternFill patternType="none"/>
    </fill>
    <fill>
      <patternFill patternType="gray125"/>
    </fill>
    <fill>
      <patternFill patternType="solid">
        <fgColor rgb="FFFFCCCC"/>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indexed="65"/>
        <bgColor theme="0"/>
      </patternFill>
    </fill>
    <fill>
      <patternFill patternType="solid">
        <fgColor rgb="FFFFFF00"/>
        <bgColor indexed="64"/>
      </patternFill>
    </fill>
    <fill>
      <patternFill patternType="solid">
        <fgColor theme="9" tint="0.39997558519241921"/>
        <bgColor indexed="64"/>
      </patternFill>
    </fill>
    <fill>
      <patternFill patternType="solid">
        <fgColor rgb="FF00B050"/>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s>
  <borders count="8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dotted">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dotted">
        <color auto="1"/>
      </bottom>
      <diagonal/>
    </border>
    <border>
      <left/>
      <right style="thin">
        <color indexed="64"/>
      </right>
      <top/>
      <bottom style="dotted">
        <color auto="1"/>
      </bottom>
      <diagonal/>
    </border>
    <border>
      <left style="thin">
        <color indexed="64"/>
      </left>
      <right style="thin">
        <color indexed="64"/>
      </right>
      <top/>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dotted">
        <color auto="1"/>
      </left>
      <right/>
      <top style="dotted">
        <color indexed="64"/>
      </top>
      <bottom style="thin">
        <color indexed="64"/>
      </bottom>
      <diagonal/>
    </border>
    <border>
      <left style="dotted">
        <color auto="1"/>
      </left>
      <right style="thin">
        <color indexed="64"/>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dotted">
        <color indexed="64"/>
      </top>
      <bottom style="thin">
        <color indexed="64"/>
      </bottom>
      <diagonal/>
    </border>
    <border>
      <left/>
      <right style="thin">
        <color indexed="64"/>
      </right>
      <top style="thin">
        <color indexed="64"/>
      </top>
      <bottom style="dotted">
        <color auto="1"/>
      </bottom>
      <diagonal/>
    </border>
    <border>
      <left/>
      <right style="thin">
        <color indexed="64"/>
      </right>
      <top style="dotted">
        <color indexed="64"/>
      </top>
      <bottom style="thin">
        <color indexed="64"/>
      </bottom>
      <diagonal/>
    </border>
    <border>
      <left/>
      <right style="dotted">
        <color indexed="64"/>
      </right>
      <top style="thin">
        <color indexed="64"/>
      </top>
      <bottom/>
      <diagonal/>
    </border>
    <border>
      <left/>
      <right style="dotted">
        <color indexed="64"/>
      </right>
      <top style="dotted">
        <color indexed="64"/>
      </top>
      <bottom style="dotted">
        <color indexed="64"/>
      </bottom>
      <diagonal/>
    </border>
    <border>
      <left/>
      <right style="dotted">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dotted">
        <color indexed="64"/>
      </top>
      <bottom/>
      <diagonal/>
    </border>
    <border>
      <left/>
      <right style="dotted">
        <color indexed="64"/>
      </right>
      <top/>
      <bottom style="dotted">
        <color indexed="64"/>
      </bottom>
      <diagonal/>
    </border>
    <border>
      <left style="thin">
        <color indexed="64"/>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diagonal/>
    </border>
    <border>
      <left/>
      <right style="thin">
        <color indexed="64"/>
      </right>
      <top style="thin">
        <color theme="0" tint="-0.34998626667073579"/>
      </top>
      <bottom/>
      <diagonal/>
    </border>
    <border>
      <left style="thin">
        <color indexed="64"/>
      </left>
      <right/>
      <top style="thin">
        <color theme="0" tint="-0.34998626667073579"/>
      </top>
      <bottom style="thin">
        <color indexed="64"/>
      </bottom>
      <diagonal/>
    </border>
    <border>
      <left/>
      <right style="thin">
        <color indexed="64"/>
      </right>
      <top style="thin">
        <color theme="0" tint="-0.34998626667073579"/>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dotted">
        <color indexed="64"/>
      </left>
      <right style="dotted">
        <color indexed="64"/>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dotted">
        <color indexed="64"/>
      </left>
      <right/>
      <top style="dotted">
        <color indexed="64"/>
      </top>
      <bottom style="dotted">
        <color indexed="64"/>
      </bottom>
      <diagonal/>
    </border>
    <border>
      <left/>
      <right/>
      <top/>
      <bottom style="dashed">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s>
  <cellStyleXfs count="6">
    <xf numFmtId="0" fontId="0" fillId="0" borderId="0"/>
    <xf numFmtId="0" fontId="18" fillId="0" borderId="0"/>
    <xf numFmtId="0" fontId="37" fillId="0" borderId="0" applyNumberFormat="0" applyFill="0" applyBorder="0" applyAlignment="0" applyProtection="0"/>
    <xf numFmtId="0" fontId="39" fillId="0" borderId="0"/>
    <xf numFmtId="0" fontId="46" fillId="0" borderId="0">
      <alignment horizontal="right"/>
    </xf>
    <xf numFmtId="0" fontId="72" fillId="0" borderId="0"/>
  </cellStyleXfs>
  <cellXfs count="554">
    <xf numFmtId="0" fontId="0" fillId="0" borderId="0" xfId="0"/>
    <xf numFmtId="0" fontId="1" fillId="0" borderId="0" xfId="0" applyFont="1" applyAlignment="1">
      <alignment horizontal="center" vertical="center"/>
    </xf>
    <xf numFmtId="0" fontId="1" fillId="0" borderId="0" xfId="0" applyFont="1" applyAlignment="1">
      <alignment horizontal="left" vertical="center"/>
    </xf>
    <xf numFmtId="0" fontId="1" fillId="0" borderId="0" xfId="0" quotePrefix="1" applyFont="1" applyAlignment="1">
      <alignment horizontal="left" vertical="center"/>
    </xf>
    <xf numFmtId="0" fontId="1" fillId="0" borderId="0" xfId="0" applyFont="1"/>
    <xf numFmtId="0" fontId="10" fillId="0" borderId="0" xfId="0" applyFont="1"/>
    <xf numFmtId="0" fontId="9" fillId="0" borderId="0" xfId="0" applyFont="1"/>
    <xf numFmtId="0" fontId="11" fillId="0" borderId="0" xfId="0" applyFont="1" applyAlignment="1">
      <alignment horizontal="left" vertical="center"/>
    </xf>
    <xf numFmtId="0" fontId="10" fillId="0" borderId="1" xfId="0" applyFont="1" applyBorder="1"/>
    <xf numFmtId="0" fontId="1" fillId="0" borderId="2" xfId="0" applyFont="1" applyBorder="1"/>
    <xf numFmtId="0" fontId="1" fillId="0" borderId="3" xfId="0" applyFont="1" applyBorder="1"/>
    <xf numFmtId="0" fontId="1" fillId="0" borderId="4" xfId="0" applyFont="1" applyBorder="1"/>
    <xf numFmtId="0" fontId="1" fillId="0" borderId="5" xfId="0" applyFont="1" applyBorder="1"/>
    <xf numFmtId="0" fontId="10" fillId="0" borderId="4" xfId="0" applyFont="1" applyBorder="1"/>
    <xf numFmtId="0" fontId="1" fillId="0" borderId="0" xfId="0" applyFont="1" applyAlignment="1">
      <alignment horizontal="right"/>
    </xf>
    <xf numFmtId="0" fontId="1" fillId="0" borderId="6" xfId="0" applyFont="1" applyBorder="1"/>
    <xf numFmtId="0" fontId="1" fillId="0" borderId="7" xfId="0" applyFont="1" applyBorder="1"/>
    <xf numFmtId="0" fontId="1" fillId="0" borderId="8" xfId="0" applyFont="1" applyBorder="1"/>
    <xf numFmtId="0" fontId="1" fillId="0" borderId="0" xfId="0" applyFont="1" applyAlignment="1">
      <alignment horizontal="left" indent="2"/>
    </xf>
    <xf numFmtId="0" fontId="1" fillId="0" borderId="1" xfId="0" applyFont="1" applyBorder="1"/>
    <xf numFmtId="0" fontId="12" fillId="0" borderId="0" xfId="0" applyFont="1" applyAlignment="1">
      <alignment wrapText="1"/>
    </xf>
    <xf numFmtId="0" fontId="12" fillId="0" borderId="0" xfId="0" applyFont="1"/>
    <xf numFmtId="0" fontId="12" fillId="0" borderId="0" xfId="0" applyFont="1" applyAlignment="1">
      <alignment horizontal="left" vertical="top" wrapText="1"/>
    </xf>
    <xf numFmtId="0" fontId="12" fillId="0" borderId="0" xfId="0" applyFont="1" applyAlignment="1">
      <alignment vertical="top" wrapText="1"/>
    </xf>
    <xf numFmtId="0" fontId="10" fillId="0" borderId="0" xfId="0" applyFont="1" applyAlignment="1">
      <alignment vertical="top"/>
    </xf>
    <xf numFmtId="0" fontId="0" fillId="0" borderId="0" xfId="0" applyAlignment="1">
      <alignment horizontal="right"/>
    </xf>
    <xf numFmtId="0" fontId="13" fillId="0" borderId="0" xfId="0" applyFont="1" applyAlignment="1">
      <alignment vertical="top" wrapText="1"/>
    </xf>
    <xf numFmtId="0" fontId="14" fillId="0" borderId="0" xfId="0" applyFont="1"/>
    <xf numFmtId="0" fontId="13" fillId="0" borderId="0" xfId="0" applyFont="1"/>
    <xf numFmtId="0" fontId="14" fillId="0" borderId="0" xfId="0" applyFont="1" applyAlignment="1">
      <alignment vertical="top" wrapText="1"/>
    </xf>
    <xf numFmtId="0" fontId="11" fillId="0" borderId="0" xfId="0" applyFont="1" applyAlignment="1">
      <alignment vertical="center"/>
    </xf>
    <xf numFmtId="0" fontId="16" fillId="0" borderId="0" xfId="0" applyFont="1" applyAlignment="1">
      <alignment vertical="center"/>
    </xf>
    <xf numFmtId="0" fontId="18" fillId="3" borderId="10" xfId="0" applyFont="1" applyFill="1" applyBorder="1"/>
    <xf numFmtId="0" fontId="12" fillId="0" borderId="16" xfId="0" applyFont="1" applyBorder="1"/>
    <xf numFmtId="0" fontId="12" fillId="0" borderId="17" xfId="0" applyFont="1" applyBorder="1"/>
    <xf numFmtId="0" fontId="12" fillId="0" borderId="18" xfId="0" applyFont="1" applyBorder="1"/>
    <xf numFmtId="0" fontId="12" fillId="0" borderId="15" xfId="0" applyFont="1" applyBorder="1"/>
    <xf numFmtId="0" fontId="12" fillId="0" borderId="14" xfId="0" applyFont="1" applyBorder="1"/>
    <xf numFmtId="0" fontId="12" fillId="0" borderId="21" xfId="0" applyFont="1" applyBorder="1"/>
    <xf numFmtId="0" fontId="12" fillId="0" borderId="20" xfId="0" applyFont="1" applyBorder="1"/>
    <xf numFmtId="0" fontId="12" fillId="0" borderId="0" xfId="0" applyFont="1" applyAlignment="1">
      <alignment horizontal="right"/>
    </xf>
    <xf numFmtId="0" fontId="17" fillId="0" borderId="0" xfId="0" applyFont="1" applyAlignment="1">
      <alignment horizontal="right"/>
    </xf>
    <xf numFmtId="0" fontId="19" fillId="0" borderId="0" xfId="0" applyFont="1"/>
    <xf numFmtId="0" fontId="12" fillId="0" borderId="19" xfId="0" applyFont="1" applyBorder="1"/>
    <xf numFmtId="0" fontId="19" fillId="3" borderId="10" xfId="0" applyFont="1" applyFill="1" applyBorder="1"/>
    <xf numFmtId="0" fontId="12" fillId="0" borderId="23" xfId="0" applyFont="1" applyBorder="1"/>
    <xf numFmtId="0" fontId="12" fillId="0" borderId="24" xfId="0" applyFont="1" applyBorder="1"/>
    <xf numFmtId="0" fontId="20" fillId="0" borderId="0" xfId="0" applyFont="1" applyAlignment="1">
      <alignment horizontal="right"/>
    </xf>
    <xf numFmtId="0" fontId="17" fillId="0" borderId="0" xfId="0" applyFont="1"/>
    <xf numFmtId="0" fontId="12" fillId="0" borderId="0" xfId="0" applyFont="1" applyAlignment="1">
      <alignment horizontal="center"/>
    </xf>
    <xf numFmtId="0" fontId="18" fillId="0" borderId="0" xfId="0" quotePrefix="1" applyFont="1"/>
    <xf numFmtId="0" fontId="14" fillId="4" borderId="10" xfId="0" applyFont="1" applyFill="1" applyBorder="1"/>
    <xf numFmtId="0" fontId="14" fillId="5" borderId="10" xfId="0" applyFont="1" applyFill="1" applyBorder="1"/>
    <xf numFmtId="0" fontId="9" fillId="0" borderId="0" xfId="0" applyFont="1" applyAlignment="1">
      <alignment horizontal="right"/>
    </xf>
    <xf numFmtId="0" fontId="17" fillId="0" borderId="0" xfId="0" applyFont="1" applyAlignment="1">
      <alignment horizontal="left" vertical="center"/>
    </xf>
    <xf numFmtId="0" fontId="21" fillId="0" borderId="0" xfId="0" applyFont="1"/>
    <xf numFmtId="0" fontId="21" fillId="0" borderId="0" xfId="0" applyFont="1" applyAlignment="1">
      <alignment horizontal="right"/>
    </xf>
    <xf numFmtId="0" fontId="21" fillId="0" borderId="0" xfId="0" applyFont="1" applyAlignment="1">
      <alignment horizontal="left"/>
    </xf>
    <xf numFmtId="0" fontId="21" fillId="0" borderId="48" xfId="0" applyFont="1" applyBorder="1" applyAlignment="1">
      <alignment horizontal="center" vertical="center" wrapText="1"/>
    </xf>
    <xf numFmtId="0" fontId="21" fillId="0" borderId="48" xfId="0" applyFont="1" applyBorder="1" applyAlignment="1">
      <alignment horizontal="center" vertical="center"/>
    </xf>
    <xf numFmtId="0" fontId="21" fillId="0" borderId="10" xfId="0" applyFont="1" applyBorder="1" applyAlignment="1">
      <alignment horizontal="center" vertical="center"/>
    </xf>
    <xf numFmtId="0" fontId="21" fillId="0" borderId="49" xfId="0" applyFont="1" applyBorder="1" applyAlignment="1">
      <alignment horizontal="center" vertical="center" wrapText="1"/>
    </xf>
    <xf numFmtId="0" fontId="12" fillId="0" borderId="15" xfId="0" applyFont="1" applyBorder="1" applyAlignment="1">
      <alignment horizontal="left" indent="2"/>
    </xf>
    <xf numFmtId="0" fontId="12" fillId="0" borderId="0" xfId="0" applyFont="1" applyAlignment="1">
      <alignment horizontal="left" indent="2"/>
    </xf>
    <xf numFmtId="0" fontId="12" fillId="0" borderId="14" xfId="0" applyFont="1" applyBorder="1" applyAlignment="1">
      <alignment horizontal="left" indent="2"/>
    </xf>
    <xf numFmtId="0" fontId="22" fillId="0" borderId="0" xfId="0" applyFont="1" applyAlignment="1">
      <alignment horizontal="center" vertical="center"/>
    </xf>
    <xf numFmtId="0" fontId="21" fillId="3" borderId="0" xfId="0" applyFont="1" applyFill="1"/>
    <xf numFmtId="0" fontId="12" fillId="0" borderId="0" xfId="0" quotePrefix="1" applyFont="1"/>
    <xf numFmtId="0" fontId="12" fillId="0" borderId="0" xfId="0" applyFont="1" applyAlignment="1">
      <alignment horizontal="center" vertical="center"/>
    </xf>
    <xf numFmtId="0" fontId="1" fillId="0" borderId="0" xfId="0" quotePrefix="1" applyFont="1"/>
    <xf numFmtId="0" fontId="1" fillId="0" borderId="52" xfId="0" applyFont="1" applyBorder="1" applyAlignment="1">
      <alignment vertical="center"/>
    </xf>
    <xf numFmtId="0" fontId="0" fillId="0" borderId="53" xfId="0" applyBorder="1"/>
    <xf numFmtId="0" fontId="0" fillId="0" borderId="52" xfId="0" applyBorder="1"/>
    <xf numFmtId="0" fontId="0" fillId="0" borderId="54" xfId="0" applyBorder="1"/>
    <xf numFmtId="0" fontId="0" fillId="0" borderId="55" xfId="0" applyBorder="1"/>
    <xf numFmtId="0" fontId="0" fillId="0" borderId="56" xfId="0" applyBorder="1"/>
    <xf numFmtId="0" fontId="0" fillId="0" borderId="57" xfId="0" applyBorder="1"/>
    <xf numFmtId="0" fontId="21" fillId="0" borderId="0" xfId="0" applyFont="1" applyAlignment="1">
      <alignment horizontal="center"/>
    </xf>
    <xf numFmtId="0" fontId="21" fillId="0" borderId="25" xfId="0" applyFont="1" applyBorder="1" applyAlignment="1">
      <alignment horizontal="center" vertical="center"/>
    </xf>
    <xf numFmtId="0" fontId="6" fillId="0" borderId="53" xfId="0" applyFont="1" applyBorder="1"/>
    <xf numFmtId="0" fontId="6" fillId="0" borderId="55" xfId="0" applyFont="1" applyBorder="1"/>
    <xf numFmtId="0" fontId="25" fillId="0" borderId="0" xfId="0" applyFont="1" applyAlignment="1">
      <alignment vertical="top"/>
    </xf>
    <xf numFmtId="0" fontId="1" fillId="0" borderId="0" xfId="0" applyFont="1" applyAlignment="1">
      <alignment horizontal="left" vertical="center" wrapText="1"/>
    </xf>
    <xf numFmtId="0" fontId="1" fillId="0" borderId="0" xfId="0" applyFont="1" applyAlignment="1">
      <alignment horizontal="left" vertical="top" wrapText="1"/>
    </xf>
    <xf numFmtId="0" fontId="6" fillId="0" borderId="0" xfId="0" applyFont="1"/>
    <xf numFmtId="0" fontId="21" fillId="0" borderId="0" xfId="0" applyFont="1" applyAlignment="1">
      <alignment horizontal="center" vertical="center" wrapText="1"/>
    </xf>
    <xf numFmtId="0" fontId="21" fillId="0" borderId="0" xfId="0" applyFont="1" applyAlignment="1">
      <alignment horizontal="center" vertical="center"/>
    </xf>
    <xf numFmtId="0" fontId="0" fillId="0" borderId="0" xfId="0" applyAlignment="1">
      <alignment wrapText="1"/>
    </xf>
    <xf numFmtId="0" fontId="21" fillId="0" borderId="10" xfId="0" applyFont="1" applyBorder="1" applyAlignment="1">
      <alignment vertical="center" wrapText="1"/>
    </xf>
    <xf numFmtId="0" fontId="21" fillId="0" borderId="48" xfId="0" applyFont="1" applyBorder="1" applyAlignment="1">
      <alignment vertical="center" wrapText="1"/>
    </xf>
    <xf numFmtId="0" fontId="19" fillId="0" borderId="0" xfId="0" applyFont="1" applyAlignment="1">
      <alignment horizontal="center"/>
    </xf>
    <xf numFmtId="0" fontId="24" fillId="0" borderId="0" xfId="0" applyFont="1"/>
    <xf numFmtId="0" fontId="21" fillId="0" borderId="46" xfId="0" applyFont="1" applyBorder="1" applyAlignment="1">
      <alignment horizontal="center" vertical="center"/>
    </xf>
    <xf numFmtId="0" fontId="21" fillId="0" borderId="47" xfId="0" applyFont="1" applyBorder="1" applyAlignment="1">
      <alignment horizontal="center" vertical="center"/>
    </xf>
    <xf numFmtId="0" fontId="24" fillId="0" borderId="47" xfId="0" applyFont="1" applyBorder="1" applyAlignment="1">
      <alignment horizontal="center" vertical="center"/>
    </xf>
    <xf numFmtId="0" fontId="23" fillId="0" borderId="0" xfId="0" applyFont="1"/>
    <xf numFmtId="0" fontId="27" fillId="0" borderId="0" xfId="0" applyFont="1" applyAlignment="1">
      <alignment horizontal="right"/>
    </xf>
    <xf numFmtId="0" fontId="27" fillId="0" borderId="0" xfId="0" applyFont="1"/>
    <xf numFmtId="0" fontId="28" fillId="0" borderId="0" xfId="0" applyFont="1"/>
    <xf numFmtId="0" fontId="14" fillId="0" borderId="23" xfId="0" applyFont="1" applyBorder="1" applyAlignment="1">
      <alignment horizontal="left" indent="3"/>
    </xf>
    <xf numFmtId="0" fontId="14" fillId="0" borderId="20" xfId="0" applyFont="1" applyBorder="1" applyAlignment="1">
      <alignment horizontal="left" indent="3"/>
    </xf>
    <xf numFmtId="0" fontId="14" fillId="0" borderId="19" xfId="0" applyFont="1" applyBorder="1" applyAlignment="1">
      <alignment horizontal="left" indent="3"/>
    </xf>
    <xf numFmtId="0" fontId="14" fillId="0" borderId="22" xfId="0" applyFont="1" applyBorder="1" applyAlignment="1">
      <alignment horizontal="left" indent="3"/>
    </xf>
    <xf numFmtId="0" fontId="13" fillId="0" borderId="0" xfId="0" applyFont="1" applyAlignment="1">
      <alignment horizontal="left" indent="2"/>
    </xf>
    <xf numFmtId="0" fontId="16" fillId="0" borderId="0" xfId="0" applyFont="1"/>
    <xf numFmtId="0" fontId="14" fillId="0" borderId="0" xfId="0" applyFont="1" applyAlignment="1">
      <alignment horizontal="right"/>
    </xf>
    <xf numFmtId="0" fontId="14" fillId="0" borderId="44" xfId="0" applyFont="1" applyBorder="1" applyAlignment="1">
      <alignment horizontal="right"/>
    </xf>
    <xf numFmtId="0" fontId="14" fillId="0" borderId="45" xfId="0" applyFont="1" applyBorder="1" applyAlignment="1">
      <alignment horizontal="right"/>
    </xf>
    <xf numFmtId="0" fontId="14" fillId="0" borderId="40" xfId="0" applyFont="1" applyBorder="1" applyAlignment="1">
      <alignment horizontal="right"/>
    </xf>
    <xf numFmtId="0" fontId="14" fillId="0" borderId="33" xfId="0" applyFont="1" applyBorder="1" applyAlignment="1">
      <alignment horizontal="right"/>
    </xf>
    <xf numFmtId="0" fontId="14" fillId="0" borderId="15" xfId="0" applyFont="1" applyBorder="1"/>
    <xf numFmtId="164" fontId="0" fillId="0" borderId="0" xfId="0" applyNumberFormat="1"/>
    <xf numFmtId="166" fontId="0" fillId="0" borderId="0" xfId="0" applyNumberFormat="1"/>
    <xf numFmtId="0" fontId="0" fillId="0" borderId="0" xfId="0" applyAlignment="1">
      <alignment vertical="center"/>
    </xf>
    <xf numFmtId="0" fontId="21" fillId="0" borderId="16" xfId="0" applyFont="1" applyBorder="1" applyAlignment="1">
      <alignment vertical="center"/>
    </xf>
    <xf numFmtId="0" fontId="21" fillId="0" borderId="17" xfId="0" applyFont="1" applyBorder="1" applyAlignment="1">
      <alignment vertical="center"/>
    </xf>
    <xf numFmtId="0" fontId="32" fillId="0" borderId="17" xfId="0" applyFont="1" applyBorder="1" applyAlignment="1">
      <alignment vertical="center"/>
    </xf>
    <xf numFmtId="0" fontId="0" fillId="0" borderId="17" xfId="0" applyBorder="1"/>
    <xf numFmtId="0" fontId="0" fillId="0" borderId="18" xfId="0" applyBorder="1"/>
    <xf numFmtId="0" fontId="21" fillId="0" borderId="15" xfId="0" applyFont="1" applyBorder="1" applyAlignment="1">
      <alignment vertical="center"/>
    </xf>
    <xf numFmtId="0" fontId="0" fillId="0" borderId="14" xfId="0" applyBorder="1"/>
    <xf numFmtId="0" fontId="21" fillId="0" borderId="19" xfId="0" applyFont="1" applyBorder="1" applyAlignment="1">
      <alignment vertical="center"/>
    </xf>
    <xf numFmtId="0" fontId="21" fillId="0" borderId="20" xfId="0" applyFont="1" applyBorder="1" applyAlignment="1">
      <alignment vertical="center"/>
    </xf>
    <xf numFmtId="0" fontId="31" fillId="0" borderId="20" xfId="0" applyFont="1" applyBorder="1" applyAlignment="1">
      <alignment vertical="center"/>
    </xf>
    <xf numFmtId="0" fontId="0" fillId="0" borderId="20" xfId="0" applyBorder="1"/>
    <xf numFmtId="0" fontId="0" fillId="0" borderId="21" xfId="0" applyBorder="1"/>
    <xf numFmtId="0" fontId="21" fillId="0" borderId="11" xfId="0" applyFont="1" applyBorder="1" applyAlignment="1">
      <alignment vertical="center"/>
    </xf>
    <xf numFmtId="0" fontId="0" fillId="0" borderId="12" xfId="0" applyBorder="1"/>
    <xf numFmtId="0" fontId="21" fillId="0" borderId="12" xfId="0" applyFont="1" applyBorder="1" applyAlignment="1">
      <alignment vertical="center"/>
    </xf>
    <xf numFmtId="0" fontId="21" fillId="0" borderId="13" xfId="0" applyFont="1" applyBorder="1" applyAlignment="1">
      <alignment vertical="center"/>
    </xf>
    <xf numFmtId="0" fontId="0" fillId="0" borderId="16" xfId="0" applyBorder="1"/>
    <xf numFmtId="0" fontId="0" fillId="0" borderId="15" xfId="0" applyBorder="1"/>
    <xf numFmtId="0" fontId="0" fillId="0" borderId="19" xfId="0" applyBorder="1"/>
    <xf numFmtId="0" fontId="33" fillId="0" borderId="0" xfId="0" applyFont="1"/>
    <xf numFmtId="0" fontId="0" fillId="0" borderId="0" xfId="0" applyAlignment="1">
      <alignment horizontal="center" vertical="center"/>
    </xf>
    <xf numFmtId="0" fontId="21" fillId="0" borderId="0" xfId="0" applyFont="1" applyAlignment="1">
      <alignment vertical="center"/>
    </xf>
    <xf numFmtId="0" fontId="34" fillId="0" borderId="0" xfId="0" applyFont="1"/>
    <xf numFmtId="0" fontId="35" fillId="0" borderId="0" xfId="0" applyFont="1"/>
    <xf numFmtId="1" fontId="21" fillId="0" borderId="10" xfId="0" applyNumberFormat="1" applyFont="1" applyBorder="1" applyAlignment="1">
      <alignment horizontal="center" vertical="center"/>
    </xf>
    <xf numFmtId="0" fontId="36" fillId="0" borderId="0" xfId="0" applyFont="1"/>
    <xf numFmtId="2" fontId="21" fillId="0" borderId="25" xfId="0" applyNumberFormat="1" applyFont="1" applyBorder="1" applyAlignment="1">
      <alignment horizontal="center" vertical="center"/>
    </xf>
    <xf numFmtId="2" fontId="21" fillId="0" borderId="10" xfId="0" applyNumberFormat="1" applyFont="1" applyBorder="1" applyAlignment="1">
      <alignment horizontal="center" vertical="center"/>
    </xf>
    <xf numFmtId="0" fontId="12" fillId="6" borderId="0" xfId="0" applyFont="1" applyFill="1"/>
    <xf numFmtId="2" fontId="21" fillId="0" borderId="0" xfId="0" applyNumberFormat="1" applyFont="1" applyAlignment="1">
      <alignment horizontal="center" vertical="center"/>
    </xf>
    <xf numFmtId="0" fontId="19" fillId="0" borderId="0" xfId="0" applyFont="1" applyAlignment="1">
      <alignment horizontal="right"/>
    </xf>
    <xf numFmtId="0" fontId="30" fillId="0" borderId="12" xfId="0" applyFont="1" applyBorder="1" applyAlignment="1">
      <alignment vertical="center"/>
    </xf>
    <xf numFmtId="0" fontId="21" fillId="0" borderId="0" xfId="0" applyFont="1" applyAlignment="1">
      <alignment horizontal="left" vertical="center"/>
    </xf>
    <xf numFmtId="2" fontId="14" fillId="4" borderId="10" xfId="0" applyNumberFormat="1" applyFont="1" applyFill="1" applyBorder="1"/>
    <xf numFmtId="0" fontId="40" fillId="0" borderId="0" xfId="3" applyFont="1"/>
    <xf numFmtId="0" fontId="41" fillId="0" borderId="0" xfId="3" applyFont="1" applyAlignment="1">
      <alignment horizontal="center"/>
    </xf>
    <xf numFmtId="0" fontId="42" fillId="0" borderId="0" xfId="3" applyFont="1"/>
    <xf numFmtId="0" fontId="43" fillId="0" borderId="0" xfId="3" applyFont="1"/>
    <xf numFmtId="0" fontId="39" fillId="0" borderId="0" xfId="3"/>
    <xf numFmtId="0" fontId="44" fillId="0" borderId="0" xfId="3" applyFont="1" applyAlignment="1">
      <alignment horizontal="right"/>
    </xf>
    <xf numFmtId="0" fontId="44" fillId="0" borderId="0" xfId="3" applyFont="1" applyAlignment="1">
      <alignment horizontal="left"/>
    </xf>
    <xf numFmtId="0" fontId="41" fillId="0" borderId="0" xfId="3" applyFont="1" applyAlignment="1">
      <alignment vertical="center"/>
    </xf>
    <xf numFmtId="0" fontId="45" fillId="0" borderId="0" xfId="3" applyFont="1" applyAlignment="1">
      <alignment horizontal="right" vertical="top" wrapText="1"/>
    </xf>
    <xf numFmtId="14" fontId="45" fillId="0" borderId="0" xfId="3" applyNumberFormat="1" applyFont="1" applyAlignment="1">
      <alignment horizontal="left" vertical="top" wrapText="1"/>
    </xf>
    <xf numFmtId="0" fontId="45" fillId="0" borderId="0" xfId="3" applyFont="1" applyAlignment="1">
      <alignment horizontal="left" vertical="top"/>
    </xf>
    <xf numFmtId="0" fontId="40" fillId="7" borderId="0" xfId="4" applyFont="1" applyFill="1" applyAlignment="1">
      <alignment horizontal="center"/>
    </xf>
    <xf numFmtId="0" fontId="48" fillId="0" borderId="16" xfId="3" applyFont="1" applyBorder="1" applyAlignment="1">
      <alignment vertical="center"/>
    </xf>
    <xf numFmtId="0" fontId="50" fillId="0" borderId="0" xfId="3" applyFont="1" applyAlignment="1">
      <alignment horizontal="center" vertical="center"/>
    </xf>
    <xf numFmtId="0" fontId="40" fillId="7" borderId="0" xfId="4" applyFont="1" applyFill="1" applyAlignment="1">
      <alignment horizontal="right" vertical="center"/>
    </xf>
    <xf numFmtId="0" fontId="43" fillId="7" borderId="0" xfId="4" applyFont="1" applyFill="1" applyAlignment="1">
      <alignment horizontal="left" vertical="center"/>
    </xf>
    <xf numFmtId="0" fontId="48" fillId="0" borderId="19" xfId="3" applyFont="1" applyBorder="1" applyAlignment="1">
      <alignment vertical="center"/>
    </xf>
    <xf numFmtId="0" fontId="39" fillId="0" borderId="0" xfId="3" applyAlignment="1">
      <alignment horizontal="right"/>
    </xf>
    <xf numFmtId="0" fontId="39" fillId="0" borderId="0" xfId="3" applyAlignment="1">
      <alignment horizontal="center"/>
    </xf>
    <xf numFmtId="0" fontId="39" fillId="0" borderId="0" xfId="3" applyAlignment="1">
      <alignment horizontal="center" vertical="center"/>
    </xf>
    <xf numFmtId="0" fontId="51" fillId="0" borderId="0" xfId="3" applyFont="1"/>
    <xf numFmtId="0" fontId="52" fillId="0" borderId="0" xfId="3" applyFont="1" applyAlignment="1">
      <alignment horizontal="left" vertical="center"/>
    </xf>
    <xf numFmtId="4" fontId="48" fillId="0" borderId="0" xfId="3" applyNumberFormat="1" applyFont="1"/>
    <xf numFmtId="49" fontId="53" fillId="0" borderId="0" xfId="3" applyNumberFormat="1" applyFont="1"/>
    <xf numFmtId="0" fontId="49" fillId="0" borderId="0" xfId="3" applyFont="1"/>
    <xf numFmtId="0" fontId="54" fillId="0" borderId="0" xfId="3" applyFont="1" applyAlignment="1">
      <alignment horizontal="left"/>
    </xf>
    <xf numFmtId="4" fontId="55" fillId="0" borderId="0" xfId="3" applyNumberFormat="1" applyFont="1" applyAlignment="1">
      <alignment horizontal="center"/>
    </xf>
    <xf numFmtId="0" fontId="40" fillId="7" borderId="0" xfId="4" applyFont="1" applyFill="1">
      <alignment horizontal="right"/>
    </xf>
    <xf numFmtId="2" fontId="56" fillId="0" borderId="10" xfId="3" applyNumberFormat="1" applyFont="1" applyBorder="1" applyAlignment="1" applyProtection="1">
      <alignment horizontal="center"/>
      <protection locked="0"/>
    </xf>
    <xf numFmtId="0" fontId="57" fillId="7" borderId="0" xfId="4" applyFont="1" applyFill="1">
      <alignment horizontal="right"/>
    </xf>
    <xf numFmtId="0" fontId="40" fillId="0" borderId="0" xfId="3" applyFont="1" applyAlignment="1">
      <alignment horizontal="right"/>
    </xf>
    <xf numFmtId="49" fontId="58" fillId="0" borderId="0" xfId="3" applyNumberFormat="1" applyFont="1"/>
    <xf numFmtId="0" fontId="59" fillId="0" borderId="0" xfId="3" applyFont="1" applyAlignment="1">
      <alignment horizontal="right"/>
    </xf>
    <xf numFmtId="2" fontId="56" fillId="0" borderId="0" xfId="3" applyNumberFormat="1" applyFont="1" applyAlignment="1" applyProtection="1">
      <alignment horizontal="center"/>
      <protection locked="0"/>
    </xf>
    <xf numFmtId="0" fontId="40" fillId="7" borderId="14" xfId="4" applyFont="1" applyFill="1" applyBorder="1" applyAlignment="1">
      <alignment horizontal="right" vertical="center"/>
    </xf>
    <xf numFmtId="0" fontId="43" fillId="7" borderId="0" xfId="4" applyFont="1" applyFill="1" applyAlignment="1">
      <alignment vertical="center"/>
    </xf>
    <xf numFmtId="49" fontId="56" fillId="0" borderId="10" xfId="3" applyNumberFormat="1" applyFont="1" applyBorder="1" applyAlignment="1" applyProtection="1">
      <alignment horizontal="center"/>
      <protection locked="0"/>
    </xf>
    <xf numFmtId="2" fontId="39" fillId="0" borderId="0" xfId="3" applyNumberFormat="1"/>
    <xf numFmtId="0" fontId="62" fillId="0" borderId="0" xfId="3" applyFont="1"/>
    <xf numFmtId="2" fontId="40" fillId="0" borderId="0" xfId="3" applyNumberFormat="1" applyFont="1" applyAlignment="1" applyProtection="1">
      <alignment horizontal="right"/>
      <protection locked="0"/>
    </xf>
    <xf numFmtId="0" fontId="48" fillId="0" borderId="0" xfId="3" applyFont="1" applyAlignment="1">
      <alignment horizontal="left"/>
    </xf>
    <xf numFmtId="2" fontId="53" fillId="0" borderId="0" xfId="3" applyNumberFormat="1" applyFont="1" applyAlignment="1">
      <alignment horizontal="center"/>
    </xf>
    <xf numFmtId="0" fontId="64" fillId="0" borderId="0" xfId="3" applyFont="1"/>
    <xf numFmtId="2" fontId="61" fillId="0" borderId="0" xfId="3" applyNumberFormat="1" applyFont="1" applyAlignment="1">
      <alignment horizontal="right"/>
    </xf>
    <xf numFmtId="0" fontId="54" fillId="0" borderId="0" xfId="3" applyFont="1" applyAlignment="1">
      <alignment horizontal="right"/>
    </xf>
    <xf numFmtId="0" fontId="49" fillId="0" borderId="0" xfId="3" applyFont="1" applyAlignment="1">
      <alignment horizontal="right"/>
    </xf>
    <xf numFmtId="2" fontId="53" fillId="0" borderId="59" xfId="3" applyNumberFormat="1" applyFont="1" applyBorder="1" applyAlignment="1">
      <alignment horizontal="center"/>
    </xf>
    <xf numFmtId="0" fontId="53" fillId="0" borderId="0" xfId="3" applyFont="1" applyAlignment="1">
      <alignment horizontal="right"/>
    </xf>
    <xf numFmtId="2" fontId="49" fillId="0" borderId="59" xfId="3" applyNumberFormat="1" applyFont="1" applyBorder="1" applyAlignment="1">
      <alignment horizontal="center"/>
    </xf>
    <xf numFmtId="2" fontId="49" fillId="0" borderId="0" xfId="3" applyNumberFormat="1" applyFont="1" applyAlignment="1">
      <alignment horizontal="center"/>
    </xf>
    <xf numFmtId="0" fontId="61" fillId="0" borderId="0" xfId="3" applyFont="1" applyAlignment="1">
      <alignment horizontal="right"/>
    </xf>
    <xf numFmtId="0" fontId="54" fillId="0" borderId="0" xfId="3" applyFont="1" applyAlignment="1">
      <alignment horizontal="center"/>
    </xf>
    <xf numFmtId="0" fontId="48" fillId="0" borderId="0" xfId="3" applyFont="1" applyAlignment="1">
      <alignment horizontal="right"/>
    </xf>
    <xf numFmtId="0" fontId="49" fillId="0" borderId="59" xfId="3" applyFont="1" applyBorder="1" applyAlignment="1">
      <alignment horizontal="center"/>
    </xf>
    <xf numFmtId="2" fontId="39" fillId="0" borderId="60" xfId="3" applyNumberFormat="1" applyBorder="1"/>
    <xf numFmtId="2" fontId="39" fillId="0" borderId="28" xfId="3" applyNumberFormat="1" applyBorder="1"/>
    <xf numFmtId="0" fontId="39" fillId="0" borderId="28" xfId="3" applyBorder="1"/>
    <xf numFmtId="2" fontId="39" fillId="0" borderId="61" xfId="3" applyNumberFormat="1" applyBorder="1"/>
    <xf numFmtId="0" fontId="39" fillId="0" borderId="61" xfId="3" applyBorder="1"/>
    <xf numFmtId="2" fontId="56" fillId="0" borderId="62" xfId="3" applyNumberFormat="1" applyFont="1" applyBorder="1" applyAlignment="1" applyProtection="1">
      <alignment horizontal="center"/>
      <protection locked="0"/>
    </xf>
    <xf numFmtId="0" fontId="39" fillId="0" borderId="62" xfId="3" applyBorder="1"/>
    <xf numFmtId="0" fontId="49" fillId="0" borderId="63" xfId="3" applyFont="1" applyBorder="1" applyAlignment="1">
      <alignment horizontal="center" vertical="center"/>
    </xf>
    <xf numFmtId="0" fontId="49" fillId="0" borderId="63" xfId="3" applyFont="1" applyBorder="1" applyAlignment="1">
      <alignment horizontal="center" vertical="center" wrapText="1"/>
    </xf>
    <xf numFmtId="0" fontId="49" fillId="7" borderId="0" xfId="4" applyFont="1" applyFill="1" applyAlignment="1">
      <alignment horizontal="left"/>
    </xf>
    <xf numFmtId="0" fontId="59" fillId="7" borderId="0" xfId="4" applyFont="1" applyFill="1" applyAlignment="1">
      <alignment horizontal="left"/>
    </xf>
    <xf numFmtId="0" fontId="39" fillId="0" borderId="60" xfId="3" applyBorder="1"/>
    <xf numFmtId="0" fontId="48" fillId="7" borderId="0" xfId="4" applyFont="1" applyFill="1" applyAlignment="1">
      <alignment horizontal="right" vertical="center"/>
    </xf>
    <xf numFmtId="2" fontId="56" fillId="0" borderId="28" xfId="3" applyNumberFormat="1" applyFont="1" applyBorder="1" applyAlignment="1" applyProtection="1">
      <alignment horizontal="center"/>
      <protection locked="0"/>
    </xf>
    <xf numFmtId="0" fontId="49" fillId="7" borderId="0" xfId="4" applyFont="1" applyFill="1" applyAlignment="1">
      <alignment horizontal="center"/>
    </xf>
    <xf numFmtId="0" fontId="40" fillId="0" borderId="0" xfId="4" applyFont="1">
      <alignment horizontal="right"/>
    </xf>
    <xf numFmtId="0" fontId="43" fillId="0" borderId="0" xfId="4" applyFont="1" applyAlignment="1">
      <alignment horizontal="left" vertical="center"/>
    </xf>
    <xf numFmtId="0" fontId="48" fillId="7" borderId="0" xfId="4" applyFont="1" applyFill="1" applyAlignment="1">
      <alignment horizontal="left"/>
    </xf>
    <xf numFmtId="0" fontId="39" fillId="0" borderId="16" xfId="3" applyBorder="1"/>
    <xf numFmtId="0" fontId="39" fillId="0" borderId="17" xfId="3" applyBorder="1"/>
    <xf numFmtId="0" fontId="39" fillId="0" borderId="18" xfId="3" applyBorder="1"/>
    <xf numFmtId="0" fontId="39" fillId="0" borderId="19" xfId="3" applyBorder="1" applyAlignment="1">
      <alignment horizontal="center" vertical="center"/>
    </xf>
    <xf numFmtId="0" fontId="39" fillId="0" borderId="20" xfId="3" applyBorder="1" applyAlignment="1">
      <alignment horizontal="center" vertical="center"/>
    </xf>
    <xf numFmtId="0" fontId="61" fillId="0" borderId="20" xfId="3" applyFont="1" applyBorder="1" applyAlignment="1">
      <alignment horizontal="center" vertical="center"/>
    </xf>
    <xf numFmtId="0" fontId="39" fillId="0" borderId="21" xfId="3" applyBorder="1" applyAlignment="1">
      <alignment horizontal="center" vertical="center"/>
    </xf>
    <xf numFmtId="2" fontId="39" fillId="0" borderId="15" xfId="3" applyNumberFormat="1" applyBorder="1"/>
    <xf numFmtId="2" fontId="39" fillId="0" borderId="14" xfId="3" applyNumberFormat="1" applyBorder="1"/>
    <xf numFmtId="2" fontId="39" fillId="0" borderId="16" xfId="3" applyNumberFormat="1" applyBorder="1"/>
    <xf numFmtId="2" fontId="39" fillId="0" borderId="17" xfId="3" applyNumberFormat="1" applyBorder="1"/>
    <xf numFmtId="2" fontId="39" fillId="0" borderId="18" xfId="3" applyNumberFormat="1" applyBorder="1"/>
    <xf numFmtId="2" fontId="39" fillId="0" borderId="19" xfId="3" applyNumberFormat="1" applyBorder="1"/>
    <xf numFmtId="2" fontId="39" fillId="0" borderId="20" xfId="3" applyNumberFormat="1" applyBorder="1"/>
    <xf numFmtId="2" fontId="39" fillId="0" borderId="21" xfId="3" applyNumberFormat="1" applyBorder="1"/>
    <xf numFmtId="1" fontId="0" fillId="0" borderId="0" xfId="0" applyNumberFormat="1"/>
    <xf numFmtId="1" fontId="21" fillId="0" borderId="0" xfId="0" applyNumberFormat="1" applyFont="1" applyAlignment="1">
      <alignment vertical="top"/>
    </xf>
    <xf numFmtId="1" fontId="21" fillId="0" borderId="0" xfId="0" applyNumberFormat="1" applyFont="1" applyAlignment="1">
      <alignment vertical="center"/>
    </xf>
    <xf numFmtId="0" fontId="21" fillId="0" borderId="0" xfId="0" applyFont="1" applyAlignment="1">
      <alignment vertical="top"/>
    </xf>
    <xf numFmtId="0" fontId="31" fillId="0" borderId="0" xfId="0" applyFont="1" applyAlignment="1">
      <alignment vertical="center"/>
    </xf>
    <xf numFmtId="0" fontId="67" fillId="0" borderId="0" xfId="0" applyFont="1" applyAlignment="1">
      <alignment horizontal="center" vertical="center"/>
    </xf>
    <xf numFmtId="0" fontId="0" fillId="3" borderId="10" xfId="0" applyFill="1" applyBorder="1"/>
    <xf numFmtId="0" fontId="24" fillId="0" borderId="0" xfId="0" applyFont="1" applyAlignment="1">
      <alignment vertical="center"/>
    </xf>
    <xf numFmtId="1" fontId="28" fillId="0" borderId="0" xfId="0" applyNumberFormat="1" applyFont="1"/>
    <xf numFmtId="0" fontId="21" fillId="6" borderId="0" xfId="0" applyFont="1" applyFill="1"/>
    <xf numFmtId="1" fontId="21" fillId="0" borderId="0" xfId="0" applyNumberFormat="1" applyFont="1" applyAlignment="1">
      <alignment horizontal="center" vertical="center"/>
    </xf>
    <xf numFmtId="0" fontId="19" fillId="0" borderId="0" xfId="0" applyFont="1" applyAlignment="1">
      <alignment horizontal="center" vertical="center"/>
    </xf>
    <xf numFmtId="0" fontId="9" fillId="0" borderId="0" xfId="0" applyFont="1" applyAlignment="1">
      <alignment horizontal="center" vertical="center"/>
    </xf>
    <xf numFmtId="0" fontId="17" fillId="0" borderId="0" xfId="0" applyFont="1" applyAlignment="1">
      <alignment horizontal="center" vertical="center"/>
    </xf>
    <xf numFmtId="0" fontId="21" fillId="8" borderId="0" xfId="0" applyFont="1" applyFill="1"/>
    <xf numFmtId="0" fontId="21" fillId="9" borderId="0" xfId="0" applyFont="1" applyFill="1"/>
    <xf numFmtId="0" fontId="14" fillId="0" borderId="10" xfId="0" applyFont="1" applyBorder="1" applyAlignment="1">
      <alignment horizontal="right"/>
    </xf>
    <xf numFmtId="1" fontId="14" fillId="0" borderId="10" xfId="0" applyNumberFormat="1" applyFont="1" applyBorder="1" applyAlignment="1">
      <alignment horizontal="left" vertical="center"/>
    </xf>
    <xf numFmtId="0" fontId="14" fillId="0" borderId="51" xfId="0" applyFont="1" applyBorder="1" applyAlignment="1">
      <alignment horizontal="right"/>
    </xf>
    <xf numFmtId="2" fontId="21" fillId="0" borderId="0" xfId="0" applyNumberFormat="1" applyFont="1"/>
    <xf numFmtId="0" fontId="68" fillId="0" borderId="0" xfId="0" applyFont="1" applyAlignment="1">
      <alignment horizontal="left" vertical="center"/>
    </xf>
    <xf numFmtId="0" fontId="21" fillId="0" borderId="0" xfId="0" applyFont="1" applyAlignment="1">
      <alignment horizontal="right" vertical="center"/>
    </xf>
    <xf numFmtId="2" fontId="39" fillId="0" borderId="0" xfId="3" applyNumberFormat="1" applyAlignment="1">
      <alignment horizontal="right"/>
    </xf>
    <xf numFmtId="2" fontId="39" fillId="0" borderId="0" xfId="3" applyNumberFormat="1" applyAlignment="1">
      <alignment horizontal="left"/>
    </xf>
    <xf numFmtId="9" fontId="14" fillId="0" borderId="0" xfId="0" applyNumberFormat="1" applyFont="1" applyAlignment="1">
      <alignment vertical="center"/>
    </xf>
    <xf numFmtId="2" fontId="39" fillId="0" borderId="10" xfId="3" applyNumberFormat="1" applyBorder="1" applyAlignment="1">
      <alignment horizontal="right"/>
    </xf>
    <xf numFmtId="0" fontId="69" fillId="0" borderId="10" xfId="3" applyFont="1" applyBorder="1" applyAlignment="1">
      <alignment horizontal="center" vertical="center"/>
    </xf>
    <xf numFmtId="0" fontId="21" fillId="0" borderId="0" xfId="0" applyFont="1" applyAlignment="1" applyProtection="1">
      <alignment horizontal="center" vertical="center"/>
      <protection locked="0"/>
    </xf>
    <xf numFmtId="2" fontId="21" fillId="0" borderId="0" xfId="0" applyNumberFormat="1" applyFont="1" applyAlignment="1" applyProtection="1">
      <alignment horizontal="center" vertical="center"/>
      <protection locked="0"/>
    </xf>
    <xf numFmtId="14" fontId="21" fillId="3" borderId="0" xfId="0" applyNumberFormat="1" applyFont="1" applyFill="1" applyAlignment="1" applyProtection="1">
      <alignment horizontal="center" vertical="center"/>
      <protection locked="0"/>
    </xf>
    <xf numFmtId="0" fontId="21" fillId="3" borderId="0" xfId="0" applyFont="1" applyFill="1" applyAlignment="1" applyProtection="1">
      <alignment horizontal="center" vertical="center"/>
      <protection locked="0"/>
    </xf>
    <xf numFmtId="0" fontId="14" fillId="0" borderId="36" xfId="0" applyFont="1" applyBorder="1" applyProtection="1">
      <protection locked="0"/>
    </xf>
    <xf numFmtId="0" fontId="14" fillId="0" borderId="37" xfId="0" applyFont="1" applyBorder="1" applyProtection="1">
      <protection locked="0"/>
    </xf>
    <xf numFmtId="0" fontId="14" fillId="0" borderId="32" xfId="0" applyFont="1" applyBorder="1" applyProtection="1">
      <protection locked="0"/>
    </xf>
    <xf numFmtId="0" fontId="14" fillId="0" borderId="31" xfId="0" applyFont="1" applyBorder="1" applyProtection="1">
      <protection locked="0"/>
    </xf>
    <xf numFmtId="0" fontId="14" fillId="0" borderId="30" xfId="0" applyFont="1" applyBorder="1" applyProtection="1">
      <protection locked="0"/>
    </xf>
    <xf numFmtId="0" fontId="14" fillId="0" borderId="24" xfId="0" applyFont="1" applyBorder="1" applyAlignment="1" applyProtection="1">
      <alignment horizontal="left"/>
      <protection locked="0"/>
    </xf>
    <xf numFmtId="0" fontId="14" fillId="0" borderId="32" xfId="0" applyFont="1" applyBorder="1" applyAlignment="1" applyProtection="1">
      <alignment horizontal="left"/>
      <protection locked="0"/>
    </xf>
    <xf numFmtId="0" fontId="12" fillId="0" borderId="0" xfId="0" applyFont="1" applyProtection="1">
      <protection locked="0"/>
    </xf>
    <xf numFmtId="0" fontId="14" fillId="0" borderId="29"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30" xfId="0" applyFont="1" applyBorder="1" applyAlignment="1" applyProtection="1">
      <alignment horizontal="center" vertical="center"/>
      <protection locked="0"/>
    </xf>
    <xf numFmtId="0" fontId="14" fillId="0" borderId="32" xfId="0" applyFont="1" applyBorder="1" applyAlignment="1" applyProtection="1">
      <alignment horizontal="center" vertical="center"/>
      <protection locked="0"/>
    </xf>
    <xf numFmtId="0" fontId="14" fillId="0" borderId="2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64" xfId="0" applyFont="1" applyBorder="1" applyProtection="1">
      <protection locked="0"/>
    </xf>
    <xf numFmtId="0" fontId="14" fillId="0" borderId="36" xfId="0" applyFont="1" applyBorder="1" applyAlignment="1" applyProtection="1">
      <alignment horizontal="center" vertical="center"/>
      <protection locked="0"/>
    </xf>
    <xf numFmtId="0" fontId="1" fillId="0" borderId="0" xfId="0" applyFont="1" applyProtection="1">
      <protection locked="0"/>
    </xf>
    <xf numFmtId="0" fontId="26" fillId="0" borderId="0" xfId="0" applyFont="1" applyProtection="1">
      <protection locked="0"/>
    </xf>
    <xf numFmtId="0" fontId="71" fillId="0" borderId="0" xfId="0" applyFont="1" applyProtection="1">
      <protection locked="0"/>
    </xf>
    <xf numFmtId="0" fontId="71" fillId="0" borderId="0" xfId="0" applyFont="1"/>
    <xf numFmtId="0" fontId="13" fillId="0" borderId="11" xfId="0" applyFont="1" applyBorder="1" applyAlignment="1">
      <alignment vertical="center"/>
    </xf>
    <xf numFmtId="0" fontId="70" fillId="0" borderId="12" xfId="0" applyFont="1" applyBorder="1" applyAlignment="1">
      <alignment vertical="center"/>
    </xf>
    <xf numFmtId="0" fontId="70" fillId="0" borderId="12" xfId="0" applyFont="1" applyBorder="1" applyAlignment="1">
      <alignment horizontal="right" vertical="center"/>
    </xf>
    <xf numFmtId="0" fontId="13" fillId="0" borderId="17" xfId="0" applyFont="1" applyBorder="1" applyAlignment="1">
      <alignment vertical="center"/>
    </xf>
    <xf numFmtId="0" fontId="72" fillId="0" borderId="0" xfId="5"/>
    <xf numFmtId="0" fontId="73" fillId="0" borderId="0" xfId="5" applyFont="1" applyAlignment="1">
      <alignment horizontal="center"/>
    </xf>
    <xf numFmtId="0" fontId="72" fillId="0" borderId="0" xfId="5" applyAlignment="1">
      <alignment horizontal="center"/>
    </xf>
    <xf numFmtId="0" fontId="0" fillId="0" borderId="10" xfId="0" applyBorder="1"/>
    <xf numFmtId="0" fontId="72" fillId="0" borderId="0" xfId="5" applyAlignment="1">
      <alignment horizontal="right"/>
    </xf>
    <xf numFmtId="1" fontId="72" fillId="0" borderId="0" xfId="5" applyNumberFormat="1" applyAlignment="1">
      <alignment horizontal="center" vertical="center"/>
    </xf>
    <xf numFmtId="1" fontId="74" fillId="0" borderId="0" xfId="5" applyNumberFormat="1" applyFont="1" applyAlignment="1">
      <alignment horizontal="center" vertical="center"/>
    </xf>
    <xf numFmtId="1" fontId="72" fillId="0" borderId="0" xfId="5" applyNumberFormat="1"/>
    <xf numFmtId="0" fontId="72" fillId="12" borderId="71" xfId="5" applyFill="1" applyBorder="1" applyAlignment="1">
      <alignment horizontal="right"/>
    </xf>
    <xf numFmtId="1" fontId="72" fillId="12" borderId="12" xfId="5" applyNumberFormat="1" applyFill="1" applyBorder="1" applyAlignment="1">
      <alignment horizontal="center"/>
    </xf>
    <xf numFmtId="1" fontId="72" fillId="12" borderId="12" xfId="5" applyNumberFormat="1" applyFill="1" applyBorder="1"/>
    <xf numFmtId="1" fontId="72" fillId="12" borderId="72" xfId="5" applyNumberFormat="1" applyFill="1" applyBorder="1" applyAlignment="1">
      <alignment horizontal="center"/>
    </xf>
    <xf numFmtId="2" fontId="72" fillId="0" borderId="0" xfId="5" applyNumberFormat="1"/>
    <xf numFmtId="0" fontId="0" fillId="0" borderId="25" xfId="0" applyBorder="1"/>
    <xf numFmtId="0" fontId="0" fillId="0" borderId="46" xfId="0" applyBorder="1"/>
    <xf numFmtId="1" fontId="0" fillId="0" borderId="75" xfId="0" applyNumberFormat="1" applyBorder="1"/>
    <xf numFmtId="0" fontId="0" fillId="0" borderId="47" xfId="0" applyBorder="1"/>
    <xf numFmtId="1" fontId="0" fillId="0" borderId="72" xfId="0" applyNumberFormat="1" applyBorder="1"/>
    <xf numFmtId="0" fontId="0" fillId="0" borderId="76" xfId="0" quotePrefix="1" applyBorder="1"/>
    <xf numFmtId="0" fontId="0" fillId="0" borderId="77" xfId="0" applyBorder="1"/>
    <xf numFmtId="1" fontId="0" fillId="0" borderId="73" xfId="0" applyNumberFormat="1" applyBorder="1"/>
    <xf numFmtId="167" fontId="74" fillId="11" borderId="59" xfId="5" applyNumberFormat="1" applyFont="1" applyFill="1" applyBorder="1" applyAlignment="1">
      <alignment horizontal="center" vertical="center"/>
    </xf>
    <xf numFmtId="0" fontId="75" fillId="0" borderId="0" xfId="5" applyFont="1" applyAlignment="1">
      <alignment horizontal="right"/>
    </xf>
    <xf numFmtId="0" fontId="14" fillId="0" borderId="0" xfId="0" applyFont="1" applyAlignment="1">
      <alignment horizontal="right" vertical="center"/>
    </xf>
    <xf numFmtId="0" fontId="24" fillId="13" borderId="0" xfId="0" applyFont="1" applyFill="1" applyAlignment="1">
      <alignment horizontal="center" vertical="center"/>
    </xf>
    <xf numFmtId="0" fontId="30" fillId="0" borderId="0" xfId="5" applyFont="1" applyAlignment="1">
      <alignment horizontal="right" vertical="center" wrapText="1"/>
    </xf>
    <xf numFmtId="167" fontId="74" fillId="10" borderId="59" xfId="5" applyNumberFormat="1" applyFont="1" applyFill="1" applyBorder="1" applyAlignment="1">
      <alignment horizontal="center" vertical="center"/>
    </xf>
    <xf numFmtId="0" fontId="12" fillId="0" borderId="22" xfId="0" applyFont="1" applyBorder="1"/>
    <xf numFmtId="0" fontId="12" fillId="0" borderId="78" xfId="0" applyFont="1" applyBorder="1"/>
    <xf numFmtId="0" fontId="12" fillId="0" borderId="0" xfId="0" applyFont="1" applyAlignment="1">
      <alignment horizontal="left"/>
    </xf>
    <xf numFmtId="0" fontId="76" fillId="0" borderId="0" xfId="0" applyFont="1"/>
    <xf numFmtId="0" fontId="77" fillId="0" borderId="0" xfId="0" applyFont="1"/>
    <xf numFmtId="0" fontId="12" fillId="0" borderId="11" xfId="0" applyFont="1" applyBorder="1" applyProtection="1">
      <protection locked="0"/>
    </xf>
    <xf numFmtId="0" fontId="12" fillId="6" borderId="12" xfId="0" applyFont="1" applyFill="1" applyBorder="1"/>
    <xf numFmtId="0" fontId="12" fillId="0" borderId="12" xfId="0" applyFont="1" applyBorder="1"/>
    <xf numFmtId="0" fontId="12" fillId="0" borderId="12" xfId="0" applyFont="1" applyBorder="1" applyProtection="1">
      <protection locked="0"/>
    </xf>
    <xf numFmtId="0" fontId="12" fillId="6" borderId="13" xfId="0" applyFont="1" applyFill="1" applyBorder="1"/>
    <xf numFmtId="0" fontId="14" fillId="0" borderId="19" xfId="0" applyFont="1" applyBorder="1"/>
    <xf numFmtId="0" fontId="14" fillId="0" borderId="21" xfId="0" applyFont="1" applyBorder="1"/>
    <xf numFmtId="0" fontId="14" fillId="0" borderId="14" xfId="0" applyFont="1" applyBorder="1"/>
    <xf numFmtId="0" fontId="1" fillId="0" borderId="0" xfId="0" applyFont="1" applyAlignment="1">
      <alignment horizontal="left"/>
    </xf>
    <xf numFmtId="0" fontId="1" fillId="0" borderId="5" xfId="0" applyFont="1" applyBorder="1" applyAlignment="1">
      <alignment horizontal="left"/>
    </xf>
    <xf numFmtId="0" fontId="78" fillId="0" borderId="0" xfId="0" applyFont="1" applyAlignment="1" applyProtection="1">
      <alignment horizontal="center"/>
      <protection locked="0"/>
    </xf>
    <xf numFmtId="0" fontId="1" fillId="0" borderId="0" xfId="0" applyFont="1" applyAlignment="1">
      <alignment vertical="center"/>
    </xf>
    <xf numFmtId="0" fontId="1" fillId="0" borderId="0" xfId="0" applyFont="1" applyAlignment="1">
      <alignment vertical="center" wrapText="1"/>
    </xf>
    <xf numFmtId="165" fontId="21" fillId="0" borderId="0" xfId="0" applyNumberFormat="1" applyFont="1" applyAlignment="1" applyProtection="1">
      <alignment horizontal="center" vertical="center"/>
      <protection locked="0"/>
    </xf>
    <xf numFmtId="0" fontId="80" fillId="0" borderId="0" xfId="0" applyFont="1"/>
    <xf numFmtId="0" fontId="0" fillId="0" borderId="0" xfId="0" quotePrefix="1" applyAlignment="1">
      <alignment horizontal="left" vertical="top"/>
    </xf>
    <xf numFmtId="0" fontId="14" fillId="0" borderId="16" xfId="0" applyFont="1" applyBorder="1" applyAlignment="1">
      <alignment horizontal="left" indent="3"/>
    </xf>
    <xf numFmtId="0" fontId="14" fillId="0" borderId="0" xfId="0" applyFont="1" applyAlignment="1">
      <alignment horizontal="left" indent="3"/>
    </xf>
    <xf numFmtId="0" fontId="82" fillId="0" borderId="0" xfId="0" applyFont="1" applyAlignment="1">
      <alignment horizontal="left" vertical="center"/>
    </xf>
    <xf numFmtId="0" fontId="82" fillId="0" borderId="0" xfId="0" applyFont="1" applyAlignment="1">
      <alignment vertical="center"/>
    </xf>
    <xf numFmtId="0" fontId="1" fillId="14" borderId="0" xfId="0" applyFont="1" applyFill="1" applyAlignment="1">
      <alignment horizontal="left" vertical="center"/>
    </xf>
    <xf numFmtId="0" fontId="85" fillId="0" borderId="0" xfId="0" applyFont="1"/>
    <xf numFmtId="0" fontId="18" fillId="0" borderId="0" xfId="0" applyFont="1"/>
    <xf numFmtId="0" fontId="14" fillId="0" borderId="0" xfId="0" applyFont="1" applyAlignment="1">
      <alignment horizontal="center" vertical="center"/>
    </xf>
    <xf numFmtId="0" fontId="86" fillId="0" borderId="0" xfId="5" applyFont="1" applyAlignment="1">
      <alignment horizontal="right" vertical="center" wrapText="1"/>
    </xf>
    <xf numFmtId="1" fontId="86" fillId="0" borderId="0" xfId="5" applyNumberFormat="1" applyFont="1" applyAlignment="1">
      <alignment horizontal="center" vertical="center"/>
    </xf>
    <xf numFmtId="0" fontId="86" fillId="0" borderId="0" xfId="5" applyFont="1" applyAlignment="1">
      <alignment vertical="center"/>
    </xf>
    <xf numFmtId="1" fontId="72" fillId="0" borderId="59" xfId="5" applyNumberFormat="1" applyBorder="1" applyAlignment="1">
      <alignment horizontal="center"/>
    </xf>
    <xf numFmtId="1" fontId="72" fillId="0" borderId="0" xfId="5" applyNumberFormat="1" applyAlignment="1">
      <alignment horizontal="center"/>
    </xf>
    <xf numFmtId="0" fontId="0" fillId="0" borderId="0" xfId="0" applyAlignment="1">
      <alignment horizontal="left" vertical="center"/>
    </xf>
    <xf numFmtId="44" fontId="21" fillId="0" borderId="10" xfId="0" applyNumberFormat="1" applyFont="1" applyBorder="1" applyAlignment="1">
      <alignment horizontal="right" vertical="center" indent="1"/>
    </xf>
    <xf numFmtId="44" fontId="21" fillId="0" borderId="25" xfId="0" applyNumberFormat="1" applyFont="1" applyBorder="1" applyAlignment="1">
      <alignment horizontal="right" vertical="center" indent="1"/>
    </xf>
    <xf numFmtId="44" fontId="21" fillId="2" borderId="10" xfId="0" applyNumberFormat="1" applyFont="1" applyFill="1" applyBorder="1" applyAlignment="1">
      <alignment horizontal="right" vertical="center" indent="1"/>
    </xf>
    <xf numFmtId="44" fontId="21" fillId="0" borderId="0" xfId="0" applyNumberFormat="1" applyFont="1" applyAlignment="1">
      <alignment horizontal="right" indent="1"/>
    </xf>
    <xf numFmtId="7" fontId="21" fillId="0" borderId="0" xfId="0" applyNumberFormat="1" applyFont="1"/>
    <xf numFmtId="44" fontId="21" fillId="0" borderId="0" xfId="0" applyNumberFormat="1" applyFont="1"/>
    <xf numFmtId="0" fontId="9" fillId="0" borderId="0" xfId="0" applyFont="1" applyAlignment="1">
      <alignment horizontal="right"/>
    </xf>
    <xf numFmtId="14" fontId="12" fillId="0" borderId="17" xfId="0" applyNumberFormat="1" applyFont="1" applyBorder="1" applyAlignment="1">
      <alignment horizontal="left" vertical="center"/>
    </xf>
    <xf numFmtId="0" fontId="12" fillId="0" borderId="17" xfId="0" applyFont="1" applyBorder="1" applyAlignment="1">
      <alignment horizontal="left" vertical="center"/>
    </xf>
    <xf numFmtId="14" fontId="12" fillId="0" borderId="17" xfId="0" applyNumberFormat="1" applyFont="1" applyBorder="1" applyAlignment="1">
      <alignment horizontal="right" vertical="center"/>
    </xf>
    <xf numFmtId="0" fontId="12" fillId="0" borderId="17" xfId="0" applyFont="1" applyBorder="1" applyAlignment="1">
      <alignment horizontal="center" vertical="center"/>
    </xf>
    <xf numFmtId="0" fontId="10" fillId="0" borderId="0" xfId="0" applyFont="1" applyAlignment="1">
      <alignment horizontal="right"/>
    </xf>
    <xf numFmtId="0" fontId="1" fillId="0" borderId="11" xfId="0" applyFont="1" applyBorder="1" applyAlignment="1">
      <alignment horizontal="center"/>
    </xf>
    <xf numFmtId="0" fontId="1" fillId="0" borderId="13" xfId="0" applyFont="1" applyBorder="1" applyAlignment="1">
      <alignment horizontal="center"/>
    </xf>
    <xf numFmtId="0" fontId="37" fillId="0" borderId="9" xfId="2" applyBorder="1" applyAlignment="1" applyProtection="1">
      <alignment horizontal="left" vertical="center"/>
      <protection locked="0"/>
    </xf>
    <xf numFmtId="0" fontId="1" fillId="0" borderId="9" xfId="0" applyFont="1" applyBorder="1" applyAlignment="1" applyProtection="1">
      <alignment horizontal="left" vertical="center"/>
      <protection locked="0"/>
    </xf>
    <xf numFmtId="49" fontId="1" fillId="0" borderId="9" xfId="0" applyNumberFormat="1" applyFont="1" applyBorder="1" applyAlignment="1" applyProtection="1">
      <alignment horizontal="left" vertical="center"/>
      <protection locked="0"/>
    </xf>
    <xf numFmtId="0" fontId="1" fillId="0" borderId="0" xfId="0" applyFont="1" applyAlignment="1">
      <alignment horizontal="left" vertical="top" wrapText="1"/>
    </xf>
    <xf numFmtId="0" fontId="1" fillId="0" borderId="5" xfId="0" applyFont="1" applyBorder="1" applyAlignment="1">
      <alignment horizontal="left" vertical="top" wrapText="1"/>
    </xf>
    <xf numFmtId="0" fontId="1" fillId="0" borderId="7" xfId="0" applyFont="1" applyBorder="1" applyAlignment="1">
      <alignment horizontal="left" vertical="top" wrapText="1"/>
    </xf>
    <xf numFmtId="0" fontId="1" fillId="0" borderId="8" xfId="0" applyFont="1" applyBorder="1" applyAlignment="1">
      <alignment horizontal="left" vertical="top" wrapText="1"/>
    </xf>
    <xf numFmtId="0" fontId="10" fillId="0" borderId="0" xfId="0" applyFont="1" applyAlignment="1">
      <alignment horizontal="left"/>
    </xf>
    <xf numFmtId="0" fontId="1" fillId="0" borderId="0" xfId="0" applyFont="1" applyAlignment="1">
      <alignment horizontal="left" indent="1"/>
    </xf>
    <xf numFmtId="0" fontId="1" fillId="0" borderId="5" xfId="0" applyFont="1" applyBorder="1" applyAlignment="1">
      <alignment horizontal="left" inden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0" xfId="0" applyFont="1" applyAlignment="1">
      <alignment horizontal="left" vertical="center" wrapText="1"/>
    </xf>
    <xf numFmtId="0" fontId="1" fillId="0" borderId="5" xfId="0" applyFont="1" applyBorder="1" applyAlignment="1">
      <alignment horizontal="left" vertical="center" wrapText="1"/>
    </xf>
    <xf numFmtId="0" fontId="12" fillId="0" borderId="9" xfId="0" applyFont="1" applyBorder="1" applyAlignment="1" applyProtection="1">
      <alignment horizontal="left" vertical="center" wrapText="1"/>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3" xfId="0" applyFont="1" applyBorder="1" applyAlignment="1">
      <alignment horizontal="center"/>
    </xf>
    <xf numFmtId="0" fontId="12" fillId="0" borderId="4" xfId="0" applyFont="1" applyBorder="1" applyAlignment="1">
      <alignment horizontal="center" vertical="center" wrapText="1"/>
    </xf>
    <xf numFmtId="0" fontId="12" fillId="0" borderId="0" xfId="0" applyFont="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0" xfId="0" applyFont="1" applyAlignment="1">
      <alignment horizontal="left" vertical="top" wrapText="1"/>
    </xf>
    <xf numFmtId="0" fontId="1" fillId="0" borderId="4" xfId="0" applyFont="1" applyBorder="1" applyAlignment="1">
      <alignment horizontal="center" vertical="center"/>
    </xf>
    <xf numFmtId="0" fontId="1" fillId="0" borderId="0" xfId="0" applyFont="1" applyAlignment="1">
      <alignment horizontal="center" vertical="center"/>
    </xf>
    <xf numFmtId="0" fontId="1" fillId="0" borderId="5" xfId="0" applyFont="1" applyBorder="1" applyAlignment="1">
      <alignment horizontal="center" vertical="center"/>
    </xf>
    <xf numFmtId="0" fontId="11" fillId="0" borderId="0" xfId="0" quotePrefix="1" applyFont="1" applyAlignment="1">
      <alignment horizontal="left" vertical="center" wrapText="1"/>
    </xf>
    <xf numFmtId="0" fontId="11" fillId="0" borderId="0" xfId="0" applyFont="1" applyAlignment="1">
      <alignment horizontal="left" vertical="center" wrapText="1"/>
    </xf>
    <xf numFmtId="0" fontId="1" fillId="0" borderId="9" xfId="0" applyFont="1" applyBorder="1" applyAlignment="1" applyProtection="1">
      <alignment horizontal="center" vertical="center"/>
      <protection locked="0"/>
    </xf>
    <xf numFmtId="0" fontId="1" fillId="0" borderId="0" xfId="0" applyFont="1" applyAlignment="1">
      <alignment horizontal="left" vertical="center"/>
    </xf>
    <xf numFmtId="0" fontId="1" fillId="0" borderId="7" xfId="0" applyFont="1" applyBorder="1" applyAlignment="1">
      <alignment horizontal="left" vertical="center"/>
    </xf>
    <xf numFmtId="0" fontId="1" fillId="0" borderId="5" xfId="0" applyFont="1" applyBorder="1" applyAlignment="1">
      <alignment horizontal="left" vertical="center"/>
    </xf>
    <xf numFmtId="14" fontId="70" fillId="0" borderId="12" xfId="0" applyNumberFormat="1" applyFont="1" applyBorder="1" applyAlignment="1">
      <alignment horizontal="left" vertical="center"/>
    </xf>
    <xf numFmtId="14" fontId="70" fillId="0" borderId="13" xfId="0" applyNumberFormat="1" applyFont="1" applyBorder="1" applyAlignment="1">
      <alignment horizontal="left" vertical="center"/>
    </xf>
    <xf numFmtId="0" fontId="16" fillId="0" borderId="0" xfId="0" applyFont="1" applyAlignment="1">
      <alignment horizontal="center" vertical="center"/>
    </xf>
    <xf numFmtId="0" fontId="13" fillId="0" borderId="0" xfId="0" applyFont="1" applyAlignment="1">
      <alignment horizontal="left" vertical="top" wrapText="1"/>
    </xf>
    <xf numFmtId="0" fontId="13" fillId="0" borderId="0" xfId="0" applyFont="1" applyAlignment="1">
      <alignment horizontal="center" vertical="center" wrapText="1"/>
    </xf>
    <xf numFmtId="0" fontId="13" fillId="0" borderId="10" xfId="0" applyFont="1" applyBorder="1" applyAlignment="1">
      <alignment horizontal="left" vertical="center"/>
    </xf>
    <xf numFmtId="0" fontId="15" fillId="3" borderId="10" xfId="0" applyFont="1" applyFill="1" applyBorder="1" applyAlignment="1" applyProtection="1">
      <alignment horizontal="right" vertical="center"/>
      <protection locked="0"/>
    </xf>
    <xf numFmtId="0" fontId="70" fillId="0" borderId="12" xfId="0" applyFont="1" applyBorder="1" applyAlignment="1">
      <alignment horizontal="center" vertical="center"/>
    </xf>
    <xf numFmtId="0" fontId="11" fillId="0" borderId="0" xfId="0" applyFont="1" applyAlignment="1">
      <alignment horizontal="left" vertical="center"/>
    </xf>
    <xf numFmtId="0" fontId="32" fillId="0" borderId="0" xfId="5" applyFont="1" applyAlignment="1">
      <alignment horizontal="left" vertical="top" wrapText="1"/>
    </xf>
    <xf numFmtId="0" fontId="0" fillId="3" borderId="49" xfId="0" applyFill="1" applyBorder="1" applyAlignment="1">
      <alignment horizontal="center"/>
    </xf>
    <xf numFmtId="0" fontId="0" fillId="3" borderId="48" xfId="0" applyFill="1" applyBorder="1" applyAlignment="1">
      <alignment horizontal="center"/>
    </xf>
    <xf numFmtId="0" fontId="0" fillId="3" borderId="74" xfId="0" applyFill="1" applyBorder="1" applyAlignment="1">
      <alignment horizontal="center"/>
    </xf>
    <xf numFmtId="0" fontId="32" fillId="0" borderId="0" xfId="5" applyFont="1" applyAlignment="1">
      <alignment horizontal="center" vertical="center" wrapText="1"/>
    </xf>
    <xf numFmtId="0" fontId="74" fillId="3" borderId="65" xfId="5" applyFont="1" applyFill="1" applyBorder="1" applyAlignment="1" applyProtection="1">
      <alignment horizontal="center"/>
      <protection locked="0"/>
    </xf>
    <xf numFmtId="0" fontId="74" fillId="3" borderId="66" xfId="5" applyFont="1" applyFill="1" applyBorder="1" applyAlignment="1" applyProtection="1">
      <alignment horizontal="center"/>
      <protection locked="0"/>
    </xf>
    <xf numFmtId="0" fontId="74" fillId="3" borderId="67" xfId="5" applyFont="1" applyFill="1" applyBorder="1" applyAlignment="1" applyProtection="1">
      <alignment horizontal="center"/>
      <protection locked="0"/>
    </xf>
    <xf numFmtId="0" fontId="73" fillId="12" borderId="68" xfId="5" applyFont="1" applyFill="1" applyBorder="1" applyAlignment="1">
      <alignment horizontal="center"/>
    </xf>
    <xf numFmtId="0" fontId="73" fillId="12" borderId="69" xfId="5" applyFont="1" applyFill="1" applyBorder="1" applyAlignment="1">
      <alignment horizontal="center"/>
    </xf>
    <xf numFmtId="0" fontId="73" fillId="12" borderId="70" xfId="5" applyFont="1" applyFill="1" applyBorder="1" applyAlignment="1">
      <alignment horizontal="center"/>
    </xf>
    <xf numFmtId="0" fontId="76" fillId="0" borderId="0" xfId="5" applyFont="1" applyAlignment="1">
      <alignment horizontal="center"/>
    </xf>
    <xf numFmtId="0" fontId="14" fillId="0" borderId="22" xfId="0" applyFont="1" applyBorder="1" applyAlignment="1">
      <alignment horizontal="left" indent="2"/>
    </xf>
    <xf numFmtId="0" fontId="14" fillId="0" borderId="23" xfId="0" applyFont="1" applyBorder="1" applyAlignment="1">
      <alignment horizontal="left" indent="2"/>
    </xf>
    <xf numFmtId="0" fontId="13" fillId="0" borderId="11" xfId="0" applyFont="1" applyBorder="1" applyAlignment="1">
      <alignment horizontal="center"/>
    </xf>
    <xf numFmtId="0" fontId="13" fillId="0" borderId="12" xfId="0" applyFont="1" applyBorder="1" applyAlignment="1">
      <alignment horizontal="center"/>
    </xf>
    <xf numFmtId="0" fontId="13" fillId="0" borderId="13" xfId="0" applyFont="1" applyBorder="1" applyAlignment="1">
      <alignment horizontal="center"/>
    </xf>
    <xf numFmtId="0" fontId="28" fillId="0" borderId="17" xfId="0" applyFont="1" applyBorder="1" applyAlignment="1">
      <alignment horizontal="center"/>
    </xf>
    <xf numFmtId="0" fontId="14" fillId="0" borderId="10" xfId="0" applyFont="1" applyBorder="1" applyAlignment="1">
      <alignment horizontal="left"/>
    </xf>
    <xf numFmtId="0" fontId="14" fillId="0" borderId="0" xfId="0" applyFont="1" applyAlignment="1">
      <alignment horizontal="left"/>
    </xf>
    <xf numFmtId="0" fontId="14" fillId="0" borderId="0" xfId="0" applyFont="1" applyAlignment="1">
      <alignment horizontal="center"/>
    </xf>
    <xf numFmtId="0" fontId="14" fillId="0" borderId="0" xfId="0" applyFont="1" applyAlignment="1">
      <alignment horizontal="right"/>
    </xf>
    <xf numFmtId="14" fontId="14" fillId="0" borderId="0" xfId="0" applyNumberFormat="1" applyFont="1" applyAlignment="1">
      <alignment horizontal="center"/>
    </xf>
    <xf numFmtId="0" fontId="14" fillId="0" borderId="10" xfId="0" applyFont="1" applyBorder="1" applyAlignment="1">
      <alignment horizontal="center"/>
    </xf>
    <xf numFmtId="0" fontId="12" fillId="3" borderId="10" xfId="0" applyFont="1" applyFill="1" applyBorder="1" applyAlignment="1" applyProtection="1">
      <alignment horizontal="center"/>
      <protection locked="0"/>
    </xf>
    <xf numFmtId="0" fontId="14" fillId="0" borderId="34" xfId="0" applyFont="1" applyBorder="1" applyAlignment="1">
      <alignment horizontal="left" indent="2"/>
    </xf>
    <xf numFmtId="0" fontId="14" fillId="0" borderId="35" xfId="0" applyFont="1" applyBorder="1" applyAlignment="1">
      <alignment horizontal="left" indent="2"/>
    </xf>
    <xf numFmtId="0" fontId="14" fillId="0" borderId="9" xfId="0" applyFont="1" applyBorder="1" applyAlignment="1" applyProtection="1">
      <alignment horizontal="left" vertical="center"/>
      <protection locked="0"/>
    </xf>
    <xf numFmtId="1" fontId="14" fillId="0" borderId="81" xfId="0" applyNumberFormat="1" applyFont="1" applyBorder="1" applyAlignment="1">
      <alignment horizontal="center"/>
    </xf>
    <xf numFmtId="1" fontId="14" fillId="0" borderId="13" xfId="0" applyNumberFormat="1" applyFont="1" applyBorder="1" applyAlignment="1">
      <alignment horizontal="center"/>
    </xf>
    <xf numFmtId="0" fontId="14" fillId="0" borderId="11" xfId="0" applyFont="1" applyBorder="1" applyAlignment="1">
      <alignment horizontal="left"/>
    </xf>
    <xf numFmtId="0" fontId="14" fillId="0" borderId="12" xfId="0" applyFont="1" applyBorder="1" applyAlignment="1">
      <alignment horizontal="left"/>
    </xf>
    <xf numFmtId="0" fontId="14" fillId="0" borderId="80" xfId="0" applyFont="1" applyBorder="1" applyAlignment="1">
      <alignment horizontal="left"/>
    </xf>
    <xf numFmtId="2" fontId="28" fillId="0" borderId="0" xfId="0" applyNumberFormat="1" applyFont="1" applyAlignment="1">
      <alignment horizontal="center"/>
    </xf>
    <xf numFmtId="9" fontId="14" fillId="0" borderId="10" xfId="0" applyNumberFormat="1" applyFont="1" applyBorder="1" applyAlignment="1">
      <alignment horizontal="center" vertical="center"/>
    </xf>
    <xf numFmtId="0" fontId="14" fillId="0" borderId="10" xfId="0" applyFont="1" applyBorder="1" applyAlignment="1">
      <alignment horizontal="center" vertical="center"/>
    </xf>
    <xf numFmtId="0" fontId="14" fillId="0" borderId="26" xfId="0" applyFont="1" applyBorder="1" applyAlignment="1">
      <alignment horizontal="left" indent="2"/>
    </xf>
    <xf numFmtId="0" fontId="14" fillId="0" borderId="9" xfId="0" applyFont="1" applyBorder="1" applyAlignment="1">
      <alignment horizontal="left" indent="2"/>
    </xf>
    <xf numFmtId="0" fontId="14" fillId="0" borderId="0" xfId="0" applyFont="1" applyAlignment="1">
      <alignment horizontal="left" indent="2"/>
    </xf>
    <xf numFmtId="0" fontId="14" fillId="0" borderId="27" xfId="0" applyFont="1" applyBorder="1" applyAlignment="1">
      <alignment horizontal="left" indent="2"/>
    </xf>
    <xf numFmtId="0" fontId="14" fillId="0" borderId="39" xfId="0" applyFont="1" applyBorder="1" applyAlignment="1" applyProtection="1">
      <alignment horizontal="center"/>
      <protection locked="0"/>
    </xf>
    <xf numFmtId="0" fontId="14" fillId="0" borderId="41" xfId="0" applyFont="1" applyBorder="1" applyAlignment="1" applyProtection="1">
      <alignment horizontal="center"/>
      <protection locked="0"/>
    </xf>
    <xf numFmtId="0" fontId="14" fillId="0" borderId="24" xfId="0" applyFont="1" applyBorder="1" applyAlignment="1">
      <alignment horizontal="left" indent="2"/>
    </xf>
    <xf numFmtId="0" fontId="14" fillId="0" borderId="22" xfId="0" applyFont="1" applyBorder="1" applyAlignment="1">
      <alignment horizontal="left"/>
    </xf>
    <xf numFmtId="0" fontId="14" fillId="0" borderId="23" xfId="0" applyFont="1" applyBorder="1" applyAlignment="1">
      <alignment horizontal="left"/>
    </xf>
    <xf numFmtId="0" fontId="14" fillId="0" borderId="44" xfId="0" applyFont="1" applyBorder="1" applyAlignment="1">
      <alignment horizontal="left"/>
    </xf>
    <xf numFmtId="0" fontId="14" fillId="0" borderId="26" xfId="0" applyFont="1" applyBorder="1" applyAlignment="1">
      <alignment horizontal="left"/>
    </xf>
    <xf numFmtId="0" fontId="14" fillId="0" borderId="9" xfId="0" applyFont="1" applyBorder="1" applyAlignment="1">
      <alignment horizontal="left"/>
    </xf>
    <xf numFmtId="0" fontId="14" fillId="0" borderId="51" xfId="0" applyFont="1" applyBorder="1" applyAlignment="1">
      <alignment horizontal="left"/>
    </xf>
    <xf numFmtId="0" fontId="14" fillId="0" borderId="15" xfId="0" applyFont="1" applyBorder="1" applyAlignment="1">
      <alignment horizontal="left" indent="3"/>
    </xf>
    <xf numFmtId="0" fontId="14" fillId="0" borderId="0" xfId="0" applyFont="1" applyAlignment="1">
      <alignment horizontal="left" indent="3"/>
    </xf>
    <xf numFmtId="0" fontId="14" fillId="0" borderId="10" xfId="0" applyFont="1" applyBorder="1" applyAlignment="1">
      <alignment horizontal="left" indent="3"/>
    </xf>
    <xf numFmtId="0" fontId="14" fillId="0" borderId="50" xfId="0" applyFont="1" applyBorder="1" applyAlignment="1">
      <alignment horizontal="left" indent="2"/>
    </xf>
    <xf numFmtId="0" fontId="14" fillId="0" borderId="38" xfId="0" applyFont="1" applyBorder="1" applyAlignment="1">
      <alignment horizontal="left" indent="2"/>
    </xf>
    <xf numFmtId="0" fontId="14" fillId="0" borderId="39" xfId="0" applyFont="1" applyBorder="1" applyAlignment="1">
      <alignment horizontal="left" indent="2"/>
    </xf>
    <xf numFmtId="0" fontId="14" fillId="0" borderId="34" xfId="0" applyFont="1" applyBorder="1" applyAlignment="1">
      <alignment horizontal="left"/>
    </xf>
    <xf numFmtId="0" fontId="14" fillId="0" borderId="35" xfId="0" applyFont="1" applyBorder="1" applyAlignment="1">
      <alignment horizontal="left"/>
    </xf>
    <xf numFmtId="0" fontId="14" fillId="0" borderId="40" xfId="0" applyFont="1" applyBorder="1" applyAlignment="1">
      <alignment horizontal="left"/>
    </xf>
    <xf numFmtId="0" fontId="14" fillId="0" borderId="38" xfId="0" applyFont="1" applyBorder="1" applyAlignment="1">
      <alignment horizontal="left"/>
    </xf>
    <xf numFmtId="0" fontId="14" fillId="0" borderId="39" xfId="0" applyFont="1" applyBorder="1" applyAlignment="1">
      <alignment horizontal="left"/>
    </xf>
    <xf numFmtId="0" fontId="14" fillId="0" borderId="33" xfId="0" applyFont="1" applyBorder="1" applyAlignment="1">
      <alignment horizontal="left"/>
    </xf>
    <xf numFmtId="0" fontId="14" fillId="0" borderId="25" xfId="0" applyFont="1" applyBorder="1" applyAlignment="1">
      <alignment horizontal="left" indent="3"/>
    </xf>
    <xf numFmtId="0" fontId="14" fillId="0" borderId="26" xfId="0" applyFont="1" applyBorder="1" applyAlignment="1" applyProtection="1">
      <alignment horizontal="left"/>
      <protection locked="0"/>
    </xf>
    <xf numFmtId="0" fontId="14" fillId="0" borderId="9" xfId="0" applyFont="1" applyBorder="1" applyAlignment="1" applyProtection="1">
      <alignment horizontal="left"/>
      <protection locked="0"/>
    </xf>
    <xf numFmtId="0" fontId="14" fillId="0" borderId="27" xfId="0" applyFont="1" applyBorder="1" applyAlignment="1" applyProtection="1">
      <alignment horizontal="left"/>
      <protection locked="0"/>
    </xf>
    <xf numFmtId="0" fontId="14" fillId="0" borderId="15" xfId="0" applyFont="1" applyBorder="1" applyAlignment="1">
      <alignment horizontal="center"/>
    </xf>
    <xf numFmtId="0" fontId="14" fillId="0" borderId="14" xfId="0" applyFont="1" applyBorder="1" applyAlignment="1">
      <alignment horizontal="center"/>
    </xf>
    <xf numFmtId="49" fontId="14" fillId="0" borderId="9" xfId="0" applyNumberFormat="1" applyFont="1" applyBorder="1" applyAlignment="1" applyProtection="1">
      <alignment horizontal="left"/>
      <protection locked="0"/>
    </xf>
    <xf numFmtId="0" fontId="14" fillId="0" borderId="0" xfId="0" applyFont="1" applyAlignment="1" applyProtection="1">
      <alignment horizontal="left"/>
      <protection locked="0"/>
    </xf>
    <xf numFmtId="0" fontId="14" fillId="0" borderId="25" xfId="0" applyFont="1" applyBorder="1" applyAlignment="1">
      <alignment horizontal="center"/>
    </xf>
    <xf numFmtId="0" fontId="28" fillId="0" borderId="34" xfId="0" applyFont="1" applyBorder="1" applyAlignment="1">
      <alignment horizontal="right"/>
    </xf>
    <xf numFmtId="0" fontId="28" fillId="0" borderId="35" xfId="0" applyFont="1" applyBorder="1" applyAlignment="1">
      <alignment horizontal="right"/>
    </xf>
    <xf numFmtId="0" fontId="28" fillId="0" borderId="40" xfId="0" applyFont="1" applyBorder="1" applyAlignment="1">
      <alignment horizontal="right"/>
    </xf>
    <xf numFmtId="0" fontId="14" fillId="0" borderId="16" xfId="0" applyFont="1" applyBorder="1" applyAlignment="1">
      <alignment horizontal="left"/>
    </xf>
    <xf numFmtId="0" fontId="14" fillId="0" borderId="17" xfId="0" applyFont="1" applyBorder="1" applyAlignment="1">
      <alignment horizontal="left"/>
    </xf>
    <xf numFmtId="0" fontId="14" fillId="0" borderId="43" xfId="0" applyFont="1" applyBorder="1" applyAlignment="1">
      <alignment horizontal="left"/>
    </xf>
    <xf numFmtId="0" fontId="14" fillId="0" borderId="23" xfId="0" applyFont="1" applyBorder="1" applyAlignment="1" applyProtection="1">
      <alignment horizontal="center"/>
      <protection locked="0"/>
    </xf>
    <xf numFmtId="0" fontId="14" fillId="0" borderId="24" xfId="0" applyFont="1" applyBorder="1" applyAlignment="1" applyProtection="1">
      <alignment horizontal="center"/>
      <protection locked="0"/>
    </xf>
    <xf numFmtId="0" fontId="28" fillId="0" borderId="35" xfId="0" applyFont="1" applyBorder="1" applyAlignment="1">
      <alignment horizontal="center"/>
    </xf>
    <xf numFmtId="0" fontId="28" fillId="0" borderId="42" xfId="0" applyFont="1" applyBorder="1" applyAlignment="1">
      <alignment horizontal="center"/>
    </xf>
    <xf numFmtId="0" fontId="14" fillId="0" borderId="9"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29" fillId="0" borderId="15" xfId="0" applyFont="1" applyBorder="1" applyAlignment="1">
      <alignment horizontal="left"/>
    </xf>
    <xf numFmtId="0" fontId="29" fillId="0" borderId="0" xfId="0" applyFont="1" applyAlignment="1">
      <alignment horizontal="left"/>
    </xf>
    <xf numFmtId="0" fontId="29" fillId="0" borderId="14" xfId="0" applyFont="1" applyBorder="1" applyAlignment="1">
      <alignment horizontal="left"/>
    </xf>
    <xf numFmtId="0" fontId="14" fillId="0" borderId="28" xfId="0" applyFont="1" applyBorder="1" applyAlignment="1">
      <alignment horizontal="left" indent="2"/>
    </xf>
    <xf numFmtId="0" fontId="14" fillId="0" borderId="15" xfId="0" applyFont="1" applyBorder="1" applyAlignment="1">
      <alignment horizontal="left" indent="2"/>
    </xf>
    <xf numFmtId="0" fontId="14" fillId="0" borderId="25" xfId="0" applyFont="1" applyBorder="1" applyAlignment="1">
      <alignment horizontal="left" indent="2"/>
    </xf>
    <xf numFmtId="0" fontId="14" fillId="0" borderId="19" xfId="0" applyFont="1" applyBorder="1" applyAlignment="1">
      <alignment horizontal="left" indent="2"/>
    </xf>
    <xf numFmtId="0" fontId="14" fillId="0" borderId="14" xfId="0" applyFont="1" applyBorder="1" applyAlignment="1">
      <alignment horizontal="left" indent="2"/>
    </xf>
    <xf numFmtId="0" fontId="14" fillId="0" borderId="21" xfId="0" applyFont="1" applyBorder="1" applyAlignment="1">
      <alignment horizontal="left" indent="2"/>
    </xf>
    <xf numFmtId="0" fontId="14" fillId="0" borderId="19" xfId="0" applyFont="1" applyBorder="1" applyAlignment="1">
      <alignment horizontal="left" indent="3"/>
    </xf>
    <xf numFmtId="0" fontId="14" fillId="0" borderId="20" xfId="0" applyFont="1" applyBorder="1" applyAlignment="1">
      <alignment horizontal="left" indent="3"/>
    </xf>
    <xf numFmtId="0" fontId="12" fillId="3" borderId="11" xfId="0" applyFont="1" applyFill="1" applyBorder="1" applyAlignment="1" applyProtection="1">
      <alignment horizontal="center"/>
      <protection locked="0"/>
    </xf>
    <xf numFmtId="0" fontId="12" fillId="3" borderId="13" xfId="0" applyFont="1" applyFill="1" applyBorder="1" applyAlignment="1" applyProtection="1">
      <alignment horizontal="center"/>
      <protection locked="0"/>
    </xf>
    <xf numFmtId="0" fontId="14" fillId="0" borderId="17" xfId="0" applyFont="1" applyBorder="1" applyAlignment="1">
      <alignment horizontal="left" indent="2"/>
    </xf>
    <xf numFmtId="0" fontId="14" fillId="0" borderId="41" xfId="0" applyFont="1" applyBorder="1" applyAlignment="1">
      <alignment horizontal="left" indent="2"/>
    </xf>
    <xf numFmtId="0" fontId="14" fillId="0" borderId="16" xfId="0" applyFont="1" applyBorder="1" applyAlignment="1">
      <alignment horizontal="left" indent="3"/>
    </xf>
    <xf numFmtId="0" fontId="14" fillId="0" borderId="17" xfId="0" applyFont="1" applyBorder="1" applyAlignment="1">
      <alignment horizontal="left" indent="3"/>
    </xf>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xf>
    <xf numFmtId="14" fontId="12" fillId="0" borderId="0" xfId="0" applyNumberFormat="1" applyFont="1" applyAlignment="1">
      <alignment horizontal="center"/>
    </xf>
    <xf numFmtId="0" fontId="21" fillId="0" borderId="23" xfId="0" applyFont="1" applyBorder="1" applyAlignment="1" applyProtection="1">
      <alignment horizontal="left" vertical="center"/>
      <protection locked="0"/>
    </xf>
    <xf numFmtId="0" fontId="12" fillId="0" borderId="9" xfId="0" applyFont="1" applyBorder="1" applyAlignment="1">
      <alignment horizontal="left"/>
    </xf>
    <xf numFmtId="0" fontId="21" fillId="0" borderId="10" xfId="0" applyFont="1" applyBorder="1" applyAlignment="1">
      <alignment horizontal="left" vertical="center" wrapText="1"/>
    </xf>
    <xf numFmtId="0" fontId="21" fillId="0" borderId="12" xfId="0" applyFont="1" applyBorder="1" applyAlignment="1">
      <alignment horizontal="left" vertical="center" wrapText="1"/>
    </xf>
    <xf numFmtId="0" fontId="21" fillId="0" borderId="13" xfId="0" applyFont="1" applyBorder="1" applyAlignment="1">
      <alignment horizontal="left" vertical="center" wrapText="1"/>
    </xf>
    <xf numFmtId="0" fontId="21" fillId="0" borderId="11" xfId="0" applyFont="1" applyBorder="1" applyAlignment="1">
      <alignment horizontal="left" vertical="center" wrapText="1"/>
    </xf>
    <xf numFmtId="0" fontId="21" fillId="0" borderId="48" xfId="0" applyFont="1" applyBorder="1" applyAlignment="1">
      <alignment horizontal="center" vertical="center"/>
    </xf>
    <xf numFmtId="0" fontId="11" fillId="0" borderId="0" xfId="0" applyFont="1" applyAlignment="1">
      <alignment horizontal="right" vertical="center"/>
    </xf>
    <xf numFmtId="0" fontId="21" fillId="0" borderId="0" xfId="0" applyFont="1" applyAlignment="1">
      <alignment horizontal="center"/>
    </xf>
    <xf numFmtId="0" fontId="21" fillId="0" borderId="79" xfId="0" applyFont="1" applyBorder="1" applyAlignment="1">
      <alignment horizontal="left"/>
    </xf>
    <xf numFmtId="0" fontId="21" fillId="0" borderId="0" xfId="0" applyFont="1" applyAlignment="1">
      <alignment horizontal="left" vertical="center"/>
    </xf>
    <xf numFmtId="0" fontId="21" fillId="0" borderId="0" xfId="0" applyFont="1" applyAlignment="1">
      <alignment horizontal="left"/>
    </xf>
    <xf numFmtId="0" fontId="30" fillId="0" borderId="10" xfId="0" quotePrefix="1" applyFont="1" applyBorder="1" applyAlignment="1">
      <alignment horizontal="center" vertical="center"/>
    </xf>
    <xf numFmtId="0" fontId="30" fillId="0" borderId="10" xfId="0" applyFont="1" applyBorder="1" applyAlignment="1">
      <alignment horizontal="center" vertical="center"/>
    </xf>
    <xf numFmtId="0" fontId="30" fillId="0" borderId="25" xfId="0" applyFont="1" applyBorder="1" applyAlignment="1">
      <alignment horizontal="center" vertical="center"/>
    </xf>
    <xf numFmtId="0" fontId="30" fillId="0" borderId="58" xfId="0" applyFont="1" applyBorder="1" applyAlignment="1">
      <alignment horizontal="center" vertical="center"/>
    </xf>
    <xf numFmtId="0" fontId="21" fillId="0" borderId="10" xfId="0" applyFont="1" applyBorder="1" applyAlignment="1">
      <alignment horizontal="center" vertical="center"/>
    </xf>
    <xf numFmtId="14" fontId="21" fillId="0" borderId="10" xfId="0" applyNumberFormat="1" applyFont="1" applyBorder="1" applyAlignment="1">
      <alignment horizontal="center" vertical="center"/>
    </xf>
    <xf numFmtId="14" fontId="21" fillId="0" borderId="10" xfId="0" applyNumberFormat="1" applyFont="1" applyBorder="1" applyAlignment="1" applyProtection="1">
      <alignment horizontal="center" vertical="center"/>
      <protection locked="0"/>
    </xf>
    <xf numFmtId="0" fontId="0" fillId="0" borderId="16" xfId="0" applyBorder="1" applyAlignment="1">
      <alignment horizontal="left" vertical="center" wrapText="1" indent="1"/>
    </xf>
    <xf numFmtId="0" fontId="0" fillId="0" borderId="17" xfId="0" applyBorder="1" applyAlignment="1">
      <alignment horizontal="left" vertical="center" wrapText="1" indent="1"/>
    </xf>
    <xf numFmtId="0" fontId="0" fillId="0" borderId="18" xfId="0" applyBorder="1" applyAlignment="1">
      <alignment horizontal="left" vertical="center" wrapText="1" indent="1"/>
    </xf>
    <xf numFmtId="0" fontId="0" fillId="0" borderId="15" xfId="0" applyBorder="1" applyAlignment="1">
      <alignment horizontal="left" vertical="center" wrapText="1" indent="1"/>
    </xf>
    <xf numFmtId="0" fontId="0" fillId="0" borderId="0" xfId="0" applyAlignment="1">
      <alignment horizontal="left" vertical="center" wrapText="1" indent="1"/>
    </xf>
    <xf numFmtId="0" fontId="0" fillId="0" borderId="14" xfId="0" applyBorder="1" applyAlignment="1">
      <alignment horizontal="left" vertical="center" wrapText="1" indent="1"/>
    </xf>
    <xf numFmtId="0" fontId="0" fillId="0" borderId="19" xfId="0" applyBorder="1" applyAlignment="1">
      <alignment horizontal="left" vertical="center" wrapText="1" indent="1"/>
    </xf>
    <xf numFmtId="0" fontId="0" fillId="0" borderId="20" xfId="0" applyBorder="1" applyAlignment="1">
      <alignment horizontal="left" vertical="center" wrapText="1" indent="1"/>
    </xf>
    <xf numFmtId="0" fontId="0" fillId="0" borderId="21" xfId="0" applyBorder="1" applyAlignment="1">
      <alignment horizontal="left" vertical="center" wrapText="1" indent="1"/>
    </xf>
    <xf numFmtId="0" fontId="24" fillId="0" borderId="0" xfId="0" applyFont="1" applyAlignment="1">
      <alignment horizontal="right" vertical="center"/>
    </xf>
    <xf numFmtId="0" fontId="24" fillId="0" borderId="0" xfId="0" applyFont="1" applyAlignment="1">
      <alignment horizontal="left" vertical="center"/>
    </xf>
    <xf numFmtId="0" fontId="21" fillId="0" borderId="0" xfId="0" applyFont="1" applyAlignment="1">
      <alignment horizontal="center" vertical="center"/>
    </xf>
    <xf numFmtId="1" fontId="21" fillId="0" borderId="0" xfId="0" applyNumberFormat="1" applyFont="1" applyAlignment="1">
      <alignment horizontal="center" vertical="center"/>
    </xf>
    <xf numFmtId="0" fontId="77" fillId="0" borderId="0" xfId="0" applyFont="1" applyAlignment="1">
      <alignment horizontal="center"/>
    </xf>
    <xf numFmtId="0" fontId="39" fillId="0" borderId="10" xfId="3" applyBorder="1" applyAlignment="1">
      <alignment horizontal="center"/>
    </xf>
    <xf numFmtId="0" fontId="41" fillId="0" borderId="0" xfId="3" applyFont="1" applyAlignment="1">
      <alignment horizontal="center"/>
    </xf>
    <xf numFmtId="4" fontId="49" fillId="0" borderId="17" xfId="3" applyNumberFormat="1" applyFont="1" applyBorder="1" applyAlignment="1" applyProtection="1">
      <alignment horizontal="left"/>
      <protection locked="0"/>
    </xf>
    <xf numFmtId="4" fontId="49" fillId="0" borderId="18" xfId="3" applyNumberFormat="1" applyFont="1" applyBorder="1" applyAlignment="1" applyProtection="1">
      <alignment horizontal="left"/>
      <protection locked="0"/>
    </xf>
    <xf numFmtId="4" fontId="40" fillId="0" borderId="20" xfId="3" applyNumberFormat="1" applyFont="1" applyBorder="1" applyAlignment="1" applyProtection="1">
      <alignment horizontal="left"/>
      <protection locked="0"/>
    </xf>
    <xf numFmtId="4" fontId="40" fillId="0" borderId="21" xfId="3" applyNumberFormat="1" applyFont="1" applyBorder="1" applyAlignment="1" applyProtection="1">
      <alignment horizontal="left"/>
      <protection locked="0"/>
    </xf>
    <xf numFmtId="0" fontId="39" fillId="0" borderId="11" xfId="3" applyBorder="1" applyAlignment="1">
      <alignment horizontal="center"/>
    </xf>
    <xf numFmtId="0" fontId="39" fillId="0" borderId="12" xfId="3" applyBorder="1" applyAlignment="1">
      <alignment horizontal="center"/>
    </xf>
    <xf numFmtId="0" fontId="39" fillId="0" borderId="13" xfId="3" applyBorder="1" applyAlignment="1">
      <alignment horizontal="center"/>
    </xf>
  </cellXfs>
  <cellStyles count="6">
    <cellStyle name="Link" xfId="2" builtinId="8"/>
    <cellStyle name="Standard" xfId="0" builtinId="0"/>
    <cellStyle name="Standard 2" xfId="3" xr:uid="{FD23263F-ABD1-412A-842A-A481AAA0DE1D}"/>
    <cellStyle name="Standard 2 2" xfId="4" xr:uid="{512E05A7-E9BC-4C28-9C7F-54778F6F1634}"/>
    <cellStyle name="Standard 2 3" xfId="5" xr:uid="{129571E5-0A6A-4B79-938B-6BA1B8602C7D}"/>
    <cellStyle name="Standard 3" xfId="1" xr:uid="{65D8A038-2FAB-4E55-A06E-1E415C56AFB7}"/>
  </cellStyles>
  <dxfs count="62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1"/>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1"/>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1"/>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1"/>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1"/>
      </font>
    </dxf>
    <dxf>
      <font>
        <color theme="0"/>
      </font>
      <fill>
        <patternFill>
          <bgColor theme="0"/>
        </patternFill>
      </fill>
      <border>
        <left/>
        <right/>
        <top/>
        <bottom/>
      </border>
    </dxf>
    <dxf>
      <font>
        <color theme="0"/>
      </font>
      <fill>
        <patternFill>
          <bgColor theme="0"/>
        </patternFill>
      </fill>
      <border>
        <left/>
        <right/>
        <top/>
        <bottom/>
      </border>
    </dxf>
    <dxf>
      <border>
        <left style="thin">
          <color auto="1"/>
        </left>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font>
        <color theme="0"/>
      </font>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0"/>
      </font>
      <fill>
        <patternFill>
          <bgColor theme="0"/>
        </patternFill>
      </fill>
      <border>
        <left/>
        <right/>
        <top/>
        <bottom/>
      </border>
    </dxf>
    <dxf>
      <font>
        <color theme="0"/>
      </font>
      <fill>
        <patternFill>
          <bgColor theme="0"/>
        </patternFill>
      </fill>
      <border>
        <left/>
        <right/>
        <top/>
        <bottom/>
      </border>
    </dxf>
    <dxf>
      <border>
        <left style="thin">
          <color auto="1"/>
        </left>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font>
        <color theme="0"/>
      </font>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0"/>
      </font>
      <fill>
        <patternFill>
          <bgColor theme="0"/>
        </patternFill>
      </fill>
      <border>
        <left/>
        <right/>
        <top/>
        <bottom/>
      </border>
    </dxf>
    <dxf>
      <font>
        <color theme="0"/>
      </font>
      <fill>
        <patternFill>
          <bgColor theme="0"/>
        </patternFill>
      </fill>
      <border>
        <left/>
        <right/>
        <top/>
        <bottom/>
      </border>
    </dxf>
    <dxf>
      <border>
        <left style="thin">
          <color auto="1"/>
        </left>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font>
        <color theme="0"/>
      </font>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0"/>
      </font>
      <fill>
        <patternFill>
          <bgColor theme="0"/>
        </patternFill>
      </fill>
      <border>
        <left/>
        <right/>
        <top/>
        <bottom/>
      </border>
    </dxf>
    <dxf>
      <font>
        <color theme="0"/>
      </font>
      <fill>
        <patternFill>
          <bgColor theme="0"/>
        </patternFill>
      </fill>
      <border>
        <left/>
        <right/>
        <top/>
        <bottom/>
      </border>
    </dxf>
    <dxf>
      <border>
        <left style="thin">
          <color auto="1"/>
        </left>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font>
        <color theme="0"/>
      </font>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0"/>
      </font>
      <fill>
        <patternFill>
          <bgColor theme="0"/>
        </patternFill>
      </fill>
      <border>
        <left/>
        <right/>
        <top/>
        <bottom/>
      </border>
    </dxf>
    <dxf>
      <font>
        <color theme="0"/>
      </font>
      <fill>
        <patternFill>
          <bgColor theme="0"/>
        </patternFill>
      </fill>
      <border>
        <left/>
        <right/>
        <top/>
        <bottom/>
      </border>
    </dxf>
    <dxf>
      <border>
        <left style="thin">
          <color auto="1"/>
        </left>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font>
        <color theme="0"/>
      </font>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0"/>
      </font>
      <fill>
        <patternFill>
          <bgColor theme="0"/>
        </patternFill>
      </fill>
      <border>
        <left/>
        <right/>
        <top/>
        <bottom/>
      </border>
    </dxf>
    <dxf>
      <font>
        <color theme="0"/>
      </font>
      <fill>
        <patternFill>
          <bgColor theme="0"/>
        </patternFill>
      </fill>
      <border>
        <left/>
        <right/>
        <top/>
        <bottom/>
      </border>
    </dxf>
    <dxf>
      <border>
        <left style="thin">
          <color auto="1"/>
        </left>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vertical/>
        <horizontal/>
      </border>
    </dxf>
    <dxf>
      <border>
        <top style="dotted">
          <color auto="1"/>
        </top>
        <bottom style="thin">
          <color auto="1"/>
        </bottom>
        <vertical/>
        <horizontal/>
      </border>
    </dxf>
    <dxf>
      <border>
        <top style="dotted">
          <color auto="1"/>
        </top>
        <bottom style="thin">
          <color auto="1"/>
        </bottom>
        <vertical/>
        <horizontal/>
      </border>
    </dxf>
    <dxf>
      <border>
        <top style="dotted">
          <color auto="1"/>
        </top>
        <vertical/>
        <horizontal/>
      </border>
    </dxf>
    <dxf>
      <font>
        <color theme="0"/>
      </font>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rgb="FFFF7C80"/>
        </patternFill>
      </fill>
    </dxf>
    <dxf>
      <fill>
        <patternFill>
          <bgColor theme="9" tint="0.59996337778862885"/>
        </patternFill>
      </fill>
    </dxf>
    <dxf>
      <font>
        <color theme="0"/>
      </font>
      <fill>
        <patternFill>
          <bgColor theme="0"/>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b val="0"/>
        <i val="0"/>
        <color theme="0" tint="-0.24994659260841701"/>
      </font>
    </dxf>
    <dxf>
      <fill>
        <patternFill>
          <bgColor theme="0" tint="-0.14996795556505021"/>
        </patternFill>
      </fill>
    </dxf>
    <dxf>
      <fill>
        <patternFill>
          <bgColor theme="0" tint="-0.14996795556505021"/>
        </patternFill>
      </fill>
      <border>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patternType="solid">
          <bgColor theme="0"/>
        </patternFill>
      </fill>
      <border>
        <left/>
      </border>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border>
        <vertical/>
        <horizontal/>
      </border>
    </dxf>
    <dxf>
      <font>
        <b val="0"/>
        <i val="0"/>
        <color theme="0" tint="-0.24994659260841701"/>
      </font>
    </dxf>
    <dxf>
      <fill>
        <patternFill>
          <bgColor theme="0" tint="-0.14996795556505021"/>
        </patternFill>
      </fill>
      <border>
        <vertical/>
        <horizontal/>
      </border>
    </dxf>
    <dxf>
      <font>
        <color theme="0"/>
      </font>
      <fill>
        <patternFill patternType="none">
          <bgColor auto="1"/>
        </patternFill>
      </fill>
    </dxf>
    <dxf>
      <font>
        <b val="0"/>
        <i val="0"/>
        <color theme="0" tint="-0.24994659260841701"/>
      </font>
    </dxf>
    <dxf>
      <font>
        <b val="0"/>
        <i val="0"/>
        <color theme="0" tint="-0.24994659260841701"/>
      </font>
    </dxf>
    <dxf>
      <font>
        <color theme="1"/>
      </font>
      <border>
        <left style="thin">
          <color auto="1"/>
        </left>
        <right style="thin">
          <color auto="1"/>
        </right>
        <top style="thin">
          <color auto="1"/>
        </top>
        <bottom style="thin">
          <color auto="1"/>
        </bottom>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1"/>
      </font>
      <fill>
        <patternFill patternType="none">
          <bgColor auto="1"/>
        </patternFill>
      </fill>
      <border>
        <top style="dotted">
          <color auto="1"/>
        </top>
      </border>
    </dxf>
    <dxf>
      <font>
        <color theme="0"/>
      </font>
      <fill>
        <patternFill>
          <bgColor theme="0"/>
        </patternFill>
      </fill>
      <border>
        <bottom/>
      </border>
    </dxf>
    <dxf>
      <fill>
        <patternFill>
          <bgColor rgb="FFFF7C80"/>
        </patternFill>
      </fill>
    </dxf>
    <dxf>
      <fill>
        <patternFill>
          <bgColor theme="9" tint="0.59996337778862885"/>
        </patternFill>
      </fill>
    </dxf>
    <dxf>
      <font>
        <color theme="0"/>
      </font>
      <fill>
        <patternFill>
          <bgColor theme="0"/>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b val="0"/>
        <i val="0"/>
        <color theme="0" tint="-0.24994659260841701"/>
      </font>
    </dxf>
    <dxf>
      <fill>
        <patternFill>
          <bgColor theme="0" tint="-0.14996795556505021"/>
        </patternFill>
      </fill>
    </dxf>
    <dxf>
      <fill>
        <patternFill>
          <bgColor theme="0" tint="-0.14996795556505021"/>
        </patternFill>
      </fill>
      <border>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patternType="solid">
          <bgColor theme="0"/>
        </patternFill>
      </fill>
      <border>
        <left/>
      </border>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border>
        <vertical/>
        <horizontal/>
      </border>
    </dxf>
    <dxf>
      <font>
        <b val="0"/>
        <i val="0"/>
        <color theme="0" tint="-0.24994659260841701"/>
      </font>
    </dxf>
    <dxf>
      <fill>
        <patternFill>
          <bgColor theme="0" tint="-0.14996795556505021"/>
        </patternFill>
      </fill>
      <border>
        <vertical/>
        <horizontal/>
      </border>
    </dxf>
    <dxf>
      <font>
        <color theme="0"/>
      </font>
      <fill>
        <patternFill patternType="none">
          <bgColor auto="1"/>
        </patternFill>
      </fill>
    </dxf>
    <dxf>
      <font>
        <b val="0"/>
        <i val="0"/>
        <color theme="0" tint="-0.24994659260841701"/>
      </font>
    </dxf>
    <dxf>
      <font>
        <b val="0"/>
        <i val="0"/>
        <color theme="0" tint="-0.24994659260841701"/>
      </font>
    </dxf>
    <dxf>
      <font>
        <color theme="1"/>
      </font>
      <border>
        <left style="thin">
          <color auto="1"/>
        </left>
        <right style="thin">
          <color auto="1"/>
        </right>
        <top style="thin">
          <color auto="1"/>
        </top>
        <bottom style="thin">
          <color auto="1"/>
        </bottom>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1"/>
      </font>
      <fill>
        <patternFill patternType="none">
          <bgColor auto="1"/>
        </patternFill>
      </fill>
      <border>
        <top style="dotted">
          <color auto="1"/>
        </top>
      </border>
    </dxf>
    <dxf>
      <font>
        <color theme="0"/>
      </font>
      <fill>
        <patternFill>
          <bgColor theme="0"/>
        </patternFill>
      </fill>
      <border>
        <bottom/>
      </border>
    </dxf>
    <dxf>
      <fill>
        <patternFill>
          <bgColor rgb="FFFF7C80"/>
        </patternFill>
      </fill>
    </dxf>
    <dxf>
      <fill>
        <patternFill>
          <bgColor theme="9" tint="0.59996337778862885"/>
        </patternFill>
      </fill>
    </dxf>
    <dxf>
      <font>
        <color theme="0"/>
      </font>
      <fill>
        <patternFill>
          <bgColor theme="0"/>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b val="0"/>
        <i val="0"/>
        <color theme="0" tint="-0.24994659260841701"/>
      </font>
    </dxf>
    <dxf>
      <fill>
        <patternFill>
          <bgColor theme="0" tint="-0.14996795556505021"/>
        </patternFill>
      </fill>
    </dxf>
    <dxf>
      <fill>
        <patternFill>
          <bgColor theme="0" tint="-0.14996795556505021"/>
        </patternFill>
      </fill>
      <border>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patternType="solid">
          <bgColor theme="0"/>
        </patternFill>
      </fill>
      <border>
        <left/>
      </border>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border>
        <vertical/>
        <horizontal/>
      </border>
    </dxf>
    <dxf>
      <font>
        <b val="0"/>
        <i val="0"/>
        <color theme="0" tint="-0.24994659260841701"/>
      </font>
    </dxf>
    <dxf>
      <fill>
        <patternFill>
          <bgColor theme="0" tint="-0.14996795556505021"/>
        </patternFill>
      </fill>
      <border>
        <vertical/>
        <horizontal/>
      </border>
    </dxf>
    <dxf>
      <font>
        <color theme="0"/>
      </font>
      <fill>
        <patternFill patternType="none">
          <bgColor auto="1"/>
        </patternFill>
      </fill>
    </dxf>
    <dxf>
      <font>
        <b val="0"/>
        <i val="0"/>
        <color theme="0" tint="-0.24994659260841701"/>
      </font>
    </dxf>
    <dxf>
      <font>
        <b val="0"/>
        <i val="0"/>
        <color theme="0" tint="-0.24994659260841701"/>
      </font>
    </dxf>
    <dxf>
      <font>
        <color theme="1"/>
      </font>
      <border>
        <left style="thin">
          <color auto="1"/>
        </left>
        <right style="thin">
          <color auto="1"/>
        </right>
        <top style="thin">
          <color auto="1"/>
        </top>
        <bottom style="thin">
          <color auto="1"/>
        </bottom>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1"/>
      </font>
      <fill>
        <patternFill patternType="none">
          <bgColor auto="1"/>
        </patternFill>
      </fill>
      <border>
        <top style="dotted">
          <color auto="1"/>
        </top>
      </border>
    </dxf>
    <dxf>
      <font>
        <color theme="0"/>
      </font>
      <fill>
        <patternFill>
          <bgColor theme="0"/>
        </patternFill>
      </fill>
      <border>
        <bottom/>
      </border>
    </dxf>
    <dxf>
      <fill>
        <patternFill>
          <bgColor rgb="FFFF7C80"/>
        </patternFill>
      </fill>
    </dxf>
    <dxf>
      <fill>
        <patternFill>
          <bgColor theme="9" tint="0.59996337778862885"/>
        </patternFill>
      </fill>
    </dxf>
    <dxf>
      <font>
        <color theme="0"/>
      </font>
      <fill>
        <patternFill>
          <bgColor theme="0"/>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b val="0"/>
        <i val="0"/>
        <color theme="0" tint="-0.24994659260841701"/>
      </font>
    </dxf>
    <dxf>
      <fill>
        <patternFill>
          <bgColor theme="0" tint="-0.14996795556505021"/>
        </patternFill>
      </fill>
    </dxf>
    <dxf>
      <fill>
        <patternFill>
          <bgColor theme="0" tint="-0.14996795556505021"/>
        </patternFill>
      </fill>
      <border>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patternType="solid">
          <bgColor theme="0"/>
        </patternFill>
      </fill>
      <border>
        <left/>
      </border>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border>
        <vertical/>
        <horizontal/>
      </border>
    </dxf>
    <dxf>
      <font>
        <b val="0"/>
        <i val="0"/>
        <color theme="0" tint="-0.24994659260841701"/>
      </font>
    </dxf>
    <dxf>
      <fill>
        <patternFill>
          <bgColor theme="0" tint="-0.14996795556505021"/>
        </patternFill>
      </fill>
      <border>
        <vertical/>
        <horizontal/>
      </border>
    </dxf>
    <dxf>
      <font>
        <color theme="0"/>
      </font>
      <fill>
        <patternFill patternType="none">
          <bgColor auto="1"/>
        </patternFill>
      </fill>
    </dxf>
    <dxf>
      <font>
        <b val="0"/>
        <i val="0"/>
        <color theme="0" tint="-0.24994659260841701"/>
      </font>
    </dxf>
    <dxf>
      <font>
        <b val="0"/>
        <i val="0"/>
        <color theme="0" tint="-0.24994659260841701"/>
      </font>
    </dxf>
    <dxf>
      <font>
        <color theme="1"/>
      </font>
      <border>
        <left style="thin">
          <color auto="1"/>
        </left>
        <right style="thin">
          <color auto="1"/>
        </right>
        <top style="thin">
          <color auto="1"/>
        </top>
        <bottom style="thin">
          <color auto="1"/>
        </bottom>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1"/>
      </font>
      <fill>
        <patternFill patternType="none">
          <bgColor auto="1"/>
        </patternFill>
      </fill>
      <border>
        <top style="dotted">
          <color auto="1"/>
        </top>
      </border>
    </dxf>
    <dxf>
      <font>
        <color theme="0"/>
      </font>
      <fill>
        <patternFill>
          <bgColor theme="0"/>
        </patternFill>
      </fill>
      <border>
        <bottom/>
      </border>
    </dxf>
    <dxf>
      <fill>
        <patternFill>
          <bgColor rgb="FFFF7C80"/>
        </patternFill>
      </fill>
    </dxf>
    <dxf>
      <fill>
        <patternFill>
          <bgColor theme="9" tint="0.59996337778862885"/>
        </patternFill>
      </fill>
    </dxf>
    <dxf>
      <font>
        <color theme="0"/>
      </font>
      <fill>
        <patternFill>
          <bgColor theme="0"/>
        </patternFill>
      </fill>
    </dxf>
    <dxf>
      <fill>
        <patternFill>
          <bgColor rgb="FFFF7C80"/>
        </patternFill>
      </fill>
    </dxf>
    <dxf>
      <fill>
        <patternFill>
          <bgColor theme="9" tint="0.59996337778862885"/>
        </patternFill>
      </fill>
    </dxf>
    <dxf>
      <font>
        <color theme="0"/>
      </font>
      <fill>
        <patternFill>
          <bgColor theme="0"/>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dxf>
    <dxf>
      <fill>
        <patternFill>
          <bgColor rgb="FFFF7C80"/>
        </patternFill>
      </fill>
    </dxf>
    <dxf>
      <fill>
        <patternFill>
          <bgColor theme="9" tint="0.59996337778862885"/>
        </patternFill>
      </fill>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fgColor theme="0"/>
          <bgColor theme="0"/>
        </patternFill>
      </fill>
      <border>
        <left/>
        <right/>
        <top/>
        <bottom/>
        <vertical/>
        <horizontal/>
      </border>
    </dxf>
    <dxf>
      <font>
        <color theme="0"/>
      </font>
      <fill>
        <patternFill>
          <bgColor theme="0"/>
        </patternFill>
      </fill>
      <border>
        <left/>
        <right/>
        <top style="thin">
          <color auto="1"/>
        </top>
        <bottom/>
        <vertical/>
        <horizontal/>
      </border>
    </dxf>
    <dxf>
      <font>
        <b val="0"/>
        <i val="0"/>
        <color theme="0" tint="-0.24994659260841701"/>
      </font>
    </dxf>
    <dxf>
      <fill>
        <patternFill>
          <bgColor theme="0" tint="-0.14996795556505021"/>
        </patternFill>
      </fill>
    </dxf>
    <dxf>
      <fill>
        <patternFill>
          <bgColor theme="0" tint="-0.14996795556505021"/>
        </patternFill>
      </fill>
      <border>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patternType="solid">
          <bgColor theme="0"/>
        </patternFill>
      </fill>
      <border>
        <left/>
      </border>
    </dxf>
    <dxf>
      <font>
        <color theme="0"/>
      </font>
      <fill>
        <patternFill>
          <bgColor theme="0"/>
        </patternFill>
      </fill>
      <border>
        <left/>
        <vertical/>
        <horizontal/>
      </border>
    </dxf>
    <dxf>
      <font>
        <color theme="0"/>
      </font>
      <fill>
        <patternFill>
          <bgColor theme="0"/>
        </patternFill>
      </fill>
      <border>
        <left/>
        <vertical/>
        <horizontal/>
      </border>
    </dxf>
    <dxf>
      <fill>
        <patternFill>
          <bgColor theme="0" tint="-0.14996795556505021"/>
        </patternFill>
      </fill>
      <border>
        <vertical/>
        <horizontal/>
      </border>
    </dxf>
    <dxf>
      <font>
        <b val="0"/>
        <i val="0"/>
        <color theme="0" tint="-0.24994659260841701"/>
      </font>
    </dxf>
    <dxf>
      <fill>
        <patternFill>
          <bgColor theme="0" tint="-0.14996795556505021"/>
        </patternFill>
      </fill>
      <border>
        <vertical/>
        <horizontal/>
      </border>
    </dxf>
    <dxf>
      <font>
        <color theme="0"/>
      </font>
      <fill>
        <patternFill patternType="none">
          <bgColor auto="1"/>
        </patternFill>
      </fill>
    </dxf>
    <dxf>
      <font>
        <b val="0"/>
        <i val="0"/>
        <color theme="0" tint="-0.24994659260841701"/>
      </font>
    </dxf>
    <dxf>
      <font>
        <color theme="1"/>
      </font>
      <border>
        <left style="thin">
          <color auto="1"/>
        </left>
        <right style="thin">
          <color auto="1"/>
        </right>
        <top style="thin">
          <color auto="1"/>
        </top>
        <bottom style="thin">
          <color auto="1"/>
        </bottom>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ill>
        <patternFill>
          <bgColor theme="0" tint="-0.14996795556505021"/>
        </patternFill>
      </fill>
      <border>
        <vertical/>
        <horizontal/>
      </border>
    </dxf>
    <dxf>
      <font>
        <color theme="1"/>
      </font>
      <fill>
        <patternFill patternType="none">
          <bgColor auto="1"/>
        </patternFill>
      </fill>
      <border>
        <top style="dotted">
          <color auto="1"/>
        </top>
      </border>
    </dxf>
    <dxf>
      <font>
        <color theme="0"/>
      </font>
      <fill>
        <patternFill>
          <bgColor theme="0"/>
        </patternFill>
      </fill>
      <border>
        <bottom/>
      </border>
    </dxf>
    <dxf>
      <fill>
        <patternFill>
          <bgColor rgb="FFFFCCCC"/>
        </patternFill>
      </fill>
    </dxf>
    <dxf>
      <fill>
        <patternFill>
          <bgColor rgb="FFFFCCCC"/>
        </patternFill>
      </fill>
    </dxf>
    <dxf>
      <font>
        <color auto="1"/>
      </font>
      <fill>
        <patternFill>
          <bgColor rgb="FFFFCCCC"/>
        </patternFill>
      </fill>
    </dxf>
    <dxf>
      <font>
        <color theme="1"/>
      </font>
      <fill>
        <patternFill>
          <bgColor theme="5" tint="0.79998168889431442"/>
        </patternFill>
      </fill>
    </dxf>
    <dxf>
      <fill>
        <patternFill>
          <bgColor theme="0" tint="-0.14996795556505021"/>
        </patternFill>
      </fill>
      <border>
        <bottom style="dotted">
          <color auto="1"/>
        </bottom>
        <vertical/>
        <horizontal/>
      </border>
    </dxf>
    <dxf>
      <font>
        <color theme="1"/>
      </font>
    </dxf>
    <dxf>
      <fill>
        <patternFill>
          <bgColor theme="0" tint="-0.14996795556505021"/>
        </patternFill>
      </fill>
      <border>
        <bottom style="dotted">
          <color auto="1"/>
        </bottom>
        <vertical/>
        <horizontal/>
      </border>
    </dxf>
    <dxf>
      <fill>
        <patternFill>
          <bgColor theme="0" tint="-0.14996795556505021"/>
        </patternFill>
      </fill>
      <border>
        <bottom style="dotted">
          <color auto="1"/>
        </bottom>
      </border>
    </dxf>
    <dxf>
      <fill>
        <patternFill>
          <bgColor theme="0" tint="-0.14996795556505021"/>
        </patternFill>
      </fill>
      <border>
        <bottom style="dotted">
          <color auto="1"/>
        </bottom>
        <vertical/>
        <horizontal/>
      </border>
    </dxf>
    <dxf>
      <fill>
        <patternFill>
          <bgColor theme="0" tint="-0.14996795556505021"/>
        </patternFill>
      </fill>
      <border>
        <bottom style="dotted">
          <color auto="1"/>
        </bottom>
        <vertical/>
        <horizontal/>
      </border>
    </dxf>
    <dxf>
      <fill>
        <patternFill>
          <bgColor theme="0" tint="-0.14996795556505021"/>
        </patternFill>
      </fill>
      <border>
        <bottom style="dotted">
          <color auto="1"/>
        </bottom>
        <vertical/>
        <horizontal/>
      </border>
    </dxf>
    <dxf>
      <fill>
        <patternFill>
          <bgColor theme="0" tint="-0.14996795556505021"/>
        </patternFill>
      </fill>
      <border>
        <bottom style="dotted">
          <color auto="1"/>
        </bottom>
        <vertical/>
        <horizontal/>
      </border>
    </dxf>
    <dxf>
      <font>
        <color theme="0"/>
      </font>
    </dxf>
  </dxfs>
  <tableStyles count="0" defaultTableStyle="TableStyleMedium2" defaultPivotStyle="PivotStyleLight16"/>
  <colors>
    <mruColors>
      <color rgb="FFFFCCCC"/>
      <color rgb="FFFF7C80"/>
      <color rgb="FFFF5050"/>
      <color rgb="FFFF0000"/>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Balken 1</c:v>
          </c:tx>
          <c:spPr>
            <a:ln w="57150" cap="rnd">
              <a:solidFill>
                <a:schemeClr val="accent2">
                  <a:lumMod val="75000"/>
                </a:schemeClr>
              </a:solidFill>
              <a:round/>
            </a:ln>
            <a:effectLst/>
          </c:spPr>
          <c:marker>
            <c:symbol val="none"/>
          </c:marker>
          <c:xVal>
            <c:numRef>
              <c:f>Kalk1_Lastfallkombi!$L$42:$L$43</c:f>
              <c:numCache>
                <c:formatCode>General</c:formatCode>
                <c:ptCount val="2"/>
                <c:pt idx="0">
                  <c:v>2</c:v>
                </c:pt>
                <c:pt idx="1">
                  <c:v>2</c:v>
                </c:pt>
              </c:numCache>
            </c:numRef>
          </c:xVal>
          <c:yVal>
            <c:numRef>
              <c:f>Kalk1_Lastfallkombi!$M$42:$M$43</c:f>
              <c:numCache>
                <c:formatCode>0.00</c:formatCode>
                <c:ptCount val="2"/>
                <c:pt idx="0" formatCode="General">
                  <c:v>0</c:v>
                </c:pt>
                <c:pt idx="1">
                  <c:v>2.5000000000000001E-2</c:v>
                </c:pt>
              </c:numCache>
            </c:numRef>
          </c:yVal>
          <c:smooth val="0"/>
          <c:extLst>
            <c:ext xmlns:c16="http://schemas.microsoft.com/office/drawing/2014/chart" uri="{C3380CC4-5D6E-409C-BE32-E72D297353CC}">
              <c16:uniqueId val="{00000000-8CDD-45AC-950E-2739D39148A3}"/>
            </c:ext>
          </c:extLst>
        </c:ser>
        <c:ser>
          <c:idx val="1"/>
          <c:order val="1"/>
          <c:tx>
            <c:v>BHW 1</c:v>
          </c:tx>
          <c:spPr>
            <a:ln w="38100" cap="rnd">
              <a:solidFill>
                <a:srgbClr val="0070C0"/>
              </a:solidFill>
              <a:round/>
            </a:ln>
            <a:effectLst/>
          </c:spPr>
          <c:marker>
            <c:symbol val="none"/>
          </c:marker>
          <c:xVal>
            <c:numRef>
              <c:f>Kalk1_Lastfallkombi!$L$44:$L$45</c:f>
              <c:numCache>
                <c:formatCode>General</c:formatCode>
                <c:ptCount val="2"/>
                <c:pt idx="0">
                  <c:v>0</c:v>
                </c:pt>
                <c:pt idx="1">
                  <c:v>2</c:v>
                </c:pt>
              </c:numCache>
            </c:numRef>
          </c:xVal>
          <c:yVal>
            <c:numRef>
              <c:f>Kalk1_Lastfallkombi!$M$44:$M$45</c:f>
              <c:numCache>
                <c:formatCode>0.00</c:formatCode>
                <c:ptCount val="2"/>
                <c:pt idx="0">
                  <c:v>0</c:v>
                </c:pt>
                <c:pt idx="1">
                  <c:v>0</c:v>
                </c:pt>
              </c:numCache>
            </c:numRef>
          </c:yVal>
          <c:smooth val="0"/>
          <c:extLst>
            <c:ext xmlns:c16="http://schemas.microsoft.com/office/drawing/2014/chart" uri="{C3380CC4-5D6E-409C-BE32-E72D297353CC}">
              <c16:uniqueId val="{00000001-8CDD-45AC-950E-2739D39148A3}"/>
            </c:ext>
          </c:extLst>
        </c:ser>
        <c:ser>
          <c:idx val="2"/>
          <c:order val="2"/>
          <c:tx>
            <c:v>Grund</c:v>
          </c:tx>
          <c:spPr>
            <a:ln w="38100" cap="rnd">
              <a:solidFill>
                <a:schemeClr val="tx1">
                  <a:lumMod val="95000"/>
                  <a:lumOff val="5000"/>
                </a:schemeClr>
              </a:solidFill>
              <a:round/>
            </a:ln>
            <a:effectLst/>
          </c:spPr>
          <c:marker>
            <c:symbol val="none"/>
          </c:marker>
          <c:xVal>
            <c:numRef>
              <c:f>Kalk1_Lastfallkombi!$L$40:$L$41</c:f>
              <c:numCache>
                <c:formatCode>General</c:formatCode>
                <c:ptCount val="2"/>
                <c:pt idx="0">
                  <c:v>0</c:v>
                </c:pt>
                <c:pt idx="1">
                  <c:v>2.5</c:v>
                </c:pt>
              </c:numCache>
            </c:numRef>
          </c:xVal>
          <c:yVal>
            <c:numRef>
              <c:f>Kalk1_Lastfallkombi!$M$40:$M$41</c:f>
              <c:numCache>
                <c:formatCode>General</c:formatCode>
                <c:ptCount val="2"/>
                <c:pt idx="0">
                  <c:v>0</c:v>
                </c:pt>
                <c:pt idx="1">
                  <c:v>0</c:v>
                </c:pt>
              </c:numCache>
            </c:numRef>
          </c:yVal>
          <c:smooth val="0"/>
          <c:extLst>
            <c:ext xmlns:c16="http://schemas.microsoft.com/office/drawing/2014/chart" uri="{C3380CC4-5D6E-409C-BE32-E72D297353CC}">
              <c16:uniqueId val="{00000002-8CDD-45AC-950E-2739D39148A3}"/>
            </c:ext>
          </c:extLst>
        </c:ser>
        <c:ser>
          <c:idx val="3"/>
          <c:order val="3"/>
          <c:tx>
            <c:v>Dammbalken1</c:v>
          </c:tx>
          <c:spPr>
            <a:ln w="19050" cap="rnd">
              <a:solidFill>
                <a:schemeClr val="accent2">
                  <a:lumMod val="50000"/>
                </a:schemeClr>
              </a:solidFill>
              <a:round/>
            </a:ln>
            <a:effectLst/>
          </c:spPr>
          <c:marker>
            <c:symbol val="none"/>
          </c:marker>
          <c:xVal>
            <c:numRef>
              <c:f>Kalk1_Lastfallkombi!$L$47:$L$48</c:f>
              <c:numCache>
                <c:formatCode>0.00</c:formatCode>
                <c:ptCount val="2"/>
                <c:pt idx="0">
                  <c:v>1.98</c:v>
                </c:pt>
                <c:pt idx="1">
                  <c:v>2.02</c:v>
                </c:pt>
              </c:numCache>
            </c:numRef>
          </c:xVal>
          <c:yVal>
            <c:numRef>
              <c:f>Kalk1_Lastfallkombi!$M$47:$M$48</c:f>
              <c:numCache>
                <c:formatCode>0.00</c:formatCode>
                <c:ptCount val="2"/>
                <c:pt idx="0">
                  <c:v>0.21</c:v>
                </c:pt>
                <c:pt idx="1">
                  <c:v>0.21</c:v>
                </c:pt>
              </c:numCache>
            </c:numRef>
          </c:yVal>
          <c:smooth val="0"/>
          <c:extLst>
            <c:ext xmlns:c16="http://schemas.microsoft.com/office/drawing/2014/chart" uri="{C3380CC4-5D6E-409C-BE32-E72D297353CC}">
              <c16:uniqueId val="{00000003-8CDD-45AC-950E-2739D39148A3}"/>
            </c:ext>
          </c:extLst>
        </c:ser>
        <c:ser>
          <c:idx val="4"/>
          <c:order val="4"/>
          <c:tx>
            <c:v>Dammbalken 2</c:v>
          </c:tx>
          <c:spPr>
            <a:ln w="19050" cap="rnd">
              <a:solidFill>
                <a:schemeClr val="accent2">
                  <a:lumMod val="50000"/>
                </a:schemeClr>
              </a:solidFill>
              <a:round/>
            </a:ln>
            <a:effectLst/>
          </c:spPr>
          <c:marker>
            <c:symbol val="none"/>
          </c:marker>
          <c:xVal>
            <c:numRef>
              <c:f>Kalk1_Lastfallkombi!$L$49:$L$50</c:f>
              <c:numCache>
                <c:formatCode>0.00</c:formatCode>
                <c:ptCount val="2"/>
                <c:pt idx="0">
                  <c:v>1.98</c:v>
                </c:pt>
                <c:pt idx="1">
                  <c:v>2.02</c:v>
                </c:pt>
              </c:numCache>
            </c:numRef>
          </c:xVal>
          <c:yVal>
            <c:numRef>
              <c:f>Kalk1_Lastfallkombi!$M$49:$M$50</c:f>
              <c:numCache>
                <c:formatCode>0.00</c:formatCode>
                <c:ptCount val="2"/>
                <c:pt idx="0">
                  <c:v>0.21</c:v>
                </c:pt>
                <c:pt idx="1">
                  <c:v>0.21</c:v>
                </c:pt>
              </c:numCache>
            </c:numRef>
          </c:yVal>
          <c:smooth val="0"/>
          <c:extLst>
            <c:ext xmlns:c16="http://schemas.microsoft.com/office/drawing/2014/chart" uri="{C3380CC4-5D6E-409C-BE32-E72D297353CC}">
              <c16:uniqueId val="{00000004-8CDD-45AC-950E-2739D39148A3}"/>
            </c:ext>
          </c:extLst>
        </c:ser>
        <c:ser>
          <c:idx val="5"/>
          <c:order val="5"/>
          <c:tx>
            <c:v>Dammbalken 3</c:v>
          </c:tx>
          <c:spPr>
            <a:ln w="19050" cap="rnd">
              <a:solidFill>
                <a:schemeClr val="accent2">
                  <a:lumMod val="50000"/>
                </a:schemeClr>
              </a:solidFill>
              <a:round/>
            </a:ln>
            <a:effectLst/>
          </c:spPr>
          <c:marker>
            <c:symbol val="none"/>
          </c:marker>
          <c:xVal>
            <c:numRef>
              <c:f>Kalk1_Lastfallkombi!$L$51:$L$52</c:f>
              <c:numCache>
                <c:formatCode>0.00</c:formatCode>
                <c:ptCount val="2"/>
                <c:pt idx="0">
                  <c:v>1.98</c:v>
                </c:pt>
                <c:pt idx="1">
                  <c:v>2.02</c:v>
                </c:pt>
              </c:numCache>
            </c:numRef>
          </c:xVal>
          <c:yVal>
            <c:numRef>
              <c:f>Kalk1_Lastfallkombi!$M$51:$M$52</c:f>
              <c:numCache>
                <c:formatCode>0.00</c:formatCode>
                <c:ptCount val="2"/>
                <c:pt idx="0">
                  <c:v>0.21</c:v>
                </c:pt>
                <c:pt idx="1">
                  <c:v>0.21</c:v>
                </c:pt>
              </c:numCache>
            </c:numRef>
          </c:yVal>
          <c:smooth val="0"/>
          <c:extLst>
            <c:ext xmlns:c16="http://schemas.microsoft.com/office/drawing/2014/chart" uri="{C3380CC4-5D6E-409C-BE32-E72D297353CC}">
              <c16:uniqueId val="{00000005-8CDD-45AC-950E-2739D39148A3}"/>
            </c:ext>
          </c:extLst>
        </c:ser>
        <c:ser>
          <c:idx val="6"/>
          <c:order val="6"/>
          <c:tx>
            <c:v>Dammbalken 4</c:v>
          </c:tx>
          <c:spPr>
            <a:ln w="19050" cap="rnd">
              <a:solidFill>
                <a:schemeClr val="accent2">
                  <a:lumMod val="50000"/>
                </a:schemeClr>
              </a:solidFill>
              <a:round/>
            </a:ln>
            <a:effectLst/>
          </c:spPr>
          <c:marker>
            <c:symbol val="none"/>
          </c:marker>
          <c:xVal>
            <c:numRef>
              <c:f>Kalk1_Lastfallkombi!$L$53:$L$54</c:f>
              <c:numCache>
                <c:formatCode>0.00</c:formatCode>
                <c:ptCount val="2"/>
                <c:pt idx="0">
                  <c:v>1.98</c:v>
                </c:pt>
                <c:pt idx="1">
                  <c:v>2.02</c:v>
                </c:pt>
              </c:numCache>
            </c:numRef>
          </c:xVal>
          <c:yVal>
            <c:numRef>
              <c:f>Kalk1_Lastfallkombi!$M$53:$M$54</c:f>
              <c:numCache>
                <c:formatCode>0.00</c:formatCode>
                <c:ptCount val="2"/>
                <c:pt idx="0">
                  <c:v>0.21</c:v>
                </c:pt>
                <c:pt idx="1">
                  <c:v>0.21</c:v>
                </c:pt>
              </c:numCache>
            </c:numRef>
          </c:yVal>
          <c:smooth val="0"/>
          <c:extLst>
            <c:ext xmlns:c16="http://schemas.microsoft.com/office/drawing/2014/chart" uri="{C3380CC4-5D6E-409C-BE32-E72D297353CC}">
              <c16:uniqueId val="{00000006-8CDD-45AC-950E-2739D39148A3}"/>
            </c:ext>
          </c:extLst>
        </c:ser>
        <c:ser>
          <c:idx val="7"/>
          <c:order val="7"/>
          <c:tx>
            <c:v>Dammbalken 5</c:v>
          </c:tx>
          <c:spPr>
            <a:ln w="19050" cap="rnd">
              <a:solidFill>
                <a:schemeClr val="accent2">
                  <a:lumMod val="60000"/>
                </a:schemeClr>
              </a:solidFill>
              <a:round/>
            </a:ln>
            <a:effectLst/>
          </c:spPr>
          <c:marker>
            <c:symbol val="none"/>
          </c:marker>
          <c:xVal>
            <c:numRef>
              <c:f>Kalk1_Lastfallkombi!$L$55:$L$56</c:f>
              <c:numCache>
                <c:formatCode>0.00</c:formatCode>
                <c:ptCount val="2"/>
                <c:pt idx="0">
                  <c:v>1.98</c:v>
                </c:pt>
                <c:pt idx="1">
                  <c:v>2.02</c:v>
                </c:pt>
              </c:numCache>
            </c:numRef>
          </c:xVal>
          <c:yVal>
            <c:numRef>
              <c:f>Kalk1_Lastfallkombi!$M$55:$M$56</c:f>
              <c:numCache>
                <c:formatCode>0.00</c:formatCode>
                <c:ptCount val="2"/>
                <c:pt idx="0">
                  <c:v>0.21</c:v>
                </c:pt>
                <c:pt idx="1">
                  <c:v>0.21</c:v>
                </c:pt>
              </c:numCache>
            </c:numRef>
          </c:yVal>
          <c:smooth val="0"/>
          <c:extLst>
            <c:ext xmlns:c16="http://schemas.microsoft.com/office/drawing/2014/chart" uri="{C3380CC4-5D6E-409C-BE32-E72D297353CC}">
              <c16:uniqueId val="{00000007-8CDD-45AC-950E-2739D39148A3}"/>
            </c:ext>
          </c:extLst>
        </c:ser>
        <c:ser>
          <c:idx val="8"/>
          <c:order val="8"/>
          <c:tx>
            <c:v>Dammbalken 6</c:v>
          </c:tx>
          <c:spPr>
            <a:ln w="19050" cap="rnd">
              <a:solidFill>
                <a:schemeClr val="accent2">
                  <a:lumMod val="50000"/>
                </a:schemeClr>
              </a:solidFill>
              <a:round/>
            </a:ln>
            <a:effectLst/>
          </c:spPr>
          <c:marker>
            <c:symbol val="none"/>
          </c:marker>
          <c:xVal>
            <c:numRef>
              <c:f>Kalk1_Lastfallkombi!$L$57:$L$58</c:f>
              <c:numCache>
                <c:formatCode>0.00</c:formatCode>
                <c:ptCount val="2"/>
                <c:pt idx="0">
                  <c:v>1.98</c:v>
                </c:pt>
                <c:pt idx="1">
                  <c:v>2.02</c:v>
                </c:pt>
              </c:numCache>
            </c:numRef>
          </c:xVal>
          <c:yVal>
            <c:numRef>
              <c:f>Kalk1_Lastfallkombi!$M$57:$M$58</c:f>
              <c:numCache>
                <c:formatCode>0.00</c:formatCode>
                <c:ptCount val="2"/>
                <c:pt idx="0">
                  <c:v>0.21</c:v>
                </c:pt>
                <c:pt idx="1">
                  <c:v>0.21</c:v>
                </c:pt>
              </c:numCache>
            </c:numRef>
          </c:yVal>
          <c:smooth val="0"/>
          <c:extLst>
            <c:ext xmlns:c16="http://schemas.microsoft.com/office/drawing/2014/chart" uri="{C3380CC4-5D6E-409C-BE32-E72D297353CC}">
              <c16:uniqueId val="{00000008-8CDD-45AC-950E-2739D39148A3}"/>
            </c:ext>
          </c:extLst>
        </c:ser>
        <c:ser>
          <c:idx val="9"/>
          <c:order val="9"/>
          <c:tx>
            <c:v>Dammbalken 7</c:v>
          </c:tx>
          <c:spPr>
            <a:ln w="19050" cap="rnd">
              <a:solidFill>
                <a:schemeClr val="accent2">
                  <a:lumMod val="50000"/>
                </a:schemeClr>
              </a:solidFill>
              <a:round/>
            </a:ln>
            <a:effectLst/>
          </c:spPr>
          <c:marker>
            <c:symbol val="none"/>
          </c:marker>
          <c:xVal>
            <c:numRef>
              <c:f>Kalk1_Lastfallkombi!$L$59:$L$60</c:f>
              <c:numCache>
                <c:formatCode>0.00</c:formatCode>
                <c:ptCount val="2"/>
                <c:pt idx="0">
                  <c:v>1.98</c:v>
                </c:pt>
                <c:pt idx="1">
                  <c:v>2.02</c:v>
                </c:pt>
              </c:numCache>
            </c:numRef>
          </c:xVal>
          <c:yVal>
            <c:numRef>
              <c:f>Kalk1_Lastfallkombi!$M$59:$M$60</c:f>
              <c:numCache>
                <c:formatCode>0.00</c:formatCode>
                <c:ptCount val="2"/>
                <c:pt idx="0">
                  <c:v>0.21</c:v>
                </c:pt>
                <c:pt idx="1">
                  <c:v>0.21</c:v>
                </c:pt>
              </c:numCache>
            </c:numRef>
          </c:yVal>
          <c:smooth val="0"/>
          <c:extLst>
            <c:ext xmlns:c16="http://schemas.microsoft.com/office/drawing/2014/chart" uri="{C3380CC4-5D6E-409C-BE32-E72D297353CC}">
              <c16:uniqueId val="{00000009-8CDD-45AC-950E-2739D39148A3}"/>
            </c:ext>
          </c:extLst>
        </c:ser>
        <c:ser>
          <c:idx val="10"/>
          <c:order val="10"/>
          <c:tx>
            <c:v>Dammbalken 8</c:v>
          </c:tx>
          <c:spPr>
            <a:ln w="19050" cap="rnd">
              <a:solidFill>
                <a:schemeClr val="accent2">
                  <a:lumMod val="50000"/>
                </a:schemeClr>
              </a:solidFill>
              <a:round/>
            </a:ln>
            <a:effectLst/>
          </c:spPr>
          <c:marker>
            <c:symbol val="none"/>
          </c:marker>
          <c:xVal>
            <c:numRef>
              <c:f>Kalk1_Lastfallkombi!$L$61:$L$62</c:f>
              <c:numCache>
                <c:formatCode>0.00</c:formatCode>
                <c:ptCount val="2"/>
                <c:pt idx="0">
                  <c:v>1.98</c:v>
                </c:pt>
                <c:pt idx="1">
                  <c:v>2.02</c:v>
                </c:pt>
              </c:numCache>
            </c:numRef>
          </c:xVal>
          <c:yVal>
            <c:numRef>
              <c:f>Kalk1_Lastfallkombi!$M$61:$M$62</c:f>
              <c:numCache>
                <c:formatCode>0.00</c:formatCode>
                <c:ptCount val="2"/>
                <c:pt idx="0">
                  <c:v>0.21</c:v>
                </c:pt>
                <c:pt idx="1">
                  <c:v>0.21</c:v>
                </c:pt>
              </c:numCache>
            </c:numRef>
          </c:yVal>
          <c:smooth val="0"/>
          <c:extLst>
            <c:ext xmlns:c16="http://schemas.microsoft.com/office/drawing/2014/chart" uri="{C3380CC4-5D6E-409C-BE32-E72D297353CC}">
              <c16:uniqueId val="{0000000A-8CDD-45AC-950E-2739D39148A3}"/>
            </c:ext>
          </c:extLst>
        </c:ser>
        <c:ser>
          <c:idx val="11"/>
          <c:order val="11"/>
          <c:tx>
            <c:v>Dammbalken 9</c:v>
          </c:tx>
          <c:spPr>
            <a:ln w="19050" cap="rnd">
              <a:solidFill>
                <a:schemeClr val="accent2">
                  <a:lumMod val="50000"/>
                </a:schemeClr>
              </a:solidFill>
              <a:round/>
            </a:ln>
            <a:effectLst/>
          </c:spPr>
          <c:marker>
            <c:symbol val="none"/>
          </c:marker>
          <c:xVal>
            <c:numRef>
              <c:f>Kalk1_Lastfallkombi!$L$63:$L$64</c:f>
              <c:numCache>
                <c:formatCode>0.00</c:formatCode>
                <c:ptCount val="2"/>
                <c:pt idx="0">
                  <c:v>1.98</c:v>
                </c:pt>
                <c:pt idx="1">
                  <c:v>2.02</c:v>
                </c:pt>
              </c:numCache>
            </c:numRef>
          </c:xVal>
          <c:yVal>
            <c:numRef>
              <c:f>Kalk1_Lastfallkombi!$M$63:$M$64</c:f>
              <c:numCache>
                <c:formatCode>0.00</c:formatCode>
                <c:ptCount val="2"/>
                <c:pt idx="0">
                  <c:v>0.21</c:v>
                </c:pt>
                <c:pt idx="1">
                  <c:v>0.21</c:v>
                </c:pt>
              </c:numCache>
            </c:numRef>
          </c:yVal>
          <c:smooth val="0"/>
          <c:extLst>
            <c:ext xmlns:c16="http://schemas.microsoft.com/office/drawing/2014/chart" uri="{C3380CC4-5D6E-409C-BE32-E72D297353CC}">
              <c16:uniqueId val="{0000000B-8CDD-45AC-950E-2739D39148A3}"/>
            </c:ext>
          </c:extLst>
        </c:ser>
        <c:ser>
          <c:idx val="12"/>
          <c:order val="12"/>
          <c:tx>
            <c:v>Dammbalken 10</c:v>
          </c:tx>
          <c:spPr>
            <a:ln w="19050" cap="rnd">
              <a:solidFill>
                <a:schemeClr val="accent2">
                  <a:lumMod val="50000"/>
                </a:schemeClr>
              </a:solidFill>
              <a:round/>
            </a:ln>
            <a:effectLst/>
          </c:spPr>
          <c:marker>
            <c:symbol val="none"/>
          </c:marker>
          <c:xVal>
            <c:numRef>
              <c:f>Kalk1_Lastfallkombi!$L$65:$L$66</c:f>
              <c:numCache>
                <c:formatCode>0.00</c:formatCode>
                <c:ptCount val="2"/>
                <c:pt idx="0">
                  <c:v>1.98</c:v>
                </c:pt>
                <c:pt idx="1">
                  <c:v>2.02</c:v>
                </c:pt>
              </c:numCache>
            </c:numRef>
          </c:xVal>
          <c:yVal>
            <c:numRef>
              <c:f>Kalk1_Lastfallkombi!$M$65:$M$66</c:f>
              <c:numCache>
                <c:formatCode>0.00</c:formatCode>
                <c:ptCount val="2"/>
                <c:pt idx="0">
                  <c:v>0.21</c:v>
                </c:pt>
                <c:pt idx="1">
                  <c:v>0.21</c:v>
                </c:pt>
              </c:numCache>
            </c:numRef>
          </c:yVal>
          <c:smooth val="0"/>
          <c:extLst>
            <c:ext xmlns:c16="http://schemas.microsoft.com/office/drawing/2014/chart" uri="{C3380CC4-5D6E-409C-BE32-E72D297353CC}">
              <c16:uniqueId val="{0000000C-8CDD-45AC-950E-2739D39148A3}"/>
            </c:ext>
          </c:extLst>
        </c:ser>
        <c:ser>
          <c:idx val="13"/>
          <c:order val="13"/>
          <c:tx>
            <c:v>Wasserdruck</c:v>
          </c:tx>
          <c:spPr>
            <a:ln w="19050" cap="rnd">
              <a:solidFill>
                <a:schemeClr val="accent1">
                  <a:lumMod val="60000"/>
                  <a:lumOff val="40000"/>
                </a:schemeClr>
              </a:solidFill>
              <a:round/>
            </a:ln>
            <a:effectLst/>
          </c:spPr>
          <c:marker>
            <c:symbol val="none"/>
          </c:marker>
          <c:xVal>
            <c:numRef>
              <c:f>Kalk1_Lastfallkombi!$L$98:$L$101</c:f>
              <c:numCache>
                <c:formatCode>0.00</c:formatCode>
                <c:ptCount val="4"/>
                <c:pt idx="0">
                  <c:v>1.8</c:v>
                </c:pt>
                <c:pt idx="1">
                  <c:v>1.8</c:v>
                </c:pt>
                <c:pt idx="2">
                  <c:v>1.8</c:v>
                </c:pt>
                <c:pt idx="3">
                  <c:v>1.8</c:v>
                </c:pt>
              </c:numCache>
            </c:numRef>
          </c:xVal>
          <c:yVal>
            <c:numRef>
              <c:f>Kalk1_Lastfallkombi!$M$98:$M$101</c:f>
              <c:numCache>
                <c:formatCode>0.00</c:formatCode>
                <c:ptCount val="4"/>
                <c:pt idx="0">
                  <c:v>0</c:v>
                </c:pt>
                <c:pt idx="1">
                  <c:v>0</c:v>
                </c:pt>
                <c:pt idx="2">
                  <c:v>0</c:v>
                </c:pt>
                <c:pt idx="3">
                  <c:v>0</c:v>
                </c:pt>
              </c:numCache>
            </c:numRef>
          </c:yVal>
          <c:smooth val="0"/>
          <c:extLst>
            <c:ext xmlns:c16="http://schemas.microsoft.com/office/drawing/2014/chart" uri="{C3380CC4-5D6E-409C-BE32-E72D297353CC}">
              <c16:uniqueId val="{0000000D-8CDD-45AC-950E-2739D39148A3}"/>
            </c:ext>
          </c:extLst>
        </c:ser>
        <c:ser>
          <c:idx val="14"/>
          <c:order val="14"/>
          <c:tx>
            <c:v>Dammbalken 11</c:v>
          </c:tx>
          <c:spPr>
            <a:ln w="19050" cap="rnd">
              <a:solidFill>
                <a:schemeClr val="accent2">
                  <a:lumMod val="50000"/>
                </a:schemeClr>
              </a:solidFill>
              <a:round/>
            </a:ln>
            <a:effectLst/>
          </c:spPr>
          <c:marker>
            <c:symbol val="none"/>
          </c:marker>
          <c:xVal>
            <c:numRef>
              <c:f>Kalk1_Lastfallkombi!$L$67:$L$68</c:f>
              <c:numCache>
                <c:formatCode>0.00</c:formatCode>
                <c:ptCount val="2"/>
                <c:pt idx="0">
                  <c:v>1.98</c:v>
                </c:pt>
                <c:pt idx="1">
                  <c:v>2.02</c:v>
                </c:pt>
              </c:numCache>
            </c:numRef>
          </c:xVal>
          <c:yVal>
            <c:numRef>
              <c:f>Kalk1_Lastfallkombi!$M$67:$M$68</c:f>
              <c:numCache>
                <c:formatCode>0.00</c:formatCode>
                <c:ptCount val="2"/>
                <c:pt idx="0">
                  <c:v>0.21</c:v>
                </c:pt>
                <c:pt idx="1">
                  <c:v>0.21</c:v>
                </c:pt>
              </c:numCache>
            </c:numRef>
          </c:yVal>
          <c:smooth val="0"/>
          <c:extLst>
            <c:ext xmlns:c16="http://schemas.microsoft.com/office/drawing/2014/chart" uri="{C3380CC4-5D6E-409C-BE32-E72D297353CC}">
              <c16:uniqueId val="{0000000E-8CDD-45AC-950E-2739D39148A3}"/>
            </c:ext>
          </c:extLst>
        </c:ser>
        <c:ser>
          <c:idx val="15"/>
          <c:order val="15"/>
          <c:tx>
            <c:v>Dammbalken 12</c:v>
          </c:tx>
          <c:spPr>
            <a:ln w="19050" cap="rnd">
              <a:solidFill>
                <a:schemeClr val="accent2">
                  <a:lumMod val="50000"/>
                </a:schemeClr>
              </a:solidFill>
              <a:round/>
            </a:ln>
            <a:effectLst/>
          </c:spPr>
          <c:marker>
            <c:symbol val="none"/>
          </c:marker>
          <c:xVal>
            <c:numRef>
              <c:f>Kalk1_Lastfallkombi!$L$69:$L$70</c:f>
              <c:numCache>
                <c:formatCode>0.00</c:formatCode>
                <c:ptCount val="2"/>
                <c:pt idx="0">
                  <c:v>1.98</c:v>
                </c:pt>
                <c:pt idx="1">
                  <c:v>2.02</c:v>
                </c:pt>
              </c:numCache>
            </c:numRef>
          </c:xVal>
          <c:yVal>
            <c:numRef>
              <c:f>Kalk1_Lastfallkombi!$M$69:$M$70</c:f>
              <c:numCache>
                <c:formatCode>0.00</c:formatCode>
                <c:ptCount val="2"/>
                <c:pt idx="0">
                  <c:v>0.21</c:v>
                </c:pt>
                <c:pt idx="1">
                  <c:v>0.21</c:v>
                </c:pt>
              </c:numCache>
            </c:numRef>
          </c:yVal>
          <c:smooth val="0"/>
          <c:extLst>
            <c:ext xmlns:c16="http://schemas.microsoft.com/office/drawing/2014/chart" uri="{C3380CC4-5D6E-409C-BE32-E72D297353CC}">
              <c16:uniqueId val="{0000000F-8CDD-45AC-950E-2739D39148A3}"/>
            </c:ext>
          </c:extLst>
        </c:ser>
        <c:ser>
          <c:idx val="16"/>
          <c:order val="16"/>
          <c:tx>
            <c:v>Dammbalken 13</c:v>
          </c:tx>
          <c:spPr>
            <a:ln w="19050" cap="rnd">
              <a:solidFill>
                <a:schemeClr val="accent2">
                  <a:lumMod val="50000"/>
                </a:schemeClr>
              </a:solidFill>
              <a:round/>
            </a:ln>
            <a:effectLst/>
          </c:spPr>
          <c:marker>
            <c:symbol val="none"/>
          </c:marker>
          <c:xVal>
            <c:numRef>
              <c:f>Kalk1_Lastfallkombi!$L$71:$L$72</c:f>
              <c:numCache>
                <c:formatCode>0.00</c:formatCode>
                <c:ptCount val="2"/>
                <c:pt idx="0">
                  <c:v>1.98</c:v>
                </c:pt>
                <c:pt idx="1">
                  <c:v>2.02</c:v>
                </c:pt>
              </c:numCache>
            </c:numRef>
          </c:xVal>
          <c:yVal>
            <c:numRef>
              <c:f>Kalk1_Lastfallkombi!$M$71:$M$72</c:f>
              <c:numCache>
                <c:formatCode>0.00</c:formatCode>
                <c:ptCount val="2"/>
                <c:pt idx="0">
                  <c:v>0.21</c:v>
                </c:pt>
                <c:pt idx="1">
                  <c:v>0.21</c:v>
                </c:pt>
              </c:numCache>
            </c:numRef>
          </c:yVal>
          <c:smooth val="0"/>
          <c:extLst>
            <c:ext xmlns:c16="http://schemas.microsoft.com/office/drawing/2014/chart" uri="{C3380CC4-5D6E-409C-BE32-E72D297353CC}">
              <c16:uniqueId val="{00000010-8CDD-45AC-950E-2739D39148A3}"/>
            </c:ext>
          </c:extLst>
        </c:ser>
        <c:ser>
          <c:idx val="17"/>
          <c:order val="17"/>
          <c:spPr>
            <a:ln w="19050" cap="rnd">
              <a:solidFill>
                <a:schemeClr val="accent2">
                  <a:lumMod val="50000"/>
                </a:schemeClr>
              </a:solidFill>
              <a:round/>
            </a:ln>
            <a:effectLst/>
          </c:spPr>
          <c:marker>
            <c:symbol val="none"/>
          </c:marker>
          <c:xVal>
            <c:numRef>
              <c:f>Kalk1_Lastfallkombi!$L$73:$L$74</c:f>
              <c:numCache>
                <c:formatCode>0.00</c:formatCode>
                <c:ptCount val="2"/>
                <c:pt idx="0">
                  <c:v>1.98</c:v>
                </c:pt>
                <c:pt idx="1">
                  <c:v>2.02</c:v>
                </c:pt>
              </c:numCache>
            </c:numRef>
          </c:xVal>
          <c:yVal>
            <c:numRef>
              <c:f>Kalk1_Lastfallkombi!$M$73:$M$74</c:f>
              <c:numCache>
                <c:formatCode>0.00</c:formatCode>
                <c:ptCount val="2"/>
                <c:pt idx="0">
                  <c:v>0.21</c:v>
                </c:pt>
                <c:pt idx="1">
                  <c:v>0.21</c:v>
                </c:pt>
              </c:numCache>
            </c:numRef>
          </c:yVal>
          <c:smooth val="0"/>
          <c:extLst>
            <c:ext xmlns:c16="http://schemas.microsoft.com/office/drawing/2014/chart" uri="{C3380CC4-5D6E-409C-BE32-E72D297353CC}">
              <c16:uniqueId val="{00000011-8CDD-45AC-950E-2739D39148A3}"/>
            </c:ext>
          </c:extLst>
        </c:ser>
        <c:ser>
          <c:idx val="18"/>
          <c:order val="18"/>
          <c:tx>
            <c:v>Dammbalken 15</c:v>
          </c:tx>
          <c:spPr>
            <a:ln w="19050" cap="rnd">
              <a:solidFill>
                <a:schemeClr val="accent2">
                  <a:lumMod val="50000"/>
                </a:schemeClr>
              </a:solidFill>
              <a:round/>
            </a:ln>
            <a:effectLst/>
          </c:spPr>
          <c:marker>
            <c:symbol val="none"/>
          </c:marker>
          <c:xVal>
            <c:numRef>
              <c:f>Kalk1_Lastfallkombi!$L$75:$L$76</c:f>
              <c:numCache>
                <c:formatCode>0.00</c:formatCode>
                <c:ptCount val="2"/>
                <c:pt idx="0">
                  <c:v>1.98</c:v>
                </c:pt>
                <c:pt idx="1">
                  <c:v>2.02</c:v>
                </c:pt>
              </c:numCache>
            </c:numRef>
          </c:xVal>
          <c:yVal>
            <c:numRef>
              <c:f>Kalk1_Lastfallkombi!$M$75:$M$76</c:f>
              <c:numCache>
                <c:formatCode>0.00</c:formatCode>
                <c:ptCount val="2"/>
                <c:pt idx="0">
                  <c:v>0.21</c:v>
                </c:pt>
                <c:pt idx="1">
                  <c:v>0.21</c:v>
                </c:pt>
              </c:numCache>
            </c:numRef>
          </c:yVal>
          <c:smooth val="0"/>
          <c:extLst>
            <c:ext xmlns:c16="http://schemas.microsoft.com/office/drawing/2014/chart" uri="{C3380CC4-5D6E-409C-BE32-E72D297353CC}">
              <c16:uniqueId val="{00000012-8CDD-45AC-950E-2739D39148A3}"/>
            </c:ext>
          </c:extLst>
        </c:ser>
        <c:ser>
          <c:idx val="19"/>
          <c:order val="19"/>
          <c:tx>
            <c:v>Dammbalken 16</c:v>
          </c:tx>
          <c:spPr>
            <a:ln w="19050" cap="rnd">
              <a:solidFill>
                <a:schemeClr val="accent2">
                  <a:lumMod val="50000"/>
                </a:schemeClr>
              </a:solidFill>
              <a:round/>
            </a:ln>
            <a:effectLst/>
          </c:spPr>
          <c:marker>
            <c:symbol val="none"/>
          </c:marker>
          <c:xVal>
            <c:numRef>
              <c:f>Kalk1_Lastfallkombi!$L$77:$L$78</c:f>
              <c:numCache>
                <c:formatCode>0.00</c:formatCode>
                <c:ptCount val="2"/>
                <c:pt idx="0">
                  <c:v>1.98</c:v>
                </c:pt>
                <c:pt idx="1">
                  <c:v>2.02</c:v>
                </c:pt>
              </c:numCache>
            </c:numRef>
          </c:xVal>
          <c:yVal>
            <c:numRef>
              <c:f>Kalk1_Lastfallkombi!$M$77:$M$78</c:f>
              <c:numCache>
                <c:formatCode>0.00</c:formatCode>
                <c:ptCount val="2"/>
                <c:pt idx="0">
                  <c:v>0.21</c:v>
                </c:pt>
                <c:pt idx="1">
                  <c:v>0.21</c:v>
                </c:pt>
              </c:numCache>
            </c:numRef>
          </c:yVal>
          <c:smooth val="0"/>
          <c:extLst>
            <c:ext xmlns:c16="http://schemas.microsoft.com/office/drawing/2014/chart" uri="{C3380CC4-5D6E-409C-BE32-E72D297353CC}">
              <c16:uniqueId val="{00000013-8CDD-45AC-950E-2739D39148A3}"/>
            </c:ext>
          </c:extLst>
        </c:ser>
        <c:ser>
          <c:idx val="20"/>
          <c:order val="20"/>
          <c:tx>
            <c:v>Anprall BHW</c:v>
          </c:tx>
          <c:spPr>
            <a:ln w="19050" cap="rnd">
              <a:solidFill>
                <a:schemeClr val="accent3">
                  <a:lumMod val="75000"/>
                </a:schemeClr>
              </a:solidFill>
              <a:round/>
            </a:ln>
            <a:effectLst/>
          </c:spPr>
          <c:marker>
            <c:symbol val="none"/>
          </c:marker>
          <c:xVal>
            <c:numRef>
              <c:f>Kalk1_Lastfallkombi!$L$103:$L$107</c:f>
              <c:numCache>
                <c:formatCode>0.00</c:formatCode>
                <c:ptCount val="5"/>
                <c:pt idx="0">
                  <c:v>1.7</c:v>
                </c:pt>
                <c:pt idx="1">
                  <c:v>1.7</c:v>
                </c:pt>
                <c:pt idx="2">
                  <c:v>1.65</c:v>
                </c:pt>
                <c:pt idx="3">
                  <c:v>1.65</c:v>
                </c:pt>
                <c:pt idx="4">
                  <c:v>1.7</c:v>
                </c:pt>
              </c:numCache>
            </c:numRef>
          </c:xVal>
          <c:yVal>
            <c:numRef>
              <c:f>Kalk1_Lastfallkombi!$M$103:$M$107</c:f>
              <c:numCache>
                <c:formatCode>0.00</c:formatCode>
                <c:ptCount val="5"/>
                <c:pt idx="0" formatCode="General">
                  <c:v>0</c:v>
                </c:pt>
                <c:pt idx="1">
                  <c:v>0.25</c:v>
                </c:pt>
                <c:pt idx="2">
                  <c:v>0.25</c:v>
                </c:pt>
                <c:pt idx="3">
                  <c:v>-0.25</c:v>
                </c:pt>
                <c:pt idx="4">
                  <c:v>-0.25</c:v>
                </c:pt>
              </c:numCache>
            </c:numRef>
          </c:yVal>
          <c:smooth val="0"/>
          <c:extLst>
            <c:ext xmlns:c16="http://schemas.microsoft.com/office/drawing/2014/chart" uri="{C3380CC4-5D6E-409C-BE32-E72D297353CC}">
              <c16:uniqueId val="{00000014-8CDD-45AC-950E-2739D39148A3}"/>
            </c:ext>
          </c:extLst>
        </c:ser>
        <c:ser>
          <c:idx val="21"/>
          <c:order val="21"/>
          <c:tx>
            <c:v>Volleinstau</c:v>
          </c:tx>
          <c:spPr>
            <a:ln w="38100" cap="rnd">
              <a:solidFill>
                <a:srgbClr val="0070C0"/>
              </a:solidFill>
              <a:prstDash val="sysDash"/>
              <a:round/>
            </a:ln>
            <a:effectLst/>
          </c:spPr>
          <c:marker>
            <c:symbol val="none"/>
          </c:marker>
          <c:xVal>
            <c:numRef>
              <c:f>Kalk1_Lastfallkombi!$L$108:$L$109</c:f>
              <c:numCache>
                <c:formatCode>General</c:formatCode>
                <c:ptCount val="2"/>
                <c:pt idx="0">
                  <c:v>0</c:v>
                </c:pt>
                <c:pt idx="1">
                  <c:v>2</c:v>
                </c:pt>
              </c:numCache>
            </c:numRef>
          </c:xVal>
          <c:yVal>
            <c:numRef>
              <c:f>Kalk1_Lastfallkombi!$M$108:$M$109</c:f>
              <c:numCache>
                <c:formatCode>0.00</c:formatCode>
                <c:ptCount val="2"/>
                <c:pt idx="0">
                  <c:v>2.5000000000000001E-2</c:v>
                </c:pt>
                <c:pt idx="1">
                  <c:v>2.5000000000000001E-2</c:v>
                </c:pt>
              </c:numCache>
            </c:numRef>
          </c:yVal>
          <c:smooth val="0"/>
          <c:extLst>
            <c:ext xmlns:c16="http://schemas.microsoft.com/office/drawing/2014/chart" uri="{C3380CC4-5D6E-409C-BE32-E72D297353CC}">
              <c16:uniqueId val="{00000015-8CDD-45AC-950E-2739D39148A3}"/>
            </c:ext>
          </c:extLst>
        </c:ser>
        <c:ser>
          <c:idx val="22"/>
          <c:order val="22"/>
          <c:tx>
            <c:v>Wasserdruck Volleinstau</c:v>
          </c:tx>
          <c:spPr>
            <a:ln w="19050" cap="rnd">
              <a:solidFill>
                <a:schemeClr val="accent1">
                  <a:lumMod val="60000"/>
                  <a:lumOff val="40000"/>
                </a:schemeClr>
              </a:solidFill>
              <a:prstDash val="dash"/>
              <a:round/>
            </a:ln>
            <a:effectLst/>
          </c:spPr>
          <c:marker>
            <c:symbol val="none"/>
          </c:marker>
          <c:xVal>
            <c:numRef>
              <c:f>Kalk1_Lastfallkombi!$L$111:$L$114</c:f>
              <c:numCache>
                <c:formatCode>0.00</c:formatCode>
                <c:ptCount val="4"/>
                <c:pt idx="0">
                  <c:v>1.2999999999999998</c:v>
                </c:pt>
                <c:pt idx="1">
                  <c:v>1.2999999999999998</c:v>
                </c:pt>
                <c:pt idx="2">
                  <c:v>1.2999999999999998</c:v>
                </c:pt>
                <c:pt idx="3">
                  <c:v>1.2969624999999998</c:v>
                </c:pt>
              </c:numCache>
            </c:numRef>
          </c:xVal>
          <c:yVal>
            <c:numRef>
              <c:f>Kalk1_Lastfallkombi!$M$111:$M$114</c:f>
              <c:numCache>
                <c:formatCode>0.00</c:formatCode>
                <c:ptCount val="4"/>
                <c:pt idx="0">
                  <c:v>0</c:v>
                </c:pt>
                <c:pt idx="1">
                  <c:v>2.5000000000000001E-2</c:v>
                </c:pt>
                <c:pt idx="2">
                  <c:v>2.5000000000000001E-2</c:v>
                </c:pt>
                <c:pt idx="3">
                  <c:v>0</c:v>
                </c:pt>
              </c:numCache>
            </c:numRef>
          </c:yVal>
          <c:smooth val="0"/>
          <c:extLst>
            <c:ext xmlns:c16="http://schemas.microsoft.com/office/drawing/2014/chart" uri="{C3380CC4-5D6E-409C-BE32-E72D297353CC}">
              <c16:uniqueId val="{00000016-8CDD-45AC-950E-2739D39148A3}"/>
            </c:ext>
          </c:extLst>
        </c:ser>
        <c:ser>
          <c:idx val="23"/>
          <c:order val="23"/>
          <c:tx>
            <c:v>Anprall Volleinstau</c:v>
          </c:tx>
          <c:spPr>
            <a:ln w="19050" cap="rnd">
              <a:solidFill>
                <a:schemeClr val="accent3">
                  <a:lumMod val="75000"/>
                </a:schemeClr>
              </a:solidFill>
              <a:prstDash val="dash"/>
              <a:round/>
            </a:ln>
            <a:effectLst/>
          </c:spPr>
          <c:marker>
            <c:symbol val="none"/>
          </c:marker>
          <c:xVal>
            <c:numRef>
              <c:f>Kalk1_Lastfallkombi!$L$116:$L$120</c:f>
              <c:numCache>
                <c:formatCode>0.00</c:formatCode>
                <c:ptCount val="5"/>
                <c:pt idx="0">
                  <c:v>1.1969624999999997</c:v>
                </c:pt>
                <c:pt idx="1">
                  <c:v>1.1969624999999997</c:v>
                </c:pt>
                <c:pt idx="2">
                  <c:v>1.1469624999999997</c:v>
                </c:pt>
                <c:pt idx="3">
                  <c:v>1.1469624999999997</c:v>
                </c:pt>
                <c:pt idx="4">
                  <c:v>1.1969624999999997</c:v>
                </c:pt>
              </c:numCache>
            </c:numRef>
          </c:xVal>
          <c:yVal>
            <c:numRef>
              <c:f>Kalk1_Lastfallkombi!$M$116:$M$120</c:f>
              <c:numCache>
                <c:formatCode>0.00</c:formatCode>
                <c:ptCount val="5"/>
                <c:pt idx="0" formatCode="General">
                  <c:v>0</c:v>
                </c:pt>
                <c:pt idx="1">
                  <c:v>2.5000000000000001E-2</c:v>
                </c:pt>
                <c:pt idx="2">
                  <c:v>2.5000000000000001E-2</c:v>
                </c:pt>
                <c:pt idx="3">
                  <c:v>-0.47499999999999998</c:v>
                </c:pt>
                <c:pt idx="4">
                  <c:v>-0.47499999999999998</c:v>
                </c:pt>
              </c:numCache>
            </c:numRef>
          </c:yVal>
          <c:smooth val="0"/>
          <c:extLst>
            <c:ext xmlns:c16="http://schemas.microsoft.com/office/drawing/2014/chart" uri="{C3380CC4-5D6E-409C-BE32-E72D297353CC}">
              <c16:uniqueId val="{00000017-8CDD-45AC-950E-2739D39148A3}"/>
            </c:ext>
          </c:extLst>
        </c:ser>
        <c:ser>
          <c:idx val="24"/>
          <c:order val="24"/>
          <c:tx>
            <c:v>Dammbalken 17</c:v>
          </c:tx>
          <c:spPr>
            <a:ln w="19050" cap="rnd">
              <a:solidFill>
                <a:schemeClr val="accent2">
                  <a:lumMod val="50000"/>
                </a:schemeClr>
              </a:solidFill>
              <a:round/>
            </a:ln>
            <a:effectLst/>
          </c:spPr>
          <c:marker>
            <c:symbol val="none"/>
          </c:marker>
          <c:xVal>
            <c:numRef>
              <c:f>Kalk1_Lastfallkombi!$L$79:$L$80</c:f>
              <c:numCache>
                <c:formatCode>0.00</c:formatCode>
                <c:ptCount val="2"/>
                <c:pt idx="0">
                  <c:v>1.98</c:v>
                </c:pt>
                <c:pt idx="1">
                  <c:v>2.02</c:v>
                </c:pt>
              </c:numCache>
            </c:numRef>
          </c:xVal>
          <c:yVal>
            <c:numRef>
              <c:f>Kalk1_Lastfallkombi!$M$79:$M$80</c:f>
              <c:numCache>
                <c:formatCode>0.00</c:formatCode>
                <c:ptCount val="2"/>
                <c:pt idx="0">
                  <c:v>0.21</c:v>
                </c:pt>
                <c:pt idx="1">
                  <c:v>0.21</c:v>
                </c:pt>
              </c:numCache>
            </c:numRef>
          </c:yVal>
          <c:smooth val="0"/>
          <c:extLst>
            <c:ext xmlns:c16="http://schemas.microsoft.com/office/drawing/2014/chart" uri="{C3380CC4-5D6E-409C-BE32-E72D297353CC}">
              <c16:uniqueId val="{00000018-8CDD-45AC-950E-2739D39148A3}"/>
            </c:ext>
          </c:extLst>
        </c:ser>
        <c:ser>
          <c:idx val="25"/>
          <c:order val="25"/>
          <c:tx>
            <c:v>Dammbalken 18</c:v>
          </c:tx>
          <c:spPr>
            <a:ln w="19050" cap="rnd">
              <a:solidFill>
                <a:schemeClr val="accent2">
                  <a:lumMod val="50000"/>
                </a:schemeClr>
              </a:solidFill>
              <a:round/>
            </a:ln>
            <a:effectLst/>
          </c:spPr>
          <c:marker>
            <c:symbol val="none"/>
          </c:marker>
          <c:xVal>
            <c:numRef>
              <c:f>Kalk1_Lastfallkombi!$L$81:$L$82</c:f>
              <c:numCache>
                <c:formatCode>0.00</c:formatCode>
                <c:ptCount val="2"/>
                <c:pt idx="0">
                  <c:v>1.98</c:v>
                </c:pt>
                <c:pt idx="1">
                  <c:v>2.02</c:v>
                </c:pt>
              </c:numCache>
            </c:numRef>
          </c:xVal>
          <c:yVal>
            <c:numRef>
              <c:f>Kalk1_Lastfallkombi!$M$81:$M$82</c:f>
              <c:numCache>
                <c:formatCode>0.00</c:formatCode>
                <c:ptCount val="2"/>
                <c:pt idx="0">
                  <c:v>0.21</c:v>
                </c:pt>
                <c:pt idx="1">
                  <c:v>0.21</c:v>
                </c:pt>
              </c:numCache>
            </c:numRef>
          </c:yVal>
          <c:smooth val="0"/>
          <c:extLst>
            <c:ext xmlns:c16="http://schemas.microsoft.com/office/drawing/2014/chart" uri="{C3380CC4-5D6E-409C-BE32-E72D297353CC}">
              <c16:uniqueId val="{00000019-8CDD-45AC-950E-2739D39148A3}"/>
            </c:ext>
          </c:extLst>
        </c:ser>
        <c:ser>
          <c:idx val="26"/>
          <c:order val="26"/>
          <c:tx>
            <c:v>Dammbalken 19</c:v>
          </c:tx>
          <c:spPr>
            <a:ln w="19050" cap="rnd">
              <a:solidFill>
                <a:schemeClr val="accent2">
                  <a:lumMod val="50000"/>
                </a:schemeClr>
              </a:solidFill>
              <a:round/>
            </a:ln>
            <a:effectLst/>
          </c:spPr>
          <c:marker>
            <c:symbol val="none"/>
          </c:marker>
          <c:xVal>
            <c:numRef>
              <c:f>Kalk1_Lastfallkombi!$L$83:$L$84</c:f>
              <c:numCache>
                <c:formatCode>0.00</c:formatCode>
                <c:ptCount val="2"/>
                <c:pt idx="0">
                  <c:v>1.98</c:v>
                </c:pt>
                <c:pt idx="1">
                  <c:v>2.02</c:v>
                </c:pt>
              </c:numCache>
            </c:numRef>
          </c:xVal>
          <c:yVal>
            <c:numRef>
              <c:f>Kalk1_Lastfallkombi!$M$83:$M$84</c:f>
              <c:numCache>
                <c:formatCode>0.00</c:formatCode>
                <c:ptCount val="2"/>
                <c:pt idx="0">
                  <c:v>0.21</c:v>
                </c:pt>
                <c:pt idx="1">
                  <c:v>0.21</c:v>
                </c:pt>
              </c:numCache>
            </c:numRef>
          </c:yVal>
          <c:smooth val="0"/>
          <c:extLst>
            <c:ext xmlns:c16="http://schemas.microsoft.com/office/drawing/2014/chart" uri="{C3380CC4-5D6E-409C-BE32-E72D297353CC}">
              <c16:uniqueId val="{0000001A-8CDD-45AC-950E-2739D39148A3}"/>
            </c:ext>
          </c:extLst>
        </c:ser>
        <c:ser>
          <c:idx val="27"/>
          <c:order val="27"/>
          <c:tx>
            <c:v>Dammbalken 20</c:v>
          </c:tx>
          <c:spPr>
            <a:ln w="19050" cap="rnd">
              <a:solidFill>
                <a:schemeClr val="accent2">
                  <a:lumMod val="50000"/>
                </a:schemeClr>
              </a:solidFill>
              <a:round/>
            </a:ln>
            <a:effectLst/>
          </c:spPr>
          <c:marker>
            <c:symbol val="none"/>
          </c:marker>
          <c:xVal>
            <c:numRef>
              <c:f>Kalk1_Lastfallkombi!$L$85:$L$86</c:f>
              <c:numCache>
                <c:formatCode>0.00</c:formatCode>
                <c:ptCount val="2"/>
                <c:pt idx="0">
                  <c:v>1.98</c:v>
                </c:pt>
                <c:pt idx="1">
                  <c:v>2.02</c:v>
                </c:pt>
              </c:numCache>
            </c:numRef>
          </c:xVal>
          <c:yVal>
            <c:numRef>
              <c:f>Kalk1_Lastfallkombi!$M$85:$M$86</c:f>
              <c:numCache>
                <c:formatCode>0.00</c:formatCode>
                <c:ptCount val="2"/>
                <c:pt idx="0">
                  <c:v>0.21</c:v>
                </c:pt>
                <c:pt idx="1">
                  <c:v>0.21</c:v>
                </c:pt>
              </c:numCache>
            </c:numRef>
          </c:yVal>
          <c:smooth val="0"/>
          <c:extLst>
            <c:ext xmlns:c16="http://schemas.microsoft.com/office/drawing/2014/chart" uri="{C3380CC4-5D6E-409C-BE32-E72D297353CC}">
              <c16:uniqueId val="{0000001B-8CDD-45AC-950E-2739D39148A3}"/>
            </c:ext>
          </c:extLst>
        </c:ser>
        <c:ser>
          <c:idx val="28"/>
          <c:order val="28"/>
          <c:tx>
            <c:v>Dammbalken 21</c:v>
          </c:tx>
          <c:spPr>
            <a:ln w="19050" cap="rnd">
              <a:solidFill>
                <a:schemeClr val="accent2">
                  <a:lumMod val="50000"/>
                </a:schemeClr>
              </a:solidFill>
              <a:round/>
            </a:ln>
            <a:effectLst/>
          </c:spPr>
          <c:marker>
            <c:symbol val="none"/>
          </c:marker>
          <c:xVal>
            <c:numRef>
              <c:f>Kalk1_Lastfallkombi!$L$87:$L$88</c:f>
              <c:numCache>
                <c:formatCode>0.00</c:formatCode>
                <c:ptCount val="2"/>
                <c:pt idx="0">
                  <c:v>1.98</c:v>
                </c:pt>
                <c:pt idx="1">
                  <c:v>2.02</c:v>
                </c:pt>
              </c:numCache>
            </c:numRef>
          </c:xVal>
          <c:yVal>
            <c:numRef>
              <c:f>Kalk1_Lastfallkombi!$M$87:$M$88</c:f>
              <c:numCache>
                <c:formatCode>0.00</c:formatCode>
                <c:ptCount val="2"/>
                <c:pt idx="0">
                  <c:v>0.21</c:v>
                </c:pt>
                <c:pt idx="1">
                  <c:v>0.21</c:v>
                </c:pt>
              </c:numCache>
            </c:numRef>
          </c:yVal>
          <c:smooth val="0"/>
          <c:extLst>
            <c:ext xmlns:c16="http://schemas.microsoft.com/office/drawing/2014/chart" uri="{C3380CC4-5D6E-409C-BE32-E72D297353CC}">
              <c16:uniqueId val="{0000001C-8CDD-45AC-950E-2739D39148A3}"/>
            </c:ext>
          </c:extLst>
        </c:ser>
        <c:ser>
          <c:idx val="29"/>
          <c:order val="29"/>
          <c:tx>
            <c:v>Dammbalken 22</c:v>
          </c:tx>
          <c:spPr>
            <a:ln w="19050" cap="rnd">
              <a:solidFill>
                <a:schemeClr val="accent2">
                  <a:lumMod val="50000"/>
                </a:schemeClr>
              </a:solidFill>
              <a:round/>
            </a:ln>
            <a:effectLst/>
          </c:spPr>
          <c:marker>
            <c:symbol val="none"/>
          </c:marker>
          <c:xVal>
            <c:numRef>
              <c:f>Kalk1_Lastfallkombi!$L$89:$L$90</c:f>
              <c:numCache>
                <c:formatCode>0.00</c:formatCode>
                <c:ptCount val="2"/>
                <c:pt idx="0">
                  <c:v>1.98</c:v>
                </c:pt>
                <c:pt idx="1">
                  <c:v>2.02</c:v>
                </c:pt>
              </c:numCache>
            </c:numRef>
          </c:xVal>
          <c:yVal>
            <c:numRef>
              <c:f>Kalk1_Lastfallkombi!$M$89:$M$90</c:f>
              <c:numCache>
                <c:formatCode>0.00</c:formatCode>
                <c:ptCount val="2"/>
                <c:pt idx="0">
                  <c:v>0.21</c:v>
                </c:pt>
                <c:pt idx="1">
                  <c:v>0.21</c:v>
                </c:pt>
              </c:numCache>
            </c:numRef>
          </c:yVal>
          <c:smooth val="0"/>
          <c:extLst>
            <c:ext xmlns:c16="http://schemas.microsoft.com/office/drawing/2014/chart" uri="{C3380CC4-5D6E-409C-BE32-E72D297353CC}">
              <c16:uniqueId val="{0000001D-8CDD-45AC-950E-2739D39148A3}"/>
            </c:ext>
          </c:extLst>
        </c:ser>
        <c:ser>
          <c:idx val="30"/>
          <c:order val="30"/>
          <c:tx>
            <c:v>Dammbalken 23</c:v>
          </c:tx>
          <c:spPr>
            <a:ln w="19050" cap="rnd">
              <a:solidFill>
                <a:schemeClr val="accent2">
                  <a:lumMod val="50000"/>
                </a:schemeClr>
              </a:solidFill>
              <a:round/>
            </a:ln>
            <a:effectLst/>
          </c:spPr>
          <c:marker>
            <c:symbol val="none"/>
          </c:marker>
          <c:xVal>
            <c:numRef>
              <c:f>Kalk1_Lastfallkombi!$L$91:$L$92</c:f>
              <c:numCache>
                <c:formatCode>0.00</c:formatCode>
                <c:ptCount val="2"/>
                <c:pt idx="0">
                  <c:v>1.98</c:v>
                </c:pt>
                <c:pt idx="1">
                  <c:v>2.02</c:v>
                </c:pt>
              </c:numCache>
            </c:numRef>
          </c:xVal>
          <c:yVal>
            <c:numRef>
              <c:f>Kalk1_Lastfallkombi!$M$91:$M$92</c:f>
              <c:numCache>
                <c:formatCode>0.00</c:formatCode>
                <c:ptCount val="2"/>
                <c:pt idx="0">
                  <c:v>0.21</c:v>
                </c:pt>
                <c:pt idx="1">
                  <c:v>0.21</c:v>
                </c:pt>
              </c:numCache>
            </c:numRef>
          </c:yVal>
          <c:smooth val="0"/>
          <c:extLst>
            <c:ext xmlns:c16="http://schemas.microsoft.com/office/drawing/2014/chart" uri="{C3380CC4-5D6E-409C-BE32-E72D297353CC}">
              <c16:uniqueId val="{0000001E-8CDD-45AC-950E-2739D39148A3}"/>
            </c:ext>
          </c:extLst>
        </c:ser>
        <c:ser>
          <c:idx val="31"/>
          <c:order val="31"/>
          <c:tx>
            <c:v>Dammbalken 24</c:v>
          </c:tx>
          <c:spPr>
            <a:ln w="19050" cap="rnd">
              <a:solidFill>
                <a:schemeClr val="accent2">
                  <a:lumMod val="50000"/>
                </a:schemeClr>
              </a:solidFill>
              <a:round/>
            </a:ln>
            <a:effectLst/>
          </c:spPr>
          <c:marker>
            <c:symbol val="none"/>
          </c:marker>
          <c:xVal>
            <c:numRef>
              <c:f>Kalk1_Lastfallkombi!$L$93:$L$94</c:f>
              <c:numCache>
                <c:formatCode>0.00</c:formatCode>
                <c:ptCount val="2"/>
                <c:pt idx="0">
                  <c:v>1.98</c:v>
                </c:pt>
                <c:pt idx="1">
                  <c:v>2.02</c:v>
                </c:pt>
              </c:numCache>
            </c:numRef>
          </c:xVal>
          <c:yVal>
            <c:numRef>
              <c:f>Kalk1_Lastfallkombi!$M$93:$M$94</c:f>
              <c:numCache>
                <c:formatCode>0.00</c:formatCode>
                <c:ptCount val="2"/>
                <c:pt idx="0">
                  <c:v>0.21</c:v>
                </c:pt>
                <c:pt idx="1">
                  <c:v>0.21</c:v>
                </c:pt>
              </c:numCache>
            </c:numRef>
          </c:yVal>
          <c:smooth val="0"/>
          <c:extLst>
            <c:ext xmlns:c16="http://schemas.microsoft.com/office/drawing/2014/chart" uri="{C3380CC4-5D6E-409C-BE32-E72D297353CC}">
              <c16:uniqueId val="{0000001F-8CDD-45AC-950E-2739D39148A3}"/>
            </c:ext>
          </c:extLst>
        </c:ser>
        <c:dLbls>
          <c:showLegendKey val="0"/>
          <c:showVal val="0"/>
          <c:showCatName val="0"/>
          <c:showSerName val="0"/>
          <c:showPercent val="0"/>
          <c:showBubbleSize val="0"/>
        </c:dLbls>
        <c:axId val="1192709887"/>
        <c:axId val="1192714463"/>
      </c:scatterChart>
      <c:valAx>
        <c:axId val="1192709887"/>
        <c:scaling>
          <c:orientation val="minMax"/>
        </c:scaling>
        <c:delete val="1"/>
        <c:axPos val="b"/>
        <c:numFmt formatCode="General" sourceLinked="1"/>
        <c:majorTickMark val="none"/>
        <c:minorTickMark val="none"/>
        <c:tickLblPos val="nextTo"/>
        <c:crossAx val="1192714463"/>
        <c:crosses val="autoZero"/>
        <c:crossBetween val="midCat"/>
      </c:valAx>
      <c:valAx>
        <c:axId val="1192714463"/>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9270988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Balken 1</c:v>
          </c:tx>
          <c:spPr>
            <a:ln w="57150" cap="rnd">
              <a:solidFill>
                <a:schemeClr val="accent2">
                  <a:lumMod val="75000"/>
                </a:schemeClr>
              </a:solidFill>
              <a:round/>
            </a:ln>
            <a:effectLst/>
          </c:spPr>
          <c:marker>
            <c:symbol val="none"/>
          </c:marker>
          <c:xVal>
            <c:numRef>
              <c:f>Kalk2_Lastfallkombi!$L$42:$L$43</c:f>
              <c:numCache>
                <c:formatCode>General</c:formatCode>
                <c:ptCount val="2"/>
                <c:pt idx="0">
                  <c:v>2</c:v>
                </c:pt>
                <c:pt idx="1">
                  <c:v>2</c:v>
                </c:pt>
              </c:numCache>
            </c:numRef>
          </c:xVal>
          <c:yVal>
            <c:numRef>
              <c:f>Kalk2_Lastfallkombi!$M$42:$M$43</c:f>
              <c:numCache>
                <c:formatCode>0.00</c:formatCode>
                <c:ptCount val="2"/>
                <c:pt idx="0" formatCode="General">
                  <c:v>0</c:v>
                </c:pt>
                <c:pt idx="1">
                  <c:v>2.5000000000000001E-2</c:v>
                </c:pt>
              </c:numCache>
            </c:numRef>
          </c:yVal>
          <c:smooth val="0"/>
          <c:extLst>
            <c:ext xmlns:c16="http://schemas.microsoft.com/office/drawing/2014/chart" uri="{C3380CC4-5D6E-409C-BE32-E72D297353CC}">
              <c16:uniqueId val="{00000000-9546-4410-8E8D-5A4EA352057A}"/>
            </c:ext>
          </c:extLst>
        </c:ser>
        <c:ser>
          <c:idx val="1"/>
          <c:order val="1"/>
          <c:tx>
            <c:v>BHW 1</c:v>
          </c:tx>
          <c:spPr>
            <a:ln w="38100" cap="rnd">
              <a:solidFill>
                <a:srgbClr val="0070C0"/>
              </a:solidFill>
              <a:round/>
            </a:ln>
            <a:effectLst/>
          </c:spPr>
          <c:marker>
            <c:symbol val="none"/>
          </c:marker>
          <c:xVal>
            <c:numRef>
              <c:f>Kalk2_Lastfallkombi!$L$44:$L$45</c:f>
              <c:numCache>
                <c:formatCode>General</c:formatCode>
                <c:ptCount val="2"/>
                <c:pt idx="0">
                  <c:v>0</c:v>
                </c:pt>
                <c:pt idx="1">
                  <c:v>2</c:v>
                </c:pt>
              </c:numCache>
            </c:numRef>
          </c:xVal>
          <c:yVal>
            <c:numRef>
              <c:f>Kalk2_Lastfallkombi!$M$44:$M$45</c:f>
              <c:numCache>
                <c:formatCode>0.00</c:formatCode>
                <c:ptCount val="2"/>
                <c:pt idx="0">
                  <c:v>0</c:v>
                </c:pt>
                <c:pt idx="1">
                  <c:v>0</c:v>
                </c:pt>
              </c:numCache>
            </c:numRef>
          </c:yVal>
          <c:smooth val="0"/>
          <c:extLst>
            <c:ext xmlns:c16="http://schemas.microsoft.com/office/drawing/2014/chart" uri="{C3380CC4-5D6E-409C-BE32-E72D297353CC}">
              <c16:uniqueId val="{00000001-9546-4410-8E8D-5A4EA352057A}"/>
            </c:ext>
          </c:extLst>
        </c:ser>
        <c:ser>
          <c:idx val="2"/>
          <c:order val="2"/>
          <c:tx>
            <c:v>Grund</c:v>
          </c:tx>
          <c:spPr>
            <a:ln w="38100" cap="rnd">
              <a:solidFill>
                <a:schemeClr val="tx1">
                  <a:lumMod val="95000"/>
                  <a:lumOff val="5000"/>
                </a:schemeClr>
              </a:solidFill>
              <a:round/>
            </a:ln>
            <a:effectLst/>
          </c:spPr>
          <c:marker>
            <c:symbol val="none"/>
          </c:marker>
          <c:xVal>
            <c:numRef>
              <c:f>Kalk2_Lastfallkombi!$L$40:$L$41</c:f>
              <c:numCache>
                <c:formatCode>General</c:formatCode>
                <c:ptCount val="2"/>
                <c:pt idx="0">
                  <c:v>0</c:v>
                </c:pt>
                <c:pt idx="1">
                  <c:v>2.5</c:v>
                </c:pt>
              </c:numCache>
            </c:numRef>
          </c:xVal>
          <c:yVal>
            <c:numRef>
              <c:f>Kalk2_Lastfallkombi!$M$40:$M$41</c:f>
              <c:numCache>
                <c:formatCode>General</c:formatCode>
                <c:ptCount val="2"/>
                <c:pt idx="0">
                  <c:v>0</c:v>
                </c:pt>
                <c:pt idx="1">
                  <c:v>0</c:v>
                </c:pt>
              </c:numCache>
            </c:numRef>
          </c:yVal>
          <c:smooth val="0"/>
          <c:extLst>
            <c:ext xmlns:c16="http://schemas.microsoft.com/office/drawing/2014/chart" uri="{C3380CC4-5D6E-409C-BE32-E72D297353CC}">
              <c16:uniqueId val="{00000002-9546-4410-8E8D-5A4EA352057A}"/>
            </c:ext>
          </c:extLst>
        </c:ser>
        <c:ser>
          <c:idx val="3"/>
          <c:order val="3"/>
          <c:tx>
            <c:v>Dammbalken1</c:v>
          </c:tx>
          <c:spPr>
            <a:ln w="19050" cap="rnd">
              <a:solidFill>
                <a:schemeClr val="accent2">
                  <a:lumMod val="50000"/>
                </a:schemeClr>
              </a:solidFill>
              <a:round/>
            </a:ln>
            <a:effectLst/>
          </c:spPr>
          <c:marker>
            <c:symbol val="none"/>
          </c:marker>
          <c:xVal>
            <c:numRef>
              <c:f>Kalk2_Lastfallkombi!$L$47:$L$48</c:f>
              <c:numCache>
                <c:formatCode>0.00</c:formatCode>
                <c:ptCount val="2"/>
                <c:pt idx="0">
                  <c:v>1.98</c:v>
                </c:pt>
                <c:pt idx="1">
                  <c:v>2.02</c:v>
                </c:pt>
              </c:numCache>
            </c:numRef>
          </c:xVal>
          <c:yVal>
            <c:numRef>
              <c:f>Kalk2_Lastfallkombi!$M$47:$M$48</c:f>
              <c:numCache>
                <c:formatCode>0.00</c:formatCode>
                <c:ptCount val="2"/>
                <c:pt idx="0">
                  <c:v>0.21</c:v>
                </c:pt>
                <c:pt idx="1">
                  <c:v>0.21</c:v>
                </c:pt>
              </c:numCache>
            </c:numRef>
          </c:yVal>
          <c:smooth val="0"/>
          <c:extLst>
            <c:ext xmlns:c16="http://schemas.microsoft.com/office/drawing/2014/chart" uri="{C3380CC4-5D6E-409C-BE32-E72D297353CC}">
              <c16:uniqueId val="{00000003-9546-4410-8E8D-5A4EA352057A}"/>
            </c:ext>
          </c:extLst>
        </c:ser>
        <c:ser>
          <c:idx val="4"/>
          <c:order val="4"/>
          <c:tx>
            <c:v>Dammbalken 2</c:v>
          </c:tx>
          <c:spPr>
            <a:ln w="19050" cap="rnd">
              <a:solidFill>
                <a:schemeClr val="accent2">
                  <a:lumMod val="50000"/>
                </a:schemeClr>
              </a:solidFill>
              <a:round/>
            </a:ln>
            <a:effectLst/>
          </c:spPr>
          <c:marker>
            <c:symbol val="none"/>
          </c:marker>
          <c:xVal>
            <c:numRef>
              <c:f>Kalk2_Lastfallkombi!$L$49:$L$50</c:f>
              <c:numCache>
                <c:formatCode>0.00</c:formatCode>
                <c:ptCount val="2"/>
                <c:pt idx="0">
                  <c:v>1.98</c:v>
                </c:pt>
                <c:pt idx="1">
                  <c:v>2.02</c:v>
                </c:pt>
              </c:numCache>
            </c:numRef>
          </c:xVal>
          <c:yVal>
            <c:numRef>
              <c:f>Kalk2_Lastfallkombi!$M$49:$M$50</c:f>
              <c:numCache>
                <c:formatCode>0.00</c:formatCode>
                <c:ptCount val="2"/>
                <c:pt idx="0">
                  <c:v>0.21</c:v>
                </c:pt>
                <c:pt idx="1">
                  <c:v>0.21</c:v>
                </c:pt>
              </c:numCache>
            </c:numRef>
          </c:yVal>
          <c:smooth val="0"/>
          <c:extLst>
            <c:ext xmlns:c16="http://schemas.microsoft.com/office/drawing/2014/chart" uri="{C3380CC4-5D6E-409C-BE32-E72D297353CC}">
              <c16:uniqueId val="{00000004-9546-4410-8E8D-5A4EA352057A}"/>
            </c:ext>
          </c:extLst>
        </c:ser>
        <c:ser>
          <c:idx val="5"/>
          <c:order val="5"/>
          <c:tx>
            <c:v>Dammbalken 3</c:v>
          </c:tx>
          <c:spPr>
            <a:ln w="19050" cap="rnd">
              <a:solidFill>
                <a:schemeClr val="accent2">
                  <a:lumMod val="50000"/>
                </a:schemeClr>
              </a:solidFill>
              <a:round/>
            </a:ln>
            <a:effectLst/>
          </c:spPr>
          <c:marker>
            <c:symbol val="none"/>
          </c:marker>
          <c:xVal>
            <c:numRef>
              <c:f>Kalk2_Lastfallkombi!$L$51:$L$52</c:f>
              <c:numCache>
                <c:formatCode>0.00</c:formatCode>
                <c:ptCount val="2"/>
                <c:pt idx="0">
                  <c:v>1.98</c:v>
                </c:pt>
                <c:pt idx="1">
                  <c:v>2.02</c:v>
                </c:pt>
              </c:numCache>
            </c:numRef>
          </c:xVal>
          <c:yVal>
            <c:numRef>
              <c:f>Kalk2_Lastfallkombi!$M$51:$M$52</c:f>
              <c:numCache>
                <c:formatCode>0.00</c:formatCode>
                <c:ptCount val="2"/>
                <c:pt idx="0">
                  <c:v>0.21</c:v>
                </c:pt>
                <c:pt idx="1">
                  <c:v>0.21</c:v>
                </c:pt>
              </c:numCache>
            </c:numRef>
          </c:yVal>
          <c:smooth val="0"/>
          <c:extLst>
            <c:ext xmlns:c16="http://schemas.microsoft.com/office/drawing/2014/chart" uri="{C3380CC4-5D6E-409C-BE32-E72D297353CC}">
              <c16:uniqueId val="{00000005-9546-4410-8E8D-5A4EA352057A}"/>
            </c:ext>
          </c:extLst>
        </c:ser>
        <c:ser>
          <c:idx val="6"/>
          <c:order val="6"/>
          <c:tx>
            <c:v>Dammbalken 4</c:v>
          </c:tx>
          <c:spPr>
            <a:ln w="19050" cap="rnd">
              <a:solidFill>
                <a:schemeClr val="accent2">
                  <a:lumMod val="50000"/>
                </a:schemeClr>
              </a:solidFill>
              <a:round/>
            </a:ln>
            <a:effectLst/>
          </c:spPr>
          <c:marker>
            <c:symbol val="none"/>
          </c:marker>
          <c:xVal>
            <c:numRef>
              <c:f>Kalk2_Lastfallkombi!$L$53:$L$54</c:f>
              <c:numCache>
                <c:formatCode>0.00</c:formatCode>
                <c:ptCount val="2"/>
                <c:pt idx="0">
                  <c:v>1.98</c:v>
                </c:pt>
                <c:pt idx="1">
                  <c:v>2.02</c:v>
                </c:pt>
              </c:numCache>
            </c:numRef>
          </c:xVal>
          <c:yVal>
            <c:numRef>
              <c:f>Kalk2_Lastfallkombi!$M$53:$M$54</c:f>
              <c:numCache>
                <c:formatCode>0.00</c:formatCode>
                <c:ptCount val="2"/>
                <c:pt idx="0">
                  <c:v>0.21</c:v>
                </c:pt>
                <c:pt idx="1">
                  <c:v>0.21</c:v>
                </c:pt>
              </c:numCache>
            </c:numRef>
          </c:yVal>
          <c:smooth val="0"/>
          <c:extLst>
            <c:ext xmlns:c16="http://schemas.microsoft.com/office/drawing/2014/chart" uri="{C3380CC4-5D6E-409C-BE32-E72D297353CC}">
              <c16:uniqueId val="{00000006-9546-4410-8E8D-5A4EA352057A}"/>
            </c:ext>
          </c:extLst>
        </c:ser>
        <c:ser>
          <c:idx val="7"/>
          <c:order val="7"/>
          <c:tx>
            <c:v>Dammbalken 5</c:v>
          </c:tx>
          <c:spPr>
            <a:ln w="19050" cap="rnd">
              <a:solidFill>
                <a:schemeClr val="accent2">
                  <a:lumMod val="60000"/>
                </a:schemeClr>
              </a:solidFill>
              <a:round/>
            </a:ln>
            <a:effectLst/>
          </c:spPr>
          <c:marker>
            <c:symbol val="none"/>
          </c:marker>
          <c:xVal>
            <c:numRef>
              <c:f>Kalk2_Lastfallkombi!$L$55:$L$56</c:f>
              <c:numCache>
                <c:formatCode>0.00</c:formatCode>
                <c:ptCount val="2"/>
                <c:pt idx="0">
                  <c:v>1.98</c:v>
                </c:pt>
                <c:pt idx="1">
                  <c:v>2.02</c:v>
                </c:pt>
              </c:numCache>
            </c:numRef>
          </c:xVal>
          <c:yVal>
            <c:numRef>
              <c:f>Kalk2_Lastfallkombi!$M$55:$M$56</c:f>
              <c:numCache>
                <c:formatCode>0.00</c:formatCode>
                <c:ptCount val="2"/>
                <c:pt idx="0">
                  <c:v>0.21</c:v>
                </c:pt>
                <c:pt idx="1">
                  <c:v>0.21</c:v>
                </c:pt>
              </c:numCache>
            </c:numRef>
          </c:yVal>
          <c:smooth val="0"/>
          <c:extLst>
            <c:ext xmlns:c16="http://schemas.microsoft.com/office/drawing/2014/chart" uri="{C3380CC4-5D6E-409C-BE32-E72D297353CC}">
              <c16:uniqueId val="{00000007-9546-4410-8E8D-5A4EA352057A}"/>
            </c:ext>
          </c:extLst>
        </c:ser>
        <c:ser>
          <c:idx val="8"/>
          <c:order val="8"/>
          <c:tx>
            <c:v>Dammbalken 6</c:v>
          </c:tx>
          <c:spPr>
            <a:ln w="19050" cap="rnd">
              <a:solidFill>
                <a:schemeClr val="accent2">
                  <a:lumMod val="50000"/>
                </a:schemeClr>
              </a:solidFill>
              <a:round/>
            </a:ln>
            <a:effectLst/>
          </c:spPr>
          <c:marker>
            <c:symbol val="none"/>
          </c:marker>
          <c:xVal>
            <c:numRef>
              <c:f>Kalk2_Lastfallkombi!$L$57:$L$58</c:f>
              <c:numCache>
                <c:formatCode>0.00</c:formatCode>
                <c:ptCount val="2"/>
                <c:pt idx="0">
                  <c:v>1.98</c:v>
                </c:pt>
                <c:pt idx="1">
                  <c:v>2.02</c:v>
                </c:pt>
              </c:numCache>
            </c:numRef>
          </c:xVal>
          <c:yVal>
            <c:numRef>
              <c:f>Kalk2_Lastfallkombi!$M$57:$M$58</c:f>
              <c:numCache>
                <c:formatCode>0.00</c:formatCode>
                <c:ptCount val="2"/>
                <c:pt idx="0">
                  <c:v>0.21</c:v>
                </c:pt>
                <c:pt idx="1">
                  <c:v>0.21</c:v>
                </c:pt>
              </c:numCache>
            </c:numRef>
          </c:yVal>
          <c:smooth val="0"/>
          <c:extLst>
            <c:ext xmlns:c16="http://schemas.microsoft.com/office/drawing/2014/chart" uri="{C3380CC4-5D6E-409C-BE32-E72D297353CC}">
              <c16:uniqueId val="{00000008-9546-4410-8E8D-5A4EA352057A}"/>
            </c:ext>
          </c:extLst>
        </c:ser>
        <c:ser>
          <c:idx val="9"/>
          <c:order val="9"/>
          <c:tx>
            <c:v>Dammbalken 7</c:v>
          </c:tx>
          <c:spPr>
            <a:ln w="19050" cap="rnd">
              <a:solidFill>
                <a:schemeClr val="accent2">
                  <a:lumMod val="50000"/>
                </a:schemeClr>
              </a:solidFill>
              <a:round/>
            </a:ln>
            <a:effectLst/>
          </c:spPr>
          <c:marker>
            <c:symbol val="none"/>
          </c:marker>
          <c:xVal>
            <c:numRef>
              <c:f>Kalk2_Lastfallkombi!$L$59:$L$60</c:f>
              <c:numCache>
                <c:formatCode>0.00</c:formatCode>
                <c:ptCount val="2"/>
                <c:pt idx="0">
                  <c:v>1.98</c:v>
                </c:pt>
                <c:pt idx="1">
                  <c:v>2.02</c:v>
                </c:pt>
              </c:numCache>
            </c:numRef>
          </c:xVal>
          <c:yVal>
            <c:numRef>
              <c:f>Kalk2_Lastfallkombi!$M$59:$M$60</c:f>
              <c:numCache>
                <c:formatCode>0.00</c:formatCode>
                <c:ptCount val="2"/>
                <c:pt idx="0">
                  <c:v>0.21</c:v>
                </c:pt>
                <c:pt idx="1">
                  <c:v>0.21</c:v>
                </c:pt>
              </c:numCache>
            </c:numRef>
          </c:yVal>
          <c:smooth val="0"/>
          <c:extLst>
            <c:ext xmlns:c16="http://schemas.microsoft.com/office/drawing/2014/chart" uri="{C3380CC4-5D6E-409C-BE32-E72D297353CC}">
              <c16:uniqueId val="{00000009-9546-4410-8E8D-5A4EA352057A}"/>
            </c:ext>
          </c:extLst>
        </c:ser>
        <c:ser>
          <c:idx val="10"/>
          <c:order val="10"/>
          <c:tx>
            <c:v>Dammbalken 8</c:v>
          </c:tx>
          <c:spPr>
            <a:ln w="19050" cap="rnd">
              <a:solidFill>
                <a:schemeClr val="accent2">
                  <a:lumMod val="50000"/>
                </a:schemeClr>
              </a:solidFill>
              <a:round/>
            </a:ln>
            <a:effectLst/>
          </c:spPr>
          <c:marker>
            <c:symbol val="none"/>
          </c:marker>
          <c:xVal>
            <c:numRef>
              <c:f>Kalk2_Lastfallkombi!$L$61:$L$62</c:f>
              <c:numCache>
                <c:formatCode>0.00</c:formatCode>
                <c:ptCount val="2"/>
                <c:pt idx="0">
                  <c:v>1.98</c:v>
                </c:pt>
                <c:pt idx="1">
                  <c:v>2.02</c:v>
                </c:pt>
              </c:numCache>
            </c:numRef>
          </c:xVal>
          <c:yVal>
            <c:numRef>
              <c:f>Kalk2_Lastfallkombi!$M$61:$M$62</c:f>
              <c:numCache>
                <c:formatCode>0.00</c:formatCode>
                <c:ptCount val="2"/>
                <c:pt idx="0">
                  <c:v>0.21</c:v>
                </c:pt>
                <c:pt idx="1">
                  <c:v>0.21</c:v>
                </c:pt>
              </c:numCache>
            </c:numRef>
          </c:yVal>
          <c:smooth val="0"/>
          <c:extLst>
            <c:ext xmlns:c16="http://schemas.microsoft.com/office/drawing/2014/chart" uri="{C3380CC4-5D6E-409C-BE32-E72D297353CC}">
              <c16:uniqueId val="{0000000A-9546-4410-8E8D-5A4EA352057A}"/>
            </c:ext>
          </c:extLst>
        </c:ser>
        <c:ser>
          <c:idx val="11"/>
          <c:order val="11"/>
          <c:tx>
            <c:v>Dammbalken 9</c:v>
          </c:tx>
          <c:spPr>
            <a:ln w="19050" cap="rnd">
              <a:solidFill>
                <a:schemeClr val="accent2">
                  <a:lumMod val="50000"/>
                </a:schemeClr>
              </a:solidFill>
              <a:round/>
            </a:ln>
            <a:effectLst/>
          </c:spPr>
          <c:marker>
            <c:symbol val="none"/>
          </c:marker>
          <c:xVal>
            <c:numRef>
              <c:f>Kalk2_Lastfallkombi!$L$63:$L$64</c:f>
              <c:numCache>
                <c:formatCode>0.00</c:formatCode>
                <c:ptCount val="2"/>
                <c:pt idx="0">
                  <c:v>1.98</c:v>
                </c:pt>
                <c:pt idx="1">
                  <c:v>2.02</c:v>
                </c:pt>
              </c:numCache>
            </c:numRef>
          </c:xVal>
          <c:yVal>
            <c:numRef>
              <c:f>Kalk2_Lastfallkombi!$M$63:$M$64</c:f>
              <c:numCache>
                <c:formatCode>0.00</c:formatCode>
                <c:ptCount val="2"/>
                <c:pt idx="0">
                  <c:v>0.21</c:v>
                </c:pt>
                <c:pt idx="1">
                  <c:v>0.21</c:v>
                </c:pt>
              </c:numCache>
            </c:numRef>
          </c:yVal>
          <c:smooth val="0"/>
          <c:extLst>
            <c:ext xmlns:c16="http://schemas.microsoft.com/office/drawing/2014/chart" uri="{C3380CC4-5D6E-409C-BE32-E72D297353CC}">
              <c16:uniqueId val="{0000000B-9546-4410-8E8D-5A4EA352057A}"/>
            </c:ext>
          </c:extLst>
        </c:ser>
        <c:ser>
          <c:idx val="12"/>
          <c:order val="12"/>
          <c:tx>
            <c:v>Dammbalken 10</c:v>
          </c:tx>
          <c:spPr>
            <a:ln w="19050" cap="rnd">
              <a:solidFill>
                <a:schemeClr val="accent2">
                  <a:lumMod val="50000"/>
                </a:schemeClr>
              </a:solidFill>
              <a:round/>
            </a:ln>
            <a:effectLst/>
          </c:spPr>
          <c:marker>
            <c:symbol val="none"/>
          </c:marker>
          <c:xVal>
            <c:numRef>
              <c:f>Kalk2_Lastfallkombi!$L$65:$L$66</c:f>
              <c:numCache>
                <c:formatCode>0.00</c:formatCode>
                <c:ptCount val="2"/>
                <c:pt idx="0">
                  <c:v>1.98</c:v>
                </c:pt>
                <c:pt idx="1">
                  <c:v>2.02</c:v>
                </c:pt>
              </c:numCache>
            </c:numRef>
          </c:xVal>
          <c:yVal>
            <c:numRef>
              <c:f>Kalk2_Lastfallkombi!$M$65:$M$66</c:f>
              <c:numCache>
                <c:formatCode>0.00</c:formatCode>
                <c:ptCount val="2"/>
                <c:pt idx="0">
                  <c:v>0.21</c:v>
                </c:pt>
                <c:pt idx="1">
                  <c:v>0.21</c:v>
                </c:pt>
              </c:numCache>
            </c:numRef>
          </c:yVal>
          <c:smooth val="0"/>
          <c:extLst>
            <c:ext xmlns:c16="http://schemas.microsoft.com/office/drawing/2014/chart" uri="{C3380CC4-5D6E-409C-BE32-E72D297353CC}">
              <c16:uniqueId val="{0000000C-9546-4410-8E8D-5A4EA352057A}"/>
            </c:ext>
          </c:extLst>
        </c:ser>
        <c:ser>
          <c:idx val="13"/>
          <c:order val="13"/>
          <c:tx>
            <c:v>Wasserdruck</c:v>
          </c:tx>
          <c:spPr>
            <a:ln w="19050" cap="rnd">
              <a:solidFill>
                <a:schemeClr val="accent1">
                  <a:lumMod val="60000"/>
                  <a:lumOff val="40000"/>
                </a:schemeClr>
              </a:solidFill>
              <a:round/>
            </a:ln>
            <a:effectLst/>
          </c:spPr>
          <c:marker>
            <c:symbol val="none"/>
          </c:marker>
          <c:xVal>
            <c:numRef>
              <c:f>Kalk2_Lastfallkombi!$L$98:$L$101</c:f>
              <c:numCache>
                <c:formatCode>0.00</c:formatCode>
                <c:ptCount val="4"/>
                <c:pt idx="0">
                  <c:v>1.8</c:v>
                </c:pt>
                <c:pt idx="1">
                  <c:v>1.8</c:v>
                </c:pt>
                <c:pt idx="2">
                  <c:v>1.8</c:v>
                </c:pt>
                <c:pt idx="3">
                  <c:v>1.8</c:v>
                </c:pt>
              </c:numCache>
            </c:numRef>
          </c:xVal>
          <c:yVal>
            <c:numRef>
              <c:f>Kalk2_Lastfallkombi!$M$98:$M$101</c:f>
              <c:numCache>
                <c:formatCode>0.00</c:formatCode>
                <c:ptCount val="4"/>
                <c:pt idx="0">
                  <c:v>0</c:v>
                </c:pt>
                <c:pt idx="1">
                  <c:v>0</c:v>
                </c:pt>
                <c:pt idx="2">
                  <c:v>0</c:v>
                </c:pt>
                <c:pt idx="3">
                  <c:v>0</c:v>
                </c:pt>
              </c:numCache>
            </c:numRef>
          </c:yVal>
          <c:smooth val="0"/>
          <c:extLst>
            <c:ext xmlns:c16="http://schemas.microsoft.com/office/drawing/2014/chart" uri="{C3380CC4-5D6E-409C-BE32-E72D297353CC}">
              <c16:uniqueId val="{0000000D-9546-4410-8E8D-5A4EA352057A}"/>
            </c:ext>
          </c:extLst>
        </c:ser>
        <c:ser>
          <c:idx val="14"/>
          <c:order val="14"/>
          <c:tx>
            <c:v>Dammbalken 11</c:v>
          </c:tx>
          <c:spPr>
            <a:ln w="19050" cap="rnd">
              <a:solidFill>
                <a:schemeClr val="accent2">
                  <a:lumMod val="50000"/>
                </a:schemeClr>
              </a:solidFill>
              <a:round/>
            </a:ln>
            <a:effectLst/>
          </c:spPr>
          <c:marker>
            <c:symbol val="none"/>
          </c:marker>
          <c:xVal>
            <c:numRef>
              <c:f>Kalk2_Lastfallkombi!$L$67:$L$68</c:f>
              <c:numCache>
                <c:formatCode>0.00</c:formatCode>
                <c:ptCount val="2"/>
                <c:pt idx="0">
                  <c:v>1.98</c:v>
                </c:pt>
                <c:pt idx="1">
                  <c:v>2.02</c:v>
                </c:pt>
              </c:numCache>
            </c:numRef>
          </c:xVal>
          <c:yVal>
            <c:numRef>
              <c:f>Kalk2_Lastfallkombi!$M$67:$M$68</c:f>
              <c:numCache>
                <c:formatCode>0.00</c:formatCode>
                <c:ptCount val="2"/>
                <c:pt idx="0">
                  <c:v>0.21</c:v>
                </c:pt>
                <c:pt idx="1">
                  <c:v>0.21</c:v>
                </c:pt>
              </c:numCache>
            </c:numRef>
          </c:yVal>
          <c:smooth val="0"/>
          <c:extLst>
            <c:ext xmlns:c16="http://schemas.microsoft.com/office/drawing/2014/chart" uri="{C3380CC4-5D6E-409C-BE32-E72D297353CC}">
              <c16:uniqueId val="{0000000E-9546-4410-8E8D-5A4EA352057A}"/>
            </c:ext>
          </c:extLst>
        </c:ser>
        <c:ser>
          <c:idx val="15"/>
          <c:order val="15"/>
          <c:tx>
            <c:v>Dammbalken 12</c:v>
          </c:tx>
          <c:spPr>
            <a:ln w="19050" cap="rnd">
              <a:solidFill>
                <a:schemeClr val="accent2">
                  <a:lumMod val="50000"/>
                </a:schemeClr>
              </a:solidFill>
              <a:round/>
            </a:ln>
            <a:effectLst/>
          </c:spPr>
          <c:marker>
            <c:symbol val="none"/>
          </c:marker>
          <c:xVal>
            <c:numRef>
              <c:f>Kalk2_Lastfallkombi!$L$69:$L$70</c:f>
              <c:numCache>
                <c:formatCode>0.00</c:formatCode>
                <c:ptCount val="2"/>
                <c:pt idx="0">
                  <c:v>1.98</c:v>
                </c:pt>
                <c:pt idx="1">
                  <c:v>2.02</c:v>
                </c:pt>
              </c:numCache>
            </c:numRef>
          </c:xVal>
          <c:yVal>
            <c:numRef>
              <c:f>Kalk2_Lastfallkombi!$M$69:$M$70</c:f>
              <c:numCache>
                <c:formatCode>0.00</c:formatCode>
                <c:ptCount val="2"/>
                <c:pt idx="0">
                  <c:v>0.21</c:v>
                </c:pt>
                <c:pt idx="1">
                  <c:v>0.21</c:v>
                </c:pt>
              </c:numCache>
            </c:numRef>
          </c:yVal>
          <c:smooth val="0"/>
          <c:extLst>
            <c:ext xmlns:c16="http://schemas.microsoft.com/office/drawing/2014/chart" uri="{C3380CC4-5D6E-409C-BE32-E72D297353CC}">
              <c16:uniqueId val="{0000000F-9546-4410-8E8D-5A4EA352057A}"/>
            </c:ext>
          </c:extLst>
        </c:ser>
        <c:ser>
          <c:idx val="16"/>
          <c:order val="16"/>
          <c:tx>
            <c:v>Dammbalken 13</c:v>
          </c:tx>
          <c:spPr>
            <a:ln w="19050" cap="rnd">
              <a:solidFill>
                <a:schemeClr val="accent2">
                  <a:lumMod val="50000"/>
                </a:schemeClr>
              </a:solidFill>
              <a:round/>
            </a:ln>
            <a:effectLst/>
          </c:spPr>
          <c:marker>
            <c:symbol val="none"/>
          </c:marker>
          <c:xVal>
            <c:numRef>
              <c:f>Kalk2_Lastfallkombi!$L$71:$L$72</c:f>
              <c:numCache>
                <c:formatCode>0.00</c:formatCode>
                <c:ptCount val="2"/>
                <c:pt idx="0">
                  <c:v>1.98</c:v>
                </c:pt>
                <c:pt idx="1">
                  <c:v>2.02</c:v>
                </c:pt>
              </c:numCache>
            </c:numRef>
          </c:xVal>
          <c:yVal>
            <c:numRef>
              <c:f>Kalk2_Lastfallkombi!$M$71:$M$72</c:f>
              <c:numCache>
                <c:formatCode>0.00</c:formatCode>
                <c:ptCount val="2"/>
                <c:pt idx="0">
                  <c:v>0.21</c:v>
                </c:pt>
                <c:pt idx="1">
                  <c:v>0.21</c:v>
                </c:pt>
              </c:numCache>
            </c:numRef>
          </c:yVal>
          <c:smooth val="0"/>
          <c:extLst>
            <c:ext xmlns:c16="http://schemas.microsoft.com/office/drawing/2014/chart" uri="{C3380CC4-5D6E-409C-BE32-E72D297353CC}">
              <c16:uniqueId val="{00000010-9546-4410-8E8D-5A4EA352057A}"/>
            </c:ext>
          </c:extLst>
        </c:ser>
        <c:ser>
          <c:idx val="17"/>
          <c:order val="17"/>
          <c:spPr>
            <a:ln w="19050" cap="rnd">
              <a:solidFill>
                <a:schemeClr val="accent2">
                  <a:lumMod val="50000"/>
                </a:schemeClr>
              </a:solidFill>
              <a:round/>
            </a:ln>
            <a:effectLst/>
          </c:spPr>
          <c:marker>
            <c:symbol val="none"/>
          </c:marker>
          <c:xVal>
            <c:numRef>
              <c:f>Kalk2_Lastfallkombi!$L$73:$L$74</c:f>
              <c:numCache>
                <c:formatCode>0.00</c:formatCode>
                <c:ptCount val="2"/>
                <c:pt idx="0">
                  <c:v>1.98</c:v>
                </c:pt>
                <c:pt idx="1">
                  <c:v>2.02</c:v>
                </c:pt>
              </c:numCache>
            </c:numRef>
          </c:xVal>
          <c:yVal>
            <c:numRef>
              <c:f>Kalk2_Lastfallkombi!$M$73:$M$74</c:f>
              <c:numCache>
                <c:formatCode>0.00</c:formatCode>
                <c:ptCount val="2"/>
                <c:pt idx="0">
                  <c:v>0.21</c:v>
                </c:pt>
                <c:pt idx="1">
                  <c:v>0.21</c:v>
                </c:pt>
              </c:numCache>
            </c:numRef>
          </c:yVal>
          <c:smooth val="0"/>
          <c:extLst>
            <c:ext xmlns:c16="http://schemas.microsoft.com/office/drawing/2014/chart" uri="{C3380CC4-5D6E-409C-BE32-E72D297353CC}">
              <c16:uniqueId val="{00000011-9546-4410-8E8D-5A4EA352057A}"/>
            </c:ext>
          </c:extLst>
        </c:ser>
        <c:ser>
          <c:idx val="18"/>
          <c:order val="18"/>
          <c:tx>
            <c:v>Dammbalken 15</c:v>
          </c:tx>
          <c:spPr>
            <a:ln w="19050" cap="rnd">
              <a:solidFill>
                <a:schemeClr val="accent2">
                  <a:lumMod val="50000"/>
                </a:schemeClr>
              </a:solidFill>
              <a:round/>
            </a:ln>
            <a:effectLst/>
          </c:spPr>
          <c:marker>
            <c:symbol val="none"/>
          </c:marker>
          <c:xVal>
            <c:numRef>
              <c:f>Kalk2_Lastfallkombi!$L$75:$L$76</c:f>
              <c:numCache>
                <c:formatCode>0.00</c:formatCode>
                <c:ptCount val="2"/>
                <c:pt idx="0">
                  <c:v>1.98</c:v>
                </c:pt>
                <c:pt idx="1">
                  <c:v>2.02</c:v>
                </c:pt>
              </c:numCache>
            </c:numRef>
          </c:xVal>
          <c:yVal>
            <c:numRef>
              <c:f>Kalk2_Lastfallkombi!$M$75:$M$76</c:f>
              <c:numCache>
                <c:formatCode>0.00</c:formatCode>
                <c:ptCount val="2"/>
                <c:pt idx="0">
                  <c:v>0.21</c:v>
                </c:pt>
                <c:pt idx="1">
                  <c:v>0.21</c:v>
                </c:pt>
              </c:numCache>
            </c:numRef>
          </c:yVal>
          <c:smooth val="0"/>
          <c:extLst>
            <c:ext xmlns:c16="http://schemas.microsoft.com/office/drawing/2014/chart" uri="{C3380CC4-5D6E-409C-BE32-E72D297353CC}">
              <c16:uniqueId val="{00000012-9546-4410-8E8D-5A4EA352057A}"/>
            </c:ext>
          </c:extLst>
        </c:ser>
        <c:ser>
          <c:idx val="19"/>
          <c:order val="19"/>
          <c:tx>
            <c:v>Dammbalken 16</c:v>
          </c:tx>
          <c:spPr>
            <a:ln w="19050" cap="rnd">
              <a:solidFill>
                <a:schemeClr val="accent2">
                  <a:lumMod val="50000"/>
                </a:schemeClr>
              </a:solidFill>
              <a:round/>
            </a:ln>
            <a:effectLst/>
          </c:spPr>
          <c:marker>
            <c:symbol val="none"/>
          </c:marker>
          <c:xVal>
            <c:numRef>
              <c:f>Kalk2_Lastfallkombi!$L$77:$L$78</c:f>
              <c:numCache>
                <c:formatCode>0.00</c:formatCode>
                <c:ptCount val="2"/>
                <c:pt idx="0">
                  <c:v>1.98</c:v>
                </c:pt>
                <c:pt idx="1">
                  <c:v>2.02</c:v>
                </c:pt>
              </c:numCache>
            </c:numRef>
          </c:xVal>
          <c:yVal>
            <c:numRef>
              <c:f>Kalk2_Lastfallkombi!$M$77:$M$78</c:f>
              <c:numCache>
                <c:formatCode>0.00</c:formatCode>
                <c:ptCount val="2"/>
                <c:pt idx="0">
                  <c:v>0.21</c:v>
                </c:pt>
                <c:pt idx="1">
                  <c:v>0.21</c:v>
                </c:pt>
              </c:numCache>
            </c:numRef>
          </c:yVal>
          <c:smooth val="0"/>
          <c:extLst>
            <c:ext xmlns:c16="http://schemas.microsoft.com/office/drawing/2014/chart" uri="{C3380CC4-5D6E-409C-BE32-E72D297353CC}">
              <c16:uniqueId val="{00000013-9546-4410-8E8D-5A4EA352057A}"/>
            </c:ext>
          </c:extLst>
        </c:ser>
        <c:ser>
          <c:idx val="20"/>
          <c:order val="20"/>
          <c:tx>
            <c:v>Anprall BHW</c:v>
          </c:tx>
          <c:spPr>
            <a:ln w="19050" cap="rnd">
              <a:solidFill>
                <a:schemeClr val="accent3">
                  <a:lumMod val="75000"/>
                </a:schemeClr>
              </a:solidFill>
              <a:round/>
            </a:ln>
            <a:effectLst/>
          </c:spPr>
          <c:marker>
            <c:symbol val="none"/>
          </c:marker>
          <c:xVal>
            <c:numRef>
              <c:f>Kalk2_Lastfallkombi!$L$103:$L$107</c:f>
              <c:numCache>
                <c:formatCode>0.00</c:formatCode>
                <c:ptCount val="5"/>
                <c:pt idx="0">
                  <c:v>1.7</c:v>
                </c:pt>
                <c:pt idx="1">
                  <c:v>1.7</c:v>
                </c:pt>
                <c:pt idx="2">
                  <c:v>1.65</c:v>
                </c:pt>
                <c:pt idx="3">
                  <c:v>1.65</c:v>
                </c:pt>
                <c:pt idx="4">
                  <c:v>1.7</c:v>
                </c:pt>
              </c:numCache>
            </c:numRef>
          </c:xVal>
          <c:yVal>
            <c:numRef>
              <c:f>Kalk2_Lastfallkombi!$M$103:$M$107</c:f>
              <c:numCache>
                <c:formatCode>0.00</c:formatCode>
                <c:ptCount val="5"/>
                <c:pt idx="0" formatCode="General">
                  <c:v>0</c:v>
                </c:pt>
                <c:pt idx="1">
                  <c:v>0.25</c:v>
                </c:pt>
                <c:pt idx="2">
                  <c:v>0.25</c:v>
                </c:pt>
                <c:pt idx="3">
                  <c:v>-0.25</c:v>
                </c:pt>
                <c:pt idx="4">
                  <c:v>-0.25</c:v>
                </c:pt>
              </c:numCache>
            </c:numRef>
          </c:yVal>
          <c:smooth val="0"/>
          <c:extLst>
            <c:ext xmlns:c16="http://schemas.microsoft.com/office/drawing/2014/chart" uri="{C3380CC4-5D6E-409C-BE32-E72D297353CC}">
              <c16:uniqueId val="{00000014-9546-4410-8E8D-5A4EA352057A}"/>
            </c:ext>
          </c:extLst>
        </c:ser>
        <c:ser>
          <c:idx val="21"/>
          <c:order val="21"/>
          <c:tx>
            <c:v>Volleinstau</c:v>
          </c:tx>
          <c:spPr>
            <a:ln w="38100" cap="rnd">
              <a:solidFill>
                <a:srgbClr val="0070C0"/>
              </a:solidFill>
              <a:prstDash val="sysDash"/>
              <a:round/>
            </a:ln>
            <a:effectLst/>
          </c:spPr>
          <c:marker>
            <c:symbol val="none"/>
          </c:marker>
          <c:xVal>
            <c:numRef>
              <c:f>Kalk2_Lastfallkombi!$L$108:$L$109</c:f>
              <c:numCache>
                <c:formatCode>General</c:formatCode>
                <c:ptCount val="2"/>
                <c:pt idx="0">
                  <c:v>0</c:v>
                </c:pt>
                <c:pt idx="1">
                  <c:v>2</c:v>
                </c:pt>
              </c:numCache>
            </c:numRef>
          </c:xVal>
          <c:yVal>
            <c:numRef>
              <c:f>Kalk2_Lastfallkombi!$M$108:$M$109</c:f>
              <c:numCache>
                <c:formatCode>0.00</c:formatCode>
                <c:ptCount val="2"/>
                <c:pt idx="0">
                  <c:v>2.5000000000000001E-2</c:v>
                </c:pt>
                <c:pt idx="1">
                  <c:v>2.5000000000000001E-2</c:v>
                </c:pt>
              </c:numCache>
            </c:numRef>
          </c:yVal>
          <c:smooth val="0"/>
          <c:extLst>
            <c:ext xmlns:c16="http://schemas.microsoft.com/office/drawing/2014/chart" uri="{C3380CC4-5D6E-409C-BE32-E72D297353CC}">
              <c16:uniqueId val="{00000015-9546-4410-8E8D-5A4EA352057A}"/>
            </c:ext>
          </c:extLst>
        </c:ser>
        <c:ser>
          <c:idx val="22"/>
          <c:order val="22"/>
          <c:tx>
            <c:v>Wasserdruck Volleinstau</c:v>
          </c:tx>
          <c:spPr>
            <a:ln w="19050" cap="rnd">
              <a:solidFill>
                <a:schemeClr val="accent1">
                  <a:lumMod val="60000"/>
                  <a:lumOff val="40000"/>
                </a:schemeClr>
              </a:solidFill>
              <a:prstDash val="dash"/>
              <a:round/>
            </a:ln>
            <a:effectLst/>
          </c:spPr>
          <c:marker>
            <c:symbol val="none"/>
          </c:marker>
          <c:xVal>
            <c:numRef>
              <c:f>Kalk2_Lastfallkombi!$L$111:$L$114</c:f>
              <c:numCache>
                <c:formatCode>0.00</c:formatCode>
                <c:ptCount val="4"/>
                <c:pt idx="0">
                  <c:v>1.2999999999999998</c:v>
                </c:pt>
                <c:pt idx="1">
                  <c:v>1.2999999999999998</c:v>
                </c:pt>
                <c:pt idx="2">
                  <c:v>1.2999999999999998</c:v>
                </c:pt>
                <c:pt idx="3">
                  <c:v>1.2969624999999998</c:v>
                </c:pt>
              </c:numCache>
            </c:numRef>
          </c:xVal>
          <c:yVal>
            <c:numRef>
              <c:f>Kalk2_Lastfallkombi!$M$111:$M$114</c:f>
              <c:numCache>
                <c:formatCode>0.00</c:formatCode>
                <c:ptCount val="4"/>
                <c:pt idx="0">
                  <c:v>0</c:v>
                </c:pt>
                <c:pt idx="1">
                  <c:v>2.5000000000000001E-2</c:v>
                </c:pt>
                <c:pt idx="2">
                  <c:v>2.5000000000000001E-2</c:v>
                </c:pt>
                <c:pt idx="3">
                  <c:v>0</c:v>
                </c:pt>
              </c:numCache>
            </c:numRef>
          </c:yVal>
          <c:smooth val="0"/>
          <c:extLst>
            <c:ext xmlns:c16="http://schemas.microsoft.com/office/drawing/2014/chart" uri="{C3380CC4-5D6E-409C-BE32-E72D297353CC}">
              <c16:uniqueId val="{00000016-9546-4410-8E8D-5A4EA352057A}"/>
            </c:ext>
          </c:extLst>
        </c:ser>
        <c:ser>
          <c:idx val="23"/>
          <c:order val="23"/>
          <c:tx>
            <c:v>Anprall Volleinstau</c:v>
          </c:tx>
          <c:spPr>
            <a:ln w="19050" cap="rnd">
              <a:solidFill>
                <a:schemeClr val="accent3">
                  <a:lumMod val="75000"/>
                </a:schemeClr>
              </a:solidFill>
              <a:prstDash val="dash"/>
              <a:round/>
            </a:ln>
            <a:effectLst/>
          </c:spPr>
          <c:marker>
            <c:symbol val="none"/>
          </c:marker>
          <c:xVal>
            <c:numRef>
              <c:f>Kalk2_Lastfallkombi!$L$116:$L$120</c:f>
              <c:numCache>
                <c:formatCode>0.00</c:formatCode>
                <c:ptCount val="5"/>
                <c:pt idx="0">
                  <c:v>1.1969624999999997</c:v>
                </c:pt>
                <c:pt idx="1">
                  <c:v>1.1969624999999997</c:v>
                </c:pt>
                <c:pt idx="2">
                  <c:v>1.1469624999999997</c:v>
                </c:pt>
                <c:pt idx="3">
                  <c:v>1.1469624999999997</c:v>
                </c:pt>
                <c:pt idx="4">
                  <c:v>1.1969624999999997</c:v>
                </c:pt>
              </c:numCache>
            </c:numRef>
          </c:xVal>
          <c:yVal>
            <c:numRef>
              <c:f>Kalk2_Lastfallkombi!$M$116:$M$120</c:f>
              <c:numCache>
                <c:formatCode>0.00</c:formatCode>
                <c:ptCount val="5"/>
                <c:pt idx="0" formatCode="General">
                  <c:v>0</c:v>
                </c:pt>
                <c:pt idx="1">
                  <c:v>2.5000000000000001E-2</c:v>
                </c:pt>
                <c:pt idx="2">
                  <c:v>2.5000000000000001E-2</c:v>
                </c:pt>
                <c:pt idx="3">
                  <c:v>-0.47499999999999998</c:v>
                </c:pt>
                <c:pt idx="4">
                  <c:v>-0.47499999999999998</c:v>
                </c:pt>
              </c:numCache>
            </c:numRef>
          </c:yVal>
          <c:smooth val="0"/>
          <c:extLst>
            <c:ext xmlns:c16="http://schemas.microsoft.com/office/drawing/2014/chart" uri="{C3380CC4-5D6E-409C-BE32-E72D297353CC}">
              <c16:uniqueId val="{00000017-9546-4410-8E8D-5A4EA352057A}"/>
            </c:ext>
          </c:extLst>
        </c:ser>
        <c:ser>
          <c:idx val="24"/>
          <c:order val="24"/>
          <c:tx>
            <c:v>Dammbalken 17</c:v>
          </c:tx>
          <c:spPr>
            <a:ln w="19050" cap="rnd">
              <a:solidFill>
                <a:schemeClr val="accent2">
                  <a:lumMod val="50000"/>
                </a:schemeClr>
              </a:solidFill>
              <a:round/>
            </a:ln>
            <a:effectLst/>
          </c:spPr>
          <c:marker>
            <c:symbol val="none"/>
          </c:marker>
          <c:xVal>
            <c:numRef>
              <c:f>Kalk2_Lastfallkombi!$L$79:$L$80</c:f>
              <c:numCache>
                <c:formatCode>0.00</c:formatCode>
                <c:ptCount val="2"/>
                <c:pt idx="0">
                  <c:v>1.98</c:v>
                </c:pt>
                <c:pt idx="1">
                  <c:v>2.02</c:v>
                </c:pt>
              </c:numCache>
            </c:numRef>
          </c:xVal>
          <c:yVal>
            <c:numRef>
              <c:f>Kalk2_Lastfallkombi!$M$79:$M$80</c:f>
              <c:numCache>
                <c:formatCode>0.00</c:formatCode>
                <c:ptCount val="2"/>
                <c:pt idx="0">
                  <c:v>0.21</c:v>
                </c:pt>
                <c:pt idx="1">
                  <c:v>0.21</c:v>
                </c:pt>
              </c:numCache>
            </c:numRef>
          </c:yVal>
          <c:smooth val="0"/>
          <c:extLst>
            <c:ext xmlns:c16="http://schemas.microsoft.com/office/drawing/2014/chart" uri="{C3380CC4-5D6E-409C-BE32-E72D297353CC}">
              <c16:uniqueId val="{00000018-9546-4410-8E8D-5A4EA352057A}"/>
            </c:ext>
          </c:extLst>
        </c:ser>
        <c:ser>
          <c:idx val="25"/>
          <c:order val="25"/>
          <c:tx>
            <c:v>Dammbalken 18</c:v>
          </c:tx>
          <c:spPr>
            <a:ln w="19050" cap="rnd">
              <a:solidFill>
                <a:schemeClr val="accent2">
                  <a:lumMod val="50000"/>
                </a:schemeClr>
              </a:solidFill>
              <a:round/>
            </a:ln>
            <a:effectLst/>
          </c:spPr>
          <c:marker>
            <c:symbol val="none"/>
          </c:marker>
          <c:xVal>
            <c:numRef>
              <c:f>Kalk2_Lastfallkombi!$L$81:$L$82</c:f>
              <c:numCache>
                <c:formatCode>0.00</c:formatCode>
                <c:ptCount val="2"/>
                <c:pt idx="0">
                  <c:v>1.98</c:v>
                </c:pt>
                <c:pt idx="1">
                  <c:v>2.02</c:v>
                </c:pt>
              </c:numCache>
            </c:numRef>
          </c:xVal>
          <c:yVal>
            <c:numRef>
              <c:f>Kalk2_Lastfallkombi!$M$81:$M$82</c:f>
              <c:numCache>
                <c:formatCode>0.00</c:formatCode>
                <c:ptCount val="2"/>
                <c:pt idx="0">
                  <c:v>0.21</c:v>
                </c:pt>
                <c:pt idx="1">
                  <c:v>0.21</c:v>
                </c:pt>
              </c:numCache>
            </c:numRef>
          </c:yVal>
          <c:smooth val="0"/>
          <c:extLst>
            <c:ext xmlns:c16="http://schemas.microsoft.com/office/drawing/2014/chart" uri="{C3380CC4-5D6E-409C-BE32-E72D297353CC}">
              <c16:uniqueId val="{00000019-9546-4410-8E8D-5A4EA352057A}"/>
            </c:ext>
          </c:extLst>
        </c:ser>
        <c:ser>
          <c:idx val="26"/>
          <c:order val="26"/>
          <c:tx>
            <c:v>Dammbalken 19</c:v>
          </c:tx>
          <c:spPr>
            <a:ln w="19050" cap="rnd">
              <a:solidFill>
                <a:schemeClr val="accent2">
                  <a:lumMod val="50000"/>
                </a:schemeClr>
              </a:solidFill>
              <a:round/>
            </a:ln>
            <a:effectLst/>
          </c:spPr>
          <c:marker>
            <c:symbol val="none"/>
          </c:marker>
          <c:xVal>
            <c:numRef>
              <c:f>Kalk2_Lastfallkombi!$L$83:$L$84</c:f>
              <c:numCache>
                <c:formatCode>0.00</c:formatCode>
                <c:ptCount val="2"/>
                <c:pt idx="0">
                  <c:v>1.98</c:v>
                </c:pt>
                <c:pt idx="1">
                  <c:v>2.02</c:v>
                </c:pt>
              </c:numCache>
            </c:numRef>
          </c:xVal>
          <c:yVal>
            <c:numRef>
              <c:f>Kalk2_Lastfallkombi!$M$83:$M$84</c:f>
              <c:numCache>
                <c:formatCode>0.00</c:formatCode>
                <c:ptCount val="2"/>
                <c:pt idx="0">
                  <c:v>0.21</c:v>
                </c:pt>
                <c:pt idx="1">
                  <c:v>0.21</c:v>
                </c:pt>
              </c:numCache>
            </c:numRef>
          </c:yVal>
          <c:smooth val="0"/>
          <c:extLst>
            <c:ext xmlns:c16="http://schemas.microsoft.com/office/drawing/2014/chart" uri="{C3380CC4-5D6E-409C-BE32-E72D297353CC}">
              <c16:uniqueId val="{0000001A-9546-4410-8E8D-5A4EA352057A}"/>
            </c:ext>
          </c:extLst>
        </c:ser>
        <c:ser>
          <c:idx val="27"/>
          <c:order val="27"/>
          <c:tx>
            <c:v>Dammbalken 20</c:v>
          </c:tx>
          <c:spPr>
            <a:ln w="19050" cap="rnd">
              <a:solidFill>
                <a:schemeClr val="accent2">
                  <a:lumMod val="50000"/>
                </a:schemeClr>
              </a:solidFill>
              <a:round/>
            </a:ln>
            <a:effectLst/>
          </c:spPr>
          <c:marker>
            <c:symbol val="none"/>
          </c:marker>
          <c:xVal>
            <c:numRef>
              <c:f>Kalk2_Lastfallkombi!$L$85:$L$86</c:f>
              <c:numCache>
                <c:formatCode>0.00</c:formatCode>
                <c:ptCount val="2"/>
                <c:pt idx="0">
                  <c:v>1.98</c:v>
                </c:pt>
                <c:pt idx="1">
                  <c:v>2.02</c:v>
                </c:pt>
              </c:numCache>
            </c:numRef>
          </c:xVal>
          <c:yVal>
            <c:numRef>
              <c:f>Kalk2_Lastfallkombi!$M$85:$M$86</c:f>
              <c:numCache>
                <c:formatCode>0.00</c:formatCode>
                <c:ptCount val="2"/>
                <c:pt idx="0">
                  <c:v>0.21</c:v>
                </c:pt>
                <c:pt idx="1">
                  <c:v>0.21</c:v>
                </c:pt>
              </c:numCache>
            </c:numRef>
          </c:yVal>
          <c:smooth val="0"/>
          <c:extLst>
            <c:ext xmlns:c16="http://schemas.microsoft.com/office/drawing/2014/chart" uri="{C3380CC4-5D6E-409C-BE32-E72D297353CC}">
              <c16:uniqueId val="{0000001B-9546-4410-8E8D-5A4EA352057A}"/>
            </c:ext>
          </c:extLst>
        </c:ser>
        <c:ser>
          <c:idx val="28"/>
          <c:order val="28"/>
          <c:tx>
            <c:v>Dammbalken 21</c:v>
          </c:tx>
          <c:spPr>
            <a:ln w="19050" cap="rnd">
              <a:solidFill>
                <a:schemeClr val="accent2">
                  <a:lumMod val="50000"/>
                </a:schemeClr>
              </a:solidFill>
              <a:round/>
            </a:ln>
            <a:effectLst/>
          </c:spPr>
          <c:marker>
            <c:symbol val="none"/>
          </c:marker>
          <c:xVal>
            <c:numRef>
              <c:f>Kalk2_Lastfallkombi!$L$87:$L$88</c:f>
              <c:numCache>
                <c:formatCode>0.00</c:formatCode>
                <c:ptCount val="2"/>
                <c:pt idx="0">
                  <c:v>1.98</c:v>
                </c:pt>
                <c:pt idx="1">
                  <c:v>2.02</c:v>
                </c:pt>
              </c:numCache>
            </c:numRef>
          </c:xVal>
          <c:yVal>
            <c:numRef>
              <c:f>Kalk2_Lastfallkombi!$M$87:$M$88</c:f>
              <c:numCache>
                <c:formatCode>0.00</c:formatCode>
                <c:ptCount val="2"/>
                <c:pt idx="0">
                  <c:v>0.21</c:v>
                </c:pt>
                <c:pt idx="1">
                  <c:v>0.21</c:v>
                </c:pt>
              </c:numCache>
            </c:numRef>
          </c:yVal>
          <c:smooth val="0"/>
          <c:extLst>
            <c:ext xmlns:c16="http://schemas.microsoft.com/office/drawing/2014/chart" uri="{C3380CC4-5D6E-409C-BE32-E72D297353CC}">
              <c16:uniqueId val="{0000001C-9546-4410-8E8D-5A4EA352057A}"/>
            </c:ext>
          </c:extLst>
        </c:ser>
        <c:ser>
          <c:idx val="29"/>
          <c:order val="29"/>
          <c:tx>
            <c:v>Dammbalken 22</c:v>
          </c:tx>
          <c:spPr>
            <a:ln w="19050" cap="rnd">
              <a:solidFill>
                <a:schemeClr val="accent2">
                  <a:lumMod val="50000"/>
                </a:schemeClr>
              </a:solidFill>
              <a:round/>
            </a:ln>
            <a:effectLst/>
          </c:spPr>
          <c:marker>
            <c:symbol val="none"/>
          </c:marker>
          <c:xVal>
            <c:numRef>
              <c:f>Kalk2_Lastfallkombi!$L$89:$L$90</c:f>
              <c:numCache>
                <c:formatCode>0.00</c:formatCode>
                <c:ptCount val="2"/>
                <c:pt idx="0">
                  <c:v>1.98</c:v>
                </c:pt>
                <c:pt idx="1">
                  <c:v>2.02</c:v>
                </c:pt>
              </c:numCache>
            </c:numRef>
          </c:xVal>
          <c:yVal>
            <c:numRef>
              <c:f>Kalk2_Lastfallkombi!$M$89:$M$90</c:f>
              <c:numCache>
                <c:formatCode>0.00</c:formatCode>
                <c:ptCount val="2"/>
                <c:pt idx="0">
                  <c:v>0.21</c:v>
                </c:pt>
                <c:pt idx="1">
                  <c:v>0.21</c:v>
                </c:pt>
              </c:numCache>
            </c:numRef>
          </c:yVal>
          <c:smooth val="0"/>
          <c:extLst>
            <c:ext xmlns:c16="http://schemas.microsoft.com/office/drawing/2014/chart" uri="{C3380CC4-5D6E-409C-BE32-E72D297353CC}">
              <c16:uniqueId val="{0000001D-9546-4410-8E8D-5A4EA352057A}"/>
            </c:ext>
          </c:extLst>
        </c:ser>
        <c:ser>
          <c:idx val="30"/>
          <c:order val="30"/>
          <c:tx>
            <c:v>Dammbalken 23</c:v>
          </c:tx>
          <c:spPr>
            <a:ln w="19050" cap="rnd">
              <a:solidFill>
                <a:schemeClr val="accent2">
                  <a:lumMod val="50000"/>
                </a:schemeClr>
              </a:solidFill>
              <a:round/>
            </a:ln>
            <a:effectLst/>
          </c:spPr>
          <c:marker>
            <c:symbol val="none"/>
          </c:marker>
          <c:xVal>
            <c:numRef>
              <c:f>Kalk2_Lastfallkombi!$L$91:$L$92</c:f>
              <c:numCache>
                <c:formatCode>0.00</c:formatCode>
                <c:ptCount val="2"/>
                <c:pt idx="0">
                  <c:v>1.98</c:v>
                </c:pt>
                <c:pt idx="1">
                  <c:v>2.02</c:v>
                </c:pt>
              </c:numCache>
            </c:numRef>
          </c:xVal>
          <c:yVal>
            <c:numRef>
              <c:f>Kalk2_Lastfallkombi!$M$91:$M$92</c:f>
              <c:numCache>
                <c:formatCode>0.00</c:formatCode>
                <c:ptCount val="2"/>
                <c:pt idx="0">
                  <c:v>0.21</c:v>
                </c:pt>
                <c:pt idx="1">
                  <c:v>0.21</c:v>
                </c:pt>
              </c:numCache>
            </c:numRef>
          </c:yVal>
          <c:smooth val="0"/>
          <c:extLst>
            <c:ext xmlns:c16="http://schemas.microsoft.com/office/drawing/2014/chart" uri="{C3380CC4-5D6E-409C-BE32-E72D297353CC}">
              <c16:uniqueId val="{0000001E-9546-4410-8E8D-5A4EA352057A}"/>
            </c:ext>
          </c:extLst>
        </c:ser>
        <c:ser>
          <c:idx val="31"/>
          <c:order val="31"/>
          <c:tx>
            <c:v>Dammbalken 24</c:v>
          </c:tx>
          <c:spPr>
            <a:ln w="19050" cap="rnd">
              <a:solidFill>
                <a:schemeClr val="accent2">
                  <a:lumMod val="50000"/>
                </a:schemeClr>
              </a:solidFill>
              <a:round/>
            </a:ln>
            <a:effectLst/>
          </c:spPr>
          <c:marker>
            <c:symbol val="none"/>
          </c:marker>
          <c:xVal>
            <c:numRef>
              <c:f>Kalk2_Lastfallkombi!$L$93:$L$94</c:f>
              <c:numCache>
                <c:formatCode>0.00</c:formatCode>
                <c:ptCount val="2"/>
                <c:pt idx="0">
                  <c:v>1.98</c:v>
                </c:pt>
                <c:pt idx="1">
                  <c:v>2.02</c:v>
                </c:pt>
              </c:numCache>
            </c:numRef>
          </c:xVal>
          <c:yVal>
            <c:numRef>
              <c:f>Kalk2_Lastfallkombi!$M$93:$M$94</c:f>
              <c:numCache>
                <c:formatCode>0.00</c:formatCode>
                <c:ptCount val="2"/>
                <c:pt idx="0">
                  <c:v>0.21</c:v>
                </c:pt>
                <c:pt idx="1">
                  <c:v>0.21</c:v>
                </c:pt>
              </c:numCache>
            </c:numRef>
          </c:yVal>
          <c:smooth val="0"/>
          <c:extLst>
            <c:ext xmlns:c16="http://schemas.microsoft.com/office/drawing/2014/chart" uri="{C3380CC4-5D6E-409C-BE32-E72D297353CC}">
              <c16:uniqueId val="{0000001F-9546-4410-8E8D-5A4EA352057A}"/>
            </c:ext>
          </c:extLst>
        </c:ser>
        <c:dLbls>
          <c:showLegendKey val="0"/>
          <c:showVal val="0"/>
          <c:showCatName val="0"/>
          <c:showSerName val="0"/>
          <c:showPercent val="0"/>
          <c:showBubbleSize val="0"/>
        </c:dLbls>
        <c:axId val="1192709887"/>
        <c:axId val="1192714463"/>
      </c:scatterChart>
      <c:valAx>
        <c:axId val="1192709887"/>
        <c:scaling>
          <c:orientation val="minMax"/>
        </c:scaling>
        <c:delete val="1"/>
        <c:axPos val="b"/>
        <c:numFmt formatCode="General" sourceLinked="1"/>
        <c:majorTickMark val="none"/>
        <c:minorTickMark val="none"/>
        <c:tickLblPos val="nextTo"/>
        <c:crossAx val="1192714463"/>
        <c:crosses val="autoZero"/>
        <c:crossBetween val="midCat"/>
      </c:valAx>
      <c:valAx>
        <c:axId val="1192714463"/>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9270988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Balken 1</c:v>
          </c:tx>
          <c:spPr>
            <a:ln w="57150" cap="rnd">
              <a:solidFill>
                <a:schemeClr val="accent2">
                  <a:lumMod val="75000"/>
                </a:schemeClr>
              </a:solidFill>
              <a:round/>
            </a:ln>
            <a:effectLst/>
          </c:spPr>
          <c:marker>
            <c:symbol val="none"/>
          </c:marker>
          <c:xVal>
            <c:numRef>
              <c:f>Kalk3_Lastfallkombi!$L$42:$L$43</c:f>
              <c:numCache>
                <c:formatCode>General</c:formatCode>
                <c:ptCount val="2"/>
                <c:pt idx="0">
                  <c:v>2</c:v>
                </c:pt>
                <c:pt idx="1">
                  <c:v>2</c:v>
                </c:pt>
              </c:numCache>
            </c:numRef>
          </c:xVal>
          <c:yVal>
            <c:numRef>
              <c:f>Kalk3_Lastfallkombi!$M$42:$M$43</c:f>
              <c:numCache>
                <c:formatCode>0.00</c:formatCode>
                <c:ptCount val="2"/>
                <c:pt idx="0" formatCode="General">
                  <c:v>0</c:v>
                </c:pt>
                <c:pt idx="1">
                  <c:v>2.5000000000000001E-2</c:v>
                </c:pt>
              </c:numCache>
            </c:numRef>
          </c:yVal>
          <c:smooth val="0"/>
          <c:extLst>
            <c:ext xmlns:c16="http://schemas.microsoft.com/office/drawing/2014/chart" uri="{C3380CC4-5D6E-409C-BE32-E72D297353CC}">
              <c16:uniqueId val="{00000000-6FBE-4B07-A65D-C512510112FD}"/>
            </c:ext>
          </c:extLst>
        </c:ser>
        <c:ser>
          <c:idx val="1"/>
          <c:order val="1"/>
          <c:tx>
            <c:v>BHW 1</c:v>
          </c:tx>
          <c:spPr>
            <a:ln w="38100" cap="rnd">
              <a:solidFill>
                <a:srgbClr val="0070C0"/>
              </a:solidFill>
              <a:round/>
            </a:ln>
            <a:effectLst/>
          </c:spPr>
          <c:marker>
            <c:symbol val="none"/>
          </c:marker>
          <c:xVal>
            <c:numRef>
              <c:f>Kalk3_Lastfallkombi!$L$44:$L$45</c:f>
              <c:numCache>
                <c:formatCode>General</c:formatCode>
                <c:ptCount val="2"/>
                <c:pt idx="0">
                  <c:v>0</c:v>
                </c:pt>
                <c:pt idx="1">
                  <c:v>2</c:v>
                </c:pt>
              </c:numCache>
            </c:numRef>
          </c:xVal>
          <c:yVal>
            <c:numRef>
              <c:f>Kalk3_Lastfallkombi!$M$44:$M$45</c:f>
              <c:numCache>
                <c:formatCode>0.00</c:formatCode>
                <c:ptCount val="2"/>
                <c:pt idx="0">
                  <c:v>0</c:v>
                </c:pt>
                <c:pt idx="1">
                  <c:v>0</c:v>
                </c:pt>
              </c:numCache>
            </c:numRef>
          </c:yVal>
          <c:smooth val="0"/>
          <c:extLst>
            <c:ext xmlns:c16="http://schemas.microsoft.com/office/drawing/2014/chart" uri="{C3380CC4-5D6E-409C-BE32-E72D297353CC}">
              <c16:uniqueId val="{00000001-6FBE-4B07-A65D-C512510112FD}"/>
            </c:ext>
          </c:extLst>
        </c:ser>
        <c:ser>
          <c:idx val="2"/>
          <c:order val="2"/>
          <c:tx>
            <c:v>Grund</c:v>
          </c:tx>
          <c:spPr>
            <a:ln w="38100" cap="rnd">
              <a:solidFill>
                <a:schemeClr val="tx1">
                  <a:lumMod val="95000"/>
                  <a:lumOff val="5000"/>
                </a:schemeClr>
              </a:solidFill>
              <a:round/>
            </a:ln>
            <a:effectLst/>
          </c:spPr>
          <c:marker>
            <c:symbol val="none"/>
          </c:marker>
          <c:xVal>
            <c:numRef>
              <c:f>Kalk3_Lastfallkombi!$L$40:$L$41</c:f>
              <c:numCache>
                <c:formatCode>General</c:formatCode>
                <c:ptCount val="2"/>
                <c:pt idx="0">
                  <c:v>0</c:v>
                </c:pt>
                <c:pt idx="1">
                  <c:v>2.5</c:v>
                </c:pt>
              </c:numCache>
            </c:numRef>
          </c:xVal>
          <c:yVal>
            <c:numRef>
              <c:f>Kalk3_Lastfallkombi!$M$40:$M$41</c:f>
              <c:numCache>
                <c:formatCode>General</c:formatCode>
                <c:ptCount val="2"/>
                <c:pt idx="0">
                  <c:v>0</c:v>
                </c:pt>
                <c:pt idx="1">
                  <c:v>0</c:v>
                </c:pt>
              </c:numCache>
            </c:numRef>
          </c:yVal>
          <c:smooth val="0"/>
          <c:extLst>
            <c:ext xmlns:c16="http://schemas.microsoft.com/office/drawing/2014/chart" uri="{C3380CC4-5D6E-409C-BE32-E72D297353CC}">
              <c16:uniqueId val="{00000002-6FBE-4B07-A65D-C512510112FD}"/>
            </c:ext>
          </c:extLst>
        </c:ser>
        <c:ser>
          <c:idx val="3"/>
          <c:order val="3"/>
          <c:tx>
            <c:v>Dammbalken1</c:v>
          </c:tx>
          <c:spPr>
            <a:ln w="19050" cap="rnd">
              <a:solidFill>
                <a:schemeClr val="accent2">
                  <a:lumMod val="50000"/>
                </a:schemeClr>
              </a:solidFill>
              <a:round/>
            </a:ln>
            <a:effectLst/>
          </c:spPr>
          <c:marker>
            <c:symbol val="none"/>
          </c:marker>
          <c:xVal>
            <c:numRef>
              <c:f>Kalk3_Lastfallkombi!$L$47:$L$48</c:f>
              <c:numCache>
                <c:formatCode>0.00</c:formatCode>
                <c:ptCount val="2"/>
                <c:pt idx="0">
                  <c:v>1.98</c:v>
                </c:pt>
                <c:pt idx="1">
                  <c:v>2.02</c:v>
                </c:pt>
              </c:numCache>
            </c:numRef>
          </c:xVal>
          <c:yVal>
            <c:numRef>
              <c:f>Kalk3_Lastfallkombi!$M$47:$M$48</c:f>
              <c:numCache>
                <c:formatCode>0.00</c:formatCode>
                <c:ptCount val="2"/>
                <c:pt idx="0">
                  <c:v>0.21</c:v>
                </c:pt>
                <c:pt idx="1">
                  <c:v>0.21</c:v>
                </c:pt>
              </c:numCache>
            </c:numRef>
          </c:yVal>
          <c:smooth val="0"/>
          <c:extLst>
            <c:ext xmlns:c16="http://schemas.microsoft.com/office/drawing/2014/chart" uri="{C3380CC4-5D6E-409C-BE32-E72D297353CC}">
              <c16:uniqueId val="{00000003-6FBE-4B07-A65D-C512510112FD}"/>
            </c:ext>
          </c:extLst>
        </c:ser>
        <c:ser>
          <c:idx val="4"/>
          <c:order val="4"/>
          <c:tx>
            <c:v>Dammbalken 2</c:v>
          </c:tx>
          <c:spPr>
            <a:ln w="19050" cap="rnd">
              <a:solidFill>
                <a:schemeClr val="accent2">
                  <a:lumMod val="50000"/>
                </a:schemeClr>
              </a:solidFill>
              <a:round/>
            </a:ln>
            <a:effectLst/>
          </c:spPr>
          <c:marker>
            <c:symbol val="none"/>
          </c:marker>
          <c:xVal>
            <c:numRef>
              <c:f>Kalk3_Lastfallkombi!$L$49:$L$50</c:f>
              <c:numCache>
                <c:formatCode>0.00</c:formatCode>
                <c:ptCount val="2"/>
                <c:pt idx="0">
                  <c:v>1.98</c:v>
                </c:pt>
                <c:pt idx="1">
                  <c:v>2.02</c:v>
                </c:pt>
              </c:numCache>
            </c:numRef>
          </c:xVal>
          <c:yVal>
            <c:numRef>
              <c:f>Kalk3_Lastfallkombi!$M$49:$M$50</c:f>
              <c:numCache>
                <c:formatCode>0.00</c:formatCode>
                <c:ptCount val="2"/>
                <c:pt idx="0">
                  <c:v>0.21</c:v>
                </c:pt>
                <c:pt idx="1">
                  <c:v>0.21</c:v>
                </c:pt>
              </c:numCache>
            </c:numRef>
          </c:yVal>
          <c:smooth val="0"/>
          <c:extLst>
            <c:ext xmlns:c16="http://schemas.microsoft.com/office/drawing/2014/chart" uri="{C3380CC4-5D6E-409C-BE32-E72D297353CC}">
              <c16:uniqueId val="{00000004-6FBE-4B07-A65D-C512510112FD}"/>
            </c:ext>
          </c:extLst>
        </c:ser>
        <c:ser>
          <c:idx val="5"/>
          <c:order val="5"/>
          <c:tx>
            <c:v>Dammbalken 3</c:v>
          </c:tx>
          <c:spPr>
            <a:ln w="19050" cap="rnd">
              <a:solidFill>
                <a:schemeClr val="accent2">
                  <a:lumMod val="50000"/>
                </a:schemeClr>
              </a:solidFill>
              <a:round/>
            </a:ln>
            <a:effectLst/>
          </c:spPr>
          <c:marker>
            <c:symbol val="none"/>
          </c:marker>
          <c:xVal>
            <c:numRef>
              <c:f>Kalk3_Lastfallkombi!$L$51:$L$52</c:f>
              <c:numCache>
                <c:formatCode>0.00</c:formatCode>
                <c:ptCount val="2"/>
                <c:pt idx="0">
                  <c:v>1.98</c:v>
                </c:pt>
                <c:pt idx="1">
                  <c:v>2.02</c:v>
                </c:pt>
              </c:numCache>
            </c:numRef>
          </c:xVal>
          <c:yVal>
            <c:numRef>
              <c:f>Kalk3_Lastfallkombi!$M$51:$M$52</c:f>
              <c:numCache>
                <c:formatCode>0.00</c:formatCode>
                <c:ptCount val="2"/>
                <c:pt idx="0">
                  <c:v>0.21</c:v>
                </c:pt>
                <c:pt idx="1">
                  <c:v>0.21</c:v>
                </c:pt>
              </c:numCache>
            </c:numRef>
          </c:yVal>
          <c:smooth val="0"/>
          <c:extLst>
            <c:ext xmlns:c16="http://schemas.microsoft.com/office/drawing/2014/chart" uri="{C3380CC4-5D6E-409C-BE32-E72D297353CC}">
              <c16:uniqueId val="{00000005-6FBE-4B07-A65D-C512510112FD}"/>
            </c:ext>
          </c:extLst>
        </c:ser>
        <c:ser>
          <c:idx val="6"/>
          <c:order val="6"/>
          <c:tx>
            <c:v>Dammbalken 4</c:v>
          </c:tx>
          <c:spPr>
            <a:ln w="19050" cap="rnd">
              <a:solidFill>
                <a:schemeClr val="accent2">
                  <a:lumMod val="50000"/>
                </a:schemeClr>
              </a:solidFill>
              <a:round/>
            </a:ln>
            <a:effectLst/>
          </c:spPr>
          <c:marker>
            <c:symbol val="none"/>
          </c:marker>
          <c:xVal>
            <c:numRef>
              <c:f>Kalk3_Lastfallkombi!$L$53:$L$54</c:f>
              <c:numCache>
                <c:formatCode>0.00</c:formatCode>
                <c:ptCount val="2"/>
                <c:pt idx="0">
                  <c:v>1.98</c:v>
                </c:pt>
                <c:pt idx="1">
                  <c:v>2.02</c:v>
                </c:pt>
              </c:numCache>
            </c:numRef>
          </c:xVal>
          <c:yVal>
            <c:numRef>
              <c:f>Kalk3_Lastfallkombi!$M$53:$M$54</c:f>
              <c:numCache>
                <c:formatCode>0.00</c:formatCode>
                <c:ptCount val="2"/>
                <c:pt idx="0">
                  <c:v>0.21</c:v>
                </c:pt>
                <c:pt idx="1">
                  <c:v>0.21</c:v>
                </c:pt>
              </c:numCache>
            </c:numRef>
          </c:yVal>
          <c:smooth val="0"/>
          <c:extLst>
            <c:ext xmlns:c16="http://schemas.microsoft.com/office/drawing/2014/chart" uri="{C3380CC4-5D6E-409C-BE32-E72D297353CC}">
              <c16:uniqueId val="{00000006-6FBE-4B07-A65D-C512510112FD}"/>
            </c:ext>
          </c:extLst>
        </c:ser>
        <c:ser>
          <c:idx val="7"/>
          <c:order val="7"/>
          <c:tx>
            <c:v>Dammbalken 5</c:v>
          </c:tx>
          <c:spPr>
            <a:ln w="19050" cap="rnd">
              <a:solidFill>
                <a:schemeClr val="accent2">
                  <a:lumMod val="60000"/>
                </a:schemeClr>
              </a:solidFill>
              <a:round/>
            </a:ln>
            <a:effectLst/>
          </c:spPr>
          <c:marker>
            <c:symbol val="none"/>
          </c:marker>
          <c:xVal>
            <c:numRef>
              <c:f>Kalk3_Lastfallkombi!$L$55:$L$56</c:f>
              <c:numCache>
                <c:formatCode>0.00</c:formatCode>
                <c:ptCount val="2"/>
                <c:pt idx="0">
                  <c:v>1.98</c:v>
                </c:pt>
                <c:pt idx="1">
                  <c:v>2.02</c:v>
                </c:pt>
              </c:numCache>
            </c:numRef>
          </c:xVal>
          <c:yVal>
            <c:numRef>
              <c:f>Kalk3_Lastfallkombi!$M$55:$M$56</c:f>
              <c:numCache>
                <c:formatCode>0.00</c:formatCode>
                <c:ptCount val="2"/>
                <c:pt idx="0">
                  <c:v>0.21</c:v>
                </c:pt>
                <c:pt idx="1">
                  <c:v>0.21</c:v>
                </c:pt>
              </c:numCache>
            </c:numRef>
          </c:yVal>
          <c:smooth val="0"/>
          <c:extLst>
            <c:ext xmlns:c16="http://schemas.microsoft.com/office/drawing/2014/chart" uri="{C3380CC4-5D6E-409C-BE32-E72D297353CC}">
              <c16:uniqueId val="{00000007-6FBE-4B07-A65D-C512510112FD}"/>
            </c:ext>
          </c:extLst>
        </c:ser>
        <c:ser>
          <c:idx val="8"/>
          <c:order val="8"/>
          <c:tx>
            <c:v>Dammbalken 6</c:v>
          </c:tx>
          <c:spPr>
            <a:ln w="19050" cap="rnd">
              <a:solidFill>
                <a:schemeClr val="accent2">
                  <a:lumMod val="50000"/>
                </a:schemeClr>
              </a:solidFill>
              <a:round/>
            </a:ln>
            <a:effectLst/>
          </c:spPr>
          <c:marker>
            <c:symbol val="none"/>
          </c:marker>
          <c:xVal>
            <c:numRef>
              <c:f>Kalk3_Lastfallkombi!$L$57:$L$58</c:f>
              <c:numCache>
                <c:formatCode>0.00</c:formatCode>
                <c:ptCount val="2"/>
                <c:pt idx="0">
                  <c:v>1.98</c:v>
                </c:pt>
                <c:pt idx="1">
                  <c:v>2.02</c:v>
                </c:pt>
              </c:numCache>
            </c:numRef>
          </c:xVal>
          <c:yVal>
            <c:numRef>
              <c:f>Kalk3_Lastfallkombi!$M$57:$M$58</c:f>
              <c:numCache>
                <c:formatCode>0.00</c:formatCode>
                <c:ptCount val="2"/>
                <c:pt idx="0">
                  <c:v>0.21</c:v>
                </c:pt>
                <c:pt idx="1">
                  <c:v>0.21</c:v>
                </c:pt>
              </c:numCache>
            </c:numRef>
          </c:yVal>
          <c:smooth val="0"/>
          <c:extLst>
            <c:ext xmlns:c16="http://schemas.microsoft.com/office/drawing/2014/chart" uri="{C3380CC4-5D6E-409C-BE32-E72D297353CC}">
              <c16:uniqueId val="{00000008-6FBE-4B07-A65D-C512510112FD}"/>
            </c:ext>
          </c:extLst>
        </c:ser>
        <c:ser>
          <c:idx val="9"/>
          <c:order val="9"/>
          <c:tx>
            <c:v>Dammbalken 7</c:v>
          </c:tx>
          <c:spPr>
            <a:ln w="19050" cap="rnd">
              <a:solidFill>
                <a:schemeClr val="accent2">
                  <a:lumMod val="50000"/>
                </a:schemeClr>
              </a:solidFill>
              <a:round/>
            </a:ln>
            <a:effectLst/>
          </c:spPr>
          <c:marker>
            <c:symbol val="none"/>
          </c:marker>
          <c:xVal>
            <c:numRef>
              <c:f>Kalk3_Lastfallkombi!$L$59:$L$60</c:f>
              <c:numCache>
                <c:formatCode>0.00</c:formatCode>
                <c:ptCount val="2"/>
                <c:pt idx="0">
                  <c:v>1.98</c:v>
                </c:pt>
                <c:pt idx="1">
                  <c:v>2.02</c:v>
                </c:pt>
              </c:numCache>
            </c:numRef>
          </c:xVal>
          <c:yVal>
            <c:numRef>
              <c:f>Kalk3_Lastfallkombi!$M$59:$M$60</c:f>
              <c:numCache>
                <c:formatCode>0.00</c:formatCode>
                <c:ptCount val="2"/>
                <c:pt idx="0">
                  <c:v>0.21</c:v>
                </c:pt>
                <c:pt idx="1">
                  <c:v>0.21</c:v>
                </c:pt>
              </c:numCache>
            </c:numRef>
          </c:yVal>
          <c:smooth val="0"/>
          <c:extLst>
            <c:ext xmlns:c16="http://schemas.microsoft.com/office/drawing/2014/chart" uri="{C3380CC4-5D6E-409C-BE32-E72D297353CC}">
              <c16:uniqueId val="{00000009-6FBE-4B07-A65D-C512510112FD}"/>
            </c:ext>
          </c:extLst>
        </c:ser>
        <c:ser>
          <c:idx val="10"/>
          <c:order val="10"/>
          <c:tx>
            <c:v>Dammbalken 8</c:v>
          </c:tx>
          <c:spPr>
            <a:ln w="19050" cap="rnd">
              <a:solidFill>
                <a:schemeClr val="accent2">
                  <a:lumMod val="50000"/>
                </a:schemeClr>
              </a:solidFill>
              <a:round/>
            </a:ln>
            <a:effectLst/>
          </c:spPr>
          <c:marker>
            <c:symbol val="none"/>
          </c:marker>
          <c:xVal>
            <c:numRef>
              <c:f>Kalk3_Lastfallkombi!$L$61:$L$62</c:f>
              <c:numCache>
                <c:formatCode>0.00</c:formatCode>
                <c:ptCount val="2"/>
                <c:pt idx="0">
                  <c:v>1.98</c:v>
                </c:pt>
                <c:pt idx="1">
                  <c:v>2.02</c:v>
                </c:pt>
              </c:numCache>
            </c:numRef>
          </c:xVal>
          <c:yVal>
            <c:numRef>
              <c:f>Kalk3_Lastfallkombi!$M$61:$M$62</c:f>
              <c:numCache>
                <c:formatCode>0.00</c:formatCode>
                <c:ptCount val="2"/>
                <c:pt idx="0">
                  <c:v>0.21</c:v>
                </c:pt>
                <c:pt idx="1">
                  <c:v>0.21</c:v>
                </c:pt>
              </c:numCache>
            </c:numRef>
          </c:yVal>
          <c:smooth val="0"/>
          <c:extLst>
            <c:ext xmlns:c16="http://schemas.microsoft.com/office/drawing/2014/chart" uri="{C3380CC4-5D6E-409C-BE32-E72D297353CC}">
              <c16:uniqueId val="{0000000A-6FBE-4B07-A65D-C512510112FD}"/>
            </c:ext>
          </c:extLst>
        </c:ser>
        <c:ser>
          <c:idx val="11"/>
          <c:order val="11"/>
          <c:tx>
            <c:v>Dammbalken 9</c:v>
          </c:tx>
          <c:spPr>
            <a:ln w="19050" cap="rnd">
              <a:solidFill>
                <a:schemeClr val="accent2">
                  <a:lumMod val="50000"/>
                </a:schemeClr>
              </a:solidFill>
              <a:round/>
            </a:ln>
            <a:effectLst/>
          </c:spPr>
          <c:marker>
            <c:symbol val="none"/>
          </c:marker>
          <c:xVal>
            <c:numRef>
              <c:f>Kalk3_Lastfallkombi!$L$63:$L$64</c:f>
              <c:numCache>
                <c:formatCode>0.00</c:formatCode>
                <c:ptCount val="2"/>
                <c:pt idx="0">
                  <c:v>1.98</c:v>
                </c:pt>
                <c:pt idx="1">
                  <c:v>2.02</c:v>
                </c:pt>
              </c:numCache>
            </c:numRef>
          </c:xVal>
          <c:yVal>
            <c:numRef>
              <c:f>Kalk3_Lastfallkombi!$M$63:$M$64</c:f>
              <c:numCache>
                <c:formatCode>0.00</c:formatCode>
                <c:ptCount val="2"/>
                <c:pt idx="0">
                  <c:v>0.21</c:v>
                </c:pt>
                <c:pt idx="1">
                  <c:v>0.21</c:v>
                </c:pt>
              </c:numCache>
            </c:numRef>
          </c:yVal>
          <c:smooth val="0"/>
          <c:extLst>
            <c:ext xmlns:c16="http://schemas.microsoft.com/office/drawing/2014/chart" uri="{C3380CC4-5D6E-409C-BE32-E72D297353CC}">
              <c16:uniqueId val="{0000000B-6FBE-4B07-A65D-C512510112FD}"/>
            </c:ext>
          </c:extLst>
        </c:ser>
        <c:ser>
          <c:idx val="12"/>
          <c:order val="12"/>
          <c:tx>
            <c:v>Dammbalken 10</c:v>
          </c:tx>
          <c:spPr>
            <a:ln w="19050" cap="rnd">
              <a:solidFill>
                <a:schemeClr val="accent2">
                  <a:lumMod val="50000"/>
                </a:schemeClr>
              </a:solidFill>
              <a:round/>
            </a:ln>
            <a:effectLst/>
          </c:spPr>
          <c:marker>
            <c:symbol val="none"/>
          </c:marker>
          <c:xVal>
            <c:numRef>
              <c:f>Kalk3_Lastfallkombi!$L$65:$L$66</c:f>
              <c:numCache>
                <c:formatCode>0.00</c:formatCode>
                <c:ptCount val="2"/>
                <c:pt idx="0">
                  <c:v>1.98</c:v>
                </c:pt>
                <c:pt idx="1">
                  <c:v>2.02</c:v>
                </c:pt>
              </c:numCache>
            </c:numRef>
          </c:xVal>
          <c:yVal>
            <c:numRef>
              <c:f>Kalk3_Lastfallkombi!$M$65:$M$66</c:f>
              <c:numCache>
                <c:formatCode>0.00</c:formatCode>
                <c:ptCount val="2"/>
                <c:pt idx="0">
                  <c:v>0.21</c:v>
                </c:pt>
                <c:pt idx="1">
                  <c:v>0.21</c:v>
                </c:pt>
              </c:numCache>
            </c:numRef>
          </c:yVal>
          <c:smooth val="0"/>
          <c:extLst>
            <c:ext xmlns:c16="http://schemas.microsoft.com/office/drawing/2014/chart" uri="{C3380CC4-5D6E-409C-BE32-E72D297353CC}">
              <c16:uniqueId val="{0000000C-6FBE-4B07-A65D-C512510112FD}"/>
            </c:ext>
          </c:extLst>
        </c:ser>
        <c:ser>
          <c:idx val="13"/>
          <c:order val="13"/>
          <c:tx>
            <c:v>Wasserdruck</c:v>
          </c:tx>
          <c:spPr>
            <a:ln w="19050" cap="rnd">
              <a:solidFill>
                <a:schemeClr val="accent1">
                  <a:lumMod val="60000"/>
                  <a:lumOff val="40000"/>
                </a:schemeClr>
              </a:solidFill>
              <a:round/>
            </a:ln>
            <a:effectLst/>
          </c:spPr>
          <c:marker>
            <c:symbol val="none"/>
          </c:marker>
          <c:xVal>
            <c:numRef>
              <c:f>Kalk3_Lastfallkombi!$L$98:$L$101</c:f>
              <c:numCache>
                <c:formatCode>0.00</c:formatCode>
                <c:ptCount val="4"/>
                <c:pt idx="0">
                  <c:v>1.8</c:v>
                </c:pt>
                <c:pt idx="1">
                  <c:v>1.8</c:v>
                </c:pt>
                <c:pt idx="2">
                  <c:v>1.8</c:v>
                </c:pt>
                <c:pt idx="3">
                  <c:v>1.8</c:v>
                </c:pt>
              </c:numCache>
            </c:numRef>
          </c:xVal>
          <c:yVal>
            <c:numRef>
              <c:f>Kalk3_Lastfallkombi!$M$98:$M$101</c:f>
              <c:numCache>
                <c:formatCode>0.00</c:formatCode>
                <c:ptCount val="4"/>
                <c:pt idx="0">
                  <c:v>0</c:v>
                </c:pt>
                <c:pt idx="1">
                  <c:v>0</c:v>
                </c:pt>
                <c:pt idx="2">
                  <c:v>0</c:v>
                </c:pt>
                <c:pt idx="3">
                  <c:v>0</c:v>
                </c:pt>
              </c:numCache>
            </c:numRef>
          </c:yVal>
          <c:smooth val="0"/>
          <c:extLst>
            <c:ext xmlns:c16="http://schemas.microsoft.com/office/drawing/2014/chart" uri="{C3380CC4-5D6E-409C-BE32-E72D297353CC}">
              <c16:uniqueId val="{0000000D-6FBE-4B07-A65D-C512510112FD}"/>
            </c:ext>
          </c:extLst>
        </c:ser>
        <c:ser>
          <c:idx val="14"/>
          <c:order val="14"/>
          <c:tx>
            <c:v>Dammbalken 11</c:v>
          </c:tx>
          <c:spPr>
            <a:ln w="19050" cap="rnd">
              <a:solidFill>
                <a:schemeClr val="accent2">
                  <a:lumMod val="50000"/>
                </a:schemeClr>
              </a:solidFill>
              <a:round/>
            </a:ln>
            <a:effectLst/>
          </c:spPr>
          <c:marker>
            <c:symbol val="none"/>
          </c:marker>
          <c:xVal>
            <c:numRef>
              <c:f>Kalk3_Lastfallkombi!$L$67:$L$68</c:f>
              <c:numCache>
                <c:formatCode>0.00</c:formatCode>
                <c:ptCount val="2"/>
                <c:pt idx="0">
                  <c:v>1.98</c:v>
                </c:pt>
                <c:pt idx="1">
                  <c:v>2.02</c:v>
                </c:pt>
              </c:numCache>
            </c:numRef>
          </c:xVal>
          <c:yVal>
            <c:numRef>
              <c:f>Kalk3_Lastfallkombi!$M$67:$M$68</c:f>
              <c:numCache>
                <c:formatCode>0.00</c:formatCode>
                <c:ptCount val="2"/>
                <c:pt idx="0">
                  <c:v>0.21</c:v>
                </c:pt>
                <c:pt idx="1">
                  <c:v>0.21</c:v>
                </c:pt>
              </c:numCache>
            </c:numRef>
          </c:yVal>
          <c:smooth val="0"/>
          <c:extLst>
            <c:ext xmlns:c16="http://schemas.microsoft.com/office/drawing/2014/chart" uri="{C3380CC4-5D6E-409C-BE32-E72D297353CC}">
              <c16:uniqueId val="{0000000E-6FBE-4B07-A65D-C512510112FD}"/>
            </c:ext>
          </c:extLst>
        </c:ser>
        <c:ser>
          <c:idx val="15"/>
          <c:order val="15"/>
          <c:tx>
            <c:v>Dammbalken 12</c:v>
          </c:tx>
          <c:spPr>
            <a:ln w="19050" cap="rnd">
              <a:solidFill>
                <a:schemeClr val="accent2">
                  <a:lumMod val="50000"/>
                </a:schemeClr>
              </a:solidFill>
              <a:round/>
            </a:ln>
            <a:effectLst/>
          </c:spPr>
          <c:marker>
            <c:symbol val="none"/>
          </c:marker>
          <c:xVal>
            <c:numRef>
              <c:f>Kalk3_Lastfallkombi!$L$69:$L$70</c:f>
              <c:numCache>
                <c:formatCode>0.00</c:formatCode>
                <c:ptCount val="2"/>
                <c:pt idx="0">
                  <c:v>1.98</c:v>
                </c:pt>
                <c:pt idx="1">
                  <c:v>2.02</c:v>
                </c:pt>
              </c:numCache>
            </c:numRef>
          </c:xVal>
          <c:yVal>
            <c:numRef>
              <c:f>Kalk3_Lastfallkombi!$M$69:$M$70</c:f>
              <c:numCache>
                <c:formatCode>0.00</c:formatCode>
                <c:ptCount val="2"/>
                <c:pt idx="0">
                  <c:v>0.21</c:v>
                </c:pt>
                <c:pt idx="1">
                  <c:v>0.21</c:v>
                </c:pt>
              </c:numCache>
            </c:numRef>
          </c:yVal>
          <c:smooth val="0"/>
          <c:extLst>
            <c:ext xmlns:c16="http://schemas.microsoft.com/office/drawing/2014/chart" uri="{C3380CC4-5D6E-409C-BE32-E72D297353CC}">
              <c16:uniqueId val="{0000000F-6FBE-4B07-A65D-C512510112FD}"/>
            </c:ext>
          </c:extLst>
        </c:ser>
        <c:ser>
          <c:idx val="16"/>
          <c:order val="16"/>
          <c:tx>
            <c:v>Dammbalken 13</c:v>
          </c:tx>
          <c:spPr>
            <a:ln w="19050" cap="rnd">
              <a:solidFill>
                <a:schemeClr val="accent2">
                  <a:lumMod val="50000"/>
                </a:schemeClr>
              </a:solidFill>
              <a:round/>
            </a:ln>
            <a:effectLst/>
          </c:spPr>
          <c:marker>
            <c:symbol val="none"/>
          </c:marker>
          <c:xVal>
            <c:numRef>
              <c:f>Kalk3_Lastfallkombi!$L$71:$L$72</c:f>
              <c:numCache>
                <c:formatCode>0.00</c:formatCode>
                <c:ptCount val="2"/>
                <c:pt idx="0">
                  <c:v>1.98</c:v>
                </c:pt>
                <c:pt idx="1">
                  <c:v>2.02</c:v>
                </c:pt>
              </c:numCache>
            </c:numRef>
          </c:xVal>
          <c:yVal>
            <c:numRef>
              <c:f>Kalk3_Lastfallkombi!$M$71:$M$72</c:f>
              <c:numCache>
                <c:formatCode>0.00</c:formatCode>
                <c:ptCount val="2"/>
                <c:pt idx="0">
                  <c:v>0.21</c:v>
                </c:pt>
                <c:pt idx="1">
                  <c:v>0.21</c:v>
                </c:pt>
              </c:numCache>
            </c:numRef>
          </c:yVal>
          <c:smooth val="0"/>
          <c:extLst>
            <c:ext xmlns:c16="http://schemas.microsoft.com/office/drawing/2014/chart" uri="{C3380CC4-5D6E-409C-BE32-E72D297353CC}">
              <c16:uniqueId val="{00000010-6FBE-4B07-A65D-C512510112FD}"/>
            </c:ext>
          </c:extLst>
        </c:ser>
        <c:ser>
          <c:idx val="17"/>
          <c:order val="17"/>
          <c:spPr>
            <a:ln w="19050" cap="rnd">
              <a:solidFill>
                <a:schemeClr val="accent2">
                  <a:lumMod val="50000"/>
                </a:schemeClr>
              </a:solidFill>
              <a:round/>
            </a:ln>
            <a:effectLst/>
          </c:spPr>
          <c:marker>
            <c:symbol val="none"/>
          </c:marker>
          <c:xVal>
            <c:numRef>
              <c:f>Kalk3_Lastfallkombi!$L$73:$L$74</c:f>
              <c:numCache>
                <c:formatCode>0.00</c:formatCode>
                <c:ptCount val="2"/>
                <c:pt idx="0">
                  <c:v>1.98</c:v>
                </c:pt>
                <c:pt idx="1">
                  <c:v>2.02</c:v>
                </c:pt>
              </c:numCache>
            </c:numRef>
          </c:xVal>
          <c:yVal>
            <c:numRef>
              <c:f>Kalk3_Lastfallkombi!$M$73:$M$74</c:f>
              <c:numCache>
                <c:formatCode>0.00</c:formatCode>
                <c:ptCount val="2"/>
                <c:pt idx="0">
                  <c:v>0.21</c:v>
                </c:pt>
                <c:pt idx="1">
                  <c:v>0.21</c:v>
                </c:pt>
              </c:numCache>
            </c:numRef>
          </c:yVal>
          <c:smooth val="0"/>
          <c:extLst>
            <c:ext xmlns:c16="http://schemas.microsoft.com/office/drawing/2014/chart" uri="{C3380CC4-5D6E-409C-BE32-E72D297353CC}">
              <c16:uniqueId val="{00000011-6FBE-4B07-A65D-C512510112FD}"/>
            </c:ext>
          </c:extLst>
        </c:ser>
        <c:ser>
          <c:idx val="18"/>
          <c:order val="18"/>
          <c:tx>
            <c:v>Dammbalken 15</c:v>
          </c:tx>
          <c:spPr>
            <a:ln w="19050" cap="rnd">
              <a:solidFill>
                <a:schemeClr val="accent2">
                  <a:lumMod val="50000"/>
                </a:schemeClr>
              </a:solidFill>
              <a:round/>
            </a:ln>
            <a:effectLst/>
          </c:spPr>
          <c:marker>
            <c:symbol val="none"/>
          </c:marker>
          <c:xVal>
            <c:numRef>
              <c:f>Kalk3_Lastfallkombi!$L$75:$L$76</c:f>
              <c:numCache>
                <c:formatCode>0.00</c:formatCode>
                <c:ptCount val="2"/>
                <c:pt idx="0">
                  <c:v>1.98</c:v>
                </c:pt>
                <c:pt idx="1">
                  <c:v>2.02</c:v>
                </c:pt>
              </c:numCache>
            </c:numRef>
          </c:xVal>
          <c:yVal>
            <c:numRef>
              <c:f>Kalk3_Lastfallkombi!$M$75:$M$76</c:f>
              <c:numCache>
                <c:formatCode>0.00</c:formatCode>
                <c:ptCount val="2"/>
                <c:pt idx="0">
                  <c:v>0.21</c:v>
                </c:pt>
                <c:pt idx="1">
                  <c:v>0.21</c:v>
                </c:pt>
              </c:numCache>
            </c:numRef>
          </c:yVal>
          <c:smooth val="0"/>
          <c:extLst>
            <c:ext xmlns:c16="http://schemas.microsoft.com/office/drawing/2014/chart" uri="{C3380CC4-5D6E-409C-BE32-E72D297353CC}">
              <c16:uniqueId val="{00000012-6FBE-4B07-A65D-C512510112FD}"/>
            </c:ext>
          </c:extLst>
        </c:ser>
        <c:ser>
          <c:idx val="19"/>
          <c:order val="19"/>
          <c:tx>
            <c:v>Dammbalken 16</c:v>
          </c:tx>
          <c:spPr>
            <a:ln w="19050" cap="rnd">
              <a:solidFill>
                <a:schemeClr val="accent2">
                  <a:lumMod val="50000"/>
                </a:schemeClr>
              </a:solidFill>
              <a:round/>
            </a:ln>
            <a:effectLst/>
          </c:spPr>
          <c:marker>
            <c:symbol val="none"/>
          </c:marker>
          <c:xVal>
            <c:numRef>
              <c:f>Kalk3_Lastfallkombi!$L$77:$L$78</c:f>
              <c:numCache>
                <c:formatCode>0.00</c:formatCode>
                <c:ptCount val="2"/>
                <c:pt idx="0">
                  <c:v>1.98</c:v>
                </c:pt>
                <c:pt idx="1">
                  <c:v>2.02</c:v>
                </c:pt>
              </c:numCache>
            </c:numRef>
          </c:xVal>
          <c:yVal>
            <c:numRef>
              <c:f>Kalk3_Lastfallkombi!$M$77:$M$78</c:f>
              <c:numCache>
                <c:formatCode>0.00</c:formatCode>
                <c:ptCount val="2"/>
                <c:pt idx="0">
                  <c:v>0.21</c:v>
                </c:pt>
                <c:pt idx="1">
                  <c:v>0.21</c:v>
                </c:pt>
              </c:numCache>
            </c:numRef>
          </c:yVal>
          <c:smooth val="0"/>
          <c:extLst>
            <c:ext xmlns:c16="http://schemas.microsoft.com/office/drawing/2014/chart" uri="{C3380CC4-5D6E-409C-BE32-E72D297353CC}">
              <c16:uniqueId val="{00000013-6FBE-4B07-A65D-C512510112FD}"/>
            </c:ext>
          </c:extLst>
        </c:ser>
        <c:ser>
          <c:idx val="20"/>
          <c:order val="20"/>
          <c:tx>
            <c:v>Anprall BHW</c:v>
          </c:tx>
          <c:spPr>
            <a:ln w="19050" cap="rnd">
              <a:solidFill>
                <a:schemeClr val="accent3">
                  <a:lumMod val="75000"/>
                </a:schemeClr>
              </a:solidFill>
              <a:round/>
            </a:ln>
            <a:effectLst/>
          </c:spPr>
          <c:marker>
            <c:symbol val="none"/>
          </c:marker>
          <c:xVal>
            <c:numRef>
              <c:f>Kalk3_Lastfallkombi!$L$103:$L$107</c:f>
              <c:numCache>
                <c:formatCode>0.00</c:formatCode>
                <c:ptCount val="5"/>
                <c:pt idx="0">
                  <c:v>1.7</c:v>
                </c:pt>
                <c:pt idx="1">
                  <c:v>1.7</c:v>
                </c:pt>
                <c:pt idx="2">
                  <c:v>1.65</c:v>
                </c:pt>
                <c:pt idx="3">
                  <c:v>1.65</c:v>
                </c:pt>
                <c:pt idx="4">
                  <c:v>1.7</c:v>
                </c:pt>
              </c:numCache>
            </c:numRef>
          </c:xVal>
          <c:yVal>
            <c:numRef>
              <c:f>Kalk3_Lastfallkombi!$M$103:$M$107</c:f>
              <c:numCache>
                <c:formatCode>0.00</c:formatCode>
                <c:ptCount val="5"/>
                <c:pt idx="0" formatCode="General">
                  <c:v>0</c:v>
                </c:pt>
                <c:pt idx="1">
                  <c:v>0.25</c:v>
                </c:pt>
                <c:pt idx="2">
                  <c:v>0.25</c:v>
                </c:pt>
                <c:pt idx="3">
                  <c:v>-0.25</c:v>
                </c:pt>
                <c:pt idx="4">
                  <c:v>-0.25</c:v>
                </c:pt>
              </c:numCache>
            </c:numRef>
          </c:yVal>
          <c:smooth val="0"/>
          <c:extLst>
            <c:ext xmlns:c16="http://schemas.microsoft.com/office/drawing/2014/chart" uri="{C3380CC4-5D6E-409C-BE32-E72D297353CC}">
              <c16:uniqueId val="{00000014-6FBE-4B07-A65D-C512510112FD}"/>
            </c:ext>
          </c:extLst>
        </c:ser>
        <c:ser>
          <c:idx val="21"/>
          <c:order val="21"/>
          <c:tx>
            <c:v>Volleinstau</c:v>
          </c:tx>
          <c:spPr>
            <a:ln w="38100" cap="rnd">
              <a:solidFill>
                <a:srgbClr val="0070C0"/>
              </a:solidFill>
              <a:prstDash val="sysDash"/>
              <a:round/>
            </a:ln>
            <a:effectLst/>
          </c:spPr>
          <c:marker>
            <c:symbol val="none"/>
          </c:marker>
          <c:xVal>
            <c:numRef>
              <c:f>Kalk3_Lastfallkombi!$L$108:$L$109</c:f>
              <c:numCache>
                <c:formatCode>General</c:formatCode>
                <c:ptCount val="2"/>
                <c:pt idx="0">
                  <c:v>0</c:v>
                </c:pt>
                <c:pt idx="1">
                  <c:v>2</c:v>
                </c:pt>
              </c:numCache>
            </c:numRef>
          </c:xVal>
          <c:yVal>
            <c:numRef>
              <c:f>Kalk3_Lastfallkombi!$M$108:$M$109</c:f>
              <c:numCache>
                <c:formatCode>0.00</c:formatCode>
                <c:ptCount val="2"/>
                <c:pt idx="0">
                  <c:v>2.5000000000000001E-2</c:v>
                </c:pt>
                <c:pt idx="1">
                  <c:v>2.5000000000000001E-2</c:v>
                </c:pt>
              </c:numCache>
            </c:numRef>
          </c:yVal>
          <c:smooth val="0"/>
          <c:extLst>
            <c:ext xmlns:c16="http://schemas.microsoft.com/office/drawing/2014/chart" uri="{C3380CC4-5D6E-409C-BE32-E72D297353CC}">
              <c16:uniqueId val="{00000015-6FBE-4B07-A65D-C512510112FD}"/>
            </c:ext>
          </c:extLst>
        </c:ser>
        <c:ser>
          <c:idx val="22"/>
          <c:order val="22"/>
          <c:tx>
            <c:v>Wasserdruck Volleinstau</c:v>
          </c:tx>
          <c:spPr>
            <a:ln w="19050" cap="rnd">
              <a:solidFill>
                <a:schemeClr val="accent1">
                  <a:lumMod val="60000"/>
                  <a:lumOff val="40000"/>
                </a:schemeClr>
              </a:solidFill>
              <a:prstDash val="dash"/>
              <a:round/>
            </a:ln>
            <a:effectLst/>
          </c:spPr>
          <c:marker>
            <c:symbol val="none"/>
          </c:marker>
          <c:xVal>
            <c:numRef>
              <c:f>Kalk3_Lastfallkombi!$L$111:$L$114</c:f>
              <c:numCache>
                <c:formatCode>0.00</c:formatCode>
                <c:ptCount val="4"/>
                <c:pt idx="0">
                  <c:v>1.2999999999999998</c:v>
                </c:pt>
                <c:pt idx="1">
                  <c:v>1.2999999999999998</c:v>
                </c:pt>
                <c:pt idx="2">
                  <c:v>1.2999999999999998</c:v>
                </c:pt>
                <c:pt idx="3">
                  <c:v>1.2969624999999998</c:v>
                </c:pt>
              </c:numCache>
            </c:numRef>
          </c:xVal>
          <c:yVal>
            <c:numRef>
              <c:f>Kalk3_Lastfallkombi!$M$111:$M$114</c:f>
              <c:numCache>
                <c:formatCode>0.00</c:formatCode>
                <c:ptCount val="4"/>
                <c:pt idx="0">
                  <c:v>0</c:v>
                </c:pt>
                <c:pt idx="1">
                  <c:v>2.5000000000000001E-2</c:v>
                </c:pt>
                <c:pt idx="2">
                  <c:v>2.5000000000000001E-2</c:v>
                </c:pt>
                <c:pt idx="3">
                  <c:v>0</c:v>
                </c:pt>
              </c:numCache>
            </c:numRef>
          </c:yVal>
          <c:smooth val="0"/>
          <c:extLst>
            <c:ext xmlns:c16="http://schemas.microsoft.com/office/drawing/2014/chart" uri="{C3380CC4-5D6E-409C-BE32-E72D297353CC}">
              <c16:uniqueId val="{00000016-6FBE-4B07-A65D-C512510112FD}"/>
            </c:ext>
          </c:extLst>
        </c:ser>
        <c:ser>
          <c:idx val="23"/>
          <c:order val="23"/>
          <c:tx>
            <c:v>Anprall Volleinstau</c:v>
          </c:tx>
          <c:spPr>
            <a:ln w="19050" cap="rnd">
              <a:solidFill>
                <a:schemeClr val="accent3">
                  <a:lumMod val="75000"/>
                </a:schemeClr>
              </a:solidFill>
              <a:prstDash val="dash"/>
              <a:round/>
            </a:ln>
            <a:effectLst/>
          </c:spPr>
          <c:marker>
            <c:symbol val="none"/>
          </c:marker>
          <c:xVal>
            <c:numRef>
              <c:f>Kalk3_Lastfallkombi!$L$116:$L$120</c:f>
              <c:numCache>
                <c:formatCode>0.00</c:formatCode>
                <c:ptCount val="5"/>
                <c:pt idx="0">
                  <c:v>1.1969624999999997</c:v>
                </c:pt>
                <c:pt idx="1">
                  <c:v>1.1969624999999997</c:v>
                </c:pt>
                <c:pt idx="2">
                  <c:v>1.1469624999999997</c:v>
                </c:pt>
                <c:pt idx="3">
                  <c:v>1.1469624999999997</c:v>
                </c:pt>
                <c:pt idx="4">
                  <c:v>1.1969624999999997</c:v>
                </c:pt>
              </c:numCache>
            </c:numRef>
          </c:xVal>
          <c:yVal>
            <c:numRef>
              <c:f>Kalk3_Lastfallkombi!$M$116:$M$120</c:f>
              <c:numCache>
                <c:formatCode>0.00</c:formatCode>
                <c:ptCount val="5"/>
                <c:pt idx="0" formatCode="General">
                  <c:v>0</c:v>
                </c:pt>
                <c:pt idx="1">
                  <c:v>2.5000000000000001E-2</c:v>
                </c:pt>
                <c:pt idx="2">
                  <c:v>2.5000000000000001E-2</c:v>
                </c:pt>
                <c:pt idx="3">
                  <c:v>-0.47499999999999998</c:v>
                </c:pt>
                <c:pt idx="4">
                  <c:v>-0.47499999999999998</c:v>
                </c:pt>
              </c:numCache>
            </c:numRef>
          </c:yVal>
          <c:smooth val="0"/>
          <c:extLst>
            <c:ext xmlns:c16="http://schemas.microsoft.com/office/drawing/2014/chart" uri="{C3380CC4-5D6E-409C-BE32-E72D297353CC}">
              <c16:uniqueId val="{00000017-6FBE-4B07-A65D-C512510112FD}"/>
            </c:ext>
          </c:extLst>
        </c:ser>
        <c:ser>
          <c:idx val="24"/>
          <c:order val="24"/>
          <c:tx>
            <c:v>Dammbalken 17</c:v>
          </c:tx>
          <c:spPr>
            <a:ln w="19050" cap="rnd">
              <a:solidFill>
                <a:schemeClr val="accent2">
                  <a:lumMod val="50000"/>
                </a:schemeClr>
              </a:solidFill>
              <a:round/>
            </a:ln>
            <a:effectLst/>
          </c:spPr>
          <c:marker>
            <c:symbol val="none"/>
          </c:marker>
          <c:xVal>
            <c:numRef>
              <c:f>Kalk3_Lastfallkombi!$L$79:$L$80</c:f>
              <c:numCache>
                <c:formatCode>0.00</c:formatCode>
                <c:ptCount val="2"/>
                <c:pt idx="0">
                  <c:v>1.98</c:v>
                </c:pt>
                <c:pt idx="1">
                  <c:v>2.02</c:v>
                </c:pt>
              </c:numCache>
            </c:numRef>
          </c:xVal>
          <c:yVal>
            <c:numRef>
              <c:f>Kalk3_Lastfallkombi!$M$79:$M$80</c:f>
              <c:numCache>
                <c:formatCode>0.00</c:formatCode>
                <c:ptCount val="2"/>
                <c:pt idx="0">
                  <c:v>0.21</c:v>
                </c:pt>
                <c:pt idx="1">
                  <c:v>0.21</c:v>
                </c:pt>
              </c:numCache>
            </c:numRef>
          </c:yVal>
          <c:smooth val="0"/>
          <c:extLst>
            <c:ext xmlns:c16="http://schemas.microsoft.com/office/drawing/2014/chart" uri="{C3380CC4-5D6E-409C-BE32-E72D297353CC}">
              <c16:uniqueId val="{00000018-6FBE-4B07-A65D-C512510112FD}"/>
            </c:ext>
          </c:extLst>
        </c:ser>
        <c:ser>
          <c:idx val="25"/>
          <c:order val="25"/>
          <c:tx>
            <c:v>Dammbalken 18</c:v>
          </c:tx>
          <c:spPr>
            <a:ln w="19050" cap="rnd">
              <a:solidFill>
                <a:schemeClr val="accent2">
                  <a:lumMod val="50000"/>
                </a:schemeClr>
              </a:solidFill>
              <a:round/>
            </a:ln>
            <a:effectLst/>
          </c:spPr>
          <c:marker>
            <c:symbol val="none"/>
          </c:marker>
          <c:xVal>
            <c:numRef>
              <c:f>Kalk3_Lastfallkombi!$L$81:$L$82</c:f>
              <c:numCache>
                <c:formatCode>0.00</c:formatCode>
                <c:ptCount val="2"/>
                <c:pt idx="0">
                  <c:v>1.98</c:v>
                </c:pt>
                <c:pt idx="1">
                  <c:v>2.02</c:v>
                </c:pt>
              </c:numCache>
            </c:numRef>
          </c:xVal>
          <c:yVal>
            <c:numRef>
              <c:f>Kalk3_Lastfallkombi!$M$81:$M$82</c:f>
              <c:numCache>
                <c:formatCode>0.00</c:formatCode>
                <c:ptCount val="2"/>
                <c:pt idx="0">
                  <c:v>0.21</c:v>
                </c:pt>
                <c:pt idx="1">
                  <c:v>0.21</c:v>
                </c:pt>
              </c:numCache>
            </c:numRef>
          </c:yVal>
          <c:smooth val="0"/>
          <c:extLst>
            <c:ext xmlns:c16="http://schemas.microsoft.com/office/drawing/2014/chart" uri="{C3380CC4-5D6E-409C-BE32-E72D297353CC}">
              <c16:uniqueId val="{00000019-6FBE-4B07-A65D-C512510112FD}"/>
            </c:ext>
          </c:extLst>
        </c:ser>
        <c:ser>
          <c:idx val="26"/>
          <c:order val="26"/>
          <c:tx>
            <c:v>Dammbalken 19</c:v>
          </c:tx>
          <c:spPr>
            <a:ln w="19050" cap="rnd">
              <a:solidFill>
                <a:schemeClr val="accent2">
                  <a:lumMod val="50000"/>
                </a:schemeClr>
              </a:solidFill>
              <a:round/>
            </a:ln>
            <a:effectLst/>
          </c:spPr>
          <c:marker>
            <c:symbol val="none"/>
          </c:marker>
          <c:xVal>
            <c:numRef>
              <c:f>Kalk3_Lastfallkombi!$L$83:$L$84</c:f>
              <c:numCache>
                <c:formatCode>0.00</c:formatCode>
                <c:ptCount val="2"/>
                <c:pt idx="0">
                  <c:v>1.98</c:v>
                </c:pt>
                <c:pt idx="1">
                  <c:v>2.02</c:v>
                </c:pt>
              </c:numCache>
            </c:numRef>
          </c:xVal>
          <c:yVal>
            <c:numRef>
              <c:f>Kalk3_Lastfallkombi!$M$83:$M$84</c:f>
              <c:numCache>
                <c:formatCode>0.00</c:formatCode>
                <c:ptCount val="2"/>
                <c:pt idx="0">
                  <c:v>0.21</c:v>
                </c:pt>
                <c:pt idx="1">
                  <c:v>0.21</c:v>
                </c:pt>
              </c:numCache>
            </c:numRef>
          </c:yVal>
          <c:smooth val="0"/>
          <c:extLst>
            <c:ext xmlns:c16="http://schemas.microsoft.com/office/drawing/2014/chart" uri="{C3380CC4-5D6E-409C-BE32-E72D297353CC}">
              <c16:uniqueId val="{0000001A-6FBE-4B07-A65D-C512510112FD}"/>
            </c:ext>
          </c:extLst>
        </c:ser>
        <c:ser>
          <c:idx val="27"/>
          <c:order val="27"/>
          <c:tx>
            <c:v>Dammbalken 20</c:v>
          </c:tx>
          <c:spPr>
            <a:ln w="19050" cap="rnd">
              <a:solidFill>
                <a:schemeClr val="accent2">
                  <a:lumMod val="50000"/>
                </a:schemeClr>
              </a:solidFill>
              <a:round/>
            </a:ln>
            <a:effectLst/>
          </c:spPr>
          <c:marker>
            <c:symbol val="none"/>
          </c:marker>
          <c:xVal>
            <c:numRef>
              <c:f>Kalk3_Lastfallkombi!$L$85:$L$86</c:f>
              <c:numCache>
                <c:formatCode>0.00</c:formatCode>
                <c:ptCount val="2"/>
                <c:pt idx="0">
                  <c:v>1.98</c:v>
                </c:pt>
                <c:pt idx="1">
                  <c:v>2.02</c:v>
                </c:pt>
              </c:numCache>
            </c:numRef>
          </c:xVal>
          <c:yVal>
            <c:numRef>
              <c:f>Kalk3_Lastfallkombi!$M$85:$M$86</c:f>
              <c:numCache>
                <c:formatCode>0.00</c:formatCode>
                <c:ptCount val="2"/>
                <c:pt idx="0">
                  <c:v>0.21</c:v>
                </c:pt>
                <c:pt idx="1">
                  <c:v>0.21</c:v>
                </c:pt>
              </c:numCache>
            </c:numRef>
          </c:yVal>
          <c:smooth val="0"/>
          <c:extLst>
            <c:ext xmlns:c16="http://schemas.microsoft.com/office/drawing/2014/chart" uri="{C3380CC4-5D6E-409C-BE32-E72D297353CC}">
              <c16:uniqueId val="{0000001B-6FBE-4B07-A65D-C512510112FD}"/>
            </c:ext>
          </c:extLst>
        </c:ser>
        <c:ser>
          <c:idx val="28"/>
          <c:order val="28"/>
          <c:tx>
            <c:v>Dammbalken 21</c:v>
          </c:tx>
          <c:spPr>
            <a:ln w="19050" cap="rnd">
              <a:solidFill>
                <a:schemeClr val="accent2">
                  <a:lumMod val="50000"/>
                </a:schemeClr>
              </a:solidFill>
              <a:round/>
            </a:ln>
            <a:effectLst/>
          </c:spPr>
          <c:marker>
            <c:symbol val="none"/>
          </c:marker>
          <c:xVal>
            <c:numRef>
              <c:f>Kalk3_Lastfallkombi!$L$87:$L$88</c:f>
              <c:numCache>
                <c:formatCode>0.00</c:formatCode>
                <c:ptCount val="2"/>
                <c:pt idx="0">
                  <c:v>1.98</c:v>
                </c:pt>
                <c:pt idx="1">
                  <c:v>2.02</c:v>
                </c:pt>
              </c:numCache>
            </c:numRef>
          </c:xVal>
          <c:yVal>
            <c:numRef>
              <c:f>Kalk3_Lastfallkombi!$M$87:$M$88</c:f>
              <c:numCache>
                <c:formatCode>0.00</c:formatCode>
                <c:ptCount val="2"/>
                <c:pt idx="0">
                  <c:v>0.21</c:v>
                </c:pt>
                <c:pt idx="1">
                  <c:v>0.21</c:v>
                </c:pt>
              </c:numCache>
            </c:numRef>
          </c:yVal>
          <c:smooth val="0"/>
          <c:extLst>
            <c:ext xmlns:c16="http://schemas.microsoft.com/office/drawing/2014/chart" uri="{C3380CC4-5D6E-409C-BE32-E72D297353CC}">
              <c16:uniqueId val="{0000001C-6FBE-4B07-A65D-C512510112FD}"/>
            </c:ext>
          </c:extLst>
        </c:ser>
        <c:ser>
          <c:idx val="29"/>
          <c:order val="29"/>
          <c:tx>
            <c:v>Dammbalken 22</c:v>
          </c:tx>
          <c:spPr>
            <a:ln w="19050" cap="rnd">
              <a:solidFill>
                <a:schemeClr val="accent2">
                  <a:lumMod val="50000"/>
                </a:schemeClr>
              </a:solidFill>
              <a:round/>
            </a:ln>
            <a:effectLst/>
          </c:spPr>
          <c:marker>
            <c:symbol val="none"/>
          </c:marker>
          <c:xVal>
            <c:numRef>
              <c:f>Kalk3_Lastfallkombi!$L$89:$L$90</c:f>
              <c:numCache>
                <c:formatCode>0.00</c:formatCode>
                <c:ptCount val="2"/>
                <c:pt idx="0">
                  <c:v>1.98</c:v>
                </c:pt>
                <c:pt idx="1">
                  <c:v>2.02</c:v>
                </c:pt>
              </c:numCache>
            </c:numRef>
          </c:xVal>
          <c:yVal>
            <c:numRef>
              <c:f>Kalk3_Lastfallkombi!$M$89:$M$90</c:f>
              <c:numCache>
                <c:formatCode>0.00</c:formatCode>
                <c:ptCount val="2"/>
                <c:pt idx="0">
                  <c:v>0.21</c:v>
                </c:pt>
                <c:pt idx="1">
                  <c:v>0.21</c:v>
                </c:pt>
              </c:numCache>
            </c:numRef>
          </c:yVal>
          <c:smooth val="0"/>
          <c:extLst>
            <c:ext xmlns:c16="http://schemas.microsoft.com/office/drawing/2014/chart" uri="{C3380CC4-5D6E-409C-BE32-E72D297353CC}">
              <c16:uniqueId val="{0000001D-6FBE-4B07-A65D-C512510112FD}"/>
            </c:ext>
          </c:extLst>
        </c:ser>
        <c:ser>
          <c:idx val="30"/>
          <c:order val="30"/>
          <c:tx>
            <c:v>Dammbalken 23</c:v>
          </c:tx>
          <c:spPr>
            <a:ln w="19050" cap="rnd">
              <a:solidFill>
                <a:schemeClr val="accent2">
                  <a:lumMod val="50000"/>
                </a:schemeClr>
              </a:solidFill>
              <a:round/>
            </a:ln>
            <a:effectLst/>
          </c:spPr>
          <c:marker>
            <c:symbol val="none"/>
          </c:marker>
          <c:xVal>
            <c:numRef>
              <c:f>Kalk3_Lastfallkombi!$L$91:$L$92</c:f>
              <c:numCache>
                <c:formatCode>0.00</c:formatCode>
                <c:ptCount val="2"/>
                <c:pt idx="0">
                  <c:v>1.98</c:v>
                </c:pt>
                <c:pt idx="1">
                  <c:v>2.02</c:v>
                </c:pt>
              </c:numCache>
            </c:numRef>
          </c:xVal>
          <c:yVal>
            <c:numRef>
              <c:f>Kalk3_Lastfallkombi!$M$91:$M$92</c:f>
              <c:numCache>
                <c:formatCode>0.00</c:formatCode>
                <c:ptCount val="2"/>
                <c:pt idx="0">
                  <c:v>0.21</c:v>
                </c:pt>
                <c:pt idx="1">
                  <c:v>0.21</c:v>
                </c:pt>
              </c:numCache>
            </c:numRef>
          </c:yVal>
          <c:smooth val="0"/>
          <c:extLst>
            <c:ext xmlns:c16="http://schemas.microsoft.com/office/drawing/2014/chart" uri="{C3380CC4-5D6E-409C-BE32-E72D297353CC}">
              <c16:uniqueId val="{0000001E-6FBE-4B07-A65D-C512510112FD}"/>
            </c:ext>
          </c:extLst>
        </c:ser>
        <c:ser>
          <c:idx val="31"/>
          <c:order val="31"/>
          <c:tx>
            <c:v>Dammbalken 24</c:v>
          </c:tx>
          <c:spPr>
            <a:ln w="19050" cap="rnd">
              <a:solidFill>
                <a:schemeClr val="accent2">
                  <a:lumMod val="50000"/>
                </a:schemeClr>
              </a:solidFill>
              <a:round/>
            </a:ln>
            <a:effectLst/>
          </c:spPr>
          <c:marker>
            <c:symbol val="none"/>
          </c:marker>
          <c:xVal>
            <c:numRef>
              <c:f>Kalk3_Lastfallkombi!$L$93:$L$94</c:f>
              <c:numCache>
                <c:formatCode>0.00</c:formatCode>
                <c:ptCount val="2"/>
                <c:pt idx="0">
                  <c:v>1.98</c:v>
                </c:pt>
                <c:pt idx="1">
                  <c:v>2.02</c:v>
                </c:pt>
              </c:numCache>
            </c:numRef>
          </c:xVal>
          <c:yVal>
            <c:numRef>
              <c:f>Kalk3_Lastfallkombi!$M$93:$M$94</c:f>
              <c:numCache>
                <c:formatCode>0.00</c:formatCode>
                <c:ptCount val="2"/>
                <c:pt idx="0">
                  <c:v>0.21</c:v>
                </c:pt>
                <c:pt idx="1">
                  <c:v>0.21</c:v>
                </c:pt>
              </c:numCache>
            </c:numRef>
          </c:yVal>
          <c:smooth val="0"/>
          <c:extLst>
            <c:ext xmlns:c16="http://schemas.microsoft.com/office/drawing/2014/chart" uri="{C3380CC4-5D6E-409C-BE32-E72D297353CC}">
              <c16:uniqueId val="{0000001F-6FBE-4B07-A65D-C512510112FD}"/>
            </c:ext>
          </c:extLst>
        </c:ser>
        <c:dLbls>
          <c:showLegendKey val="0"/>
          <c:showVal val="0"/>
          <c:showCatName val="0"/>
          <c:showSerName val="0"/>
          <c:showPercent val="0"/>
          <c:showBubbleSize val="0"/>
        </c:dLbls>
        <c:axId val="1192709887"/>
        <c:axId val="1192714463"/>
      </c:scatterChart>
      <c:valAx>
        <c:axId val="1192709887"/>
        <c:scaling>
          <c:orientation val="minMax"/>
        </c:scaling>
        <c:delete val="1"/>
        <c:axPos val="b"/>
        <c:numFmt formatCode="General" sourceLinked="1"/>
        <c:majorTickMark val="none"/>
        <c:minorTickMark val="none"/>
        <c:tickLblPos val="nextTo"/>
        <c:crossAx val="1192714463"/>
        <c:crosses val="autoZero"/>
        <c:crossBetween val="midCat"/>
      </c:valAx>
      <c:valAx>
        <c:axId val="1192714463"/>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9270988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Balken 1</c:v>
          </c:tx>
          <c:spPr>
            <a:ln w="57150" cap="rnd">
              <a:solidFill>
                <a:schemeClr val="accent2">
                  <a:lumMod val="75000"/>
                </a:schemeClr>
              </a:solidFill>
              <a:round/>
            </a:ln>
            <a:effectLst/>
          </c:spPr>
          <c:marker>
            <c:symbol val="none"/>
          </c:marker>
          <c:xVal>
            <c:numRef>
              <c:f>Kalk4_Lastfallkombi!$L$42:$L$43</c:f>
              <c:numCache>
                <c:formatCode>General</c:formatCode>
                <c:ptCount val="2"/>
                <c:pt idx="0">
                  <c:v>2</c:v>
                </c:pt>
                <c:pt idx="1">
                  <c:v>2</c:v>
                </c:pt>
              </c:numCache>
            </c:numRef>
          </c:xVal>
          <c:yVal>
            <c:numRef>
              <c:f>Kalk4_Lastfallkombi!$M$42:$M$43</c:f>
              <c:numCache>
                <c:formatCode>0.00</c:formatCode>
                <c:ptCount val="2"/>
                <c:pt idx="0" formatCode="General">
                  <c:v>0</c:v>
                </c:pt>
                <c:pt idx="1">
                  <c:v>2.5000000000000001E-2</c:v>
                </c:pt>
              </c:numCache>
            </c:numRef>
          </c:yVal>
          <c:smooth val="0"/>
          <c:extLst>
            <c:ext xmlns:c16="http://schemas.microsoft.com/office/drawing/2014/chart" uri="{C3380CC4-5D6E-409C-BE32-E72D297353CC}">
              <c16:uniqueId val="{00000000-A962-485F-9559-F00E3275E12B}"/>
            </c:ext>
          </c:extLst>
        </c:ser>
        <c:ser>
          <c:idx val="1"/>
          <c:order val="1"/>
          <c:tx>
            <c:v>BHW 1</c:v>
          </c:tx>
          <c:spPr>
            <a:ln w="38100" cap="rnd">
              <a:solidFill>
                <a:srgbClr val="0070C0"/>
              </a:solidFill>
              <a:round/>
            </a:ln>
            <a:effectLst/>
          </c:spPr>
          <c:marker>
            <c:symbol val="none"/>
          </c:marker>
          <c:xVal>
            <c:numRef>
              <c:f>Kalk4_Lastfallkombi!$L$44:$L$45</c:f>
              <c:numCache>
                <c:formatCode>General</c:formatCode>
                <c:ptCount val="2"/>
                <c:pt idx="0">
                  <c:v>0</c:v>
                </c:pt>
                <c:pt idx="1">
                  <c:v>2</c:v>
                </c:pt>
              </c:numCache>
            </c:numRef>
          </c:xVal>
          <c:yVal>
            <c:numRef>
              <c:f>Kalk4_Lastfallkombi!$M$44:$M$45</c:f>
              <c:numCache>
                <c:formatCode>0.00</c:formatCode>
                <c:ptCount val="2"/>
                <c:pt idx="0">
                  <c:v>0</c:v>
                </c:pt>
                <c:pt idx="1">
                  <c:v>0</c:v>
                </c:pt>
              </c:numCache>
            </c:numRef>
          </c:yVal>
          <c:smooth val="0"/>
          <c:extLst>
            <c:ext xmlns:c16="http://schemas.microsoft.com/office/drawing/2014/chart" uri="{C3380CC4-5D6E-409C-BE32-E72D297353CC}">
              <c16:uniqueId val="{00000001-A962-485F-9559-F00E3275E12B}"/>
            </c:ext>
          </c:extLst>
        </c:ser>
        <c:ser>
          <c:idx val="2"/>
          <c:order val="2"/>
          <c:tx>
            <c:v>Grund</c:v>
          </c:tx>
          <c:spPr>
            <a:ln w="38100" cap="rnd">
              <a:solidFill>
                <a:schemeClr val="tx1">
                  <a:lumMod val="95000"/>
                  <a:lumOff val="5000"/>
                </a:schemeClr>
              </a:solidFill>
              <a:round/>
            </a:ln>
            <a:effectLst/>
          </c:spPr>
          <c:marker>
            <c:symbol val="none"/>
          </c:marker>
          <c:xVal>
            <c:numRef>
              <c:f>Kalk4_Lastfallkombi!$L$40:$L$41</c:f>
              <c:numCache>
                <c:formatCode>General</c:formatCode>
                <c:ptCount val="2"/>
                <c:pt idx="0">
                  <c:v>0</c:v>
                </c:pt>
                <c:pt idx="1">
                  <c:v>2.5</c:v>
                </c:pt>
              </c:numCache>
            </c:numRef>
          </c:xVal>
          <c:yVal>
            <c:numRef>
              <c:f>Kalk4_Lastfallkombi!$M$40:$M$41</c:f>
              <c:numCache>
                <c:formatCode>General</c:formatCode>
                <c:ptCount val="2"/>
                <c:pt idx="0">
                  <c:v>0</c:v>
                </c:pt>
                <c:pt idx="1">
                  <c:v>0</c:v>
                </c:pt>
              </c:numCache>
            </c:numRef>
          </c:yVal>
          <c:smooth val="0"/>
          <c:extLst>
            <c:ext xmlns:c16="http://schemas.microsoft.com/office/drawing/2014/chart" uri="{C3380CC4-5D6E-409C-BE32-E72D297353CC}">
              <c16:uniqueId val="{00000002-A962-485F-9559-F00E3275E12B}"/>
            </c:ext>
          </c:extLst>
        </c:ser>
        <c:ser>
          <c:idx val="3"/>
          <c:order val="3"/>
          <c:tx>
            <c:v>Dammbalken1</c:v>
          </c:tx>
          <c:spPr>
            <a:ln w="19050" cap="rnd">
              <a:solidFill>
                <a:schemeClr val="accent2">
                  <a:lumMod val="50000"/>
                </a:schemeClr>
              </a:solidFill>
              <a:round/>
            </a:ln>
            <a:effectLst/>
          </c:spPr>
          <c:marker>
            <c:symbol val="none"/>
          </c:marker>
          <c:xVal>
            <c:numRef>
              <c:f>Kalk4_Lastfallkombi!$L$47:$L$48</c:f>
              <c:numCache>
                <c:formatCode>0.00</c:formatCode>
                <c:ptCount val="2"/>
                <c:pt idx="0">
                  <c:v>1.98</c:v>
                </c:pt>
                <c:pt idx="1">
                  <c:v>2.02</c:v>
                </c:pt>
              </c:numCache>
            </c:numRef>
          </c:xVal>
          <c:yVal>
            <c:numRef>
              <c:f>Kalk4_Lastfallkombi!$M$47:$M$48</c:f>
              <c:numCache>
                <c:formatCode>0.00</c:formatCode>
                <c:ptCount val="2"/>
                <c:pt idx="0">
                  <c:v>0.21</c:v>
                </c:pt>
                <c:pt idx="1">
                  <c:v>0.21</c:v>
                </c:pt>
              </c:numCache>
            </c:numRef>
          </c:yVal>
          <c:smooth val="0"/>
          <c:extLst>
            <c:ext xmlns:c16="http://schemas.microsoft.com/office/drawing/2014/chart" uri="{C3380CC4-5D6E-409C-BE32-E72D297353CC}">
              <c16:uniqueId val="{00000003-A962-485F-9559-F00E3275E12B}"/>
            </c:ext>
          </c:extLst>
        </c:ser>
        <c:ser>
          <c:idx val="4"/>
          <c:order val="4"/>
          <c:tx>
            <c:v>Dammbalken 2</c:v>
          </c:tx>
          <c:spPr>
            <a:ln w="19050" cap="rnd">
              <a:solidFill>
                <a:schemeClr val="accent2">
                  <a:lumMod val="50000"/>
                </a:schemeClr>
              </a:solidFill>
              <a:round/>
            </a:ln>
            <a:effectLst/>
          </c:spPr>
          <c:marker>
            <c:symbol val="none"/>
          </c:marker>
          <c:xVal>
            <c:numRef>
              <c:f>Kalk4_Lastfallkombi!$L$49:$L$50</c:f>
              <c:numCache>
                <c:formatCode>0.00</c:formatCode>
                <c:ptCount val="2"/>
                <c:pt idx="0">
                  <c:v>1.98</c:v>
                </c:pt>
                <c:pt idx="1">
                  <c:v>2.02</c:v>
                </c:pt>
              </c:numCache>
            </c:numRef>
          </c:xVal>
          <c:yVal>
            <c:numRef>
              <c:f>Kalk4_Lastfallkombi!$M$49:$M$50</c:f>
              <c:numCache>
                <c:formatCode>0.00</c:formatCode>
                <c:ptCount val="2"/>
                <c:pt idx="0">
                  <c:v>0.21</c:v>
                </c:pt>
                <c:pt idx="1">
                  <c:v>0.21</c:v>
                </c:pt>
              </c:numCache>
            </c:numRef>
          </c:yVal>
          <c:smooth val="0"/>
          <c:extLst>
            <c:ext xmlns:c16="http://schemas.microsoft.com/office/drawing/2014/chart" uri="{C3380CC4-5D6E-409C-BE32-E72D297353CC}">
              <c16:uniqueId val="{00000004-A962-485F-9559-F00E3275E12B}"/>
            </c:ext>
          </c:extLst>
        </c:ser>
        <c:ser>
          <c:idx val="5"/>
          <c:order val="5"/>
          <c:tx>
            <c:v>Dammbalken 3</c:v>
          </c:tx>
          <c:spPr>
            <a:ln w="19050" cap="rnd">
              <a:solidFill>
                <a:schemeClr val="accent2">
                  <a:lumMod val="50000"/>
                </a:schemeClr>
              </a:solidFill>
              <a:round/>
            </a:ln>
            <a:effectLst/>
          </c:spPr>
          <c:marker>
            <c:symbol val="none"/>
          </c:marker>
          <c:xVal>
            <c:numRef>
              <c:f>Kalk4_Lastfallkombi!$L$51:$L$52</c:f>
              <c:numCache>
                <c:formatCode>0.00</c:formatCode>
                <c:ptCount val="2"/>
                <c:pt idx="0">
                  <c:v>1.98</c:v>
                </c:pt>
                <c:pt idx="1">
                  <c:v>2.02</c:v>
                </c:pt>
              </c:numCache>
            </c:numRef>
          </c:xVal>
          <c:yVal>
            <c:numRef>
              <c:f>Kalk4_Lastfallkombi!$M$51:$M$52</c:f>
              <c:numCache>
                <c:formatCode>0.00</c:formatCode>
                <c:ptCount val="2"/>
                <c:pt idx="0">
                  <c:v>0.21</c:v>
                </c:pt>
                <c:pt idx="1">
                  <c:v>0.21</c:v>
                </c:pt>
              </c:numCache>
            </c:numRef>
          </c:yVal>
          <c:smooth val="0"/>
          <c:extLst>
            <c:ext xmlns:c16="http://schemas.microsoft.com/office/drawing/2014/chart" uri="{C3380CC4-5D6E-409C-BE32-E72D297353CC}">
              <c16:uniqueId val="{00000005-A962-485F-9559-F00E3275E12B}"/>
            </c:ext>
          </c:extLst>
        </c:ser>
        <c:ser>
          <c:idx val="6"/>
          <c:order val="6"/>
          <c:tx>
            <c:v>Dammbalken 4</c:v>
          </c:tx>
          <c:spPr>
            <a:ln w="19050" cap="rnd">
              <a:solidFill>
                <a:schemeClr val="accent2">
                  <a:lumMod val="50000"/>
                </a:schemeClr>
              </a:solidFill>
              <a:round/>
            </a:ln>
            <a:effectLst/>
          </c:spPr>
          <c:marker>
            <c:symbol val="none"/>
          </c:marker>
          <c:xVal>
            <c:numRef>
              <c:f>Kalk4_Lastfallkombi!$L$53:$L$54</c:f>
              <c:numCache>
                <c:formatCode>0.00</c:formatCode>
                <c:ptCount val="2"/>
                <c:pt idx="0">
                  <c:v>1.98</c:v>
                </c:pt>
                <c:pt idx="1">
                  <c:v>2.02</c:v>
                </c:pt>
              </c:numCache>
            </c:numRef>
          </c:xVal>
          <c:yVal>
            <c:numRef>
              <c:f>Kalk4_Lastfallkombi!$M$53:$M$54</c:f>
              <c:numCache>
                <c:formatCode>0.00</c:formatCode>
                <c:ptCount val="2"/>
                <c:pt idx="0">
                  <c:v>0.21</c:v>
                </c:pt>
                <c:pt idx="1">
                  <c:v>0.21</c:v>
                </c:pt>
              </c:numCache>
            </c:numRef>
          </c:yVal>
          <c:smooth val="0"/>
          <c:extLst>
            <c:ext xmlns:c16="http://schemas.microsoft.com/office/drawing/2014/chart" uri="{C3380CC4-5D6E-409C-BE32-E72D297353CC}">
              <c16:uniqueId val="{00000006-A962-485F-9559-F00E3275E12B}"/>
            </c:ext>
          </c:extLst>
        </c:ser>
        <c:ser>
          <c:idx val="7"/>
          <c:order val="7"/>
          <c:tx>
            <c:v>Dammbalken 5</c:v>
          </c:tx>
          <c:spPr>
            <a:ln w="19050" cap="rnd">
              <a:solidFill>
                <a:schemeClr val="accent2">
                  <a:lumMod val="60000"/>
                </a:schemeClr>
              </a:solidFill>
              <a:round/>
            </a:ln>
            <a:effectLst/>
          </c:spPr>
          <c:marker>
            <c:symbol val="none"/>
          </c:marker>
          <c:xVal>
            <c:numRef>
              <c:f>Kalk4_Lastfallkombi!$L$55:$L$56</c:f>
              <c:numCache>
                <c:formatCode>0.00</c:formatCode>
                <c:ptCount val="2"/>
                <c:pt idx="0">
                  <c:v>1.98</c:v>
                </c:pt>
                <c:pt idx="1">
                  <c:v>2.02</c:v>
                </c:pt>
              </c:numCache>
            </c:numRef>
          </c:xVal>
          <c:yVal>
            <c:numRef>
              <c:f>Kalk4_Lastfallkombi!$M$55:$M$56</c:f>
              <c:numCache>
                <c:formatCode>0.00</c:formatCode>
                <c:ptCount val="2"/>
                <c:pt idx="0">
                  <c:v>0.21</c:v>
                </c:pt>
                <c:pt idx="1">
                  <c:v>0.21</c:v>
                </c:pt>
              </c:numCache>
            </c:numRef>
          </c:yVal>
          <c:smooth val="0"/>
          <c:extLst>
            <c:ext xmlns:c16="http://schemas.microsoft.com/office/drawing/2014/chart" uri="{C3380CC4-5D6E-409C-BE32-E72D297353CC}">
              <c16:uniqueId val="{00000007-A962-485F-9559-F00E3275E12B}"/>
            </c:ext>
          </c:extLst>
        </c:ser>
        <c:ser>
          <c:idx val="8"/>
          <c:order val="8"/>
          <c:tx>
            <c:v>Dammbalken 6</c:v>
          </c:tx>
          <c:spPr>
            <a:ln w="19050" cap="rnd">
              <a:solidFill>
                <a:schemeClr val="accent2">
                  <a:lumMod val="50000"/>
                </a:schemeClr>
              </a:solidFill>
              <a:round/>
            </a:ln>
            <a:effectLst/>
          </c:spPr>
          <c:marker>
            <c:symbol val="none"/>
          </c:marker>
          <c:xVal>
            <c:numRef>
              <c:f>Kalk4_Lastfallkombi!$L$57:$L$58</c:f>
              <c:numCache>
                <c:formatCode>0.00</c:formatCode>
                <c:ptCount val="2"/>
                <c:pt idx="0">
                  <c:v>1.98</c:v>
                </c:pt>
                <c:pt idx="1">
                  <c:v>2.02</c:v>
                </c:pt>
              </c:numCache>
            </c:numRef>
          </c:xVal>
          <c:yVal>
            <c:numRef>
              <c:f>Kalk4_Lastfallkombi!$M$57:$M$58</c:f>
              <c:numCache>
                <c:formatCode>0.00</c:formatCode>
                <c:ptCount val="2"/>
                <c:pt idx="0">
                  <c:v>0.21</c:v>
                </c:pt>
                <c:pt idx="1">
                  <c:v>0.21</c:v>
                </c:pt>
              </c:numCache>
            </c:numRef>
          </c:yVal>
          <c:smooth val="0"/>
          <c:extLst>
            <c:ext xmlns:c16="http://schemas.microsoft.com/office/drawing/2014/chart" uri="{C3380CC4-5D6E-409C-BE32-E72D297353CC}">
              <c16:uniqueId val="{00000008-A962-485F-9559-F00E3275E12B}"/>
            </c:ext>
          </c:extLst>
        </c:ser>
        <c:ser>
          <c:idx val="9"/>
          <c:order val="9"/>
          <c:tx>
            <c:v>Dammbalken 7</c:v>
          </c:tx>
          <c:spPr>
            <a:ln w="19050" cap="rnd">
              <a:solidFill>
                <a:schemeClr val="accent2">
                  <a:lumMod val="50000"/>
                </a:schemeClr>
              </a:solidFill>
              <a:round/>
            </a:ln>
            <a:effectLst/>
          </c:spPr>
          <c:marker>
            <c:symbol val="none"/>
          </c:marker>
          <c:xVal>
            <c:numRef>
              <c:f>Kalk4_Lastfallkombi!$L$59:$L$60</c:f>
              <c:numCache>
                <c:formatCode>0.00</c:formatCode>
                <c:ptCount val="2"/>
                <c:pt idx="0">
                  <c:v>1.98</c:v>
                </c:pt>
                <c:pt idx="1">
                  <c:v>2.02</c:v>
                </c:pt>
              </c:numCache>
            </c:numRef>
          </c:xVal>
          <c:yVal>
            <c:numRef>
              <c:f>Kalk4_Lastfallkombi!$M$59:$M$60</c:f>
              <c:numCache>
                <c:formatCode>0.00</c:formatCode>
                <c:ptCount val="2"/>
                <c:pt idx="0">
                  <c:v>0.21</c:v>
                </c:pt>
                <c:pt idx="1">
                  <c:v>0.21</c:v>
                </c:pt>
              </c:numCache>
            </c:numRef>
          </c:yVal>
          <c:smooth val="0"/>
          <c:extLst>
            <c:ext xmlns:c16="http://schemas.microsoft.com/office/drawing/2014/chart" uri="{C3380CC4-5D6E-409C-BE32-E72D297353CC}">
              <c16:uniqueId val="{00000009-A962-485F-9559-F00E3275E12B}"/>
            </c:ext>
          </c:extLst>
        </c:ser>
        <c:ser>
          <c:idx val="10"/>
          <c:order val="10"/>
          <c:tx>
            <c:v>Dammbalken 8</c:v>
          </c:tx>
          <c:spPr>
            <a:ln w="19050" cap="rnd">
              <a:solidFill>
                <a:schemeClr val="accent2">
                  <a:lumMod val="50000"/>
                </a:schemeClr>
              </a:solidFill>
              <a:round/>
            </a:ln>
            <a:effectLst/>
          </c:spPr>
          <c:marker>
            <c:symbol val="none"/>
          </c:marker>
          <c:xVal>
            <c:numRef>
              <c:f>Kalk4_Lastfallkombi!$L$61:$L$62</c:f>
              <c:numCache>
                <c:formatCode>0.00</c:formatCode>
                <c:ptCount val="2"/>
                <c:pt idx="0">
                  <c:v>1.98</c:v>
                </c:pt>
                <c:pt idx="1">
                  <c:v>2.02</c:v>
                </c:pt>
              </c:numCache>
            </c:numRef>
          </c:xVal>
          <c:yVal>
            <c:numRef>
              <c:f>Kalk4_Lastfallkombi!$M$61:$M$62</c:f>
              <c:numCache>
                <c:formatCode>0.00</c:formatCode>
                <c:ptCount val="2"/>
                <c:pt idx="0">
                  <c:v>0.21</c:v>
                </c:pt>
                <c:pt idx="1">
                  <c:v>0.21</c:v>
                </c:pt>
              </c:numCache>
            </c:numRef>
          </c:yVal>
          <c:smooth val="0"/>
          <c:extLst>
            <c:ext xmlns:c16="http://schemas.microsoft.com/office/drawing/2014/chart" uri="{C3380CC4-5D6E-409C-BE32-E72D297353CC}">
              <c16:uniqueId val="{0000000A-A962-485F-9559-F00E3275E12B}"/>
            </c:ext>
          </c:extLst>
        </c:ser>
        <c:ser>
          <c:idx val="11"/>
          <c:order val="11"/>
          <c:tx>
            <c:v>Dammbalken 9</c:v>
          </c:tx>
          <c:spPr>
            <a:ln w="19050" cap="rnd">
              <a:solidFill>
                <a:schemeClr val="accent2">
                  <a:lumMod val="50000"/>
                </a:schemeClr>
              </a:solidFill>
              <a:round/>
            </a:ln>
            <a:effectLst/>
          </c:spPr>
          <c:marker>
            <c:symbol val="none"/>
          </c:marker>
          <c:xVal>
            <c:numRef>
              <c:f>Kalk4_Lastfallkombi!$L$63:$L$64</c:f>
              <c:numCache>
                <c:formatCode>0.00</c:formatCode>
                <c:ptCount val="2"/>
                <c:pt idx="0">
                  <c:v>1.98</c:v>
                </c:pt>
                <c:pt idx="1">
                  <c:v>2.02</c:v>
                </c:pt>
              </c:numCache>
            </c:numRef>
          </c:xVal>
          <c:yVal>
            <c:numRef>
              <c:f>Kalk4_Lastfallkombi!$M$63:$M$64</c:f>
              <c:numCache>
                <c:formatCode>0.00</c:formatCode>
                <c:ptCount val="2"/>
                <c:pt idx="0">
                  <c:v>0.21</c:v>
                </c:pt>
                <c:pt idx="1">
                  <c:v>0.21</c:v>
                </c:pt>
              </c:numCache>
            </c:numRef>
          </c:yVal>
          <c:smooth val="0"/>
          <c:extLst>
            <c:ext xmlns:c16="http://schemas.microsoft.com/office/drawing/2014/chart" uri="{C3380CC4-5D6E-409C-BE32-E72D297353CC}">
              <c16:uniqueId val="{0000000B-A962-485F-9559-F00E3275E12B}"/>
            </c:ext>
          </c:extLst>
        </c:ser>
        <c:ser>
          <c:idx val="12"/>
          <c:order val="12"/>
          <c:tx>
            <c:v>Dammbalken 10</c:v>
          </c:tx>
          <c:spPr>
            <a:ln w="19050" cap="rnd">
              <a:solidFill>
                <a:schemeClr val="accent2">
                  <a:lumMod val="50000"/>
                </a:schemeClr>
              </a:solidFill>
              <a:round/>
            </a:ln>
            <a:effectLst/>
          </c:spPr>
          <c:marker>
            <c:symbol val="none"/>
          </c:marker>
          <c:xVal>
            <c:numRef>
              <c:f>Kalk4_Lastfallkombi!$L$65:$L$66</c:f>
              <c:numCache>
                <c:formatCode>0.00</c:formatCode>
                <c:ptCount val="2"/>
                <c:pt idx="0">
                  <c:v>1.98</c:v>
                </c:pt>
                <c:pt idx="1">
                  <c:v>2.02</c:v>
                </c:pt>
              </c:numCache>
            </c:numRef>
          </c:xVal>
          <c:yVal>
            <c:numRef>
              <c:f>Kalk4_Lastfallkombi!$M$65:$M$66</c:f>
              <c:numCache>
                <c:formatCode>0.00</c:formatCode>
                <c:ptCount val="2"/>
                <c:pt idx="0">
                  <c:v>0.21</c:v>
                </c:pt>
                <c:pt idx="1">
                  <c:v>0.21</c:v>
                </c:pt>
              </c:numCache>
            </c:numRef>
          </c:yVal>
          <c:smooth val="0"/>
          <c:extLst>
            <c:ext xmlns:c16="http://schemas.microsoft.com/office/drawing/2014/chart" uri="{C3380CC4-5D6E-409C-BE32-E72D297353CC}">
              <c16:uniqueId val="{0000000C-A962-485F-9559-F00E3275E12B}"/>
            </c:ext>
          </c:extLst>
        </c:ser>
        <c:ser>
          <c:idx val="13"/>
          <c:order val="13"/>
          <c:tx>
            <c:v>Wasserdruck</c:v>
          </c:tx>
          <c:spPr>
            <a:ln w="19050" cap="rnd">
              <a:solidFill>
                <a:schemeClr val="accent1">
                  <a:lumMod val="60000"/>
                  <a:lumOff val="40000"/>
                </a:schemeClr>
              </a:solidFill>
              <a:round/>
            </a:ln>
            <a:effectLst/>
          </c:spPr>
          <c:marker>
            <c:symbol val="none"/>
          </c:marker>
          <c:xVal>
            <c:numRef>
              <c:f>Kalk4_Lastfallkombi!$L$98:$L$101</c:f>
              <c:numCache>
                <c:formatCode>0.00</c:formatCode>
                <c:ptCount val="4"/>
                <c:pt idx="0">
                  <c:v>1.8</c:v>
                </c:pt>
                <c:pt idx="1">
                  <c:v>1.8</c:v>
                </c:pt>
                <c:pt idx="2">
                  <c:v>1.8</c:v>
                </c:pt>
                <c:pt idx="3">
                  <c:v>1.8</c:v>
                </c:pt>
              </c:numCache>
            </c:numRef>
          </c:xVal>
          <c:yVal>
            <c:numRef>
              <c:f>Kalk4_Lastfallkombi!$M$98:$M$101</c:f>
              <c:numCache>
                <c:formatCode>0.00</c:formatCode>
                <c:ptCount val="4"/>
                <c:pt idx="0">
                  <c:v>0</c:v>
                </c:pt>
                <c:pt idx="1">
                  <c:v>0</c:v>
                </c:pt>
                <c:pt idx="2">
                  <c:v>0</c:v>
                </c:pt>
                <c:pt idx="3">
                  <c:v>0</c:v>
                </c:pt>
              </c:numCache>
            </c:numRef>
          </c:yVal>
          <c:smooth val="0"/>
          <c:extLst>
            <c:ext xmlns:c16="http://schemas.microsoft.com/office/drawing/2014/chart" uri="{C3380CC4-5D6E-409C-BE32-E72D297353CC}">
              <c16:uniqueId val="{0000000D-A962-485F-9559-F00E3275E12B}"/>
            </c:ext>
          </c:extLst>
        </c:ser>
        <c:ser>
          <c:idx val="14"/>
          <c:order val="14"/>
          <c:tx>
            <c:v>Dammbalken 11</c:v>
          </c:tx>
          <c:spPr>
            <a:ln w="19050" cap="rnd">
              <a:solidFill>
                <a:schemeClr val="accent2">
                  <a:lumMod val="50000"/>
                </a:schemeClr>
              </a:solidFill>
              <a:round/>
            </a:ln>
            <a:effectLst/>
          </c:spPr>
          <c:marker>
            <c:symbol val="none"/>
          </c:marker>
          <c:xVal>
            <c:numRef>
              <c:f>Kalk4_Lastfallkombi!$L$67:$L$68</c:f>
              <c:numCache>
                <c:formatCode>0.00</c:formatCode>
                <c:ptCount val="2"/>
                <c:pt idx="0">
                  <c:v>1.98</c:v>
                </c:pt>
                <c:pt idx="1">
                  <c:v>2.02</c:v>
                </c:pt>
              </c:numCache>
            </c:numRef>
          </c:xVal>
          <c:yVal>
            <c:numRef>
              <c:f>Kalk4_Lastfallkombi!$M$67:$M$68</c:f>
              <c:numCache>
                <c:formatCode>0.00</c:formatCode>
                <c:ptCount val="2"/>
                <c:pt idx="0">
                  <c:v>0.21</c:v>
                </c:pt>
                <c:pt idx="1">
                  <c:v>0.21</c:v>
                </c:pt>
              </c:numCache>
            </c:numRef>
          </c:yVal>
          <c:smooth val="0"/>
          <c:extLst>
            <c:ext xmlns:c16="http://schemas.microsoft.com/office/drawing/2014/chart" uri="{C3380CC4-5D6E-409C-BE32-E72D297353CC}">
              <c16:uniqueId val="{0000000E-A962-485F-9559-F00E3275E12B}"/>
            </c:ext>
          </c:extLst>
        </c:ser>
        <c:ser>
          <c:idx val="15"/>
          <c:order val="15"/>
          <c:tx>
            <c:v>Dammbalken 12</c:v>
          </c:tx>
          <c:spPr>
            <a:ln w="19050" cap="rnd">
              <a:solidFill>
                <a:schemeClr val="accent2">
                  <a:lumMod val="50000"/>
                </a:schemeClr>
              </a:solidFill>
              <a:round/>
            </a:ln>
            <a:effectLst/>
          </c:spPr>
          <c:marker>
            <c:symbol val="none"/>
          </c:marker>
          <c:xVal>
            <c:numRef>
              <c:f>Kalk4_Lastfallkombi!$L$69:$L$70</c:f>
              <c:numCache>
                <c:formatCode>0.00</c:formatCode>
                <c:ptCount val="2"/>
                <c:pt idx="0">
                  <c:v>1.98</c:v>
                </c:pt>
                <c:pt idx="1">
                  <c:v>2.02</c:v>
                </c:pt>
              </c:numCache>
            </c:numRef>
          </c:xVal>
          <c:yVal>
            <c:numRef>
              <c:f>Kalk4_Lastfallkombi!$M$69:$M$70</c:f>
              <c:numCache>
                <c:formatCode>0.00</c:formatCode>
                <c:ptCount val="2"/>
                <c:pt idx="0">
                  <c:v>0.21</c:v>
                </c:pt>
                <c:pt idx="1">
                  <c:v>0.21</c:v>
                </c:pt>
              </c:numCache>
            </c:numRef>
          </c:yVal>
          <c:smooth val="0"/>
          <c:extLst>
            <c:ext xmlns:c16="http://schemas.microsoft.com/office/drawing/2014/chart" uri="{C3380CC4-5D6E-409C-BE32-E72D297353CC}">
              <c16:uniqueId val="{0000000F-A962-485F-9559-F00E3275E12B}"/>
            </c:ext>
          </c:extLst>
        </c:ser>
        <c:ser>
          <c:idx val="16"/>
          <c:order val="16"/>
          <c:tx>
            <c:v>Dammbalken 13</c:v>
          </c:tx>
          <c:spPr>
            <a:ln w="19050" cap="rnd">
              <a:solidFill>
                <a:schemeClr val="accent2">
                  <a:lumMod val="50000"/>
                </a:schemeClr>
              </a:solidFill>
              <a:round/>
            </a:ln>
            <a:effectLst/>
          </c:spPr>
          <c:marker>
            <c:symbol val="none"/>
          </c:marker>
          <c:xVal>
            <c:numRef>
              <c:f>Kalk4_Lastfallkombi!$L$71:$L$72</c:f>
              <c:numCache>
                <c:formatCode>0.00</c:formatCode>
                <c:ptCount val="2"/>
                <c:pt idx="0">
                  <c:v>1.98</c:v>
                </c:pt>
                <c:pt idx="1">
                  <c:v>2.02</c:v>
                </c:pt>
              </c:numCache>
            </c:numRef>
          </c:xVal>
          <c:yVal>
            <c:numRef>
              <c:f>Kalk4_Lastfallkombi!$M$71:$M$72</c:f>
              <c:numCache>
                <c:formatCode>0.00</c:formatCode>
                <c:ptCount val="2"/>
                <c:pt idx="0">
                  <c:v>0.21</c:v>
                </c:pt>
                <c:pt idx="1">
                  <c:v>0.21</c:v>
                </c:pt>
              </c:numCache>
            </c:numRef>
          </c:yVal>
          <c:smooth val="0"/>
          <c:extLst>
            <c:ext xmlns:c16="http://schemas.microsoft.com/office/drawing/2014/chart" uri="{C3380CC4-5D6E-409C-BE32-E72D297353CC}">
              <c16:uniqueId val="{00000010-A962-485F-9559-F00E3275E12B}"/>
            </c:ext>
          </c:extLst>
        </c:ser>
        <c:ser>
          <c:idx val="17"/>
          <c:order val="17"/>
          <c:spPr>
            <a:ln w="19050" cap="rnd">
              <a:solidFill>
                <a:schemeClr val="accent2">
                  <a:lumMod val="50000"/>
                </a:schemeClr>
              </a:solidFill>
              <a:round/>
            </a:ln>
            <a:effectLst/>
          </c:spPr>
          <c:marker>
            <c:symbol val="none"/>
          </c:marker>
          <c:xVal>
            <c:numRef>
              <c:f>Kalk4_Lastfallkombi!$L$73:$L$74</c:f>
              <c:numCache>
                <c:formatCode>0.00</c:formatCode>
                <c:ptCount val="2"/>
                <c:pt idx="0">
                  <c:v>1.98</c:v>
                </c:pt>
                <c:pt idx="1">
                  <c:v>2.02</c:v>
                </c:pt>
              </c:numCache>
            </c:numRef>
          </c:xVal>
          <c:yVal>
            <c:numRef>
              <c:f>Kalk4_Lastfallkombi!$M$73:$M$74</c:f>
              <c:numCache>
                <c:formatCode>0.00</c:formatCode>
                <c:ptCount val="2"/>
                <c:pt idx="0">
                  <c:v>0.21</c:v>
                </c:pt>
                <c:pt idx="1">
                  <c:v>0.21</c:v>
                </c:pt>
              </c:numCache>
            </c:numRef>
          </c:yVal>
          <c:smooth val="0"/>
          <c:extLst>
            <c:ext xmlns:c16="http://schemas.microsoft.com/office/drawing/2014/chart" uri="{C3380CC4-5D6E-409C-BE32-E72D297353CC}">
              <c16:uniqueId val="{00000011-A962-485F-9559-F00E3275E12B}"/>
            </c:ext>
          </c:extLst>
        </c:ser>
        <c:ser>
          <c:idx val="18"/>
          <c:order val="18"/>
          <c:tx>
            <c:v>Dammbalken 15</c:v>
          </c:tx>
          <c:spPr>
            <a:ln w="19050" cap="rnd">
              <a:solidFill>
                <a:schemeClr val="accent2">
                  <a:lumMod val="50000"/>
                </a:schemeClr>
              </a:solidFill>
              <a:round/>
            </a:ln>
            <a:effectLst/>
          </c:spPr>
          <c:marker>
            <c:symbol val="none"/>
          </c:marker>
          <c:xVal>
            <c:numRef>
              <c:f>Kalk4_Lastfallkombi!$L$75:$L$76</c:f>
              <c:numCache>
                <c:formatCode>0.00</c:formatCode>
                <c:ptCount val="2"/>
                <c:pt idx="0">
                  <c:v>1.98</c:v>
                </c:pt>
                <c:pt idx="1">
                  <c:v>2.02</c:v>
                </c:pt>
              </c:numCache>
            </c:numRef>
          </c:xVal>
          <c:yVal>
            <c:numRef>
              <c:f>Kalk4_Lastfallkombi!$M$75:$M$76</c:f>
              <c:numCache>
                <c:formatCode>0.00</c:formatCode>
                <c:ptCount val="2"/>
                <c:pt idx="0">
                  <c:v>0.21</c:v>
                </c:pt>
                <c:pt idx="1">
                  <c:v>0.21</c:v>
                </c:pt>
              </c:numCache>
            </c:numRef>
          </c:yVal>
          <c:smooth val="0"/>
          <c:extLst>
            <c:ext xmlns:c16="http://schemas.microsoft.com/office/drawing/2014/chart" uri="{C3380CC4-5D6E-409C-BE32-E72D297353CC}">
              <c16:uniqueId val="{00000012-A962-485F-9559-F00E3275E12B}"/>
            </c:ext>
          </c:extLst>
        </c:ser>
        <c:ser>
          <c:idx val="19"/>
          <c:order val="19"/>
          <c:tx>
            <c:v>Dammbalken 16</c:v>
          </c:tx>
          <c:spPr>
            <a:ln w="19050" cap="rnd">
              <a:solidFill>
                <a:schemeClr val="accent2">
                  <a:lumMod val="50000"/>
                </a:schemeClr>
              </a:solidFill>
              <a:round/>
            </a:ln>
            <a:effectLst/>
          </c:spPr>
          <c:marker>
            <c:symbol val="none"/>
          </c:marker>
          <c:xVal>
            <c:numRef>
              <c:f>Kalk4_Lastfallkombi!$L$77:$L$78</c:f>
              <c:numCache>
                <c:formatCode>0.00</c:formatCode>
                <c:ptCount val="2"/>
                <c:pt idx="0">
                  <c:v>1.98</c:v>
                </c:pt>
                <c:pt idx="1">
                  <c:v>2.02</c:v>
                </c:pt>
              </c:numCache>
            </c:numRef>
          </c:xVal>
          <c:yVal>
            <c:numRef>
              <c:f>Kalk4_Lastfallkombi!$M$77:$M$78</c:f>
              <c:numCache>
                <c:formatCode>0.00</c:formatCode>
                <c:ptCount val="2"/>
                <c:pt idx="0">
                  <c:v>0.21</c:v>
                </c:pt>
                <c:pt idx="1">
                  <c:v>0.21</c:v>
                </c:pt>
              </c:numCache>
            </c:numRef>
          </c:yVal>
          <c:smooth val="0"/>
          <c:extLst>
            <c:ext xmlns:c16="http://schemas.microsoft.com/office/drawing/2014/chart" uri="{C3380CC4-5D6E-409C-BE32-E72D297353CC}">
              <c16:uniqueId val="{00000013-A962-485F-9559-F00E3275E12B}"/>
            </c:ext>
          </c:extLst>
        </c:ser>
        <c:ser>
          <c:idx val="20"/>
          <c:order val="20"/>
          <c:tx>
            <c:v>Anprall BHW</c:v>
          </c:tx>
          <c:spPr>
            <a:ln w="19050" cap="rnd">
              <a:solidFill>
                <a:schemeClr val="accent3">
                  <a:lumMod val="75000"/>
                </a:schemeClr>
              </a:solidFill>
              <a:round/>
            </a:ln>
            <a:effectLst/>
          </c:spPr>
          <c:marker>
            <c:symbol val="none"/>
          </c:marker>
          <c:xVal>
            <c:numRef>
              <c:f>Kalk4_Lastfallkombi!$L$103:$L$107</c:f>
              <c:numCache>
                <c:formatCode>0.00</c:formatCode>
                <c:ptCount val="5"/>
                <c:pt idx="0">
                  <c:v>1.7</c:v>
                </c:pt>
                <c:pt idx="1">
                  <c:v>1.7</c:v>
                </c:pt>
                <c:pt idx="2">
                  <c:v>1.65</c:v>
                </c:pt>
                <c:pt idx="3">
                  <c:v>1.65</c:v>
                </c:pt>
                <c:pt idx="4">
                  <c:v>1.7</c:v>
                </c:pt>
              </c:numCache>
            </c:numRef>
          </c:xVal>
          <c:yVal>
            <c:numRef>
              <c:f>Kalk4_Lastfallkombi!$M$103:$M$107</c:f>
              <c:numCache>
                <c:formatCode>0.00</c:formatCode>
                <c:ptCount val="5"/>
                <c:pt idx="0" formatCode="General">
                  <c:v>0</c:v>
                </c:pt>
                <c:pt idx="1">
                  <c:v>0.25</c:v>
                </c:pt>
                <c:pt idx="2">
                  <c:v>0.25</c:v>
                </c:pt>
                <c:pt idx="3">
                  <c:v>-0.25</c:v>
                </c:pt>
                <c:pt idx="4">
                  <c:v>-0.25</c:v>
                </c:pt>
              </c:numCache>
            </c:numRef>
          </c:yVal>
          <c:smooth val="0"/>
          <c:extLst>
            <c:ext xmlns:c16="http://schemas.microsoft.com/office/drawing/2014/chart" uri="{C3380CC4-5D6E-409C-BE32-E72D297353CC}">
              <c16:uniqueId val="{00000014-A962-485F-9559-F00E3275E12B}"/>
            </c:ext>
          </c:extLst>
        </c:ser>
        <c:ser>
          <c:idx val="21"/>
          <c:order val="21"/>
          <c:tx>
            <c:v>Volleinstau</c:v>
          </c:tx>
          <c:spPr>
            <a:ln w="38100" cap="rnd">
              <a:solidFill>
                <a:srgbClr val="0070C0"/>
              </a:solidFill>
              <a:prstDash val="sysDash"/>
              <a:round/>
            </a:ln>
            <a:effectLst/>
          </c:spPr>
          <c:marker>
            <c:symbol val="none"/>
          </c:marker>
          <c:xVal>
            <c:numRef>
              <c:f>Kalk4_Lastfallkombi!$L$108:$L$109</c:f>
              <c:numCache>
                <c:formatCode>General</c:formatCode>
                <c:ptCount val="2"/>
                <c:pt idx="0">
                  <c:v>0</c:v>
                </c:pt>
                <c:pt idx="1">
                  <c:v>2</c:v>
                </c:pt>
              </c:numCache>
            </c:numRef>
          </c:xVal>
          <c:yVal>
            <c:numRef>
              <c:f>Kalk4_Lastfallkombi!$M$108:$M$109</c:f>
              <c:numCache>
                <c:formatCode>0.00</c:formatCode>
                <c:ptCount val="2"/>
                <c:pt idx="0">
                  <c:v>2.5000000000000001E-2</c:v>
                </c:pt>
                <c:pt idx="1">
                  <c:v>2.5000000000000001E-2</c:v>
                </c:pt>
              </c:numCache>
            </c:numRef>
          </c:yVal>
          <c:smooth val="0"/>
          <c:extLst>
            <c:ext xmlns:c16="http://schemas.microsoft.com/office/drawing/2014/chart" uri="{C3380CC4-5D6E-409C-BE32-E72D297353CC}">
              <c16:uniqueId val="{00000015-A962-485F-9559-F00E3275E12B}"/>
            </c:ext>
          </c:extLst>
        </c:ser>
        <c:ser>
          <c:idx val="22"/>
          <c:order val="22"/>
          <c:tx>
            <c:v>Wasserdruck Volleinstau</c:v>
          </c:tx>
          <c:spPr>
            <a:ln w="19050" cap="rnd">
              <a:solidFill>
                <a:schemeClr val="accent1">
                  <a:lumMod val="60000"/>
                  <a:lumOff val="40000"/>
                </a:schemeClr>
              </a:solidFill>
              <a:prstDash val="dash"/>
              <a:round/>
            </a:ln>
            <a:effectLst/>
          </c:spPr>
          <c:marker>
            <c:symbol val="none"/>
          </c:marker>
          <c:xVal>
            <c:numRef>
              <c:f>Kalk4_Lastfallkombi!$L$111:$L$114</c:f>
              <c:numCache>
                <c:formatCode>0.00</c:formatCode>
                <c:ptCount val="4"/>
                <c:pt idx="0">
                  <c:v>1.2999999999999998</c:v>
                </c:pt>
                <c:pt idx="1">
                  <c:v>1.2999999999999998</c:v>
                </c:pt>
                <c:pt idx="2">
                  <c:v>1.2999999999999998</c:v>
                </c:pt>
                <c:pt idx="3">
                  <c:v>1.2969624999999998</c:v>
                </c:pt>
              </c:numCache>
            </c:numRef>
          </c:xVal>
          <c:yVal>
            <c:numRef>
              <c:f>Kalk4_Lastfallkombi!$M$111:$M$114</c:f>
              <c:numCache>
                <c:formatCode>0.00</c:formatCode>
                <c:ptCount val="4"/>
                <c:pt idx="0">
                  <c:v>0</c:v>
                </c:pt>
                <c:pt idx="1">
                  <c:v>2.5000000000000001E-2</c:v>
                </c:pt>
                <c:pt idx="2">
                  <c:v>2.5000000000000001E-2</c:v>
                </c:pt>
                <c:pt idx="3">
                  <c:v>0</c:v>
                </c:pt>
              </c:numCache>
            </c:numRef>
          </c:yVal>
          <c:smooth val="0"/>
          <c:extLst>
            <c:ext xmlns:c16="http://schemas.microsoft.com/office/drawing/2014/chart" uri="{C3380CC4-5D6E-409C-BE32-E72D297353CC}">
              <c16:uniqueId val="{00000016-A962-485F-9559-F00E3275E12B}"/>
            </c:ext>
          </c:extLst>
        </c:ser>
        <c:ser>
          <c:idx val="23"/>
          <c:order val="23"/>
          <c:tx>
            <c:v>Anprall Volleinstau</c:v>
          </c:tx>
          <c:spPr>
            <a:ln w="19050" cap="rnd">
              <a:solidFill>
                <a:schemeClr val="accent3">
                  <a:lumMod val="75000"/>
                </a:schemeClr>
              </a:solidFill>
              <a:prstDash val="dash"/>
              <a:round/>
            </a:ln>
            <a:effectLst/>
          </c:spPr>
          <c:marker>
            <c:symbol val="none"/>
          </c:marker>
          <c:xVal>
            <c:numRef>
              <c:f>Kalk4_Lastfallkombi!$L$116:$L$120</c:f>
              <c:numCache>
                <c:formatCode>0.00</c:formatCode>
                <c:ptCount val="5"/>
                <c:pt idx="0">
                  <c:v>1.1969624999999997</c:v>
                </c:pt>
                <c:pt idx="1">
                  <c:v>1.1969624999999997</c:v>
                </c:pt>
                <c:pt idx="2">
                  <c:v>1.1469624999999997</c:v>
                </c:pt>
                <c:pt idx="3">
                  <c:v>1.1469624999999997</c:v>
                </c:pt>
                <c:pt idx="4">
                  <c:v>1.1969624999999997</c:v>
                </c:pt>
              </c:numCache>
            </c:numRef>
          </c:xVal>
          <c:yVal>
            <c:numRef>
              <c:f>Kalk4_Lastfallkombi!$M$116:$M$120</c:f>
              <c:numCache>
                <c:formatCode>0.00</c:formatCode>
                <c:ptCount val="5"/>
                <c:pt idx="0" formatCode="General">
                  <c:v>0</c:v>
                </c:pt>
                <c:pt idx="1">
                  <c:v>2.5000000000000001E-2</c:v>
                </c:pt>
                <c:pt idx="2">
                  <c:v>2.5000000000000001E-2</c:v>
                </c:pt>
                <c:pt idx="3">
                  <c:v>-0.47499999999999998</c:v>
                </c:pt>
                <c:pt idx="4">
                  <c:v>-0.47499999999999998</c:v>
                </c:pt>
              </c:numCache>
            </c:numRef>
          </c:yVal>
          <c:smooth val="0"/>
          <c:extLst>
            <c:ext xmlns:c16="http://schemas.microsoft.com/office/drawing/2014/chart" uri="{C3380CC4-5D6E-409C-BE32-E72D297353CC}">
              <c16:uniqueId val="{00000017-A962-485F-9559-F00E3275E12B}"/>
            </c:ext>
          </c:extLst>
        </c:ser>
        <c:ser>
          <c:idx val="24"/>
          <c:order val="24"/>
          <c:tx>
            <c:v>Dammbalken 17</c:v>
          </c:tx>
          <c:spPr>
            <a:ln w="19050" cap="rnd">
              <a:solidFill>
                <a:schemeClr val="accent2">
                  <a:lumMod val="50000"/>
                </a:schemeClr>
              </a:solidFill>
              <a:round/>
            </a:ln>
            <a:effectLst/>
          </c:spPr>
          <c:marker>
            <c:symbol val="none"/>
          </c:marker>
          <c:xVal>
            <c:numRef>
              <c:f>Kalk4_Lastfallkombi!$L$79:$L$80</c:f>
              <c:numCache>
                <c:formatCode>0.00</c:formatCode>
                <c:ptCount val="2"/>
                <c:pt idx="0">
                  <c:v>1.98</c:v>
                </c:pt>
                <c:pt idx="1">
                  <c:v>2.02</c:v>
                </c:pt>
              </c:numCache>
            </c:numRef>
          </c:xVal>
          <c:yVal>
            <c:numRef>
              <c:f>Kalk4_Lastfallkombi!$M$79:$M$80</c:f>
              <c:numCache>
                <c:formatCode>0.00</c:formatCode>
                <c:ptCount val="2"/>
                <c:pt idx="0">
                  <c:v>0.21</c:v>
                </c:pt>
                <c:pt idx="1">
                  <c:v>0.21</c:v>
                </c:pt>
              </c:numCache>
            </c:numRef>
          </c:yVal>
          <c:smooth val="0"/>
          <c:extLst>
            <c:ext xmlns:c16="http://schemas.microsoft.com/office/drawing/2014/chart" uri="{C3380CC4-5D6E-409C-BE32-E72D297353CC}">
              <c16:uniqueId val="{00000018-A962-485F-9559-F00E3275E12B}"/>
            </c:ext>
          </c:extLst>
        </c:ser>
        <c:ser>
          <c:idx val="25"/>
          <c:order val="25"/>
          <c:tx>
            <c:v>Dammbalken 18</c:v>
          </c:tx>
          <c:spPr>
            <a:ln w="19050" cap="rnd">
              <a:solidFill>
                <a:schemeClr val="accent2">
                  <a:lumMod val="50000"/>
                </a:schemeClr>
              </a:solidFill>
              <a:round/>
            </a:ln>
            <a:effectLst/>
          </c:spPr>
          <c:marker>
            <c:symbol val="none"/>
          </c:marker>
          <c:xVal>
            <c:numRef>
              <c:f>Kalk4_Lastfallkombi!$L$81:$L$82</c:f>
              <c:numCache>
                <c:formatCode>0.00</c:formatCode>
                <c:ptCount val="2"/>
                <c:pt idx="0">
                  <c:v>1.98</c:v>
                </c:pt>
                <c:pt idx="1">
                  <c:v>2.02</c:v>
                </c:pt>
              </c:numCache>
            </c:numRef>
          </c:xVal>
          <c:yVal>
            <c:numRef>
              <c:f>Kalk4_Lastfallkombi!$M$81:$M$82</c:f>
              <c:numCache>
                <c:formatCode>0.00</c:formatCode>
                <c:ptCount val="2"/>
                <c:pt idx="0">
                  <c:v>0.21</c:v>
                </c:pt>
                <c:pt idx="1">
                  <c:v>0.21</c:v>
                </c:pt>
              </c:numCache>
            </c:numRef>
          </c:yVal>
          <c:smooth val="0"/>
          <c:extLst>
            <c:ext xmlns:c16="http://schemas.microsoft.com/office/drawing/2014/chart" uri="{C3380CC4-5D6E-409C-BE32-E72D297353CC}">
              <c16:uniqueId val="{00000019-A962-485F-9559-F00E3275E12B}"/>
            </c:ext>
          </c:extLst>
        </c:ser>
        <c:ser>
          <c:idx val="26"/>
          <c:order val="26"/>
          <c:tx>
            <c:v>Dammbalken 19</c:v>
          </c:tx>
          <c:spPr>
            <a:ln w="19050" cap="rnd">
              <a:solidFill>
                <a:schemeClr val="accent2">
                  <a:lumMod val="50000"/>
                </a:schemeClr>
              </a:solidFill>
              <a:round/>
            </a:ln>
            <a:effectLst/>
          </c:spPr>
          <c:marker>
            <c:symbol val="none"/>
          </c:marker>
          <c:xVal>
            <c:numRef>
              <c:f>Kalk4_Lastfallkombi!$L$83:$L$84</c:f>
              <c:numCache>
                <c:formatCode>0.00</c:formatCode>
                <c:ptCount val="2"/>
                <c:pt idx="0">
                  <c:v>1.98</c:v>
                </c:pt>
                <c:pt idx="1">
                  <c:v>2.02</c:v>
                </c:pt>
              </c:numCache>
            </c:numRef>
          </c:xVal>
          <c:yVal>
            <c:numRef>
              <c:f>Kalk4_Lastfallkombi!$M$83:$M$84</c:f>
              <c:numCache>
                <c:formatCode>0.00</c:formatCode>
                <c:ptCount val="2"/>
                <c:pt idx="0">
                  <c:v>0.21</c:v>
                </c:pt>
                <c:pt idx="1">
                  <c:v>0.21</c:v>
                </c:pt>
              </c:numCache>
            </c:numRef>
          </c:yVal>
          <c:smooth val="0"/>
          <c:extLst>
            <c:ext xmlns:c16="http://schemas.microsoft.com/office/drawing/2014/chart" uri="{C3380CC4-5D6E-409C-BE32-E72D297353CC}">
              <c16:uniqueId val="{0000001A-A962-485F-9559-F00E3275E12B}"/>
            </c:ext>
          </c:extLst>
        </c:ser>
        <c:ser>
          <c:idx val="27"/>
          <c:order val="27"/>
          <c:tx>
            <c:v>Dammbalken 20</c:v>
          </c:tx>
          <c:spPr>
            <a:ln w="19050" cap="rnd">
              <a:solidFill>
                <a:schemeClr val="accent2">
                  <a:lumMod val="50000"/>
                </a:schemeClr>
              </a:solidFill>
              <a:round/>
            </a:ln>
            <a:effectLst/>
          </c:spPr>
          <c:marker>
            <c:symbol val="none"/>
          </c:marker>
          <c:xVal>
            <c:numRef>
              <c:f>Kalk4_Lastfallkombi!$L$85:$L$86</c:f>
              <c:numCache>
                <c:formatCode>0.00</c:formatCode>
                <c:ptCount val="2"/>
                <c:pt idx="0">
                  <c:v>1.98</c:v>
                </c:pt>
                <c:pt idx="1">
                  <c:v>2.02</c:v>
                </c:pt>
              </c:numCache>
            </c:numRef>
          </c:xVal>
          <c:yVal>
            <c:numRef>
              <c:f>Kalk4_Lastfallkombi!$M$85:$M$86</c:f>
              <c:numCache>
                <c:formatCode>0.00</c:formatCode>
                <c:ptCount val="2"/>
                <c:pt idx="0">
                  <c:v>0.21</c:v>
                </c:pt>
                <c:pt idx="1">
                  <c:v>0.21</c:v>
                </c:pt>
              </c:numCache>
            </c:numRef>
          </c:yVal>
          <c:smooth val="0"/>
          <c:extLst>
            <c:ext xmlns:c16="http://schemas.microsoft.com/office/drawing/2014/chart" uri="{C3380CC4-5D6E-409C-BE32-E72D297353CC}">
              <c16:uniqueId val="{0000001B-A962-485F-9559-F00E3275E12B}"/>
            </c:ext>
          </c:extLst>
        </c:ser>
        <c:ser>
          <c:idx val="28"/>
          <c:order val="28"/>
          <c:tx>
            <c:v>Dammbalken 21</c:v>
          </c:tx>
          <c:spPr>
            <a:ln w="19050" cap="rnd">
              <a:solidFill>
                <a:schemeClr val="accent2">
                  <a:lumMod val="50000"/>
                </a:schemeClr>
              </a:solidFill>
              <a:round/>
            </a:ln>
            <a:effectLst/>
          </c:spPr>
          <c:marker>
            <c:symbol val="none"/>
          </c:marker>
          <c:xVal>
            <c:numRef>
              <c:f>Kalk4_Lastfallkombi!$L$87:$L$88</c:f>
              <c:numCache>
                <c:formatCode>0.00</c:formatCode>
                <c:ptCount val="2"/>
                <c:pt idx="0">
                  <c:v>1.98</c:v>
                </c:pt>
                <c:pt idx="1">
                  <c:v>2.02</c:v>
                </c:pt>
              </c:numCache>
            </c:numRef>
          </c:xVal>
          <c:yVal>
            <c:numRef>
              <c:f>Kalk4_Lastfallkombi!$M$87:$M$88</c:f>
              <c:numCache>
                <c:formatCode>0.00</c:formatCode>
                <c:ptCount val="2"/>
                <c:pt idx="0">
                  <c:v>0.21</c:v>
                </c:pt>
                <c:pt idx="1">
                  <c:v>0.21</c:v>
                </c:pt>
              </c:numCache>
            </c:numRef>
          </c:yVal>
          <c:smooth val="0"/>
          <c:extLst>
            <c:ext xmlns:c16="http://schemas.microsoft.com/office/drawing/2014/chart" uri="{C3380CC4-5D6E-409C-BE32-E72D297353CC}">
              <c16:uniqueId val="{0000001C-A962-485F-9559-F00E3275E12B}"/>
            </c:ext>
          </c:extLst>
        </c:ser>
        <c:ser>
          <c:idx val="29"/>
          <c:order val="29"/>
          <c:tx>
            <c:v>Dammbalken 22</c:v>
          </c:tx>
          <c:spPr>
            <a:ln w="19050" cap="rnd">
              <a:solidFill>
                <a:schemeClr val="accent2">
                  <a:lumMod val="50000"/>
                </a:schemeClr>
              </a:solidFill>
              <a:round/>
            </a:ln>
            <a:effectLst/>
          </c:spPr>
          <c:marker>
            <c:symbol val="none"/>
          </c:marker>
          <c:xVal>
            <c:numRef>
              <c:f>Kalk4_Lastfallkombi!$L$89:$L$90</c:f>
              <c:numCache>
                <c:formatCode>0.00</c:formatCode>
                <c:ptCount val="2"/>
                <c:pt idx="0">
                  <c:v>1.98</c:v>
                </c:pt>
                <c:pt idx="1">
                  <c:v>2.02</c:v>
                </c:pt>
              </c:numCache>
            </c:numRef>
          </c:xVal>
          <c:yVal>
            <c:numRef>
              <c:f>Kalk4_Lastfallkombi!$M$89:$M$90</c:f>
              <c:numCache>
                <c:formatCode>0.00</c:formatCode>
                <c:ptCount val="2"/>
                <c:pt idx="0">
                  <c:v>0.21</c:v>
                </c:pt>
                <c:pt idx="1">
                  <c:v>0.21</c:v>
                </c:pt>
              </c:numCache>
            </c:numRef>
          </c:yVal>
          <c:smooth val="0"/>
          <c:extLst>
            <c:ext xmlns:c16="http://schemas.microsoft.com/office/drawing/2014/chart" uri="{C3380CC4-5D6E-409C-BE32-E72D297353CC}">
              <c16:uniqueId val="{0000001D-A962-485F-9559-F00E3275E12B}"/>
            </c:ext>
          </c:extLst>
        </c:ser>
        <c:ser>
          <c:idx val="30"/>
          <c:order val="30"/>
          <c:tx>
            <c:v>Dammbalken 23</c:v>
          </c:tx>
          <c:spPr>
            <a:ln w="19050" cap="rnd">
              <a:solidFill>
                <a:schemeClr val="accent2">
                  <a:lumMod val="50000"/>
                </a:schemeClr>
              </a:solidFill>
              <a:round/>
            </a:ln>
            <a:effectLst/>
          </c:spPr>
          <c:marker>
            <c:symbol val="none"/>
          </c:marker>
          <c:xVal>
            <c:numRef>
              <c:f>Kalk4_Lastfallkombi!$L$91:$L$92</c:f>
              <c:numCache>
                <c:formatCode>0.00</c:formatCode>
                <c:ptCount val="2"/>
                <c:pt idx="0">
                  <c:v>1.98</c:v>
                </c:pt>
                <c:pt idx="1">
                  <c:v>2.02</c:v>
                </c:pt>
              </c:numCache>
            </c:numRef>
          </c:xVal>
          <c:yVal>
            <c:numRef>
              <c:f>Kalk4_Lastfallkombi!$M$91:$M$92</c:f>
              <c:numCache>
                <c:formatCode>0.00</c:formatCode>
                <c:ptCount val="2"/>
                <c:pt idx="0">
                  <c:v>0.21</c:v>
                </c:pt>
                <c:pt idx="1">
                  <c:v>0.21</c:v>
                </c:pt>
              </c:numCache>
            </c:numRef>
          </c:yVal>
          <c:smooth val="0"/>
          <c:extLst>
            <c:ext xmlns:c16="http://schemas.microsoft.com/office/drawing/2014/chart" uri="{C3380CC4-5D6E-409C-BE32-E72D297353CC}">
              <c16:uniqueId val="{0000001E-A962-485F-9559-F00E3275E12B}"/>
            </c:ext>
          </c:extLst>
        </c:ser>
        <c:ser>
          <c:idx val="31"/>
          <c:order val="31"/>
          <c:tx>
            <c:v>Dammbalken 24</c:v>
          </c:tx>
          <c:spPr>
            <a:ln w="19050" cap="rnd">
              <a:solidFill>
                <a:schemeClr val="accent2">
                  <a:lumMod val="50000"/>
                </a:schemeClr>
              </a:solidFill>
              <a:round/>
            </a:ln>
            <a:effectLst/>
          </c:spPr>
          <c:marker>
            <c:symbol val="none"/>
          </c:marker>
          <c:xVal>
            <c:numRef>
              <c:f>Kalk4_Lastfallkombi!$L$93:$L$94</c:f>
              <c:numCache>
                <c:formatCode>0.00</c:formatCode>
                <c:ptCount val="2"/>
                <c:pt idx="0">
                  <c:v>1.98</c:v>
                </c:pt>
                <c:pt idx="1">
                  <c:v>2.02</c:v>
                </c:pt>
              </c:numCache>
            </c:numRef>
          </c:xVal>
          <c:yVal>
            <c:numRef>
              <c:f>Kalk4_Lastfallkombi!$M$93:$M$94</c:f>
              <c:numCache>
                <c:formatCode>0.00</c:formatCode>
                <c:ptCount val="2"/>
                <c:pt idx="0">
                  <c:v>0.21</c:v>
                </c:pt>
                <c:pt idx="1">
                  <c:v>0.21</c:v>
                </c:pt>
              </c:numCache>
            </c:numRef>
          </c:yVal>
          <c:smooth val="0"/>
          <c:extLst>
            <c:ext xmlns:c16="http://schemas.microsoft.com/office/drawing/2014/chart" uri="{C3380CC4-5D6E-409C-BE32-E72D297353CC}">
              <c16:uniqueId val="{0000001F-A962-485F-9559-F00E3275E12B}"/>
            </c:ext>
          </c:extLst>
        </c:ser>
        <c:dLbls>
          <c:showLegendKey val="0"/>
          <c:showVal val="0"/>
          <c:showCatName val="0"/>
          <c:showSerName val="0"/>
          <c:showPercent val="0"/>
          <c:showBubbleSize val="0"/>
        </c:dLbls>
        <c:axId val="1192709887"/>
        <c:axId val="1192714463"/>
      </c:scatterChart>
      <c:valAx>
        <c:axId val="1192709887"/>
        <c:scaling>
          <c:orientation val="minMax"/>
        </c:scaling>
        <c:delete val="1"/>
        <c:axPos val="b"/>
        <c:numFmt formatCode="General" sourceLinked="1"/>
        <c:majorTickMark val="none"/>
        <c:minorTickMark val="none"/>
        <c:tickLblPos val="nextTo"/>
        <c:crossAx val="1192714463"/>
        <c:crosses val="autoZero"/>
        <c:crossBetween val="midCat"/>
      </c:valAx>
      <c:valAx>
        <c:axId val="1192714463"/>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9270988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Balken 1</c:v>
          </c:tx>
          <c:spPr>
            <a:ln w="57150" cap="rnd">
              <a:solidFill>
                <a:schemeClr val="accent2">
                  <a:lumMod val="75000"/>
                </a:schemeClr>
              </a:solidFill>
              <a:round/>
            </a:ln>
            <a:effectLst/>
          </c:spPr>
          <c:marker>
            <c:symbol val="none"/>
          </c:marker>
          <c:xVal>
            <c:numRef>
              <c:f>Kalk5_Lastfallkombi!$L$42:$L$43</c:f>
              <c:numCache>
                <c:formatCode>General</c:formatCode>
                <c:ptCount val="2"/>
                <c:pt idx="0">
                  <c:v>2</c:v>
                </c:pt>
                <c:pt idx="1">
                  <c:v>2</c:v>
                </c:pt>
              </c:numCache>
            </c:numRef>
          </c:xVal>
          <c:yVal>
            <c:numRef>
              <c:f>Kalk5_Lastfallkombi!$M$42:$M$43</c:f>
              <c:numCache>
                <c:formatCode>0.00</c:formatCode>
                <c:ptCount val="2"/>
                <c:pt idx="0" formatCode="General">
                  <c:v>0</c:v>
                </c:pt>
                <c:pt idx="1">
                  <c:v>2.5000000000000001E-2</c:v>
                </c:pt>
              </c:numCache>
            </c:numRef>
          </c:yVal>
          <c:smooth val="0"/>
          <c:extLst>
            <c:ext xmlns:c16="http://schemas.microsoft.com/office/drawing/2014/chart" uri="{C3380CC4-5D6E-409C-BE32-E72D297353CC}">
              <c16:uniqueId val="{00000000-97FE-489A-8FD8-E20CC0DBE458}"/>
            </c:ext>
          </c:extLst>
        </c:ser>
        <c:ser>
          <c:idx val="1"/>
          <c:order val="1"/>
          <c:tx>
            <c:v>BHW 1</c:v>
          </c:tx>
          <c:spPr>
            <a:ln w="38100" cap="rnd">
              <a:solidFill>
                <a:srgbClr val="0070C0"/>
              </a:solidFill>
              <a:round/>
            </a:ln>
            <a:effectLst/>
          </c:spPr>
          <c:marker>
            <c:symbol val="none"/>
          </c:marker>
          <c:xVal>
            <c:numRef>
              <c:f>Kalk5_Lastfallkombi!$L$44:$L$45</c:f>
              <c:numCache>
                <c:formatCode>General</c:formatCode>
                <c:ptCount val="2"/>
                <c:pt idx="0">
                  <c:v>0</c:v>
                </c:pt>
                <c:pt idx="1">
                  <c:v>2</c:v>
                </c:pt>
              </c:numCache>
            </c:numRef>
          </c:xVal>
          <c:yVal>
            <c:numRef>
              <c:f>Kalk5_Lastfallkombi!$M$44:$M$45</c:f>
              <c:numCache>
                <c:formatCode>0.00</c:formatCode>
                <c:ptCount val="2"/>
                <c:pt idx="0">
                  <c:v>0</c:v>
                </c:pt>
                <c:pt idx="1">
                  <c:v>0</c:v>
                </c:pt>
              </c:numCache>
            </c:numRef>
          </c:yVal>
          <c:smooth val="0"/>
          <c:extLst>
            <c:ext xmlns:c16="http://schemas.microsoft.com/office/drawing/2014/chart" uri="{C3380CC4-5D6E-409C-BE32-E72D297353CC}">
              <c16:uniqueId val="{00000001-97FE-489A-8FD8-E20CC0DBE458}"/>
            </c:ext>
          </c:extLst>
        </c:ser>
        <c:ser>
          <c:idx val="2"/>
          <c:order val="2"/>
          <c:tx>
            <c:v>Grund</c:v>
          </c:tx>
          <c:spPr>
            <a:ln w="38100" cap="rnd">
              <a:solidFill>
                <a:schemeClr val="tx1">
                  <a:lumMod val="95000"/>
                  <a:lumOff val="5000"/>
                </a:schemeClr>
              </a:solidFill>
              <a:round/>
            </a:ln>
            <a:effectLst/>
          </c:spPr>
          <c:marker>
            <c:symbol val="none"/>
          </c:marker>
          <c:xVal>
            <c:numRef>
              <c:f>Kalk5_Lastfallkombi!$L$40:$L$41</c:f>
              <c:numCache>
                <c:formatCode>General</c:formatCode>
                <c:ptCount val="2"/>
                <c:pt idx="0">
                  <c:v>0</c:v>
                </c:pt>
                <c:pt idx="1">
                  <c:v>2.5</c:v>
                </c:pt>
              </c:numCache>
            </c:numRef>
          </c:xVal>
          <c:yVal>
            <c:numRef>
              <c:f>Kalk5_Lastfallkombi!$M$40:$M$41</c:f>
              <c:numCache>
                <c:formatCode>General</c:formatCode>
                <c:ptCount val="2"/>
                <c:pt idx="0">
                  <c:v>0</c:v>
                </c:pt>
                <c:pt idx="1">
                  <c:v>0</c:v>
                </c:pt>
              </c:numCache>
            </c:numRef>
          </c:yVal>
          <c:smooth val="0"/>
          <c:extLst>
            <c:ext xmlns:c16="http://schemas.microsoft.com/office/drawing/2014/chart" uri="{C3380CC4-5D6E-409C-BE32-E72D297353CC}">
              <c16:uniqueId val="{00000002-97FE-489A-8FD8-E20CC0DBE458}"/>
            </c:ext>
          </c:extLst>
        </c:ser>
        <c:ser>
          <c:idx val="3"/>
          <c:order val="3"/>
          <c:tx>
            <c:v>Dammbalken1</c:v>
          </c:tx>
          <c:spPr>
            <a:ln w="19050" cap="rnd">
              <a:solidFill>
                <a:schemeClr val="accent2">
                  <a:lumMod val="50000"/>
                </a:schemeClr>
              </a:solidFill>
              <a:round/>
            </a:ln>
            <a:effectLst/>
          </c:spPr>
          <c:marker>
            <c:symbol val="none"/>
          </c:marker>
          <c:xVal>
            <c:numRef>
              <c:f>Kalk5_Lastfallkombi!$L$47:$L$48</c:f>
              <c:numCache>
                <c:formatCode>0.00</c:formatCode>
                <c:ptCount val="2"/>
                <c:pt idx="0">
                  <c:v>1.98</c:v>
                </c:pt>
                <c:pt idx="1">
                  <c:v>2.02</c:v>
                </c:pt>
              </c:numCache>
            </c:numRef>
          </c:xVal>
          <c:yVal>
            <c:numRef>
              <c:f>Kalk5_Lastfallkombi!$M$47:$M$48</c:f>
              <c:numCache>
                <c:formatCode>0.00</c:formatCode>
                <c:ptCount val="2"/>
                <c:pt idx="0">
                  <c:v>0.21</c:v>
                </c:pt>
                <c:pt idx="1">
                  <c:v>0.21</c:v>
                </c:pt>
              </c:numCache>
            </c:numRef>
          </c:yVal>
          <c:smooth val="0"/>
          <c:extLst>
            <c:ext xmlns:c16="http://schemas.microsoft.com/office/drawing/2014/chart" uri="{C3380CC4-5D6E-409C-BE32-E72D297353CC}">
              <c16:uniqueId val="{00000003-97FE-489A-8FD8-E20CC0DBE458}"/>
            </c:ext>
          </c:extLst>
        </c:ser>
        <c:ser>
          <c:idx val="4"/>
          <c:order val="4"/>
          <c:tx>
            <c:v>Dammbalken 2</c:v>
          </c:tx>
          <c:spPr>
            <a:ln w="19050" cap="rnd">
              <a:solidFill>
                <a:schemeClr val="accent2">
                  <a:lumMod val="50000"/>
                </a:schemeClr>
              </a:solidFill>
              <a:round/>
            </a:ln>
            <a:effectLst/>
          </c:spPr>
          <c:marker>
            <c:symbol val="none"/>
          </c:marker>
          <c:xVal>
            <c:numRef>
              <c:f>Kalk5_Lastfallkombi!$L$49:$L$50</c:f>
              <c:numCache>
                <c:formatCode>0.00</c:formatCode>
                <c:ptCount val="2"/>
                <c:pt idx="0">
                  <c:v>1.98</c:v>
                </c:pt>
                <c:pt idx="1">
                  <c:v>2.02</c:v>
                </c:pt>
              </c:numCache>
            </c:numRef>
          </c:xVal>
          <c:yVal>
            <c:numRef>
              <c:f>Kalk5_Lastfallkombi!$M$49:$M$50</c:f>
              <c:numCache>
                <c:formatCode>0.00</c:formatCode>
                <c:ptCount val="2"/>
                <c:pt idx="0">
                  <c:v>0.21</c:v>
                </c:pt>
                <c:pt idx="1">
                  <c:v>0.21</c:v>
                </c:pt>
              </c:numCache>
            </c:numRef>
          </c:yVal>
          <c:smooth val="0"/>
          <c:extLst>
            <c:ext xmlns:c16="http://schemas.microsoft.com/office/drawing/2014/chart" uri="{C3380CC4-5D6E-409C-BE32-E72D297353CC}">
              <c16:uniqueId val="{00000004-97FE-489A-8FD8-E20CC0DBE458}"/>
            </c:ext>
          </c:extLst>
        </c:ser>
        <c:ser>
          <c:idx val="5"/>
          <c:order val="5"/>
          <c:tx>
            <c:v>Dammbalken 3</c:v>
          </c:tx>
          <c:spPr>
            <a:ln w="19050" cap="rnd">
              <a:solidFill>
                <a:schemeClr val="accent2">
                  <a:lumMod val="50000"/>
                </a:schemeClr>
              </a:solidFill>
              <a:round/>
            </a:ln>
            <a:effectLst/>
          </c:spPr>
          <c:marker>
            <c:symbol val="none"/>
          </c:marker>
          <c:xVal>
            <c:numRef>
              <c:f>Kalk5_Lastfallkombi!$L$51:$L$52</c:f>
              <c:numCache>
                <c:formatCode>0.00</c:formatCode>
                <c:ptCount val="2"/>
                <c:pt idx="0">
                  <c:v>1.98</c:v>
                </c:pt>
                <c:pt idx="1">
                  <c:v>2.02</c:v>
                </c:pt>
              </c:numCache>
            </c:numRef>
          </c:xVal>
          <c:yVal>
            <c:numRef>
              <c:f>Kalk5_Lastfallkombi!$M$51:$M$52</c:f>
              <c:numCache>
                <c:formatCode>0.00</c:formatCode>
                <c:ptCount val="2"/>
                <c:pt idx="0">
                  <c:v>0.21</c:v>
                </c:pt>
                <c:pt idx="1">
                  <c:v>0.21</c:v>
                </c:pt>
              </c:numCache>
            </c:numRef>
          </c:yVal>
          <c:smooth val="0"/>
          <c:extLst>
            <c:ext xmlns:c16="http://schemas.microsoft.com/office/drawing/2014/chart" uri="{C3380CC4-5D6E-409C-BE32-E72D297353CC}">
              <c16:uniqueId val="{00000005-97FE-489A-8FD8-E20CC0DBE458}"/>
            </c:ext>
          </c:extLst>
        </c:ser>
        <c:ser>
          <c:idx val="6"/>
          <c:order val="6"/>
          <c:tx>
            <c:v>Dammbalken 4</c:v>
          </c:tx>
          <c:spPr>
            <a:ln w="19050" cap="rnd">
              <a:solidFill>
                <a:schemeClr val="accent2">
                  <a:lumMod val="50000"/>
                </a:schemeClr>
              </a:solidFill>
              <a:round/>
            </a:ln>
            <a:effectLst/>
          </c:spPr>
          <c:marker>
            <c:symbol val="none"/>
          </c:marker>
          <c:xVal>
            <c:numRef>
              <c:f>Kalk5_Lastfallkombi!$L$53:$L$54</c:f>
              <c:numCache>
                <c:formatCode>0.00</c:formatCode>
                <c:ptCount val="2"/>
                <c:pt idx="0">
                  <c:v>1.98</c:v>
                </c:pt>
                <c:pt idx="1">
                  <c:v>2.02</c:v>
                </c:pt>
              </c:numCache>
            </c:numRef>
          </c:xVal>
          <c:yVal>
            <c:numRef>
              <c:f>Kalk5_Lastfallkombi!$M$53:$M$54</c:f>
              <c:numCache>
                <c:formatCode>0.00</c:formatCode>
                <c:ptCount val="2"/>
                <c:pt idx="0">
                  <c:v>0.21</c:v>
                </c:pt>
                <c:pt idx="1">
                  <c:v>0.21</c:v>
                </c:pt>
              </c:numCache>
            </c:numRef>
          </c:yVal>
          <c:smooth val="0"/>
          <c:extLst>
            <c:ext xmlns:c16="http://schemas.microsoft.com/office/drawing/2014/chart" uri="{C3380CC4-5D6E-409C-BE32-E72D297353CC}">
              <c16:uniqueId val="{00000006-97FE-489A-8FD8-E20CC0DBE458}"/>
            </c:ext>
          </c:extLst>
        </c:ser>
        <c:ser>
          <c:idx val="7"/>
          <c:order val="7"/>
          <c:tx>
            <c:v>Dammbalken 5</c:v>
          </c:tx>
          <c:spPr>
            <a:ln w="19050" cap="rnd">
              <a:solidFill>
                <a:schemeClr val="accent2">
                  <a:lumMod val="60000"/>
                </a:schemeClr>
              </a:solidFill>
              <a:round/>
            </a:ln>
            <a:effectLst/>
          </c:spPr>
          <c:marker>
            <c:symbol val="none"/>
          </c:marker>
          <c:xVal>
            <c:numRef>
              <c:f>Kalk5_Lastfallkombi!$L$55:$L$56</c:f>
              <c:numCache>
                <c:formatCode>0.00</c:formatCode>
                <c:ptCount val="2"/>
                <c:pt idx="0">
                  <c:v>1.98</c:v>
                </c:pt>
                <c:pt idx="1">
                  <c:v>2.02</c:v>
                </c:pt>
              </c:numCache>
            </c:numRef>
          </c:xVal>
          <c:yVal>
            <c:numRef>
              <c:f>Kalk5_Lastfallkombi!$M$55:$M$56</c:f>
              <c:numCache>
                <c:formatCode>0.00</c:formatCode>
                <c:ptCount val="2"/>
                <c:pt idx="0">
                  <c:v>0.21</c:v>
                </c:pt>
                <c:pt idx="1">
                  <c:v>0.21</c:v>
                </c:pt>
              </c:numCache>
            </c:numRef>
          </c:yVal>
          <c:smooth val="0"/>
          <c:extLst>
            <c:ext xmlns:c16="http://schemas.microsoft.com/office/drawing/2014/chart" uri="{C3380CC4-5D6E-409C-BE32-E72D297353CC}">
              <c16:uniqueId val="{00000007-97FE-489A-8FD8-E20CC0DBE458}"/>
            </c:ext>
          </c:extLst>
        </c:ser>
        <c:ser>
          <c:idx val="8"/>
          <c:order val="8"/>
          <c:tx>
            <c:v>Dammbalken 6</c:v>
          </c:tx>
          <c:spPr>
            <a:ln w="19050" cap="rnd">
              <a:solidFill>
                <a:schemeClr val="accent2">
                  <a:lumMod val="50000"/>
                </a:schemeClr>
              </a:solidFill>
              <a:round/>
            </a:ln>
            <a:effectLst/>
          </c:spPr>
          <c:marker>
            <c:symbol val="none"/>
          </c:marker>
          <c:xVal>
            <c:numRef>
              <c:f>Kalk5_Lastfallkombi!$L$57:$L$58</c:f>
              <c:numCache>
                <c:formatCode>0.00</c:formatCode>
                <c:ptCount val="2"/>
                <c:pt idx="0">
                  <c:v>1.98</c:v>
                </c:pt>
                <c:pt idx="1">
                  <c:v>2.02</c:v>
                </c:pt>
              </c:numCache>
            </c:numRef>
          </c:xVal>
          <c:yVal>
            <c:numRef>
              <c:f>Kalk5_Lastfallkombi!$M$57:$M$58</c:f>
              <c:numCache>
                <c:formatCode>0.00</c:formatCode>
                <c:ptCount val="2"/>
                <c:pt idx="0">
                  <c:v>0.21</c:v>
                </c:pt>
                <c:pt idx="1">
                  <c:v>0.21</c:v>
                </c:pt>
              </c:numCache>
            </c:numRef>
          </c:yVal>
          <c:smooth val="0"/>
          <c:extLst>
            <c:ext xmlns:c16="http://schemas.microsoft.com/office/drawing/2014/chart" uri="{C3380CC4-5D6E-409C-BE32-E72D297353CC}">
              <c16:uniqueId val="{00000008-97FE-489A-8FD8-E20CC0DBE458}"/>
            </c:ext>
          </c:extLst>
        </c:ser>
        <c:ser>
          <c:idx val="9"/>
          <c:order val="9"/>
          <c:tx>
            <c:v>Dammbalken 7</c:v>
          </c:tx>
          <c:spPr>
            <a:ln w="19050" cap="rnd">
              <a:solidFill>
                <a:schemeClr val="accent2">
                  <a:lumMod val="50000"/>
                </a:schemeClr>
              </a:solidFill>
              <a:round/>
            </a:ln>
            <a:effectLst/>
          </c:spPr>
          <c:marker>
            <c:symbol val="none"/>
          </c:marker>
          <c:xVal>
            <c:numRef>
              <c:f>Kalk5_Lastfallkombi!$L$59:$L$60</c:f>
              <c:numCache>
                <c:formatCode>0.00</c:formatCode>
                <c:ptCount val="2"/>
                <c:pt idx="0">
                  <c:v>1.98</c:v>
                </c:pt>
                <c:pt idx="1">
                  <c:v>2.02</c:v>
                </c:pt>
              </c:numCache>
            </c:numRef>
          </c:xVal>
          <c:yVal>
            <c:numRef>
              <c:f>Kalk5_Lastfallkombi!$M$59:$M$60</c:f>
              <c:numCache>
                <c:formatCode>0.00</c:formatCode>
                <c:ptCount val="2"/>
                <c:pt idx="0">
                  <c:v>0.21</c:v>
                </c:pt>
                <c:pt idx="1">
                  <c:v>0.21</c:v>
                </c:pt>
              </c:numCache>
            </c:numRef>
          </c:yVal>
          <c:smooth val="0"/>
          <c:extLst>
            <c:ext xmlns:c16="http://schemas.microsoft.com/office/drawing/2014/chart" uri="{C3380CC4-5D6E-409C-BE32-E72D297353CC}">
              <c16:uniqueId val="{00000009-97FE-489A-8FD8-E20CC0DBE458}"/>
            </c:ext>
          </c:extLst>
        </c:ser>
        <c:ser>
          <c:idx val="10"/>
          <c:order val="10"/>
          <c:tx>
            <c:v>Dammbalken 8</c:v>
          </c:tx>
          <c:spPr>
            <a:ln w="19050" cap="rnd">
              <a:solidFill>
                <a:schemeClr val="accent2">
                  <a:lumMod val="50000"/>
                </a:schemeClr>
              </a:solidFill>
              <a:round/>
            </a:ln>
            <a:effectLst/>
          </c:spPr>
          <c:marker>
            <c:symbol val="none"/>
          </c:marker>
          <c:xVal>
            <c:numRef>
              <c:f>Kalk5_Lastfallkombi!$L$61:$L$62</c:f>
              <c:numCache>
                <c:formatCode>0.00</c:formatCode>
                <c:ptCount val="2"/>
                <c:pt idx="0">
                  <c:v>1.98</c:v>
                </c:pt>
                <c:pt idx="1">
                  <c:v>2.02</c:v>
                </c:pt>
              </c:numCache>
            </c:numRef>
          </c:xVal>
          <c:yVal>
            <c:numRef>
              <c:f>Kalk5_Lastfallkombi!$M$61:$M$62</c:f>
              <c:numCache>
                <c:formatCode>0.00</c:formatCode>
                <c:ptCount val="2"/>
                <c:pt idx="0">
                  <c:v>0.21</c:v>
                </c:pt>
                <c:pt idx="1">
                  <c:v>0.21</c:v>
                </c:pt>
              </c:numCache>
            </c:numRef>
          </c:yVal>
          <c:smooth val="0"/>
          <c:extLst>
            <c:ext xmlns:c16="http://schemas.microsoft.com/office/drawing/2014/chart" uri="{C3380CC4-5D6E-409C-BE32-E72D297353CC}">
              <c16:uniqueId val="{0000000A-97FE-489A-8FD8-E20CC0DBE458}"/>
            </c:ext>
          </c:extLst>
        </c:ser>
        <c:ser>
          <c:idx val="11"/>
          <c:order val="11"/>
          <c:tx>
            <c:v>Dammbalken 9</c:v>
          </c:tx>
          <c:spPr>
            <a:ln w="19050" cap="rnd">
              <a:solidFill>
                <a:schemeClr val="accent2">
                  <a:lumMod val="50000"/>
                </a:schemeClr>
              </a:solidFill>
              <a:round/>
            </a:ln>
            <a:effectLst/>
          </c:spPr>
          <c:marker>
            <c:symbol val="none"/>
          </c:marker>
          <c:xVal>
            <c:numRef>
              <c:f>Kalk5_Lastfallkombi!$L$63:$L$64</c:f>
              <c:numCache>
                <c:formatCode>0.00</c:formatCode>
                <c:ptCount val="2"/>
                <c:pt idx="0">
                  <c:v>1.98</c:v>
                </c:pt>
                <c:pt idx="1">
                  <c:v>2.02</c:v>
                </c:pt>
              </c:numCache>
            </c:numRef>
          </c:xVal>
          <c:yVal>
            <c:numRef>
              <c:f>Kalk5_Lastfallkombi!$M$63:$M$64</c:f>
              <c:numCache>
                <c:formatCode>0.00</c:formatCode>
                <c:ptCount val="2"/>
                <c:pt idx="0">
                  <c:v>0.21</c:v>
                </c:pt>
                <c:pt idx="1">
                  <c:v>0.21</c:v>
                </c:pt>
              </c:numCache>
            </c:numRef>
          </c:yVal>
          <c:smooth val="0"/>
          <c:extLst>
            <c:ext xmlns:c16="http://schemas.microsoft.com/office/drawing/2014/chart" uri="{C3380CC4-5D6E-409C-BE32-E72D297353CC}">
              <c16:uniqueId val="{0000000B-97FE-489A-8FD8-E20CC0DBE458}"/>
            </c:ext>
          </c:extLst>
        </c:ser>
        <c:ser>
          <c:idx val="12"/>
          <c:order val="12"/>
          <c:tx>
            <c:v>Dammbalken 10</c:v>
          </c:tx>
          <c:spPr>
            <a:ln w="19050" cap="rnd">
              <a:solidFill>
                <a:schemeClr val="accent2">
                  <a:lumMod val="50000"/>
                </a:schemeClr>
              </a:solidFill>
              <a:round/>
            </a:ln>
            <a:effectLst/>
          </c:spPr>
          <c:marker>
            <c:symbol val="none"/>
          </c:marker>
          <c:xVal>
            <c:numRef>
              <c:f>Kalk5_Lastfallkombi!$L$65:$L$66</c:f>
              <c:numCache>
                <c:formatCode>0.00</c:formatCode>
                <c:ptCount val="2"/>
                <c:pt idx="0">
                  <c:v>1.98</c:v>
                </c:pt>
                <c:pt idx="1">
                  <c:v>2.02</c:v>
                </c:pt>
              </c:numCache>
            </c:numRef>
          </c:xVal>
          <c:yVal>
            <c:numRef>
              <c:f>Kalk5_Lastfallkombi!$M$65:$M$66</c:f>
              <c:numCache>
                <c:formatCode>0.00</c:formatCode>
                <c:ptCount val="2"/>
                <c:pt idx="0">
                  <c:v>0.21</c:v>
                </c:pt>
                <c:pt idx="1">
                  <c:v>0.21</c:v>
                </c:pt>
              </c:numCache>
            </c:numRef>
          </c:yVal>
          <c:smooth val="0"/>
          <c:extLst>
            <c:ext xmlns:c16="http://schemas.microsoft.com/office/drawing/2014/chart" uri="{C3380CC4-5D6E-409C-BE32-E72D297353CC}">
              <c16:uniqueId val="{0000000C-97FE-489A-8FD8-E20CC0DBE458}"/>
            </c:ext>
          </c:extLst>
        </c:ser>
        <c:ser>
          <c:idx val="13"/>
          <c:order val="13"/>
          <c:tx>
            <c:v>Wasserdruck</c:v>
          </c:tx>
          <c:spPr>
            <a:ln w="19050" cap="rnd">
              <a:solidFill>
                <a:schemeClr val="accent1">
                  <a:lumMod val="60000"/>
                  <a:lumOff val="40000"/>
                </a:schemeClr>
              </a:solidFill>
              <a:round/>
            </a:ln>
            <a:effectLst/>
          </c:spPr>
          <c:marker>
            <c:symbol val="none"/>
          </c:marker>
          <c:xVal>
            <c:numRef>
              <c:f>Kalk5_Lastfallkombi!$L$98:$L$101</c:f>
              <c:numCache>
                <c:formatCode>0.00</c:formatCode>
                <c:ptCount val="4"/>
                <c:pt idx="0">
                  <c:v>1.8</c:v>
                </c:pt>
                <c:pt idx="1">
                  <c:v>1.8</c:v>
                </c:pt>
                <c:pt idx="2">
                  <c:v>1.8</c:v>
                </c:pt>
                <c:pt idx="3">
                  <c:v>1.8</c:v>
                </c:pt>
              </c:numCache>
            </c:numRef>
          </c:xVal>
          <c:yVal>
            <c:numRef>
              <c:f>Kalk5_Lastfallkombi!$M$98:$M$101</c:f>
              <c:numCache>
                <c:formatCode>0.00</c:formatCode>
                <c:ptCount val="4"/>
                <c:pt idx="0">
                  <c:v>0</c:v>
                </c:pt>
                <c:pt idx="1">
                  <c:v>0</c:v>
                </c:pt>
                <c:pt idx="2">
                  <c:v>0</c:v>
                </c:pt>
                <c:pt idx="3">
                  <c:v>0</c:v>
                </c:pt>
              </c:numCache>
            </c:numRef>
          </c:yVal>
          <c:smooth val="0"/>
          <c:extLst>
            <c:ext xmlns:c16="http://schemas.microsoft.com/office/drawing/2014/chart" uri="{C3380CC4-5D6E-409C-BE32-E72D297353CC}">
              <c16:uniqueId val="{0000000D-97FE-489A-8FD8-E20CC0DBE458}"/>
            </c:ext>
          </c:extLst>
        </c:ser>
        <c:ser>
          <c:idx val="14"/>
          <c:order val="14"/>
          <c:tx>
            <c:v>Dammbalken 11</c:v>
          </c:tx>
          <c:spPr>
            <a:ln w="19050" cap="rnd">
              <a:solidFill>
                <a:schemeClr val="accent2">
                  <a:lumMod val="50000"/>
                </a:schemeClr>
              </a:solidFill>
              <a:round/>
            </a:ln>
            <a:effectLst/>
          </c:spPr>
          <c:marker>
            <c:symbol val="none"/>
          </c:marker>
          <c:xVal>
            <c:numRef>
              <c:f>Kalk5_Lastfallkombi!$L$67:$L$68</c:f>
              <c:numCache>
                <c:formatCode>0.00</c:formatCode>
                <c:ptCount val="2"/>
                <c:pt idx="0">
                  <c:v>1.98</c:v>
                </c:pt>
                <c:pt idx="1">
                  <c:v>2.02</c:v>
                </c:pt>
              </c:numCache>
            </c:numRef>
          </c:xVal>
          <c:yVal>
            <c:numRef>
              <c:f>Kalk5_Lastfallkombi!$M$67:$M$68</c:f>
              <c:numCache>
                <c:formatCode>0.00</c:formatCode>
                <c:ptCount val="2"/>
                <c:pt idx="0">
                  <c:v>0.21</c:v>
                </c:pt>
                <c:pt idx="1">
                  <c:v>0.21</c:v>
                </c:pt>
              </c:numCache>
            </c:numRef>
          </c:yVal>
          <c:smooth val="0"/>
          <c:extLst>
            <c:ext xmlns:c16="http://schemas.microsoft.com/office/drawing/2014/chart" uri="{C3380CC4-5D6E-409C-BE32-E72D297353CC}">
              <c16:uniqueId val="{0000000E-97FE-489A-8FD8-E20CC0DBE458}"/>
            </c:ext>
          </c:extLst>
        </c:ser>
        <c:ser>
          <c:idx val="15"/>
          <c:order val="15"/>
          <c:tx>
            <c:v>Dammbalken 12</c:v>
          </c:tx>
          <c:spPr>
            <a:ln w="19050" cap="rnd">
              <a:solidFill>
                <a:schemeClr val="accent2">
                  <a:lumMod val="50000"/>
                </a:schemeClr>
              </a:solidFill>
              <a:round/>
            </a:ln>
            <a:effectLst/>
          </c:spPr>
          <c:marker>
            <c:symbol val="none"/>
          </c:marker>
          <c:xVal>
            <c:numRef>
              <c:f>Kalk5_Lastfallkombi!$L$69:$L$70</c:f>
              <c:numCache>
                <c:formatCode>0.00</c:formatCode>
                <c:ptCount val="2"/>
                <c:pt idx="0">
                  <c:v>1.98</c:v>
                </c:pt>
                <c:pt idx="1">
                  <c:v>2.02</c:v>
                </c:pt>
              </c:numCache>
            </c:numRef>
          </c:xVal>
          <c:yVal>
            <c:numRef>
              <c:f>Kalk5_Lastfallkombi!$M$69:$M$70</c:f>
              <c:numCache>
                <c:formatCode>0.00</c:formatCode>
                <c:ptCount val="2"/>
                <c:pt idx="0">
                  <c:v>0.21</c:v>
                </c:pt>
                <c:pt idx="1">
                  <c:v>0.21</c:v>
                </c:pt>
              </c:numCache>
            </c:numRef>
          </c:yVal>
          <c:smooth val="0"/>
          <c:extLst>
            <c:ext xmlns:c16="http://schemas.microsoft.com/office/drawing/2014/chart" uri="{C3380CC4-5D6E-409C-BE32-E72D297353CC}">
              <c16:uniqueId val="{0000000F-97FE-489A-8FD8-E20CC0DBE458}"/>
            </c:ext>
          </c:extLst>
        </c:ser>
        <c:ser>
          <c:idx val="16"/>
          <c:order val="16"/>
          <c:tx>
            <c:v>Dammbalken 13</c:v>
          </c:tx>
          <c:spPr>
            <a:ln w="19050" cap="rnd">
              <a:solidFill>
                <a:schemeClr val="accent2">
                  <a:lumMod val="50000"/>
                </a:schemeClr>
              </a:solidFill>
              <a:round/>
            </a:ln>
            <a:effectLst/>
          </c:spPr>
          <c:marker>
            <c:symbol val="none"/>
          </c:marker>
          <c:xVal>
            <c:numRef>
              <c:f>Kalk5_Lastfallkombi!$L$71:$L$72</c:f>
              <c:numCache>
                <c:formatCode>0.00</c:formatCode>
                <c:ptCount val="2"/>
                <c:pt idx="0">
                  <c:v>1.98</c:v>
                </c:pt>
                <c:pt idx="1">
                  <c:v>2.02</c:v>
                </c:pt>
              </c:numCache>
            </c:numRef>
          </c:xVal>
          <c:yVal>
            <c:numRef>
              <c:f>Kalk5_Lastfallkombi!$M$71:$M$72</c:f>
              <c:numCache>
                <c:formatCode>0.00</c:formatCode>
                <c:ptCount val="2"/>
                <c:pt idx="0">
                  <c:v>0.21</c:v>
                </c:pt>
                <c:pt idx="1">
                  <c:v>0.21</c:v>
                </c:pt>
              </c:numCache>
            </c:numRef>
          </c:yVal>
          <c:smooth val="0"/>
          <c:extLst>
            <c:ext xmlns:c16="http://schemas.microsoft.com/office/drawing/2014/chart" uri="{C3380CC4-5D6E-409C-BE32-E72D297353CC}">
              <c16:uniqueId val="{00000010-97FE-489A-8FD8-E20CC0DBE458}"/>
            </c:ext>
          </c:extLst>
        </c:ser>
        <c:ser>
          <c:idx val="17"/>
          <c:order val="17"/>
          <c:spPr>
            <a:ln w="19050" cap="rnd">
              <a:solidFill>
                <a:schemeClr val="accent2">
                  <a:lumMod val="50000"/>
                </a:schemeClr>
              </a:solidFill>
              <a:round/>
            </a:ln>
            <a:effectLst/>
          </c:spPr>
          <c:marker>
            <c:symbol val="none"/>
          </c:marker>
          <c:xVal>
            <c:numRef>
              <c:f>Kalk5_Lastfallkombi!$L$73:$L$74</c:f>
              <c:numCache>
                <c:formatCode>0.00</c:formatCode>
                <c:ptCount val="2"/>
                <c:pt idx="0">
                  <c:v>1.98</c:v>
                </c:pt>
                <c:pt idx="1">
                  <c:v>2.02</c:v>
                </c:pt>
              </c:numCache>
            </c:numRef>
          </c:xVal>
          <c:yVal>
            <c:numRef>
              <c:f>Kalk5_Lastfallkombi!$M$73:$M$74</c:f>
              <c:numCache>
                <c:formatCode>0.00</c:formatCode>
                <c:ptCount val="2"/>
                <c:pt idx="0">
                  <c:v>0.21</c:v>
                </c:pt>
                <c:pt idx="1">
                  <c:v>0.21</c:v>
                </c:pt>
              </c:numCache>
            </c:numRef>
          </c:yVal>
          <c:smooth val="0"/>
          <c:extLst>
            <c:ext xmlns:c16="http://schemas.microsoft.com/office/drawing/2014/chart" uri="{C3380CC4-5D6E-409C-BE32-E72D297353CC}">
              <c16:uniqueId val="{00000011-97FE-489A-8FD8-E20CC0DBE458}"/>
            </c:ext>
          </c:extLst>
        </c:ser>
        <c:ser>
          <c:idx val="18"/>
          <c:order val="18"/>
          <c:tx>
            <c:v>Dammbalken 15</c:v>
          </c:tx>
          <c:spPr>
            <a:ln w="19050" cap="rnd">
              <a:solidFill>
                <a:schemeClr val="accent2">
                  <a:lumMod val="50000"/>
                </a:schemeClr>
              </a:solidFill>
              <a:round/>
            </a:ln>
            <a:effectLst/>
          </c:spPr>
          <c:marker>
            <c:symbol val="none"/>
          </c:marker>
          <c:xVal>
            <c:numRef>
              <c:f>Kalk5_Lastfallkombi!$L$75:$L$76</c:f>
              <c:numCache>
                <c:formatCode>0.00</c:formatCode>
                <c:ptCount val="2"/>
                <c:pt idx="0">
                  <c:v>1.98</c:v>
                </c:pt>
                <c:pt idx="1">
                  <c:v>2.02</c:v>
                </c:pt>
              </c:numCache>
            </c:numRef>
          </c:xVal>
          <c:yVal>
            <c:numRef>
              <c:f>Kalk5_Lastfallkombi!$M$75:$M$76</c:f>
              <c:numCache>
                <c:formatCode>0.00</c:formatCode>
                <c:ptCount val="2"/>
                <c:pt idx="0">
                  <c:v>0.21</c:v>
                </c:pt>
                <c:pt idx="1">
                  <c:v>0.21</c:v>
                </c:pt>
              </c:numCache>
            </c:numRef>
          </c:yVal>
          <c:smooth val="0"/>
          <c:extLst>
            <c:ext xmlns:c16="http://schemas.microsoft.com/office/drawing/2014/chart" uri="{C3380CC4-5D6E-409C-BE32-E72D297353CC}">
              <c16:uniqueId val="{00000012-97FE-489A-8FD8-E20CC0DBE458}"/>
            </c:ext>
          </c:extLst>
        </c:ser>
        <c:ser>
          <c:idx val="19"/>
          <c:order val="19"/>
          <c:tx>
            <c:v>Dammbalken 16</c:v>
          </c:tx>
          <c:spPr>
            <a:ln w="19050" cap="rnd">
              <a:solidFill>
                <a:schemeClr val="accent2">
                  <a:lumMod val="50000"/>
                </a:schemeClr>
              </a:solidFill>
              <a:round/>
            </a:ln>
            <a:effectLst/>
          </c:spPr>
          <c:marker>
            <c:symbol val="none"/>
          </c:marker>
          <c:xVal>
            <c:numRef>
              <c:f>Kalk5_Lastfallkombi!$L$77:$L$78</c:f>
              <c:numCache>
                <c:formatCode>0.00</c:formatCode>
                <c:ptCount val="2"/>
                <c:pt idx="0">
                  <c:v>1.98</c:v>
                </c:pt>
                <c:pt idx="1">
                  <c:v>2.02</c:v>
                </c:pt>
              </c:numCache>
            </c:numRef>
          </c:xVal>
          <c:yVal>
            <c:numRef>
              <c:f>Kalk5_Lastfallkombi!$M$77:$M$78</c:f>
              <c:numCache>
                <c:formatCode>0.00</c:formatCode>
                <c:ptCount val="2"/>
                <c:pt idx="0">
                  <c:v>0.21</c:v>
                </c:pt>
                <c:pt idx="1">
                  <c:v>0.21</c:v>
                </c:pt>
              </c:numCache>
            </c:numRef>
          </c:yVal>
          <c:smooth val="0"/>
          <c:extLst>
            <c:ext xmlns:c16="http://schemas.microsoft.com/office/drawing/2014/chart" uri="{C3380CC4-5D6E-409C-BE32-E72D297353CC}">
              <c16:uniqueId val="{00000013-97FE-489A-8FD8-E20CC0DBE458}"/>
            </c:ext>
          </c:extLst>
        </c:ser>
        <c:ser>
          <c:idx val="20"/>
          <c:order val="20"/>
          <c:tx>
            <c:v>Anprall BHW</c:v>
          </c:tx>
          <c:spPr>
            <a:ln w="19050" cap="rnd">
              <a:solidFill>
                <a:schemeClr val="accent3">
                  <a:lumMod val="75000"/>
                </a:schemeClr>
              </a:solidFill>
              <a:round/>
            </a:ln>
            <a:effectLst/>
          </c:spPr>
          <c:marker>
            <c:symbol val="none"/>
          </c:marker>
          <c:xVal>
            <c:numRef>
              <c:f>Kalk5_Lastfallkombi!$L$103:$L$107</c:f>
              <c:numCache>
                <c:formatCode>0.00</c:formatCode>
                <c:ptCount val="5"/>
                <c:pt idx="0">
                  <c:v>1.7</c:v>
                </c:pt>
                <c:pt idx="1">
                  <c:v>1.7</c:v>
                </c:pt>
                <c:pt idx="2">
                  <c:v>1.65</c:v>
                </c:pt>
                <c:pt idx="3">
                  <c:v>1.65</c:v>
                </c:pt>
                <c:pt idx="4">
                  <c:v>1.7</c:v>
                </c:pt>
              </c:numCache>
            </c:numRef>
          </c:xVal>
          <c:yVal>
            <c:numRef>
              <c:f>Kalk5_Lastfallkombi!$M$103:$M$107</c:f>
              <c:numCache>
                <c:formatCode>0.00</c:formatCode>
                <c:ptCount val="5"/>
                <c:pt idx="0" formatCode="General">
                  <c:v>0</c:v>
                </c:pt>
                <c:pt idx="1">
                  <c:v>0.25</c:v>
                </c:pt>
                <c:pt idx="2">
                  <c:v>0.25</c:v>
                </c:pt>
                <c:pt idx="3">
                  <c:v>-0.25</c:v>
                </c:pt>
                <c:pt idx="4">
                  <c:v>-0.25</c:v>
                </c:pt>
              </c:numCache>
            </c:numRef>
          </c:yVal>
          <c:smooth val="0"/>
          <c:extLst>
            <c:ext xmlns:c16="http://schemas.microsoft.com/office/drawing/2014/chart" uri="{C3380CC4-5D6E-409C-BE32-E72D297353CC}">
              <c16:uniqueId val="{00000014-97FE-489A-8FD8-E20CC0DBE458}"/>
            </c:ext>
          </c:extLst>
        </c:ser>
        <c:ser>
          <c:idx val="21"/>
          <c:order val="21"/>
          <c:tx>
            <c:v>Volleinstau</c:v>
          </c:tx>
          <c:spPr>
            <a:ln w="38100" cap="rnd">
              <a:solidFill>
                <a:srgbClr val="0070C0"/>
              </a:solidFill>
              <a:prstDash val="sysDash"/>
              <a:round/>
            </a:ln>
            <a:effectLst/>
          </c:spPr>
          <c:marker>
            <c:symbol val="none"/>
          </c:marker>
          <c:xVal>
            <c:numRef>
              <c:f>Kalk5_Lastfallkombi!$L$108:$L$109</c:f>
              <c:numCache>
                <c:formatCode>General</c:formatCode>
                <c:ptCount val="2"/>
                <c:pt idx="0">
                  <c:v>0</c:v>
                </c:pt>
                <c:pt idx="1">
                  <c:v>2</c:v>
                </c:pt>
              </c:numCache>
            </c:numRef>
          </c:xVal>
          <c:yVal>
            <c:numRef>
              <c:f>Kalk5_Lastfallkombi!$M$108:$M$109</c:f>
              <c:numCache>
                <c:formatCode>0.00</c:formatCode>
                <c:ptCount val="2"/>
                <c:pt idx="0">
                  <c:v>2.5000000000000001E-2</c:v>
                </c:pt>
                <c:pt idx="1">
                  <c:v>2.5000000000000001E-2</c:v>
                </c:pt>
              </c:numCache>
            </c:numRef>
          </c:yVal>
          <c:smooth val="0"/>
          <c:extLst>
            <c:ext xmlns:c16="http://schemas.microsoft.com/office/drawing/2014/chart" uri="{C3380CC4-5D6E-409C-BE32-E72D297353CC}">
              <c16:uniqueId val="{00000015-97FE-489A-8FD8-E20CC0DBE458}"/>
            </c:ext>
          </c:extLst>
        </c:ser>
        <c:ser>
          <c:idx val="22"/>
          <c:order val="22"/>
          <c:tx>
            <c:v>Wasserdruck Volleinstau</c:v>
          </c:tx>
          <c:spPr>
            <a:ln w="19050" cap="rnd">
              <a:solidFill>
                <a:schemeClr val="accent1">
                  <a:lumMod val="60000"/>
                  <a:lumOff val="40000"/>
                </a:schemeClr>
              </a:solidFill>
              <a:prstDash val="dash"/>
              <a:round/>
            </a:ln>
            <a:effectLst/>
          </c:spPr>
          <c:marker>
            <c:symbol val="none"/>
          </c:marker>
          <c:xVal>
            <c:numRef>
              <c:f>Kalk5_Lastfallkombi!$L$111:$L$114</c:f>
              <c:numCache>
                <c:formatCode>0.00</c:formatCode>
                <c:ptCount val="4"/>
                <c:pt idx="0">
                  <c:v>1.2999999999999998</c:v>
                </c:pt>
                <c:pt idx="1">
                  <c:v>1.2999999999999998</c:v>
                </c:pt>
                <c:pt idx="2">
                  <c:v>1.2999999999999998</c:v>
                </c:pt>
                <c:pt idx="3">
                  <c:v>1.2969624999999998</c:v>
                </c:pt>
              </c:numCache>
            </c:numRef>
          </c:xVal>
          <c:yVal>
            <c:numRef>
              <c:f>Kalk5_Lastfallkombi!$M$111:$M$114</c:f>
              <c:numCache>
                <c:formatCode>0.00</c:formatCode>
                <c:ptCount val="4"/>
                <c:pt idx="0">
                  <c:v>0</c:v>
                </c:pt>
                <c:pt idx="1">
                  <c:v>2.5000000000000001E-2</c:v>
                </c:pt>
                <c:pt idx="2">
                  <c:v>2.5000000000000001E-2</c:v>
                </c:pt>
                <c:pt idx="3">
                  <c:v>0</c:v>
                </c:pt>
              </c:numCache>
            </c:numRef>
          </c:yVal>
          <c:smooth val="0"/>
          <c:extLst>
            <c:ext xmlns:c16="http://schemas.microsoft.com/office/drawing/2014/chart" uri="{C3380CC4-5D6E-409C-BE32-E72D297353CC}">
              <c16:uniqueId val="{00000016-97FE-489A-8FD8-E20CC0DBE458}"/>
            </c:ext>
          </c:extLst>
        </c:ser>
        <c:ser>
          <c:idx val="23"/>
          <c:order val="23"/>
          <c:tx>
            <c:v>Anprall Volleinstau</c:v>
          </c:tx>
          <c:spPr>
            <a:ln w="19050" cap="rnd">
              <a:solidFill>
                <a:schemeClr val="accent3">
                  <a:lumMod val="75000"/>
                </a:schemeClr>
              </a:solidFill>
              <a:prstDash val="dash"/>
              <a:round/>
            </a:ln>
            <a:effectLst/>
          </c:spPr>
          <c:marker>
            <c:symbol val="none"/>
          </c:marker>
          <c:xVal>
            <c:numRef>
              <c:f>Kalk5_Lastfallkombi!$L$116:$L$120</c:f>
              <c:numCache>
                <c:formatCode>0.00</c:formatCode>
                <c:ptCount val="5"/>
                <c:pt idx="0">
                  <c:v>1.1969624999999997</c:v>
                </c:pt>
                <c:pt idx="1">
                  <c:v>1.1969624999999997</c:v>
                </c:pt>
                <c:pt idx="2">
                  <c:v>1.1469624999999997</c:v>
                </c:pt>
                <c:pt idx="3">
                  <c:v>1.1469624999999997</c:v>
                </c:pt>
                <c:pt idx="4">
                  <c:v>1.1969624999999997</c:v>
                </c:pt>
              </c:numCache>
            </c:numRef>
          </c:xVal>
          <c:yVal>
            <c:numRef>
              <c:f>Kalk5_Lastfallkombi!$M$116:$M$120</c:f>
              <c:numCache>
                <c:formatCode>0.00</c:formatCode>
                <c:ptCount val="5"/>
                <c:pt idx="0" formatCode="General">
                  <c:v>0</c:v>
                </c:pt>
                <c:pt idx="1">
                  <c:v>2.5000000000000001E-2</c:v>
                </c:pt>
                <c:pt idx="2">
                  <c:v>2.5000000000000001E-2</c:v>
                </c:pt>
                <c:pt idx="3">
                  <c:v>-0.47499999999999998</c:v>
                </c:pt>
                <c:pt idx="4">
                  <c:v>-0.47499999999999998</c:v>
                </c:pt>
              </c:numCache>
            </c:numRef>
          </c:yVal>
          <c:smooth val="0"/>
          <c:extLst>
            <c:ext xmlns:c16="http://schemas.microsoft.com/office/drawing/2014/chart" uri="{C3380CC4-5D6E-409C-BE32-E72D297353CC}">
              <c16:uniqueId val="{00000017-97FE-489A-8FD8-E20CC0DBE458}"/>
            </c:ext>
          </c:extLst>
        </c:ser>
        <c:ser>
          <c:idx val="24"/>
          <c:order val="24"/>
          <c:tx>
            <c:v>Dammbalken 17</c:v>
          </c:tx>
          <c:spPr>
            <a:ln w="19050" cap="rnd">
              <a:solidFill>
                <a:schemeClr val="accent2">
                  <a:lumMod val="50000"/>
                </a:schemeClr>
              </a:solidFill>
              <a:round/>
            </a:ln>
            <a:effectLst/>
          </c:spPr>
          <c:marker>
            <c:symbol val="none"/>
          </c:marker>
          <c:xVal>
            <c:numRef>
              <c:f>Kalk5_Lastfallkombi!$L$79:$L$80</c:f>
              <c:numCache>
                <c:formatCode>0.00</c:formatCode>
                <c:ptCount val="2"/>
                <c:pt idx="0">
                  <c:v>1.98</c:v>
                </c:pt>
                <c:pt idx="1">
                  <c:v>2.02</c:v>
                </c:pt>
              </c:numCache>
            </c:numRef>
          </c:xVal>
          <c:yVal>
            <c:numRef>
              <c:f>Kalk5_Lastfallkombi!$M$79:$M$80</c:f>
              <c:numCache>
                <c:formatCode>0.00</c:formatCode>
                <c:ptCount val="2"/>
                <c:pt idx="0">
                  <c:v>0.21</c:v>
                </c:pt>
                <c:pt idx="1">
                  <c:v>0.21</c:v>
                </c:pt>
              </c:numCache>
            </c:numRef>
          </c:yVal>
          <c:smooth val="0"/>
          <c:extLst>
            <c:ext xmlns:c16="http://schemas.microsoft.com/office/drawing/2014/chart" uri="{C3380CC4-5D6E-409C-BE32-E72D297353CC}">
              <c16:uniqueId val="{00000018-97FE-489A-8FD8-E20CC0DBE458}"/>
            </c:ext>
          </c:extLst>
        </c:ser>
        <c:ser>
          <c:idx val="25"/>
          <c:order val="25"/>
          <c:tx>
            <c:v>Dammbalken 18</c:v>
          </c:tx>
          <c:spPr>
            <a:ln w="19050" cap="rnd">
              <a:solidFill>
                <a:schemeClr val="accent2">
                  <a:lumMod val="50000"/>
                </a:schemeClr>
              </a:solidFill>
              <a:round/>
            </a:ln>
            <a:effectLst/>
          </c:spPr>
          <c:marker>
            <c:symbol val="none"/>
          </c:marker>
          <c:xVal>
            <c:numRef>
              <c:f>Kalk5_Lastfallkombi!$L$81:$L$82</c:f>
              <c:numCache>
                <c:formatCode>0.00</c:formatCode>
                <c:ptCount val="2"/>
                <c:pt idx="0">
                  <c:v>1.98</c:v>
                </c:pt>
                <c:pt idx="1">
                  <c:v>2.02</c:v>
                </c:pt>
              </c:numCache>
            </c:numRef>
          </c:xVal>
          <c:yVal>
            <c:numRef>
              <c:f>Kalk5_Lastfallkombi!$M$81:$M$82</c:f>
              <c:numCache>
                <c:formatCode>0.00</c:formatCode>
                <c:ptCount val="2"/>
                <c:pt idx="0">
                  <c:v>0.21</c:v>
                </c:pt>
                <c:pt idx="1">
                  <c:v>0.21</c:v>
                </c:pt>
              </c:numCache>
            </c:numRef>
          </c:yVal>
          <c:smooth val="0"/>
          <c:extLst>
            <c:ext xmlns:c16="http://schemas.microsoft.com/office/drawing/2014/chart" uri="{C3380CC4-5D6E-409C-BE32-E72D297353CC}">
              <c16:uniqueId val="{00000019-97FE-489A-8FD8-E20CC0DBE458}"/>
            </c:ext>
          </c:extLst>
        </c:ser>
        <c:ser>
          <c:idx val="26"/>
          <c:order val="26"/>
          <c:tx>
            <c:v>Dammbalken 19</c:v>
          </c:tx>
          <c:spPr>
            <a:ln w="19050" cap="rnd">
              <a:solidFill>
                <a:schemeClr val="accent2">
                  <a:lumMod val="50000"/>
                </a:schemeClr>
              </a:solidFill>
              <a:round/>
            </a:ln>
            <a:effectLst/>
          </c:spPr>
          <c:marker>
            <c:symbol val="none"/>
          </c:marker>
          <c:xVal>
            <c:numRef>
              <c:f>Kalk5_Lastfallkombi!$L$83:$L$84</c:f>
              <c:numCache>
                <c:formatCode>0.00</c:formatCode>
                <c:ptCount val="2"/>
                <c:pt idx="0">
                  <c:v>1.98</c:v>
                </c:pt>
                <c:pt idx="1">
                  <c:v>2.02</c:v>
                </c:pt>
              </c:numCache>
            </c:numRef>
          </c:xVal>
          <c:yVal>
            <c:numRef>
              <c:f>Kalk5_Lastfallkombi!$M$83:$M$84</c:f>
              <c:numCache>
                <c:formatCode>0.00</c:formatCode>
                <c:ptCount val="2"/>
                <c:pt idx="0">
                  <c:v>0.21</c:v>
                </c:pt>
                <c:pt idx="1">
                  <c:v>0.21</c:v>
                </c:pt>
              </c:numCache>
            </c:numRef>
          </c:yVal>
          <c:smooth val="0"/>
          <c:extLst>
            <c:ext xmlns:c16="http://schemas.microsoft.com/office/drawing/2014/chart" uri="{C3380CC4-5D6E-409C-BE32-E72D297353CC}">
              <c16:uniqueId val="{0000001A-97FE-489A-8FD8-E20CC0DBE458}"/>
            </c:ext>
          </c:extLst>
        </c:ser>
        <c:ser>
          <c:idx val="27"/>
          <c:order val="27"/>
          <c:tx>
            <c:v>Dammbalken 20</c:v>
          </c:tx>
          <c:spPr>
            <a:ln w="19050" cap="rnd">
              <a:solidFill>
                <a:schemeClr val="accent2">
                  <a:lumMod val="50000"/>
                </a:schemeClr>
              </a:solidFill>
              <a:round/>
            </a:ln>
            <a:effectLst/>
          </c:spPr>
          <c:marker>
            <c:symbol val="none"/>
          </c:marker>
          <c:xVal>
            <c:numRef>
              <c:f>Kalk5_Lastfallkombi!$L$85:$L$86</c:f>
              <c:numCache>
                <c:formatCode>0.00</c:formatCode>
                <c:ptCount val="2"/>
                <c:pt idx="0">
                  <c:v>1.98</c:v>
                </c:pt>
                <c:pt idx="1">
                  <c:v>2.02</c:v>
                </c:pt>
              </c:numCache>
            </c:numRef>
          </c:xVal>
          <c:yVal>
            <c:numRef>
              <c:f>Kalk5_Lastfallkombi!$M$85:$M$86</c:f>
              <c:numCache>
                <c:formatCode>0.00</c:formatCode>
                <c:ptCount val="2"/>
                <c:pt idx="0">
                  <c:v>0.21</c:v>
                </c:pt>
                <c:pt idx="1">
                  <c:v>0.21</c:v>
                </c:pt>
              </c:numCache>
            </c:numRef>
          </c:yVal>
          <c:smooth val="0"/>
          <c:extLst>
            <c:ext xmlns:c16="http://schemas.microsoft.com/office/drawing/2014/chart" uri="{C3380CC4-5D6E-409C-BE32-E72D297353CC}">
              <c16:uniqueId val="{0000001B-97FE-489A-8FD8-E20CC0DBE458}"/>
            </c:ext>
          </c:extLst>
        </c:ser>
        <c:ser>
          <c:idx val="28"/>
          <c:order val="28"/>
          <c:tx>
            <c:v>Dammbalken 21</c:v>
          </c:tx>
          <c:spPr>
            <a:ln w="19050" cap="rnd">
              <a:solidFill>
                <a:schemeClr val="accent2">
                  <a:lumMod val="50000"/>
                </a:schemeClr>
              </a:solidFill>
              <a:round/>
            </a:ln>
            <a:effectLst/>
          </c:spPr>
          <c:marker>
            <c:symbol val="none"/>
          </c:marker>
          <c:xVal>
            <c:numRef>
              <c:f>Kalk5_Lastfallkombi!$L$87:$L$88</c:f>
              <c:numCache>
                <c:formatCode>0.00</c:formatCode>
                <c:ptCount val="2"/>
                <c:pt idx="0">
                  <c:v>1.98</c:v>
                </c:pt>
                <c:pt idx="1">
                  <c:v>2.02</c:v>
                </c:pt>
              </c:numCache>
            </c:numRef>
          </c:xVal>
          <c:yVal>
            <c:numRef>
              <c:f>Kalk5_Lastfallkombi!$M$87:$M$88</c:f>
              <c:numCache>
                <c:formatCode>0.00</c:formatCode>
                <c:ptCount val="2"/>
                <c:pt idx="0">
                  <c:v>0.21</c:v>
                </c:pt>
                <c:pt idx="1">
                  <c:v>0.21</c:v>
                </c:pt>
              </c:numCache>
            </c:numRef>
          </c:yVal>
          <c:smooth val="0"/>
          <c:extLst>
            <c:ext xmlns:c16="http://schemas.microsoft.com/office/drawing/2014/chart" uri="{C3380CC4-5D6E-409C-BE32-E72D297353CC}">
              <c16:uniqueId val="{0000001C-97FE-489A-8FD8-E20CC0DBE458}"/>
            </c:ext>
          </c:extLst>
        </c:ser>
        <c:ser>
          <c:idx val="29"/>
          <c:order val="29"/>
          <c:tx>
            <c:v>Dammbalken 22</c:v>
          </c:tx>
          <c:spPr>
            <a:ln w="19050" cap="rnd">
              <a:solidFill>
                <a:schemeClr val="accent2">
                  <a:lumMod val="50000"/>
                </a:schemeClr>
              </a:solidFill>
              <a:round/>
            </a:ln>
            <a:effectLst/>
          </c:spPr>
          <c:marker>
            <c:symbol val="none"/>
          </c:marker>
          <c:xVal>
            <c:numRef>
              <c:f>Kalk5_Lastfallkombi!$L$89:$L$90</c:f>
              <c:numCache>
                <c:formatCode>0.00</c:formatCode>
                <c:ptCount val="2"/>
                <c:pt idx="0">
                  <c:v>1.98</c:v>
                </c:pt>
                <c:pt idx="1">
                  <c:v>2.02</c:v>
                </c:pt>
              </c:numCache>
            </c:numRef>
          </c:xVal>
          <c:yVal>
            <c:numRef>
              <c:f>Kalk5_Lastfallkombi!$M$89:$M$90</c:f>
              <c:numCache>
                <c:formatCode>0.00</c:formatCode>
                <c:ptCount val="2"/>
                <c:pt idx="0">
                  <c:v>0.21</c:v>
                </c:pt>
                <c:pt idx="1">
                  <c:v>0.21</c:v>
                </c:pt>
              </c:numCache>
            </c:numRef>
          </c:yVal>
          <c:smooth val="0"/>
          <c:extLst>
            <c:ext xmlns:c16="http://schemas.microsoft.com/office/drawing/2014/chart" uri="{C3380CC4-5D6E-409C-BE32-E72D297353CC}">
              <c16:uniqueId val="{0000001D-97FE-489A-8FD8-E20CC0DBE458}"/>
            </c:ext>
          </c:extLst>
        </c:ser>
        <c:ser>
          <c:idx val="30"/>
          <c:order val="30"/>
          <c:tx>
            <c:v>Dammbalken 23</c:v>
          </c:tx>
          <c:spPr>
            <a:ln w="19050" cap="rnd">
              <a:solidFill>
                <a:schemeClr val="accent2">
                  <a:lumMod val="50000"/>
                </a:schemeClr>
              </a:solidFill>
              <a:round/>
            </a:ln>
            <a:effectLst/>
          </c:spPr>
          <c:marker>
            <c:symbol val="none"/>
          </c:marker>
          <c:xVal>
            <c:numRef>
              <c:f>Kalk5_Lastfallkombi!$L$91:$L$92</c:f>
              <c:numCache>
                <c:formatCode>0.00</c:formatCode>
                <c:ptCount val="2"/>
                <c:pt idx="0">
                  <c:v>1.98</c:v>
                </c:pt>
                <c:pt idx="1">
                  <c:v>2.02</c:v>
                </c:pt>
              </c:numCache>
            </c:numRef>
          </c:xVal>
          <c:yVal>
            <c:numRef>
              <c:f>Kalk5_Lastfallkombi!$M$91:$M$92</c:f>
              <c:numCache>
                <c:formatCode>0.00</c:formatCode>
                <c:ptCount val="2"/>
                <c:pt idx="0">
                  <c:v>0.21</c:v>
                </c:pt>
                <c:pt idx="1">
                  <c:v>0.21</c:v>
                </c:pt>
              </c:numCache>
            </c:numRef>
          </c:yVal>
          <c:smooth val="0"/>
          <c:extLst>
            <c:ext xmlns:c16="http://schemas.microsoft.com/office/drawing/2014/chart" uri="{C3380CC4-5D6E-409C-BE32-E72D297353CC}">
              <c16:uniqueId val="{0000001E-97FE-489A-8FD8-E20CC0DBE458}"/>
            </c:ext>
          </c:extLst>
        </c:ser>
        <c:ser>
          <c:idx val="31"/>
          <c:order val="31"/>
          <c:tx>
            <c:v>Dammbalken 24</c:v>
          </c:tx>
          <c:spPr>
            <a:ln w="19050" cap="rnd">
              <a:solidFill>
                <a:schemeClr val="accent2">
                  <a:lumMod val="50000"/>
                </a:schemeClr>
              </a:solidFill>
              <a:round/>
            </a:ln>
            <a:effectLst/>
          </c:spPr>
          <c:marker>
            <c:symbol val="none"/>
          </c:marker>
          <c:xVal>
            <c:numRef>
              <c:f>Kalk5_Lastfallkombi!$L$93:$L$94</c:f>
              <c:numCache>
                <c:formatCode>0.00</c:formatCode>
                <c:ptCount val="2"/>
                <c:pt idx="0">
                  <c:v>1.98</c:v>
                </c:pt>
                <c:pt idx="1">
                  <c:v>2.02</c:v>
                </c:pt>
              </c:numCache>
            </c:numRef>
          </c:xVal>
          <c:yVal>
            <c:numRef>
              <c:f>Kalk5_Lastfallkombi!$M$93:$M$94</c:f>
              <c:numCache>
                <c:formatCode>0.00</c:formatCode>
                <c:ptCount val="2"/>
                <c:pt idx="0">
                  <c:v>0.21</c:v>
                </c:pt>
                <c:pt idx="1">
                  <c:v>0.21</c:v>
                </c:pt>
              </c:numCache>
            </c:numRef>
          </c:yVal>
          <c:smooth val="0"/>
          <c:extLst>
            <c:ext xmlns:c16="http://schemas.microsoft.com/office/drawing/2014/chart" uri="{C3380CC4-5D6E-409C-BE32-E72D297353CC}">
              <c16:uniqueId val="{0000001F-97FE-489A-8FD8-E20CC0DBE458}"/>
            </c:ext>
          </c:extLst>
        </c:ser>
        <c:dLbls>
          <c:showLegendKey val="0"/>
          <c:showVal val="0"/>
          <c:showCatName val="0"/>
          <c:showSerName val="0"/>
          <c:showPercent val="0"/>
          <c:showBubbleSize val="0"/>
        </c:dLbls>
        <c:axId val="1192709887"/>
        <c:axId val="1192714463"/>
      </c:scatterChart>
      <c:valAx>
        <c:axId val="1192709887"/>
        <c:scaling>
          <c:orientation val="minMax"/>
        </c:scaling>
        <c:delete val="1"/>
        <c:axPos val="b"/>
        <c:numFmt formatCode="General" sourceLinked="1"/>
        <c:majorTickMark val="none"/>
        <c:minorTickMark val="none"/>
        <c:tickLblPos val="nextTo"/>
        <c:crossAx val="1192714463"/>
        <c:crosses val="autoZero"/>
        <c:crossBetween val="midCat"/>
      </c:valAx>
      <c:valAx>
        <c:axId val="1192714463"/>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9270988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S$34" lockText="1"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CheckBox" fmlaLink="$AA$11" lockText="1" noThreeD="1"/>
</file>

<file path=xl/ctrlProps/ctrlProp101.xml><?xml version="1.0" encoding="utf-8"?>
<formControlPr xmlns="http://schemas.microsoft.com/office/spreadsheetml/2009/9/main" objectType="CheckBox" fmlaLink="$AA$13" lockText="1" noThreeD="1"/>
</file>

<file path=xl/ctrlProps/ctrlProp102.xml><?xml version="1.0" encoding="utf-8"?>
<formControlPr xmlns="http://schemas.microsoft.com/office/spreadsheetml/2009/9/main" objectType="CheckBox" fmlaLink="$AA$15" lockText="1" noThreeD="1"/>
</file>

<file path=xl/ctrlProps/ctrlProp103.xml><?xml version="1.0" encoding="utf-8"?>
<formControlPr xmlns="http://schemas.microsoft.com/office/spreadsheetml/2009/9/main" objectType="CheckBox" fmlaLink="$AA$16" lockText="1" noThreeD="1"/>
</file>

<file path=xl/ctrlProps/ctrlProp104.xml><?xml version="1.0" encoding="utf-8"?>
<formControlPr xmlns="http://schemas.microsoft.com/office/spreadsheetml/2009/9/main" objectType="Radio" checked="Checked" firstButton="1" fmlaLink="$AA$17" lockText="1"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Radio" firstButton="1" fmlaLink="$AA$19"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checked="Checked" firstButton="1" fmlaLink="$S$27" lockText="1" noThreeD="1"/>
</file>

<file path=xl/ctrlProps/ctrlProp110.xml><?xml version="1.0" encoding="utf-8"?>
<formControlPr xmlns="http://schemas.microsoft.com/office/spreadsheetml/2009/9/main" objectType="Radio" checked="Checked"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CheckBox" fmlaLink="$AA$21" lockText="1" noThreeD="1"/>
</file>

<file path=xl/ctrlProps/ctrlProp113.xml><?xml version="1.0" encoding="utf-8"?>
<formControlPr xmlns="http://schemas.microsoft.com/office/spreadsheetml/2009/9/main" objectType="CheckBox" fmlaLink="$AA$22" lockText="1" noThreeD="1"/>
</file>

<file path=xl/ctrlProps/ctrlProp114.xml><?xml version="1.0" encoding="utf-8"?>
<formControlPr xmlns="http://schemas.microsoft.com/office/spreadsheetml/2009/9/main" objectType="CheckBox" fmlaLink="$AA$23" lockText="1" noThreeD="1"/>
</file>

<file path=xl/ctrlProps/ctrlProp115.xml><?xml version="1.0" encoding="utf-8"?>
<formControlPr xmlns="http://schemas.microsoft.com/office/spreadsheetml/2009/9/main" objectType="CheckBox" fmlaLink="$AA$24" lockText="1"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Radio" checked="Checked" firstButton="1" fmlaLink="$AA$20"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fmlaLink="$AA$25"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CheckBox" fmlaLink="$AA$29" lockText="1" noThreeD="1"/>
</file>

<file path=xl/ctrlProps/ctrlProp121.xml><?xml version="1.0" encoding="utf-8"?>
<formControlPr xmlns="http://schemas.microsoft.com/office/spreadsheetml/2009/9/main" objectType="CheckBox" fmlaLink="$AA$30" lockText="1" noThreeD="1"/>
</file>

<file path=xl/ctrlProps/ctrlProp122.xml><?xml version="1.0" encoding="utf-8"?>
<formControlPr xmlns="http://schemas.microsoft.com/office/spreadsheetml/2009/9/main" objectType="CheckBox" fmlaLink="$AA$31" lockText="1" noThreeD="1"/>
</file>

<file path=xl/ctrlProps/ctrlProp123.xml><?xml version="1.0" encoding="utf-8"?>
<formControlPr xmlns="http://schemas.microsoft.com/office/spreadsheetml/2009/9/main" objectType="CheckBox" fmlaLink="$AA$26" lockText="1" noThreeD="1"/>
</file>

<file path=xl/ctrlProps/ctrlProp124.xml><?xml version="1.0" encoding="utf-8"?>
<formControlPr xmlns="http://schemas.microsoft.com/office/spreadsheetml/2009/9/main" objectType="CheckBox" fmlaLink="$AA$32" lockText="1" noThreeD="1"/>
</file>

<file path=xl/ctrlProps/ctrlProp125.xml><?xml version="1.0" encoding="utf-8"?>
<formControlPr xmlns="http://schemas.microsoft.com/office/spreadsheetml/2009/9/main" objectType="CheckBox" fmlaLink="$AA$33" lockText="1" noThreeD="1"/>
</file>

<file path=xl/ctrlProps/ctrlProp126.xml><?xml version="1.0" encoding="utf-8"?>
<formControlPr xmlns="http://schemas.microsoft.com/office/spreadsheetml/2009/9/main" objectType="CheckBox" fmlaLink="$AA$34" lockText="1"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Radio" checked="Checked" firstButton="1" fmlaLink="$AA$37" lockText="1" noThreeD="1"/>
</file>

<file path=xl/ctrlProps/ctrlProp12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Radio" checked="Checked" firstButton="1" fmlaLink="$AA$18" lockText="1"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checked="Checked" firstButton="1" fmlaLink="$AF$18"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Radio" checked="Checked" firstButton="1" fmlaLink="$AA$7"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firstButton="1" fmlaLink="$AA$9" lockText="1" noThreeD="1"/>
</file>

<file path=xl/ctrlProps/ctrlProp144.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Radio" checked="Checked" firstButton="1" fmlaLink="$AA$5"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CheckBox" fmlaLink="$AA$11" lockText="1" noThreeD="1"/>
</file>

<file path=xl/ctrlProps/ctrlProp15.xml><?xml version="1.0" encoding="utf-8"?>
<formControlPr xmlns="http://schemas.microsoft.com/office/spreadsheetml/2009/9/main" objectType="Radio" checked="Checked" firstButton="1" fmlaLink="$S$28" lockText="1" noThreeD="1"/>
</file>

<file path=xl/ctrlProps/ctrlProp150.xml><?xml version="1.0" encoding="utf-8"?>
<formControlPr xmlns="http://schemas.microsoft.com/office/spreadsheetml/2009/9/main" objectType="CheckBox" fmlaLink="$AA$13" lockText="1" noThreeD="1"/>
</file>

<file path=xl/ctrlProps/ctrlProp151.xml><?xml version="1.0" encoding="utf-8"?>
<formControlPr xmlns="http://schemas.microsoft.com/office/spreadsheetml/2009/9/main" objectType="CheckBox" fmlaLink="$AA$15" lockText="1" noThreeD="1"/>
</file>

<file path=xl/ctrlProps/ctrlProp152.xml><?xml version="1.0" encoding="utf-8"?>
<formControlPr xmlns="http://schemas.microsoft.com/office/spreadsheetml/2009/9/main" objectType="CheckBox" fmlaLink="$AA$16" lockText="1" noThreeD="1"/>
</file>

<file path=xl/ctrlProps/ctrlProp153.xml><?xml version="1.0" encoding="utf-8"?>
<formControlPr xmlns="http://schemas.microsoft.com/office/spreadsheetml/2009/9/main" objectType="Radio" checked="Checked" firstButton="1" fmlaLink="$AA$17" lockText="1"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firstButton="1" fmlaLink="$AA$19"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checked="Checked"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CheckBox" fmlaLink="$AA$21" lockText="1" noThreeD="1"/>
</file>

<file path=xl/ctrlProps/ctrlProp162.xml><?xml version="1.0" encoding="utf-8"?>
<formControlPr xmlns="http://schemas.microsoft.com/office/spreadsheetml/2009/9/main" objectType="CheckBox" fmlaLink="$AA$22" lockText="1" noThreeD="1"/>
</file>

<file path=xl/ctrlProps/ctrlProp163.xml><?xml version="1.0" encoding="utf-8"?>
<formControlPr xmlns="http://schemas.microsoft.com/office/spreadsheetml/2009/9/main" objectType="CheckBox" fmlaLink="$AA$23" lockText="1" noThreeD="1"/>
</file>

<file path=xl/ctrlProps/ctrlProp164.xml><?xml version="1.0" encoding="utf-8"?>
<formControlPr xmlns="http://schemas.microsoft.com/office/spreadsheetml/2009/9/main" objectType="CheckBox" fmlaLink="$AA$24" lockText="1"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Radio" checked="Checked" firstButton="1" fmlaLink="$AA$20"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CheckBox" fmlaLink="$AA$25" lockText="1" noThreeD="1"/>
</file>

<file path=xl/ctrlProps/ctrlProp169.xml><?xml version="1.0" encoding="utf-8"?>
<formControlPr xmlns="http://schemas.microsoft.com/office/spreadsheetml/2009/9/main" objectType="CheckBox" fmlaLink="$AA$29" lockText="1" noThreeD="1"/>
</file>

<file path=xl/ctrlProps/ctrlProp17.xml><?xml version="1.0" encoding="utf-8"?>
<formControlPr xmlns="http://schemas.microsoft.com/office/spreadsheetml/2009/9/main" objectType="CheckBox" checked="Checked" fmlaLink="$S$42" lockText="1" noThreeD="1"/>
</file>

<file path=xl/ctrlProps/ctrlProp170.xml><?xml version="1.0" encoding="utf-8"?>
<formControlPr xmlns="http://schemas.microsoft.com/office/spreadsheetml/2009/9/main" objectType="CheckBox" fmlaLink="$AA$30" lockText="1" noThreeD="1"/>
</file>

<file path=xl/ctrlProps/ctrlProp171.xml><?xml version="1.0" encoding="utf-8"?>
<formControlPr xmlns="http://schemas.microsoft.com/office/spreadsheetml/2009/9/main" objectType="CheckBox" fmlaLink="$AA$31" lockText="1" noThreeD="1"/>
</file>

<file path=xl/ctrlProps/ctrlProp172.xml><?xml version="1.0" encoding="utf-8"?>
<formControlPr xmlns="http://schemas.microsoft.com/office/spreadsheetml/2009/9/main" objectType="CheckBox" fmlaLink="$AA$26" lockText="1" noThreeD="1"/>
</file>

<file path=xl/ctrlProps/ctrlProp173.xml><?xml version="1.0" encoding="utf-8"?>
<formControlPr xmlns="http://schemas.microsoft.com/office/spreadsheetml/2009/9/main" objectType="CheckBox" fmlaLink="$AA$32" lockText="1" noThreeD="1"/>
</file>

<file path=xl/ctrlProps/ctrlProp174.xml><?xml version="1.0" encoding="utf-8"?>
<formControlPr xmlns="http://schemas.microsoft.com/office/spreadsheetml/2009/9/main" objectType="CheckBox" fmlaLink="$AA$33" lockText="1" noThreeD="1"/>
</file>

<file path=xl/ctrlProps/ctrlProp175.xml><?xml version="1.0" encoding="utf-8"?>
<formControlPr xmlns="http://schemas.microsoft.com/office/spreadsheetml/2009/9/main" objectType="CheckBox" fmlaLink="$AA$34" lockText="1"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Radio" checked="Checked" firstButton="1" fmlaLink="$AA$37" lockText="1" noThreeD="1"/>
</file>

<file path=xl/ctrlProps/ctrlProp178.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CheckBox" fmlaLink="$S$44" lockText="1" noThreeD="1"/>
</file>

<file path=xl/ctrlProps/ctrlProp180.xml><?xml version="1.0" encoding="utf-8"?>
<formControlPr xmlns="http://schemas.microsoft.com/office/spreadsheetml/2009/9/main" objectType="Radio" checked="Checked" firstButton="1" fmlaLink="$AA$18" lockText="1" noThreeD="1"/>
</file>

<file path=xl/ctrlProps/ctrlProp181.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lockText="1"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Radio" checked="Checked" firstButton="1" fmlaLink="$AF$18"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Radio" checked="Checked" firstButton="1" fmlaLink="$AA$7" lockText="1" noThreeD="1"/>
</file>

<file path=xl/ctrlProps/ctrlProp19.xml><?xml version="1.0" encoding="utf-8"?>
<formControlPr xmlns="http://schemas.microsoft.com/office/spreadsheetml/2009/9/main" objectType="CheckBox" fmlaLink="$S$45" lockText="1" noThreeD="1"/>
</file>

<file path=xl/ctrlProps/ctrlProp190.xml><?xml version="1.0" encoding="utf-8"?>
<formControlPr xmlns="http://schemas.microsoft.com/office/spreadsheetml/2009/9/main" objectType="Radio" lockText="1"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Radio" checked="Checked" firstButton="1" fmlaLink="$AA$9"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Radio" lockText="1"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Radio" checked="Checked" firstButton="1" fmlaLink="$AA$5" lockText="1" noThreeD="1"/>
</file>

<file path=xl/ctrlProps/ctrlProp197.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CheckBox" fmlaLink="$AA$11" lockText="1" noThreeD="1"/>
</file>

<file path=xl/ctrlProps/ctrlProp199.xml><?xml version="1.0" encoding="utf-8"?>
<formControlPr xmlns="http://schemas.microsoft.com/office/spreadsheetml/2009/9/main" objectType="CheckBox" fmlaLink="$AA$13" lockText="1" noThreeD="1"/>
</file>

<file path=xl/ctrlProps/ctrlProp2.xml><?xml version="1.0" encoding="utf-8"?>
<formControlPr xmlns="http://schemas.microsoft.com/office/spreadsheetml/2009/9/main" objectType="CheckBox" fmlaLink="$S$38" lockText="1" noThreeD="1"/>
</file>

<file path=xl/ctrlProps/ctrlProp20.xml><?xml version="1.0" encoding="utf-8"?>
<formControlPr xmlns="http://schemas.microsoft.com/office/spreadsheetml/2009/9/main" objectType="CheckBox" fmlaLink="$S$43" lockText="1" noThreeD="1"/>
</file>

<file path=xl/ctrlProps/ctrlProp200.xml><?xml version="1.0" encoding="utf-8"?>
<formControlPr xmlns="http://schemas.microsoft.com/office/spreadsheetml/2009/9/main" objectType="CheckBox" fmlaLink="$AA$15" lockText="1" noThreeD="1"/>
</file>

<file path=xl/ctrlProps/ctrlProp201.xml><?xml version="1.0" encoding="utf-8"?>
<formControlPr xmlns="http://schemas.microsoft.com/office/spreadsheetml/2009/9/main" objectType="CheckBox" fmlaLink="$AA$16" lockText="1" noThreeD="1"/>
</file>

<file path=xl/ctrlProps/ctrlProp202.xml><?xml version="1.0" encoding="utf-8"?>
<formControlPr xmlns="http://schemas.microsoft.com/office/spreadsheetml/2009/9/main" objectType="Radio" checked="Checked" firstButton="1" fmlaLink="$AA$17" lockText="1"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fmlaLink="$AA$19"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checked="Checked"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CheckBox" fmlaLink="$AA$21" lockText="1" noThreeD="1"/>
</file>

<file path=xl/ctrlProps/ctrlProp211.xml><?xml version="1.0" encoding="utf-8"?>
<formControlPr xmlns="http://schemas.microsoft.com/office/spreadsheetml/2009/9/main" objectType="CheckBox" fmlaLink="$AA$22" lockText="1" noThreeD="1"/>
</file>

<file path=xl/ctrlProps/ctrlProp212.xml><?xml version="1.0" encoding="utf-8"?>
<formControlPr xmlns="http://schemas.microsoft.com/office/spreadsheetml/2009/9/main" objectType="CheckBox" fmlaLink="$AA$23" lockText="1" noThreeD="1"/>
</file>

<file path=xl/ctrlProps/ctrlProp213.xml><?xml version="1.0" encoding="utf-8"?>
<formControlPr xmlns="http://schemas.microsoft.com/office/spreadsheetml/2009/9/main" objectType="CheckBox" fmlaLink="$AA$24"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Radio" checked="Checked" firstButton="1" fmlaLink="$AA$20"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CheckBox" fmlaLink="$AA$25" lockText="1" noThreeD="1"/>
</file>

<file path=xl/ctrlProps/ctrlProp218.xml><?xml version="1.0" encoding="utf-8"?>
<formControlPr xmlns="http://schemas.microsoft.com/office/spreadsheetml/2009/9/main" objectType="CheckBox" fmlaLink="$AA$29" lockText="1" noThreeD="1"/>
</file>

<file path=xl/ctrlProps/ctrlProp219.xml><?xml version="1.0" encoding="utf-8"?>
<formControlPr xmlns="http://schemas.microsoft.com/office/spreadsheetml/2009/9/main" objectType="CheckBox" fmlaLink="$AA$30" lockText="1" noThreeD="1"/>
</file>

<file path=xl/ctrlProps/ctrlProp22.xml><?xml version="1.0" encoding="utf-8"?>
<formControlPr xmlns="http://schemas.microsoft.com/office/spreadsheetml/2009/9/main" objectType="Radio" firstButton="1" fmlaLink="$X$20" lockText="1" noThreeD="1"/>
</file>

<file path=xl/ctrlProps/ctrlProp220.xml><?xml version="1.0" encoding="utf-8"?>
<formControlPr xmlns="http://schemas.microsoft.com/office/spreadsheetml/2009/9/main" objectType="CheckBox" fmlaLink="$AA$31" lockText="1" noThreeD="1"/>
</file>

<file path=xl/ctrlProps/ctrlProp221.xml><?xml version="1.0" encoding="utf-8"?>
<formControlPr xmlns="http://schemas.microsoft.com/office/spreadsheetml/2009/9/main" objectType="CheckBox" fmlaLink="$AA$26" lockText="1" noThreeD="1"/>
</file>

<file path=xl/ctrlProps/ctrlProp222.xml><?xml version="1.0" encoding="utf-8"?>
<formControlPr xmlns="http://schemas.microsoft.com/office/spreadsheetml/2009/9/main" objectType="CheckBox" fmlaLink="$AA$32" lockText="1" noThreeD="1"/>
</file>

<file path=xl/ctrlProps/ctrlProp223.xml><?xml version="1.0" encoding="utf-8"?>
<formControlPr xmlns="http://schemas.microsoft.com/office/spreadsheetml/2009/9/main" objectType="CheckBox" fmlaLink="$AA$33" lockText="1" noThreeD="1"/>
</file>

<file path=xl/ctrlProps/ctrlProp224.xml><?xml version="1.0" encoding="utf-8"?>
<formControlPr xmlns="http://schemas.microsoft.com/office/spreadsheetml/2009/9/main" objectType="CheckBox" fmlaLink="$AA$34" lockText="1"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Radio" checked="Checked" firstButton="1" fmlaLink="$AA$37"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Radio" checked="Checked" firstButton="1" fmlaLink="$AA$18" lockText="1"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Radio"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Radio" checked="Checked" firstButton="1" fmlaLink="$AF$18"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Radio" checked="Checked" firstButton="1" fmlaLink="$AA$7" lockText="1" noThreeD="1"/>
</file>

<file path=xl/ctrlProps/ctrlProp23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Radio" lockText="1" noThreeD="1"/>
</file>

<file path=xl/ctrlProps/ctrlProp241.xml><?xml version="1.0" encoding="utf-8"?>
<formControlPr xmlns="http://schemas.microsoft.com/office/spreadsheetml/2009/9/main" objectType="Radio" checked="Checked" firstButton="1" fmlaLink="$AA$9"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Radio" checked="Checked" firstButton="1" fmlaLink="$AA$5" lockText="1" noThreeD="1"/>
</file>

<file path=xl/ctrlProps/ctrlProp246.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CheckBox" fmlaLink="$AA$11" lockText="1" noThreeD="1"/>
</file>

<file path=xl/ctrlProps/ctrlProp248.xml><?xml version="1.0" encoding="utf-8"?>
<formControlPr xmlns="http://schemas.microsoft.com/office/spreadsheetml/2009/9/main" objectType="CheckBox" fmlaLink="$AA$13" lockText="1" noThreeD="1"/>
</file>

<file path=xl/ctrlProps/ctrlProp249.xml><?xml version="1.0" encoding="utf-8"?>
<formControlPr xmlns="http://schemas.microsoft.com/office/spreadsheetml/2009/9/main" objectType="CheckBox" fmlaLink="$AA$15" lockText="1" noThreeD="1"/>
</file>

<file path=xl/ctrlProps/ctrlProp25.xml><?xml version="1.0" encoding="utf-8"?>
<formControlPr xmlns="http://schemas.microsoft.com/office/spreadsheetml/2009/9/main" objectType="Radio" lockText="1" noThreeD="1"/>
</file>

<file path=xl/ctrlProps/ctrlProp250.xml><?xml version="1.0" encoding="utf-8"?>
<formControlPr xmlns="http://schemas.microsoft.com/office/spreadsheetml/2009/9/main" objectType="CheckBox" fmlaLink="$AA$16" lockText="1" noThreeD="1"/>
</file>

<file path=xl/ctrlProps/ctrlProp251.xml><?xml version="1.0" encoding="utf-8"?>
<formControlPr xmlns="http://schemas.microsoft.com/office/spreadsheetml/2009/9/main" objectType="Radio" checked="Checked" firstButton="1" fmlaLink="$AA$17" lockText="1"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Radio" firstButton="1" fmlaLink="$AA$19" lockText="1" noThreeD="1"/>
</file>

<file path=xl/ctrlProps/ctrlProp256.xml><?xml version="1.0" encoding="utf-8"?>
<formControlPr xmlns="http://schemas.microsoft.com/office/spreadsheetml/2009/9/main" objectType="Radio" lockText="1" noThreeD="1"/>
</file>

<file path=xl/ctrlProps/ctrlProp257.xml><?xml version="1.0" encoding="utf-8"?>
<formControlPr xmlns="http://schemas.microsoft.com/office/spreadsheetml/2009/9/main" objectType="Radio" checked="Checked" lockText="1" noThreeD="1"/>
</file>

<file path=xl/ctrlProps/ctrlProp258.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CheckBox" fmlaLink="$AA$21" lockText="1" noThreeD="1"/>
</file>

<file path=xl/ctrlProps/ctrlProp26.xml><?xml version="1.0" encoding="utf-8"?>
<formControlPr xmlns="http://schemas.microsoft.com/office/spreadsheetml/2009/9/main" objectType="Radio" lockText="1" noThreeD="1"/>
</file>

<file path=xl/ctrlProps/ctrlProp260.xml><?xml version="1.0" encoding="utf-8"?>
<formControlPr xmlns="http://schemas.microsoft.com/office/spreadsheetml/2009/9/main" objectType="CheckBox" fmlaLink="$AA$22" lockText="1" noThreeD="1"/>
</file>

<file path=xl/ctrlProps/ctrlProp261.xml><?xml version="1.0" encoding="utf-8"?>
<formControlPr xmlns="http://schemas.microsoft.com/office/spreadsheetml/2009/9/main" objectType="CheckBox" fmlaLink="$AA$23" lockText="1" noThreeD="1"/>
</file>

<file path=xl/ctrlProps/ctrlProp262.xml><?xml version="1.0" encoding="utf-8"?>
<formControlPr xmlns="http://schemas.microsoft.com/office/spreadsheetml/2009/9/main" objectType="CheckBox" fmlaLink="$AA$24" lockText="1" noThreeD="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Radio" checked="Checked" firstButton="1" fmlaLink="$AA$20"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CheckBox" fmlaLink="$AA$25" lockText="1" noThreeD="1"/>
</file>

<file path=xl/ctrlProps/ctrlProp267.xml><?xml version="1.0" encoding="utf-8"?>
<formControlPr xmlns="http://schemas.microsoft.com/office/spreadsheetml/2009/9/main" objectType="CheckBox" fmlaLink="$AA$29" lockText="1" noThreeD="1"/>
</file>

<file path=xl/ctrlProps/ctrlProp268.xml><?xml version="1.0" encoding="utf-8"?>
<formControlPr xmlns="http://schemas.microsoft.com/office/spreadsheetml/2009/9/main" objectType="CheckBox" fmlaLink="$AA$30" lockText="1" noThreeD="1"/>
</file>

<file path=xl/ctrlProps/ctrlProp269.xml><?xml version="1.0" encoding="utf-8"?>
<formControlPr xmlns="http://schemas.microsoft.com/office/spreadsheetml/2009/9/main" objectType="CheckBox" fmlaLink="$AA$31" lockText="1" noThreeD="1"/>
</file>

<file path=xl/ctrlProps/ctrlProp27.xml><?xml version="1.0" encoding="utf-8"?>
<formControlPr xmlns="http://schemas.microsoft.com/office/spreadsheetml/2009/9/main" objectType="Radio" lockText="1" noThreeD="1"/>
</file>

<file path=xl/ctrlProps/ctrlProp270.xml><?xml version="1.0" encoding="utf-8"?>
<formControlPr xmlns="http://schemas.microsoft.com/office/spreadsheetml/2009/9/main" objectType="CheckBox" fmlaLink="$AA$26" lockText="1" noThreeD="1"/>
</file>

<file path=xl/ctrlProps/ctrlProp271.xml><?xml version="1.0" encoding="utf-8"?>
<formControlPr xmlns="http://schemas.microsoft.com/office/spreadsheetml/2009/9/main" objectType="CheckBox" fmlaLink="$AA$32" lockText="1" noThreeD="1"/>
</file>

<file path=xl/ctrlProps/ctrlProp272.xml><?xml version="1.0" encoding="utf-8"?>
<formControlPr xmlns="http://schemas.microsoft.com/office/spreadsheetml/2009/9/main" objectType="CheckBox" fmlaLink="$AA$33" lockText="1" noThreeD="1"/>
</file>

<file path=xl/ctrlProps/ctrlProp273.xml><?xml version="1.0" encoding="utf-8"?>
<formControlPr xmlns="http://schemas.microsoft.com/office/spreadsheetml/2009/9/main" objectType="CheckBox" fmlaLink="$AA$34" lockText="1"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Radio" checked="Checked" firstButton="1" fmlaLink="$AA$37"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Radio" checked="Checked" firstButton="1" fmlaLink="$AA$18"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Radio" checked="Checked" firstButton="1" fmlaLink="$AF$18"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checked="Checked" firstButton="1" fmlaLink="$AB$16"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Radio" checked="Checked" firstButton="1" fmlaLink="$AB$16"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Radio" checked="Checked" firstButton="1" fmlaLink="$AB$16" lockText="1"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checked="Checked" firstButton="1" fmlaLink="$AB$16" lockText="1" noThreeD="1"/>
</file>

<file path=xl/ctrlProps/ctrlProp292.xml><?xml version="1.0" encoding="utf-8"?>
<formControlPr xmlns="http://schemas.microsoft.com/office/spreadsheetml/2009/9/main" objectType="Radio" lockText="1" noThreeD="1"/>
</file>

<file path=xl/ctrlProps/ctrlProp293.xml><?xml version="1.0" encoding="utf-8"?>
<formControlPr xmlns="http://schemas.microsoft.com/office/spreadsheetml/2009/9/main" objectType="Radio" checked="Checked" firstButton="1" fmlaLink="$AB$16"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checked="Checked" firstButton="1" fmlaLink="$AB$16" lockText="1" noThreeD="1"/>
</file>

<file path=xl/ctrlProps/ctrlProp296.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CheckBox" fmlaLink="$S$39"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checked="Checked" lockText="1"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Radio" checked="Checked" firstButton="1" fmlaLink="$X$42"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CheckBox" fmlaLink="$S$40" lockText="1"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Radio" checked="Checked" firstButton="1" fmlaLink="$AA$7"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checked="Checked" firstButton="1" fmlaLink="$AA$9"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Radio" checked="Checked" firstButton="1" fmlaLink="$AA$5" lockText="1" noThreeD="1"/>
</file>

<file path=xl/ctrlProps/ctrlProp5.xml><?xml version="1.0" encoding="utf-8"?>
<formControlPr xmlns="http://schemas.microsoft.com/office/spreadsheetml/2009/9/main" objectType="CheckBox" fmlaLink="$S$41"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CheckBox" fmlaLink="$AA$11" lockText="1" noThreeD="1"/>
</file>

<file path=xl/ctrlProps/ctrlProp52.xml><?xml version="1.0" encoding="utf-8"?>
<formControlPr xmlns="http://schemas.microsoft.com/office/spreadsheetml/2009/9/main" objectType="CheckBox" fmlaLink="$AA$13" lockText="1" noThreeD="1"/>
</file>

<file path=xl/ctrlProps/ctrlProp53.xml><?xml version="1.0" encoding="utf-8"?>
<formControlPr xmlns="http://schemas.microsoft.com/office/spreadsheetml/2009/9/main" objectType="CheckBox" fmlaLink="$AA$15" lockText="1" noThreeD="1"/>
</file>

<file path=xl/ctrlProps/ctrlProp54.xml><?xml version="1.0" encoding="utf-8"?>
<formControlPr xmlns="http://schemas.microsoft.com/office/spreadsheetml/2009/9/main" objectType="CheckBox" fmlaLink="$AA$16" lockText="1" noThreeD="1"/>
</file>

<file path=xl/ctrlProps/ctrlProp55.xml><?xml version="1.0" encoding="utf-8"?>
<formControlPr xmlns="http://schemas.microsoft.com/office/spreadsheetml/2009/9/main" objectType="Radio" checked="Checked" firstButton="1" fmlaLink="$AA$17" lockText="1"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Radio" checked="Checked" firstButton="1" fmlaLink="$AA$18" lockText="1" noThreeD="1"/>
</file>

<file path=xl/ctrlProps/ctrlProp6.xml><?xml version="1.0" encoding="utf-8"?>
<formControlPr xmlns="http://schemas.microsoft.com/office/spreadsheetml/2009/9/main" objectType="Radio" checked="Checked" firstButton="1" fmlaLink="$S$26"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Radio" firstButton="1" fmlaLink="$AA$19"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checked="Checked"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CheckBox" fmlaLink="$AA$21" lockText="1" noThreeD="1"/>
</file>

<file path=xl/ctrlProps/ctrlProp68.xml><?xml version="1.0" encoding="utf-8"?>
<formControlPr xmlns="http://schemas.microsoft.com/office/spreadsheetml/2009/9/main" objectType="CheckBox" fmlaLink="$AA$22" lockText="1" noThreeD="1"/>
</file>

<file path=xl/ctrlProps/ctrlProp69.xml><?xml version="1.0" encoding="utf-8"?>
<formControlPr xmlns="http://schemas.microsoft.com/office/spreadsheetml/2009/9/main" objectType="CheckBox" fmlaLink="$AA$23" lockText="1"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CheckBox" fmlaLink="$AA$24" lockText="1"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Radio" checked="Checked" firstButton="1" fmlaLink="$AA$20"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CheckBox" fmlaLink="$AA$25" lockText="1" noThreeD="1"/>
</file>

<file path=xl/ctrlProps/ctrlProp75.xml><?xml version="1.0" encoding="utf-8"?>
<formControlPr xmlns="http://schemas.microsoft.com/office/spreadsheetml/2009/9/main" objectType="CheckBox" fmlaLink="$AA$29" lockText="1" noThreeD="1"/>
</file>

<file path=xl/ctrlProps/ctrlProp76.xml><?xml version="1.0" encoding="utf-8"?>
<formControlPr xmlns="http://schemas.microsoft.com/office/spreadsheetml/2009/9/main" objectType="CheckBox" fmlaLink="$AA$30" lockText="1" noThreeD="1"/>
</file>

<file path=xl/ctrlProps/ctrlProp77.xml><?xml version="1.0" encoding="utf-8"?>
<formControlPr xmlns="http://schemas.microsoft.com/office/spreadsheetml/2009/9/main" objectType="CheckBox" fmlaLink="$AA$31" lockText="1" noThreeD="1"/>
</file>

<file path=xl/ctrlProps/ctrlProp78.xml><?xml version="1.0" encoding="utf-8"?>
<formControlPr xmlns="http://schemas.microsoft.com/office/spreadsheetml/2009/9/main" objectType="CheckBox" fmlaLink="$AA$26" lockText="1" noThreeD="1"/>
</file>

<file path=xl/ctrlProps/ctrlProp79.xml><?xml version="1.0" encoding="utf-8"?>
<formControlPr xmlns="http://schemas.microsoft.com/office/spreadsheetml/2009/9/main" objectType="CheckBox" fmlaLink="$AA$32"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CheckBox" fmlaLink="$AA$33" lockText="1" noThreeD="1"/>
</file>

<file path=xl/ctrlProps/ctrlProp81.xml><?xml version="1.0" encoding="utf-8"?>
<formControlPr xmlns="http://schemas.microsoft.com/office/spreadsheetml/2009/9/main" objectType="CheckBox" fmlaLink="$AA$34" lockText="1" noThreeD="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Radio" checked="Checked" firstButton="1" fmlaLink="$AA$37"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Radio" checked="Checked" firstButton="1" fmlaLink="$AF$18"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Radio" checked="Checked" firstButton="1" fmlaLink="$AA$7"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checked="Checked" firstButton="1" fmlaLink="$AA$9"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Radio" checked="Checked" firstButton="1" fmlaLink="$AA$5" lockText="1" noThreeD="1"/>
</file>

<file path=xl/ctrlProps/ctrlProp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8.png"/><Relationship Id="rId21" Type="http://schemas.openxmlformats.org/officeDocument/2006/relationships/image" Target="../media/image26.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1" Type="http://schemas.openxmlformats.org/officeDocument/2006/relationships/image" Target="../media/image6.jpe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19" Type="http://schemas.openxmlformats.org/officeDocument/2006/relationships/image" Target="../media/image24.jpe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 Id="rId22" Type="http://schemas.openxmlformats.org/officeDocument/2006/relationships/image" Target="../media/image27.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71.emf"/><Relationship Id="rId1" Type="http://schemas.openxmlformats.org/officeDocument/2006/relationships/image" Target="../media/image70.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73.emf"/><Relationship Id="rId1" Type="http://schemas.openxmlformats.org/officeDocument/2006/relationships/image" Target="../media/image70.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73.emf"/><Relationship Id="rId1" Type="http://schemas.openxmlformats.org/officeDocument/2006/relationships/image" Target="../media/image70.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73.emf"/><Relationship Id="rId1" Type="http://schemas.openxmlformats.org/officeDocument/2006/relationships/image" Target="../media/image70.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73.emf"/><Relationship Id="rId1" Type="http://schemas.openxmlformats.org/officeDocument/2006/relationships/image" Target="../media/image70.jpeg"/></Relationships>
</file>

<file path=xl/drawings/_rels/drawing2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3" Type="http://schemas.openxmlformats.org/officeDocument/2006/relationships/image" Target="../media/image39.png"/><Relationship Id="rId18" Type="http://schemas.openxmlformats.org/officeDocument/2006/relationships/image" Target="../media/image44.png"/><Relationship Id="rId26" Type="http://schemas.openxmlformats.org/officeDocument/2006/relationships/image" Target="../media/image52.png"/><Relationship Id="rId3" Type="http://schemas.openxmlformats.org/officeDocument/2006/relationships/image" Target="../media/image27.png"/><Relationship Id="rId21" Type="http://schemas.openxmlformats.org/officeDocument/2006/relationships/image" Target="../media/image47.png"/><Relationship Id="rId34" Type="http://schemas.openxmlformats.org/officeDocument/2006/relationships/image" Target="../media/image60.png"/><Relationship Id="rId7" Type="http://schemas.openxmlformats.org/officeDocument/2006/relationships/image" Target="../media/image33.png"/><Relationship Id="rId12" Type="http://schemas.openxmlformats.org/officeDocument/2006/relationships/image" Target="../media/image38.png"/><Relationship Id="rId17" Type="http://schemas.openxmlformats.org/officeDocument/2006/relationships/image" Target="../media/image43.png"/><Relationship Id="rId25" Type="http://schemas.openxmlformats.org/officeDocument/2006/relationships/image" Target="../media/image51.png"/><Relationship Id="rId33" Type="http://schemas.openxmlformats.org/officeDocument/2006/relationships/image" Target="../media/image59.png"/><Relationship Id="rId2" Type="http://schemas.openxmlformats.org/officeDocument/2006/relationships/image" Target="../media/image26.png"/><Relationship Id="rId16" Type="http://schemas.openxmlformats.org/officeDocument/2006/relationships/image" Target="../media/image42.png"/><Relationship Id="rId20" Type="http://schemas.openxmlformats.org/officeDocument/2006/relationships/image" Target="../media/image46.png"/><Relationship Id="rId29" Type="http://schemas.openxmlformats.org/officeDocument/2006/relationships/image" Target="../media/image55.png"/><Relationship Id="rId1" Type="http://schemas.openxmlformats.org/officeDocument/2006/relationships/image" Target="../media/image25.png"/><Relationship Id="rId6" Type="http://schemas.openxmlformats.org/officeDocument/2006/relationships/image" Target="../media/image32.png"/><Relationship Id="rId11" Type="http://schemas.openxmlformats.org/officeDocument/2006/relationships/image" Target="../media/image37.png"/><Relationship Id="rId24" Type="http://schemas.openxmlformats.org/officeDocument/2006/relationships/image" Target="../media/image50.png"/><Relationship Id="rId32" Type="http://schemas.openxmlformats.org/officeDocument/2006/relationships/image" Target="../media/image58.png"/><Relationship Id="rId5" Type="http://schemas.openxmlformats.org/officeDocument/2006/relationships/image" Target="../media/image31.png"/><Relationship Id="rId15" Type="http://schemas.openxmlformats.org/officeDocument/2006/relationships/image" Target="../media/image41.png"/><Relationship Id="rId23" Type="http://schemas.openxmlformats.org/officeDocument/2006/relationships/image" Target="../media/image49.png"/><Relationship Id="rId28" Type="http://schemas.openxmlformats.org/officeDocument/2006/relationships/image" Target="../media/image54.png"/><Relationship Id="rId10" Type="http://schemas.openxmlformats.org/officeDocument/2006/relationships/image" Target="../media/image36.png"/><Relationship Id="rId19" Type="http://schemas.openxmlformats.org/officeDocument/2006/relationships/image" Target="../media/image45.png"/><Relationship Id="rId31" Type="http://schemas.openxmlformats.org/officeDocument/2006/relationships/image" Target="../media/image57.png"/><Relationship Id="rId4" Type="http://schemas.openxmlformats.org/officeDocument/2006/relationships/image" Target="../media/image30.png"/><Relationship Id="rId9" Type="http://schemas.openxmlformats.org/officeDocument/2006/relationships/image" Target="../media/image35.png"/><Relationship Id="rId14" Type="http://schemas.openxmlformats.org/officeDocument/2006/relationships/image" Target="../media/image40.png"/><Relationship Id="rId22" Type="http://schemas.openxmlformats.org/officeDocument/2006/relationships/image" Target="../media/image48.png"/><Relationship Id="rId27" Type="http://schemas.openxmlformats.org/officeDocument/2006/relationships/image" Target="../media/image53.png"/><Relationship Id="rId30" Type="http://schemas.openxmlformats.org/officeDocument/2006/relationships/image" Target="../media/image56.png"/><Relationship Id="rId35" Type="http://schemas.openxmlformats.org/officeDocument/2006/relationships/image" Target="../media/image61.png"/><Relationship Id="rId8" Type="http://schemas.openxmlformats.org/officeDocument/2006/relationships/image" Target="../media/image3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2.png"/></Relationships>
</file>

<file path=xl/drawings/_rels/drawing5.x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64.emf"/><Relationship Id="rId1" Type="http://schemas.openxmlformats.org/officeDocument/2006/relationships/image" Target="../media/image63.jpeg"/><Relationship Id="rId4" Type="http://schemas.openxmlformats.org/officeDocument/2006/relationships/image" Target="../media/image66.emf"/></Relationships>
</file>

<file path=xl/drawings/_rels/drawing6.x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64.emf"/><Relationship Id="rId1" Type="http://schemas.openxmlformats.org/officeDocument/2006/relationships/image" Target="../media/image63.jpeg"/><Relationship Id="rId4" Type="http://schemas.openxmlformats.org/officeDocument/2006/relationships/image" Target="../media/image66.emf"/></Relationships>
</file>

<file path=xl/drawings/_rels/drawing7.x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64.emf"/><Relationship Id="rId1" Type="http://schemas.openxmlformats.org/officeDocument/2006/relationships/image" Target="../media/image63.jpeg"/><Relationship Id="rId4" Type="http://schemas.openxmlformats.org/officeDocument/2006/relationships/image" Target="../media/image66.emf"/></Relationships>
</file>

<file path=xl/drawings/_rels/drawing8.x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64.emf"/><Relationship Id="rId1" Type="http://schemas.openxmlformats.org/officeDocument/2006/relationships/image" Target="../media/image63.jpeg"/><Relationship Id="rId4" Type="http://schemas.openxmlformats.org/officeDocument/2006/relationships/image" Target="../media/image66.emf"/></Relationships>
</file>

<file path=xl/drawings/_rels/drawing9.x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64.emf"/><Relationship Id="rId1" Type="http://schemas.openxmlformats.org/officeDocument/2006/relationships/image" Target="../media/image63.jpeg"/><Relationship Id="rId4" Type="http://schemas.openxmlformats.org/officeDocument/2006/relationships/image" Target="../media/image66.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72.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74.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74.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74.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7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9.emf"/><Relationship Id="rId2" Type="http://schemas.openxmlformats.org/officeDocument/2006/relationships/image" Target="../media/image68.emf"/><Relationship Id="rId1" Type="http://schemas.openxmlformats.org/officeDocument/2006/relationships/image" Target="../media/image67.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69.emf"/><Relationship Id="rId2" Type="http://schemas.openxmlformats.org/officeDocument/2006/relationships/image" Target="../media/image68.emf"/><Relationship Id="rId1" Type="http://schemas.openxmlformats.org/officeDocument/2006/relationships/image" Target="../media/image67.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69.emf"/><Relationship Id="rId2" Type="http://schemas.openxmlformats.org/officeDocument/2006/relationships/image" Target="../media/image68.emf"/><Relationship Id="rId1" Type="http://schemas.openxmlformats.org/officeDocument/2006/relationships/image" Target="../media/image67.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69.emf"/><Relationship Id="rId2" Type="http://schemas.openxmlformats.org/officeDocument/2006/relationships/image" Target="../media/image68.emf"/><Relationship Id="rId1" Type="http://schemas.openxmlformats.org/officeDocument/2006/relationships/image" Target="../media/image67.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69.emf"/><Relationship Id="rId2" Type="http://schemas.openxmlformats.org/officeDocument/2006/relationships/image" Target="../media/image68.emf"/><Relationship Id="rId1" Type="http://schemas.openxmlformats.org/officeDocument/2006/relationships/image" Target="../media/image67.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2</xdr:col>
      <xdr:colOff>285750</xdr:colOff>
      <xdr:row>4</xdr:row>
      <xdr:rowOff>142875</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47625"/>
          <a:ext cx="819150" cy="819150"/>
        </a:xfrm>
        <a:prstGeom prst="rect">
          <a:avLst/>
        </a:prstGeom>
      </xdr:spPr>
    </xdr:pic>
    <xdr:clientData/>
  </xdr:twoCellAnchor>
  <xdr:oneCellAnchor>
    <xdr:from>
      <xdr:col>1</xdr:col>
      <xdr:colOff>146685</xdr:colOff>
      <xdr:row>25</xdr:row>
      <xdr:rowOff>9525</xdr:rowOff>
    </xdr:from>
    <xdr:ext cx="2196279" cy="561975"/>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0985" y="3682365"/>
          <a:ext cx="2196279" cy="561975"/>
        </a:xfrm>
        <a:prstGeom prst="rect">
          <a:avLst/>
        </a:prstGeom>
      </xdr:spPr>
    </xdr:pic>
    <xdr:clientData/>
  </xdr:oneCellAnchor>
  <xdr:twoCellAnchor>
    <xdr:from>
      <xdr:col>2</xdr:col>
      <xdr:colOff>160020</xdr:colOff>
      <xdr:row>26</xdr:row>
      <xdr:rowOff>9525</xdr:rowOff>
    </xdr:from>
    <xdr:to>
      <xdr:col>5</xdr:col>
      <xdr:colOff>100965</xdr:colOff>
      <xdr:row>26</xdr:row>
      <xdr:rowOff>9525</xdr:rowOff>
    </xdr:to>
    <xdr:cxnSp macro="">
      <xdr:nvCxnSpPr>
        <xdr:cNvPr id="5" name="Gerade Verbindung mit Pfeil 4">
          <a:extLst>
            <a:ext uri="{FF2B5EF4-FFF2-40B4-BE49-F238E27FC236}">
              <a16:creationId xmlns:a16="http://schemas.microsoft.com/office/drawing/2014/main" id="{00000000-0008-0000-0000-000005000000}"/>
            </a:ext>
          </a:extLst>
        </xdr:cNvPr>
        <xdr:cNvCxnSpPr/>
      </xdr:nvCxnSpPr>
      <xdr:spPr>
        <a:xfrm>
          <a:off x="822960" y="3872865"/>
          <a:ext cx="1106805" cy="0"/>
        </a:xfrm>
        <a:prstGeom prst="straightConnector1">
          <a:avLst/>
        </a:prstGeom>
        <a:ln>
          <a:headEnd type="triangle"/>
          <a:tailEnd type="triangle"/>
        </a:ln>
      </xdr:spPr>
      <xdr:style>
        <a:lnRef idx="3">
          <a:schemeClr val="dk1"/>
        </a:lnRef>
        <a:fillRef idx="0">
          <a:schemeClr val="dk1"/>
        </a:fillRef>
        <a:effectRef idx="2">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304800</xdr:colOff>
          <xdr:row>34</xdr:row>
          <xdr:rowOff>0</xdr:rowOff>
        </xdr:from>
        <xdr:to>
          <xdr:col>3</xdr:col>
          <xdr:colOff>95250</xdr:colOff>
          <xdr:row>34</xdr:row>
          <xdr:rowOff>180975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37</xdr:row>
          <xdr:rowOff>0</xdr:rowOff>
        </xdr:from>
        <xdr:to>
          <xdr:col>4</xdr:col>
          <xdr:colOff>0</xdr:colOff>
          <xdr:row>37</xdr:row>
          <xdr:rowOff>180975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38</xdr:row>
          <xdr:rowOff>0</xdr:rowOff>
        </xdr:from>
        <xdr:to>
          <xdr:col>4</xdr:col>
          <xdr:colOff>0</xdr:colOff>
          <xdr:row>39</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39</xdr:row>
          <xdr:rowOff>0</xdr:rowOff>
        </xdr:from>
        <xdr:to>
          <xdr:col>6</xdr:col>
          <xdr:colOff>0</xdr:colOff>
          <xdr:row>40</xdr:row>
          <xdr:rowOff>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40</xdr:row>
          <xdr:rowOff>0</xdr:rowOff>
        </xdr:from>
        <xdr:to>
          <xdr:col>5</xdr:col>
          <xdr:colOff>0</xdr:colOff>
          <xdr:row>40</xdr:row>
          <xdr:rowOff>180975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190500</xdr:colOff>
          <xdr:row>25</xdr:row>
          <xdr:rowOff>2</xdr:rowOff>
        </xdr:from>
        <xdr:to>
          <xdr:col>11</xdr:col>
          <xdr:colOff>0</xdr:colOff>
          <xdr:row>41</xdr:row>
          <xdr:rowOff>2</xdr:rowOff>
        </xdr:to>
        <xdr:grpSp>
          <xdr:nvGrpSpPr>
            <xdr:cNvPr id="2" name="Gruppieren 1">
              <a:extLst>
                <a:ext uri="{FF2B5EF4-FFF2-40B4-BE49-F238E27FC236}">
                  <a16:creationId xmlns:a16="http://schemas.microsoft.com/office/drawing/2014/main" id="{00000000-0008-0000-0000-000002000000}"/>
                </a:ext>
              </a:extLst>
            </xdr:cNvPr>
            <xdr:cNvGrpSpPr/>
          </xdr:nvGrpSpPr>
          <xdr:grpSpPr>
            <a:xfrm>
              <a:off x="2743200" y="3790952"/>
              <a:ext cx="1333500" cy="3028950"/>
              <a:chOff x="3124200" y="3771905"/>
              <a:chExt cx="1333500" cy="2927429"/>
            </a:xfrm>
          </xdr:grpSpPr>
          <xdr:sp macro="" textlink="">
            <xdr:nvSpPr>
              <xdr:cNvPr id="1031" name="Option Button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3124200" y="3771905"/>
                <a:ext cx="13335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2" name="Option Button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3124200" y="5070398"/>
                <a:ext cx="13335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33" name="Option Button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3124200" y="6518359"/>
                <a:ext cx="13335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23</xdr:row>
          <xdr:rowOff>19050</xdr:rowOff>
        </xdr:from>
        <xdr:to>
          <xdr:col>12</xdr:col>
          <xdr:colOff>133350</xdr:colOff>
          <xdr:row>24</xdr:row>
          <xdr:rowOff>180975</xdr:rowOff>
        </xdr:to>
        <xdr:sp macro="" textlink="">
          <xdr:nvSpPr>
            <xdr:cNvPr id="1034" name="Object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20</xdr:row>
          <xdr:rowOff>0</xdr:rowOff>
        </xdr:from>
        <xdr:to>
          <xdr:col>12</xdr:col>
          <xdr:colOff>133350</xdr:colOff>
          <xdr:row>22</xdr:row>
          <xdr:rowOff>142875</xdr:rowOff>
        </xdr:to>
        <xdr:sp macro="" textlink="">
          <xdr:nvSpPr>
            <xdr:cNvPr id="1035" name="Object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28</xdr:row>
          <xdr:rowOff>0</xdr:rowOff>
        </xdr:from>
        <xdr:to>
          <xdr:col>12</xdr:col>
          <xdr:colOff>133350</xdr:colOff>
          <xdr:row>29</xdr:row>
          <xdr:rowOff>171450</xdr:rowOff>
        </xdr:to>
        <xdr:sp macro="" textlink="">
          <xdr:nvSpPr>
            <xdr:cNvPr id="1036" name="Object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11</xdr:col>
      <xdr:colOff>186737</xdr:colOff>
      <xdr:row>30</xdr:row>
      <xdr:rowOff>151087</xdr:rowOff>
    </xdr:from>
    <xdr:to>
      <xdr:col>12</xdr:col>
      <xdr:colOff>129737</xdr:colOff>
      <xdr:row>33</xdr:row>
      <xdr:rowOff>14151</xdr:rowOff>
    </xdr:to>
    <xdr:sp macro="" textlink="">
      <xdr:nvSpPr>
        <xdr:cNvPr id="1037" name="Object 13" hidden="1">
          <a:extLst>
            <a:ext uri="{63B3BB69-23CF-44E3-9099-C40C66FF867C}">
              <a14:compatExt xmlns:a14="http://schemas.microsoft.com/office/drawing/2010/main"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11</xdr:col>
          <xdr:colOff>190500</xdr:colOff>
          <xdr:row>35</xdr:row>
          <xdr:rowOff>9525</xdr:rowOff>
        </xdr:from>
        <xdr:to>
          <xdr:col>12</xdr:col>
          <xdr:colOff>161925</xdr:colOff>
          <xdr:row>37</xdr:row>
          <xdr:rowOff>161925</xdr:rowOff>
        </xdr:to>
        <xdr:sp macro="" textlink="">
          <xdr:nvSpPr>
            <xdr:cNvPr id="1038" name="Object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39</xdr:row>
          <xdr:rowOff>38100</xdr:rowOff>
        </xdr:from>
        <xdr:to>
          <xdr:col>12</xdr:col>
          <xdr:colOff>161925</xdr:colOff>
          <xdr:row>40</xdr:row>
          <xdr:rowOff>161925</xdr:rowOff>
        </xdr:to>
        <xdr:sp macro="" textlink="">
          <xdr:nvSpPr>
            <xdr:cNvPr id="1039" name="Object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11</xdr:col>
      <xdr:colOff>186737</xdr:colOff>
      <xdr:row>42</xdr:row>
      <xdr:rowOff>166890</xdr:rowOff>
    </xdr:from>
    <xdr:to>
      <xdr:col>12</xdr:col>
      <xdr:colOff>165737</xdr:colOff>
      <xdr:row>44</xdr:row>
      <xdr:rowOff>23041</xdr:rowOff>
    </xdr:to>
    <xdr:pic>
      <xdr:nvPicPr>
        <xdr:cNvPr id="25" name="Grafik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3"/>
        <a:stretch>
          <a:fillRect/>
        </a:stretch>
      </xdr:blipFill>
      <xdr:spPr>
        <a:xfrm>
          <a:off x="4640496" y="7353338"/>
          <a:ext cx="360000" cy="224013"/>
        </a:xfrm>
        <a:prstGeom prst="rect">
          <a:avLst/>
        </a:prstGeom>
        <a:ln w="3175">
          <a:solidFill>
            <a:schemeClr val="tx1"/>
          </a:solidFill>
        </a:ln>
      </xdr:spPr>
    </xdr:pic>
    <xdr:clientData/>
  </xdr:twoCellAnchor>
  <mc:AlternateContent xmlns:mc="http://schemas.openxmlformats.org/markup-compatibility/2006">
    <mc:Choice xmlns:a14="http://schemas.microsoft.com/office/drawing/2010/main" Requires="a14">
      <xdr:twoCellAnchor editAs="oneCell">
        <xdr:from>
          <xdr:col>6</xdr:col>
          <xdr:colOff>381000</xdr:colOff>
          <xdr:row>19</xdr:row>
          <xdr:rowOff>0</xdr:rowOff>
        </xdr:from>
        <xdr:to>
          <xdr:col>10</xdr:col>
          <xdr:colOff>381000</xdr:colOff>
          <xdr:row>41</xdr:row>
          <xdr:rowOff>180975</xdr:rowOff>
        </xdr:to>
        <xdr:sp macro="" textlink="">
          <xdr:nvSpPr>
            <xdr:cNvPr id="1044" name="Group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17</xdr:col>
          <xdr:colOff>0</xdr:colOff>
          <xdr:row>27</xdr:row>
          <xdr:rowOff>0</xdr:rowOff>
        </xdr:to>
        <xdr:sp macro="" textlink="">
          <xdr:nvSpPr>
            <xdr:cNvPr id="1045" name="Group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25</xdr:row>
          <xdr:rowOff>104775</xdr:rowOff>
        </xdr:from>
        <xdr:to>
          <xdr:col>15</xdr:col>
          <xdr:colOff>0</xdr:colOff>
          <xdr:row>26</xdr:row>
          <xdr:rowOff>95250</xdr:rowOff>
        </xdr:to>
        <xdr:sp macro="" textlink="">
          <xdr:nvSpPr>
            <xdr:cNvPr id="1046" name="Option Button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21</xdr:row>
          <xdr:rowOff>19050</xdr:rowOff>
        </xdr:from>
        <xdr:to>
          <xdr:col>15</xdr:col>
          <xdr:colOff>0</xdr:colOff>
          <xdr:row>22</xdr:row>
          <xdr:rowOff>9525</xdr:rowOff>
        </xdr:to>
        <xdr:sp macro="" textlink="">
          <xdr:nvSpPr>
            <xdr:cNvPr id="1047" name="Option Button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23</xdr:row>
          <xdr:rowOff>76200</xdr:rowOff>
        </xdr:from>
        <xdr:to>
          <xdr:col>14</xdr:col>
          <xdr:colOff>161925</xdr:colOff>
          <xdr:row>24</xdr:row>
          <xdr:rowOff>57150</xdr:rowOff>
        </xdr:to>
        <xdr:sp macro="" textlink="">
          <xdr:nvSpPr>
            <xdr:cNvPr id="1048" name="Option Button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0</xdr:rowOff>
        </xdr:from>
        <xdr:to>
          <xdr:col>17</xdr:col>
          <xdr:colOff>0</xdr:colOff>
          <xdr:row>34</xdr:row>
          <xdr:rowOff>0</xdr:rowOff>
        </xdr:to>
        <xdr:sp macro="" textlink="">
          <xdr:nvSpPr>
            <xdr:cNvPr id="1049" name="Group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28</xdr:row>
          <xdr:rowOff>0</xdr:rowOff>
        </xdr:from>
        <xdr:to>
          <xdr:col>15</xdr:col>
          <xdr:colOff>0</xdr:colOff>
          <xdr:row>29</xdr:row>
          <xdr:rowOff>171450</xdr:rowOff>
        </xdr:to>
        <xdr:sp macro="" textlink="">
          <xdr:nvSpPr>
            <xdr:cNvPr id="1050" name="Option Button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30</xdr:row>
          <xdr:rowOff>190500</xdr:rowOff>
        </xdr:from>
        <xdr:to>
          <xdr:col>15</xdr:col>
          <xdr:colOff>161925</xdr:colOff>
          <xdr:row>32</xdr:row>
          <xdr:rowOff>180975</xdr:rowOff>
        </xdr:to>
        <xdr:sp macro="" textlink="">
          <xdr:nvSpPr>
            <xdr:cNvPr id="1051" name="Option Button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43</xdr:row>
          <xdr:rowOff>0</xdr:rowOff>
        </xdr:from>
        <xdr:to>
          <xdr:col>16</xdr:col>
          <xdr:colOff>152400</xdr:colOff>
          <xdr:row>44</xdr:row>
          <xdr:rowOff>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35</xdr:row>
          <xdr:rowOff>0</xdr:rowOff>
        </xdr:from>
        <xdr:to>
          <xdr:col>17</xdr:col>
          <xdr:colOff>0</xdr:colOff>
          <xdr:row>37</xdr:row>
          <xdr:rowOff>161925</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39</xdr:row>
          <xdr:rowOff>0</xdr:rowOff>
        </xdr:from>
        <xdr:to>
          <xdr:col>16</xdr:col>
          <xdr:colOff>152400</xdr:colOff>
          <xdr:row>40</xdr:row>
          <xdr:rowOff>180975</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45</xdr:row>
          <xdr:rowOff>0</xdr:rowOff>
        </xdr:from>
        <xdr:to>
          <xdr:col>16</xdr:col>
          <xdr:colOff>152400</xdr:colOff>
          <xdr:row>46</xdr:row>
          <xdr:rowOff>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306877</xdr:colOff>
      <xdr:row>20</xdr:row>
      <xdr:rowOff>28575</xdr:rowOff>
    </xdr:from>
    <xdr:to>
      <xdr:col>21</xdr:col>
      <xdr:colOff>524014</xdr:colOff>
      <xdr:row>33</xdr:row>
      <xdr:rowOff>148947</xdr:rowOff>
    </xdr:to>
    <xdr:grpSp>
      <xdr:nvGrpSpPr>
        <xdr:cNvPr id="6" name="Gruppieren 5">
          <a:extLst>
            <a:ext uri="{FF2B5EF4-FFF2-40B4-BE49-F238E27FC236}">
              <a16:creationId xmlns:a16="http://schemas.microsoft.com/office/drawing/2014/main" id="{00000000-0008-0000-0000-000006000000}"/>
            </a:ext>
          </a:extLst>
        </xdr:cNvPr>
        <xdr:cNvGrpSpPr/>
      </xdr:nvGrpSpPr>
      <xdr:grpSpPr>
        <a:xfrm>
          <a:off x="6783877" y="2867025"/>
          <a:ext cx="217137" cy="2596872"/>
          <a:chOff x="7583978" y="2880632"/>
          <a:chExt cx="217137" cy="2596872"/>
        </a:xfrm>
      </xdr:grpSpPr>
      <xdr:pic>
        <xdr:nvPicPr>
          <xdr:cNvPr id="50" name="Grafik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585115" y="4594306"/>
            <a:ext cx="214420" cy="142583"/>
          </a:xfrm>
          <a:prstGeom prst="rect">
            <a:avLst/>
          </a:prstGeom>
        </xdr:spPr>
      </xdr:pic>
      <xdr:pic>
        <xdr:nvPicPr>
          <xdr:cNvPr id="51" name="Grafik 50">
            <a:extLst>
              <a:ext uri="{FF2B5EF4-FFF2-40B4-BE49-F238E27FC236}">
                <a16:creationId xmlns:a16="http://schemas.microsoft.com/office/drawing/2014/main" id="{00000000-0008-0000-0000-00003300000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583978" y="3070880"/>
            <a:ext cx="216218" cy="130113"/>
          </a:xfrm>
          <a:prstGeom prst="rect">
            <a:avLst/>
          </a:prstGeom>
        </xdr:spPr>
      </xdr:pic>
      <xdr:pic>
        <xdr:nvPicPr>
          <xdr:cNvPr id="52" name="Grafik 51">
            <a:extLst>
              <a:ext uri="{FF2B5EF4-FFF2-40B4-BE49-F238E27FC236}">
                <a16:creationId xmlns:a16="http://schemas.microsoft.com/office/drawing/2014/main" id="{00000000-0008-0000-0000-000034000000}"/>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584196" y="3259866"/>
            <a:ext cx="216000" cy="144000"/>
          </a:xfrm>
          <a:prstGeom prst="rect">
            <a:avLst/>
          </a:prstGeom>
        </xdr:spPr>
      </xdr:pic>
      <xdr:pic>
        <xdr:nvPicPr>
          <xdr:cNvPr id="53" name="Grafik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84454" y="3455014"/>
            <a:ext cx="215742" cy="143828"/>
          </a:xfrm>
          <a:prstGeom prst="rect">
            <a:avLst/>
          </a:prstGeom>
        </xdr:spPr>
      </xdr:pic>
      <xdr:pic>
        <xdr:nvPicPr>
          <xdr:cNvPr id="54" name="Grafik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584454" y="3645514"/>
            <a:ext cx="215742" cy="143828"/>
          </a:xfrm>
          <a:prstGeom prst="rect">
            <a:avLst/>
          </a:prstGeom>
        </xdr:spPr>
      </xdr:pic>
      <xdr:pic>
        <xdr:nvPicPr>
          <xdr:cNvPr id="55" name="Grafik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84454" y="3836172"/>
            <a:ext cx="215742" cy="143511"/>
          </a:xfrm>
          <a:prstGeom prst="rect">
            <a:avLst/>
          </a:prstGeom>
        </xdr:spPr>
      </xdr:pic>
      <xdr:pic>
        <xdr:nvPicPr>
          <xdr:cNvPr id="56" name="Grafik 55">
            <a:extLst>
              <a:ext uri="{FF2B5EF4-FFF2-40B4-BE49-F238E27FC236}">
                <a16:creationId xmlns:a16="http://schemas.microsoft.com/office/drawing/2014/main" id="{00000000-0008-0000-0000-000038000000}"/>
              </a:ext>
            </a:extLst>
          </xdr:cNvPr>
          <xdr:cNvPicPr preferRelativeResize="0">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584454" y="4021674"/>
            <a:ext cx="215742" cy="144000"/>
          </a:xfrm>
          <a:prstGeom prst="rect">
            <a:avLst/>
          </a:prstGeom>
        </xdr:spPr>
      </xdr:pic>
      <xdr:pic>
        <xdr:nvPicPr>
          <xdr:cNvPr id="57" name="Grafik 56">
            <a:extLst>
              <a:ext uri="{FF2B5EF4-FFF2-40B4-BE49-F238E27FC236}">
                <a16:creationId xmlns:a16="http://schemas.microsoft.com/office/drawing/2014/main" id="{00000000-0008-0000-0000-000039000000}"/>
              </a:ext>
            </a:extLst>
          </xdr:cNvPr>
          <xdr:cNvPicPr preferRelativeResize="0">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584454" y="4212077"/>
            <a:ext cx="215742" cy="144000"/>
          </a:xfrm>
          <a:prstGeom prst="rect">
            <a:avLst/>
          </a:prstGeom>
        </xdr:spPr>
      </xdr:pic>
      <xdr:pic>
        <xdr:nvPicPr>
          <xdr:cNvPr id="58" name="Grafik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585115" y="4403342"/>
            <a:ext cx="214420" cy="143511"/>
          </a:xfrm>
          <a:prstGeom prst="rect">
            <a:avLst/>
          </a:prstGeom>
        </xdr:spPr>
      </xdr:pic>
      <xdr:pic>
        <xdr:nvPicPr>
          <xdr:cNvPr id="59" name="Grafik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585115" y="4802492"/>
            <a:ext cx="214420" cy="107210"/>
          </a:xfrm>
          <a:prstGeom prst="rect">
            <a:avLst/>
          </a:prstGeom>
        </xdr:spPr>
      </xdr:pic>
      <xdr:pic>
        <xdr:nvPicPr>
          <xdr:cNvPr id="60" name="Grafik 59">
            <a:extLst>
              <a:ext uri="{FF2B5EF4-FFF2-40B4-BE49-F238E27FC236}">
                <a16:creationId xmlns:a16="http://schemas.microsoft.com/office/drawing/2014/main" id="{00000000-0008-0000-0000-00003C000000}"/>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585115" y="4992992"/>
            <a:ext cx="216000" cy="108000"/>
          </a:xfrm>
          <a:prstGeom prst="rect">
            <a:avLst/>
          </a:prstGeom>
        </xdr:spPr>
      </xdr:pic>
      <xdr:pic>
        <xdr:nvPicPr>
          <xdr:cNvPr id="61" name="Grafik 60">
            <a:extLst>
              <a:ext uri="{FF2B5EF4-FFF2-40B4-BE49-F238E27FC236}">
                <a16:creationId xmlns:a16="http://schemas.microsoft.com/office/drawing/2014/main" id="{00000000-0008-0000-0000-00003D00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585115" y="5180090"/>
            <a:ext cx="216000" cy="108000"/>
          </a:xfrm>
          <a:prstGeom prst="rect">
            <a:avLst/>
          </a:prstGeom>
        </xdr:spPr>
      </xdr:pic>
      <xdr:pic>
        <xdr:nvPicPr>
          <xdr:cNvPr id="62" name="Grafik 61">
            <a:extLst>
              <a:ext uri="{FF2B5EF4-FFF2-40B4-BE49-F238E27FC236}">
                <a16:creationId xmlns:a16="http://schemas.microsoft.com/office/drawing/2014/main" id="{00000000-0008-0000-0000-00003E000000}"/>
              </a:ext>
            </a:extLst>
          </xdr:cNvPr>
          <xdr:cNvPicPr preferRelativeResize="0">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585115" y="5370158"/>
            <a:ext cx="216000" cy="107346"/>
          </a:xfrm>
          <a:prstGeom prst="rect">
            <a:avLst/>
          </a:prstGeom>
        </xdr:spPr>
      </xdr:pic>
      <xdr:pic>
        <xdr:nvPicPr>
          <xdr:cNvPr id="63" name="Grafik 62" descr="Österreich Flagge Aufkleber - TenStickers">
            <a:extLst>
              <a:ext uri="{FF2B5EF4-FFF2-40B4-BE49-F238E27FC236}">
                <a16:creationId xmlns:a16="http://schemas.microsoft.com/office/drawing/2014/main" id="{00000000-0008-0000-0000-00003F000000}"/>
              </a:ext>
            </a:extLst>
          </xdr:cNvPr>
          <xdr:cNvPicPr>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584196" y="2880632"/>
            <a:ext cx="216000" cy="1296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mc:AlternateContent xmlns:mc="http://schemas.openxmlformats.org/markup-compatibility/2006">
    <mc:Choice xmlns:a14="http://schemas.microsoft.com/office/drawing/2010/main" Requires="a14">
      <xdr:twoCellAnchor editAs="oneCell">
        <xdr:from>
          <xdr:col>21</xdr:col>
          <xdr:colOff>0</xdr:colOff>
          <xdr:row>20</xdr:row>
          <xdr:rowOff>0</xdr:rowOff>
        </xdr:from>
        <xdr:to>
          <xdr:col>23</xdr:col>
          <xdr:colOff>0</xdr:colOff>
          <xdr:row>35</xdr:row>
          <xdr:rowOff>0</xdr:rowOff>
        </xdr:to>
        <xdr:sp macro="" textlink="">
          <xdr:nvSpPr>
            <xdr:cNvPr id="1065" name="Group Box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21</xdr:row>
          <xdr:rowOff>9525</xdr:rowOff>
        </xdr:from>
        <xdr:to>
          <xdr:col>22</xdr:col>
          <xdr:colOff>876300</xdr:colOff>
          <xdr:row>21</xdr:row>
          <xdr:rowOff>180975</xdr:rowOff>
        </xdr:to>
        <xdr:sp macro="" textlink="">
          <xdr:nvSpPr>
            <xdr:cNvPr id="1066" name="Option Button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22</xdr:row>
          <xdr:rowOff>9525</xdr:rowOff>
        </xdr:from>
        <xdr:to>
          <xdr:col>22</xdr:col>
          <xdr:colOff>876300</xdr:colOff>
          <xdr:row>22</xdr:row>
          <xdr:rowOff>180975</xdr:rowOff>
        </xdr:to>
        <xdr:sp macro="" textlink="">
          <xdr:nvSpPr>
            <xdr:cNvPr id="1067" name="Option Button 43"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23</xdr:row>
          <xdr:rowOff>9525</xdr:rowOff>
        </xdr:from>
        <xdr:to>
          <xdr:col>22</xdr:col>
          <xdr:colOff>876300</xdr:colOff>
          <xdr:row>23</xdr:row>
          <xdr:rowOff>180975</xdr:rowOff>
        </xdr:to>
        <xdr:sp macro="" textlink="">
          <xdr:nvSpPr>
            <xdr:cNvPr id="1068" name="Option Button 44"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24</xdr:row>
          <xdr:rowOff>9525</xdr:rowOff>
        </xdr:from>
        <xdr:to>
          <xdr:col>22</xdr:col>
          <xdr:colOff>876300</xdr:colOff>
          <xdr:row>24</xdr:row>
          <xdr:rowOff>180975</xdr:rowOff>
        </xdr:to>
        <xdr:sp macro="" textlink="">
          <xdr:nvSpPr>
            <xdr:cNvPr id="1069" name="Option Button 45"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25</xdr:row>
          <xdr:rowOff>9525</xdr:rowOff>
        </xdr:from>
        <xdr:to>
          <xdr:col>22</xdr:col>
          <xdr:colOff>876300</xdr:colOff>
          <xdr:row>25</xdr:row>
          <xdr:rowOff>180975</xdr:rowOff>
        </xdr:to>
        <xdr:sp macro="" textlink="">
          <xdr:nvSpPr>
            <xdr:cNvPr id="1070" name="Option Button 46"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26</xdr:row>
          <xdr:rowOff>9525</xdr:rowOff>
        </xdr:from>
        <xdr:to>
          <xdr:col>22</xdr:col>
          <xdr:colOff>876300</xdr:colOff>
          <xdr:row>26</xdr:row>
          <xdr:rowOff>180975</xdr:rowOff>
        </xdr:to>
        <xdr:sp macro="" textlink="">
          <xdr:nvSpPr>
            <xdr:cNvPr id="1071" name="Option Button 47"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27</xdr:row>
          <xdr:rowOff>9525</xdr:rowOff>
        </xdr:from>
        <xdr:to>
          <xdr:col>22</xdr:col>
          <xdr:colOff>876300</xdr:colOff>
          <xdr:row>27</xdr:row>
          <xdr:rowOff>180975</xdr:rowOff>
        </xdr:to>
        <xdr:sp macro="" textlink="">
          <xdr:nvSpPr>
            <xdr:cNvPr id="1072" name="Option Button 48"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28</xdr:row>
          <xdr:rowOff>9525</xdr:rowOff>
        </xdr:from>
        <xdr:to>
          <xdr:col>22</xdr:col>
          <xdr:colOff>876300</xdr:colOff>
          <xdr:row>28</xdr:row>
          <xdr:rowOff>180975</xdr:rowOff>
        </xdr:to>
        <xdr:sp macro="" textlink="">
          <xdr:nvSpPr>
            <xdr:cNvPr id="1073" name="Option Button 49"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29</xdr:row>
          <xdr:rowOff>9525</xdr:rowOff>
        </xdr:from>
        <xdr:to>
          <xdr:col>22</xdr:col>
          <xdr:colOff>876300</xdr:colOff>
          <xdr:row>29</xdr:row>
          <xdr:rowOff>180975</xdr:rowOff>
        </xdr:to>
        <xdr:sp macro="" textlink="">
          <xdr:nvSpPr>
            <xdr:cNvPr id="1074" name="Option Button 50"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30</xdr:row>
          <xdr:rowOff>9525</xdr:rowOff>
        </xdr:from>
        <xdr:to>
          <xdr:col>22</xdr:col>
          <xdr:colOff>876300</xdr:colOff>
          <xdr:row>30</xdr:row>
          <xdr:rowOff>180975</xdr:rowOff>
        </xdr:to>
        <xdr:sp macro="" textlink="">
          <xdr:nvSpPr>
            <xdr:cNvPr id="1075" name="Option Button 51"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31</xdr:row>
          <xdr:rowOff>9525</xdr:rowOff>
        </xdr:from>
        <xdr:to>
          <xdr:col>22</xdr:col>
          <xdr:colOff>876300</xdr:colOff>
          <xdr:row>31</xdr:row>
          <xdr:rowOff>180975</xdr:rowOff>
        </xdr:to>
        <xdr:sp macro="" textlink="">
          <xdr:nvSpPr>
            <xdr:cNvPr id="1076" name="Option Button 52"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32</xdr:row>
          <xdr:rowOff>9525</xdr:rowOff>
        </xdr:from>
        <xdr:to>
          <xdr:col>22</xdr:col>
          <xdr:colOff>876300</xdr:colOff>
          <xdr:row>32</xdr:row>
          <xdr:rowOff>180975</xdr:rowOff>
        </xdr:to>
        <xdr:sp macro="" textlink="">
          <xdr:nvSpPr>
            <xdr:cNvPr id="1077" name="Option Button 53"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33</xdr:row>
          <xdr:rowOff>9525</xdr:rowOff>
        </xdr:from>
        <xdr:to>
          <xdr:col>22</xdr:col>
          <xdr:colOff>876300</xdr:colOff>
          <xdr:row>33</xdr:row>
          <xdr:rowOff>180975</xdr:rowOff>
        </xdr:to>
        <xdr:sp macro="" textlink="">
          <xdr:nvSpPr>
            <xdr:cNvPr id="1078" name="Option Button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21</xdr:col>
      <xdr:colOff>306877</xdr:colOff>
      <xdr:row>34</xdr:row>
      <xdr:rowOff>46267</xdr:rowOff>
    </xdr:from>
    <xdr:to>
      <xdr:col>21</xdr:col>
      <xdr:colOff>522877</xdr:colOff>
      <xdr:row>34</xdr:row>
      <xdr:rowOff>154407</xdr:rowOff>
    </xdr:to>
    <xdr:pic>
      <xdr:nvPicPr>
        <xdr:cNvPr id="80" name="Grafik 79" descr="https://upload.wikimedia.org/wikipedia/commons/thumb/2/26/Flag_of_the_Croat_minority_in_Serbia_and_Montenegro.svg/220px-Flag_of_the_Croat_minority_in_Serbia_and_Montenegro.svg.png">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545877" y="5570767"/>
          <a:ext cx="216000" cy="108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21</xdr:col>
          <xdr:colOff>57150</xdr:colOff>
          <xdr:row>34</xdr:row>
          <xdr:rowOff>9525</xdr:rowOff>
        </xdr:from>
        <xdr:to>
          <xdr:col>22</xdr:col>
          <xdr:colOff>876300</xdr:colOff>
          <xdr:row>34</xdr:row>
          <xdr:rowOff>180975</xdr:rowOff>
        </xdr:to>
        <xdr:sp macro="" textlink="">
          <xdr:nvSpPr>
            <xdr:cNvPr id="1082" name="Option Button 58"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20</xdr:row>
          <xdr:rowOff>9525</xdr:rowOff>
        </xdr:from>
        <xdr:to>
          <xdr:col>22</xdr:col>
          <xdr:colOff>876300</xdr:colOff>
          <xdr:row>20</xdr:row>
          <xdr:rowOff>180975</xdr:rowOff>
        </xdr:to>
        <xdr:sp macro="" textlink="">
          <xdr:nvSpPr>
            <xdr:cNvPr id="1083" name="Option Button 59"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37</xdr:row>
          <xdr:rowOff>0</xdr:rowOff>
        </xdr:from>
        <xdr:to>
          <xdr:col>23</xdr:col>
          <xdr:colOff>0</xdr:colOff>
          <xdr:row>42</xdr:row>
          <xdr:rowOff>0</xdr:rowOff>
        </xdr:to>
        <xdr:sp macro="" textlink="">
          <xdr:nvSpPr>
            <xdr:cNvPr id="1084" name="Group Box 60"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37</xdr:row>
          <xdr:rowOff>171450</xdr:rowOff>
        </xdr:from>
        <xdr:to>
          <xdr:col>22</xdr:col>
          <xdr:colOff>180975</xdr:colOff>
          <xdr:row>39</xdr:row>
          <xdr:rowOff>47625</xdr:rowOff>
        </xdr:to>
        <xdr:sp macro="" textlink="">
          <xdr:nvSpPr>
            <xdr:cNvPr id="1085" name="Option Button 61"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39</xdr:row>
          <xdr:rowOff>161925</xdr:rowOff>
        </xdr:from>
        <xdr:to>
          <xdr:col>22</xdr:col>
          <xdr:colOff>180975</xdr:colOff>
          <xdr:row>41</xdr:row>
          <xdr:rowOff>38100</xdr:rowOff>
        </xdr:to>
        <xdr:sp macro="" textlink="">
          <xdr:nvSpPr>
            <xdr:cNvPr id="1086" name="Option Button 62"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14</xdr:col>
      <xdr:colOff>81735</xdr:colOff>
      <xdr:row>7</xdr:row>
      <xdr:rowOff>0</xdr:rowOff>
    </xdr:from>
    <xdr:to>
      <xdr:col>23</xdr:col>
      <xdr:colOff>25929</xdr:colOff>
      <xdr:row>18</xdr:row>
      <xdr:rowOff>19051</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12270" b="10429"/>
        <a:stretch/>
      </xdr:blipFill>
      <xdr:spPr>
        <a:xfrm>
          <a:off x="5301435" y="1123950"/>
          <a:ext cx="2696919" cy="1352551"/>
        </a:xfrm>
        <a:prstGeom prst="rect">
          <a:avLst/>
        </a:prstGeom>
      </xdr:spPr>
    </xdr:pic>
    <xdr:clientData/>
  </xdr:twoCellAnchor>
  <xdr:twoCellAnchor>
    <xdr:from>
      <xdr:col>7</xdr:col>
      <xdr:colOff>68580</xdr:colOff>
      <xdr:row>21</xdr:row>
      <xdr:rowOff>129540</xdr:rowOff>
    </xdr:from>
    <xdr:to>
      <xdr:col>10</xdr:col>
      <xdr:colOff>278415</xdr:colOff>
      <xdr:row>24</xdr:row>
      <xdr:rowOff>65298</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t="2707" b="2707"/>
        <a:stretch/>
      </xdr:blipFill>
      <xdr:spPr>
        <a:xfrm>
          <a:off x="2674620" y="3040380"/>
          <a:ext cx="1375695" cy="507258"/>
        </a:xfrm>
        <a:prstGeom prst="rect">
          <a:avLst/>
        </a:prstGeom>
      </xdr:spPr>
    </xdr:pic>
    <xdr:clientData/>
  </xdr:twoCellAnchor>
  <xdr:twoCellAnchor>
    <xdr:from>
      <xdr:col>7</xdr:col>
      <xdr:colOff>103109</xdr:colOff>
      <xdr:row>28</xdr:row>
      <xdr:rowOff>108315</xdr:rowOff>
    </xdr:from>
    <xdr:to>
      <xdr:col>10</xdr:col>
      <xdr:colOff>243614</xdr:colOff>
      <xdr:row>31</xdr:row>
      <xdr:rowOff>20137</xdr:rowOff>
    </xdr:to>
    <xdr:pic>
      <xdr:nvPicPr>
        <xdr:cNvPr id="12" name="Grafik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t="2547" b="2547"/>
        <a:stretch/>
      </xdr:blipFill>
      <xdr:spPr>
        <a:xfrm>
          <a:off x="2709149" y="4352655"/>
          <a:ext cx="1306365" cy="483322"/>
        </a:xfrm>
        <a:prstGeom prst="rect">
          <a:avLst/>
        </a:prstGeom>
      </xdr:spPr>
    </xdr:pic>
    <xdr:clientData/>
  </xdr:twoCellAnchor>
  <xdr:twoCellAnchor>
    <xdr:from>
      <xdr:col>7</xdr:col>
      <xdr:colOff>76200</xdr:colOff>
      <xdr:row>35</xdr:row>
      <xdr:rowOff>170362</xdr:rowOff>
    </xdr:from>
    <xdr:to>
      <xdr:col>10</xdr:col>
      <xdr:colOff>286035</xdr:colOff>
      <xdr:row>38</xdr:row>
      <xdr:rowOff>129540</xdr:rowOff>
    </xdr:to>
    <xdr:pic>
      <xdr:nvPicPr>
        <xdr:cNvPr id="16" name="Grafik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t="1944" b="1944"/>
        <a:stretch/>
      </xdr:blipFill>
      <xdr:spPr>
        <a:xfrm>
          <a:off x="2682240" y="5740582"/>
          <a:ext cx="1375695" cy="5154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105007</xdr:colOff>
      <xdr:row>3</xdr:row>
      <xdr:rowOff>60304</xdr:rowOff>
    </xdr:to>
    <xdr:pic>
      <xdr:nvPicPr>
        <xdr:cNvPr id="3" name="Grafik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80975"/>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23</xdr:col>
          <xdr:colOff>114300</xdr:colOff>
          <xdr:row>15</xdr:row>
          <xdr:rowOff>19050</xdr:rowOff>
        </xdr:from>
        <xdr:to>
          <xdr:col>24</xdr:col>
          <xdr:colOff>628650</xdr:colOff>
          <xdr:row>15</xdr:row>
          <xdr:rowOff>152400</xdr:rowOff>
        </xdr:to>
        <xdr:sp macro="" textlink="">
          <xdr:nvSpPr>
            <xdr:cNvPr id="9227" name="Option Button 11" hidden="1">
              <a:extLst>
                <a:ext uri="{63B3BB69-23CF-44E3-9099-C40C66FF867C}">
                  <a14:compatExt spid="_x0000_s9227"/>
                </a:ext>
                <a:ext uri="{FF2B5EF4-FFF2-40B4-BE49-F238E27FC236}">
                  <a16:creationId xmlns:a16="http://schemas.microsoft.com/office/drawing/2014/main" id="{00000000-0008-0000-09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16</xdr:row>
          <xdr:rowOff>19050</xdr:rowOff>
        </xdr:from>
        <xdr:to>
          <xdr:col>24</xdr:col>
          <xdr:colOff>628650</xdr:colOff>
          <xdr:row>16</xdr:row>
          <xdr:rowOff>152400</xdr:rowOff>
        </xdr:to>
        <xdr:sp macro="" textlink="">
          <xdr:nvSpPr>
            <xdr:cNvPr id="9228" name="Option Button 12" hidden="1">
              <a:extLst>
                <a:ext uri="{63B3BB69-23CF-44E3-9099-C40C66FF867C}">
                  <a14:compatExt spid="_x0000_s9228"/>
                </a:ext>
                <a:ext uri="{FF2B5EF4-FFF2-40B4-BE49-F238E27FC236}">
                  <a16:creationId xmlns:a16="http://schemas.microsoft.com/office/drawing/2014/main" id="{00000000-0008-0000-09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105007</xdr:colOff>
      <xdr:row>3</xdr:row>
      <xdr:rowOff>60304</xdr:rowOff>
    </xdr:to>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0"/>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23</xdr:col>
          <xdr:colOff>114300</xdr:colOff>
          <xdr:row>15</xdr:row>
          <xdr:rowOff>19050</xdr:rowOff>
        </xdr:from>
        <xdr:to>
          <xdr:col>24</xdr:col>
          <xdr:colOff>523875</xdr:colOff>
          <xdr:row>15</xdr:row>
          <xdr:rowOff>152400</xdr:rowOff>
        </xdr:to>
        <xdr:sp macro="" textlink="">
          <xdr:nvSpPr>
            <xdr:cNvPr id="40961" name="Option Button 1" hidden="1">
              <a:extLst>
                <a:ext uri="{63B3BB69-23CF-44E3-9099-C40C66FF867C}">
                  <a14:compatExt spid="_x0000_s40961"/>
                </a:ext>
                <a:ext uri="{FF2B5EF4-FFF2-40B4-BE49-F238E27FC236}">
                  <a16:creationId xmlns:a16="http://schemas.microsoft.com/office/drawing/2014/main" id="{00000000-0008-0000-0A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16</xdr:row>
          <xdr:rowOff>19050</xdr:rowOff>
        </xdr:from>
        <xdr:to>
          <xdr:col>24</xdr:col>
          <xdr:colOff>523875</xdr:colOff>
          <xdr:row>16</xdr:row>
          <xdr:rowOff>152400</xdr:rowOff>
        </xdr:to>
        <xdr:sp macro="" textlink="">
          <xdr:nvSpPr>
            <xdr:cNvPr id="40962" name="Option Button 2" hidden="1">
              <a:extLst>
                <a:ext uri="{63B3BB69-23CF-44E3-9099-C40C66FF867C}">
                  <a14:compatExt spid="_x0000_s40962"/>
                </a:ext>
                <a:ext uri="{FF2B5EF4-FFF2-40B4-BE49-F238E27FC236}">
                  <a16:creationId xmlns:a16="http://schemas.microsoft.com/office/drawing/2014/main" id="{00000000-0008-0000-0A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105007</xdr:colOff>
      <xdr:row>3</xdr:row>
      <xdr:rowOff>60304</xdr:rowOff>
    </xdr:to>
    <xdr:pic>
      <xdr:nvPicPr>
        <xdr:cNvPr id="2" name="Grafik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0"/>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23</xdr:col>
          <xdr:colOff>114300</xdr:colOff>
          <xdr:row>15</xdr:row>
          <xdr:rowOff>9525</xdr:rowOff>
        </xdr:from>
        <xdr:to>
          <xdr:col>24</xdr:col>
          <xdr:colOff>600075</xdr:colOff>
          <xdr:row>15</xdr:row>
          <xdr:rowOff>152400</xdr:rowOff>
        </xdr:to>
        <xdr:sp macro="" textlink="">
          <xdr:nvSpPr>
            <xdr:cNvPr id="44033" name="Option Button 1" hidden="1">
              <a:extLst>
                <a:ext uri="{63B3BB69-23CF-44E3-9099-C40C66FF867C}">
                  <a14:compatExt spid="_x0000_s44033"/>
                </a:ext>
                <a:ext uri="{FF2B5EF4-FFF2-40B4-BE49-F238E27FC236}">
                  <a16:creationId xmlns:a16="http://schemas.microsoft.com/office/drawing/2014/main" id="{00000000-0008-0000-0B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16</xdr:row>
          <xdr:rowOff>9525</xdr:rowOff>
        </xdr:from>
        <xdr:to>
          <xdr:col>24</xdr:col>
          <xdr:colOff>600075</xdr:colOff>
          <xdr:row>16</xdr:row>
          <xdr:rowOff>152400</xdr:rowOff>
        </xdr:to>
        <xdr:sp macro="" textlink="">
          <xdr:nvSpPr>
            <xdr:cNvPr id="44034" name="Option Button 2" hidden="1">
              <a:extLst>
                <a:ext uri="{63B3BB69-23CF-44E3-9099-C40C66FF867C}">
                  <a14:compatExt spid="_x0000_s44034"/>
                </a:ext>
                <a:ext uri="{FF2B5EF4-FFF2-40B4-BE49-F238E27FC236}">
                  <a16:creationId xmlns:a16="http://schemas.microsoft.com/office/drawing/2014/main" id="{00000000-0008-0000-0B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105007</xdr:colOff>
      <xdr:row>3</xdr:row>
      <xdr:rowOff>60304</xdr:rowOff>
    </xdr:to>
    <xdr:pic>
      <xdr:nvPicPr>
        <xdr:cNvPr id="2" name="Grafik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0"/>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23</xdr:col>
          <xdr:colOff>114300</xdr:colOff>
          <xdr:row>15</xdr:row>
          <xdr:rowOff>19050</xdr:rowOff>
        </xdr:from>
        <xdr:to>
          <xdr:col>24</xdr:col>
          <xdr:colOff>571500</xdr:colOff>
          <xdr:row>15</xdr:row>
          <xdr:rowOff>152400</xdr:rowOff>
        </xdr:to>
        <xdr:sp macro="" textlink="">
          <xdr:nvSpPr>
            <xdr:cNvPr id="49153" name="Option Button 1" hidden="1">
              <a:extLst>
                <a:ext uri="{63B3BB69-23CF-44E3-9099-C40C66FF867C}">
                  <a14:compatExt spid="_x0000_s49153"/>
                </a:ext>
                <a:ext uri="{FF2B5EF4-FFF2-40B4-BE49-F238E27FC236}">
                  <a16:creationId xmlns:a16="http://schemas.microsoft.com/office/drawing/2014/main" id="{00000000-0008-0000-0C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16</xdr:row>
          <xdr:rowOff>19050</xdr:rowOff>
        </xdr:from>
        <xdr:to>
          <xdr:col>24</xdr:col>
          <xdr:colOff>571500</xdr:colOff>
          <xdr:row>16</xdr:row>
          <xdr:rowOff>152400</xdr:rowOff>
        </xdr:to>
        <xdr:sp macro="" textlink="">
          <xdr:nvSpPr>
            <xdr:cNvPr id="49154" name="Option Button 2" hidden="1">
              <a:extLst>
                <a:ext uri="{63B3BB69-23CF-44E3-9099-C40C66FF867C}">
                  <a14:compatExt spid="_x0000_s49154"/>
                </a:ext>
                <a:ext uri="{FF2B5EF4-FFF2-40B4-BE49-F238E27FC236}">
                  <a16:creationId xmlns:a16="http://schemas.microsoft.com/office/drawing/2014/main" id="{00000000-0008-0000-0C00-00000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105007</xdr:colOff>
      <xdr:row>3</xdr:row>
      <xdr:rowOff>60304</xdr:rowOff>
    </xdr:to>
    <xdr:pic>
      <xdr:nvPicPr>
        <xdr:cNvPr id="2" name="Grafik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0"/>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23</xdr:col>
          <xdr:colOff>114300</xdr:colOff>
          <xdr:row>15</xdr:row>
          <xdr:rowOff>28575</xdr:rowOff>
        </xdr:from>
        <xdr:to>
          <xdr:col>24</xdr:col>
          <xdr:colOff>600075</xdr:colOff>
          <xdr:row>15</xdr:row>
          <xdr:rowOff>142875</xdr:rowOff>
        </xdr:to>
        <xdr:sp macro="" textlink="">
          <xdr:nvSpPr>
            <xdr:cNvPr id="53249" name="Option Button 1" hidden="1">
              <a:extLst>
                <a:ext uri="{63B3BB69-23CF-44E3-9099-C40C66FF867C}">
                  <a14:compatExt spid="_x0000_s53249"/>
                </a:ext>
                <a:ext uri="{FF2B5EF4-FFF2-40B4-BE49-F238E27FC236}">
                  <a16:creationId xmlns:a16="http://schemas.microsoft.com/office/drawing/2014/main" id="{00000000-0008-0000-0D00-00000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16</xdr:row>
          <xdr:rowOff>28575</xdr:rowOff>
        </xdr:from>
        <xdr:to>
          <xdr:col>24</xdr:col>
          <xdr:colOff>600075</xdr:colOff>
          <xdr:row>16</xdr:row>
          <xdr:rowOff>142875</xdr:rowOff>
        </xdr:to>
        <xdr:sp macro="" textlink="">
          <xdr:nvSpPr>
            <xdr:cNvPr id="53250" name="Option Button 2" hidden="1">
              <a:extLst>
                <a:ext uri="{63B3BB69-23CF-44E3-9099-C40C66FF867C}">
                  <a14:compatExt spid="_x0000_s53250"/>
                </a:ext>
                <a:ext uri="{FF2B5EF4-FFF2-40B4-BE49-F238E27FC236}">
                  <a16:creationId xmlns:a16="http://schemas.microsoft.com/office/drawing/2014/main" id="{00000000-0008-0000-0D00-00000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105007</xdr:colOff>
      <xdr:row>3</xdr:row>
      <xdr:rowOff>60304</xdr:rowOff>
    </xdr:to>
    <xdr:pic>
      <xdr:nvPicPr>
        <xdr:cNvPr id="2" name="Grafik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0"/>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23</xdr:col>
          <xdr:colOff>114300</xdr:colOff>
          <xdr:row>15</xdr:row>
          <xdr:rowOff>19050</xdr:rowOff>
        </xdr:from>
        <xdr:to>
          <xdr:col>24</xdr:col>
          <xdr:colOff>866775</xdr:colOff>
          <xdr:row>15</xdr:row>
          <xdr:rowOff>161925</xdr:rowOff>
        </xdr:to>
        <xdr:sp macro="" textlink="">
          <xdr:nvSpPr>
            <xdr:cNvPr id="55297" name="Option Button 1" hidden="1">
              <a:extLst>
                <a:ext uri="{63B3BB69-23CF-44E3-9099-C40C66FF867C}">
                  <a14:compatExt spid="_x0000_s55297"/>
                </a:ext>
                <a:ext uri="{FF2B5EF4-FFF2-40B4-BE49-F238E27FC236}">
                  <a16:creationId xmlns:a16="http://schemas.microsoft.com/office/drawing/2014/main" id="{00000000-0008-0000-0E00-00000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16</xdr:row>
          <xdr:rowOff>19050</xdr:rowOff>
        </xdr:from>
        <xdr:to>
          <xdr:col>24</xdr:col>
          <xdr:colOff>866775</xdr:colOff>
          <xdr:row>17</xdr:row>
          <xdr:rowOff>0</xdr:rowOff>
        </xdr:to>
        <xdr:sp macro="" textlink="">
          <xdr:nvSpPr>
            <xdr:cNvPr id="55298" name="Option Button 2" hidden="1">
              <a:extLst>
                <a:ext uri="{63B3BB69-23CF-44E3-9099-C40C66FF867C}">
                  <a14:compatExt spid="_x0000_s55298"/>
                </a:ext>
                <a:ext uri="{FF2B5EF4-FFF2-40B4-BE49-F238E27FC236}">
                  <a16:creationId xmlns:a16="http://schemas.microsoft.com/office/drawing/2014/main" id="{00000000-0008-0000-0E00-00000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67</xdr:col>
      <xdr:colOff>38835</xdr:colOff>
      <xdr:row>51</xdr:row>
      <xdr:rowOff>19707</xdr:rowOff>
    </xdr:from>
    <xdr:to>
      <xdr:col>70</xdr:col>
      <xdr:colOff>23508</xdr:colOff>
      <xdr:row>53</xdr:row>
      <xdr:rowOff>93676</xdr:rowOff>
    </xdr:to>
    <xdr:pic>
      <xdr:nvPicPr>
        <xdr:cNvPr id="2" name="Grafik 1">
          <a:extLst>
            <a:ext uri="{FF2B5EF4-FFF2-40B4-BE49-F238E27FC236}">
              <a16:creationId xmlns:a16="http://schemas.microsoft.com/office/drawing/2014/main" id="{00000000-0008-0000-0F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17163" y="6270488"/>
          <a:ext cx="324000" cy="324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29767</xdr:colOff>
          <xdr:row>23</xdr:row>
          <xdr:rowOff>20123</xdr:rowOff>
        </xdr:from>
        <xdr:to>
          <xdr:col>78</xdr:col>
          <xdr:colOff>101204</xdr:colOff>
          <xdr:row>36</xdr:row>
          <xdr:rowOff>113110</xdr:rowOff>
        </xdr:to>
        <xdr:pic>
          <xdr:nvPicPr>
            <xdr:cNvPr id="3" name="Grafik 2">
              <a:extLst>
                <a:ext uri="{FF2B5EF4-FFF2-40B4-BE49-F238E27FC236}">
                  <a16:creationId xmlns:a16="http://schemas.microsoft.com/office/drawing/2014/main" id="{00000000-0008-0000-0F00-000003000000}"/>
                </a:ext>
              </a:extLst>
            </xdr:cNvPr>
            <xdr:cNvPicPr>
              <a:picLocks noChangeAspect="1" noChangeArrowheads="1"/>
              <a:extLst>
                <a:ext uri="{84589F7E-364E-4C9E-8A38-B11213B215E9}">
                  <a14:cameraTool cellRange="CAD_1" spid="_x0000_s257811"/>
                </a:ext>
              </a:extLst>
            </xdr:cNvPicPr>
          </xdr:nvPicPr>
          <xdr:blipFill>
            <a:blip xmlns:r="http://schemas.openxmlformats.org/officeDocument/2006/relationships" r:embed="rId2"/>
            <a:srcRect/>
            <a:stretch>
              <a:fillRect/>
            </a:stretch>
          </xdr:blipFill>
          <xdr:spPr bwMode="auto">
            <a:xfrm>
              <a:off x="372667" y="2591873"/>
              <a:ext cx="8415337" cy="1731287"/>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67</xdr:col>
      <xdr:colOff>38835</xdr:colOff>
      <xdr:row>51</xdr:row>
      <xdr:rowOff>19707</xdr:rowOff>
    </xdr:from>
    <xdr:to>
      <xdr:col>70</xdr:col>
      <xdr:colOff>23508</xdr:colOff>
      <xdr:row>53</xdr:row>
      <xdr:rowOff>93676</xdr:rowOff>
    </xdr:to>
    <xdr:pic>
      <xdr:nvPicPr>
        <xdr:cNvPr id="2" name="Grafik 1">
          <a:extLst>
            <a:ext uri="{FF2B5EF4-FFF2-40B4-BE49-F238E27FC236}">
              <a16:creationId xmlns:a16="http://schemas.microsoft.com/office/drawing/2014/main" id="{00000000-0008-0000-1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96935" y="6334782"/>
          <a:ext cx="327573" cy="3216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29767</xdr:colOff>
          <xdr:row>23</xdr:row>
          <xdr:rowOff>20123</xdr:rowOff>
        </xdr:from>
        <xdr:to>
          <xdr:col>78</xdr:col>
          <xdr:colOff>102667</xdr:colOff>
          <xdr:row>36</xdr:row>
          <xdr:rowOff>113423</xdr:rowOff>
        </xdr:to>
        <xdr:pic>
          <xdr:nvPicPr>
            <xdr:cNvPr id="3" name="Grafik 2">
              <a:extLst>
                <a:ext uri="{FF2B5EF4-FFF2-40B4-BE49-F238E27FC236}">
                  <a16:creationId xmlns:a16="http://schemas.microsoft.com/office/drawing/2014/main" id="{00000000-0008-0000-1000-000003000000}"/>
                </a:ext>
              </a:extLst>
            </xdr:cNvPr>
            <xdr:cNvPicPr>
              <a:picLocks noChangeArrowheads="1"/>
              <a:extLst>
                <a:ext uri="{84589F7E-364E-4C9E-8A38-B11213B215E9}">
                  <a14:cameraTool cellRange="CAD_2" spid="_x0000_s252716"/>
                </a:ext>
              </a:extLst>
            </xdr:cNvPicPr>
          </xdr:nvPicPr>
          <xdr:blipFill>
            <a:blip xmlns:r="http://schemas.openxmlformats.org/officeDocument/2006/relationships" r:embed="rId2"/>
            <a:srcRect/>
            <a:stretch>
              <a:fillRect/>
            </a:stretch>
          </xdr:blipFill>
          <xdr:spPr bwMode="auto">
            <a:xfrm>
              <a:off x="601267" y="2839523"/>
              <a:ext cx="8416800" cy="17316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67</xdr:col>
      <xdr:colOff>38835</xdr:colOff>
      <xdr:row>51</xdr:row>
      <xdr:rowOff>19707</xdr:rowOff>
    </xdr:from>
    <xdr:to>
      <xdr:col>70</xdr:col>
      <xdr:colOff>23508</xdr:colOff>
      <xdr:row>53</xdr:row>
      <xdr:rowOff>93676</xdr:rowOff>
    </xdr:to>
    <xdr:pic>
      <xdr:nvPicPr>
        <xdr:cNvPr id="2" name="Grafik 1">
          <a:extLst>
            <a:ext uri="{FF2B5EF4-FFF2-40B4-BE49-F238E27FC236}">
              <a16:creationId xmlns:a16="http://schemas.microsoft.com/office/drawing/2014/main" id="{00000000-0008-0000-1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96935" y="6334782"/>
          <a:ext cx="327573" cy="3216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28575</xdr:colOff>
          <xdr:row>23</xdr:row>
          <xdr:rowOff>20123</xdr:rowOff>
        </xdr:from>
        <xdr:to>
          <xdr:col>78</xdr:col>
          <xdr:colOff>101475</xdr:colOff>
          <xdr:row>36</xdr:row>
          <xdr:rowOff>113423</xdr:rowOff>
        </xdr:to>
        <xdr:pic>
          <xdr:nvPicPr>
            <xdr:cNvPr id="3" name="Grafik 2">
              <a:extLst>
                <a:ext uri="{FF2B5EF4-FFF2-40B4-BE49-F238E27FC236}">
                  <a16:creationId xmlns:a16="http://schemas.microsoft.com/office/drawing/2014/main" id="{00000000-0008-0000-1100-000003000000}"/>
                </a:ext>
              </a:extLst>
            </xdr:cNvPr>
            <xdr:cNvPicPr>
              <a:picLocks noChangeArrowheads="1"/>
              <a:extLst>
                <a:ext uri="{84589F7E-364E-4C9E-8A38-B11213B215E9}">
                  <a14:cameraTool cellRange="CAD_3" spid="_x0000_s253740"/>
                </a:ext>
              </a:extLst>
            </xdr:cNvPicPr>
          </xdr:nvPicPr>
          <xdr:blipFill>
            <a:blip xmlns:r="http://schemas.openxmlformats.org/officeDocument/2006/relationships" r:embed="rId2"/>
            <a:srcRect/>
            <a:stretch>
              <a:fillRect/>
            </a:stretch>
          </xdr:blipFill>
          <xdr:spPr bwMode="auto">
            <a:xfrm>
              <a:off x="600075" y="2839523"/>
              <a:ext cx="8416800" cy="17316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67</xdr:col>
      <xdr:colOff>38835</xdr:colOff>
      <xdr:row>51</xdr:row>
      <xdr:rowOff>19707</xdr:rowOff>
    </xdr:from>
    <xdr:to>
      <xdr:col>70</xdr:col>
      <xdr:colOff>23508</xdr:colOff>
      <xdr:row>53</xdr:row>
      <xdr:rowOff>93676</xdr:rowOff>
    </xdr:to>
    <xdr:pic>
      <xdr:nvPicPr>
        <xdr:cNvPr id="2" name="Grafik 1">
          <a:extLst>
            <a:ext uri="{FF2B5EF4-FFF2-40B4-BE49-F238E27FC236}">
              <a16:creationId xmlns:a16="http://schemas.microsoft.com/office/drawing/2014/main" id="{00000000-0008-0000-1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96935" y="6334782"/>
          <a:ext cx="327573" cy="3216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27876</xdr:colOff>
          <xdr:row>23</xdr:row>
          <xdr:rowOff>20123</xdr:rowOff>
        </xdr:from>
        <xdr:to>
          <xdr:col>78</xdr:col>
          <xdr:colOff>100776</xdr:colOff>
          <xdr:row>36</xdr:row>
          <xdr:rowOff>113423</xdr:rowOff>
        </xdr:to>
        <xdr:pic>
          <xdr:nvPicPr>
            <xdr:cNvPr id="3" name="Grafik 2">
              <a:extLst>
                <a:ext uri="{FF2B5EF4-FFF2-40B4-BE49-F238E27FC236}">
                  <a16:creationId xmlns:a16="http://schemas.microsoft.com/office/drawing/2014/main" id="{00000000-0008-0000-1200-000003000000}"/>
                </a:ext>
              </a:extLst>
            </xdr:cNvPr>
            <xdr:cNvPicPr>
              <a:picLocks noChangeArrowheads="1"/>
              <a:extLst>
                <a:ext uri="{84589F7E-364E-4C9E-8A38-B11213B215E9}">
                  <a14:cameraTool cellRange="CAD_4" spid="_x0000_s254764"/>
                </a:ext>
              </a:extLst>
            </xdr:cNvPicPr>
          </xdr:nvPicPr>
          <xdr:blipFill>
            <a:blip xmlns:r="http://schemas.openxmlformats.org/officeDocument/2006/relationships" r:embed="rId2"/>
            <a:srcRect/>
            <a:stretch>
              <a:fillRect/>
            </a:stretch>
          </xdr:blipFill>
          <xdr:spPr bwMode="auto">
            <a:xfrm>
              <a:off x="608669" y="2877623"/>
              <a:ext cx="8552473" cy="175204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2</xdr:col>
      <xdr:colOff>285750</xdr:colOff>
      <xdr:row>4</xdr:row>
      <xdr:rowOff>114300</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57150"/>
          <a:ext cx="819150" cy="781050"/>
        </a:xfrm>
        <a:prstGeom prst="rect">
          <a:avLst/>
        </a:prstGeom>
      </xdr:spPr>
    </xdr:pic>
    <xdr:clientData/>
  </xdr:twoCellAnchor>
  <xdr:twoCellAnchor editAs="oneCell">
    <xdr:from>
      <xdr:col>1</xdr:col>
      <xdr:colOff>524724</xdr:colOff>
      <xdr:row>41</xdr:row>
      <xdr:rowOff>47625</xdr:rowOff>
    </xdr:from>
    <xdr:to>
      <xdr:col>6</xdr:col>
      <xdr:colOff>112414</xdr:colOff>
      <xdr:row>49</xdr:row>
      <xdr:rowOff>0</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024" y="7467600"/>
          <a:ext cx="1645090" cy="14001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67</xdr:col>
      <xdr:colOff>38835</xdr:colOff>
      <xdr:row>51</xdr:row>
      <xdr:rowOff>19707</xdr:rowOff>
    </xdr:from>
    <xdr:to>
      <xdr:col>70</xdr:col>
      <xdr:colOff>23508</xdr:colOff>
      <xdr:row>53</xdr:row>
      <xdr:rowOff>93676</xdr:rowOff>
    </xdr:to>
    <xdr:pic>
      <xdr:nvPicPr>
        <xdr:cNvPr id="2" name="Grafik 1">
          <a:extLst>
            <a:ext uri="{FF2B5EF4-FFF2-40B4-BE49-F238E27FC236}">
              <a16:creationId xmlns:a16="http://schemas.microsoft.com/office/drawing/2014/main" id="{00000000-0008-0000-1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96935" y="6334782"/>
          <a:ext cx="327573" cy="3216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27876</xdr:colOff>
          <xdr:row>23</xdr:row>
          <xdr:rowOff>20123</xdr:rowOff>
        </xdr:from>
        <xdr:to>
          <xdr:col>78</xdr:col>
          <xdr:colOff>100776</xdr:colOff>
          <xdr:row>36</xdr:row>
          <xdr:rowOff>113423</xdr:rowOff>
        </xdr:to>
        <xdr:pic>
          <xdr:nvPicPr>
            <xdr:cNvPr id="3" name="Grafik 2">
              <a:extLst>
                <a:ext uri="{FF2B5EF4-FFF2-40B4-BE49-F238E27FC236}">
                  <a16:creationId xmlns:a16="http://schemas.microsoft.com/office/drawing/2014/main" id="{00000000-0008-0000-1300-000003000000}"/>
                </a:ext>
              </a:extLst>
            </xdr:cNvPr>
            <xdr:cNvPicPr>
              <a:picLocks noChangeArrowheads="1"/>
              <a:extLst>
                <a:ext uri="{84589F7E-364E-4C9E-8A38-B11213B215E9}">
                  <a14:cameraTool cellRange="CAD_5" spid="_x0000_s255788"/>
                </a:ext>
              </a:extLst>
            </xdr:cNvPicPr>
          </xdr:nvPicPr>
          <xdr:blipFill>
            <a:blip xmlns:r="http://schemas.openxmlformats.org/officeDocument/2006/relationships" r:embed="rId2"/>
            <a:srcRect/>
            <a:stretch>
              <a:fillRect/>
            </a:stretch>
          </xdr:blipFill>
          <xdr:spPr bwMode="auto">
            <a:xfrm>
              <a:off x="608669" y="2877623"/>
              <a:ext cx="8552473" cy="175204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xdr:col>
      <xdr:colOff>138112</xdr:colOff>
      <xdr:row>76</xdr:row>
      <xdr:rowOff>95249</xdr:rowOff>
    </xdr:from>
    <xdr:to>
      <xdr:col>6</xdr:col>
      <xdr:colOff>600075</xdr:colOff>
      <xdr:row>100</xdr:row>
      <xdr:rowOff>47624</xdr:rowOff>
    </xdr:to>
    <xdr:graphicFrame macro="">
      <xdr:nvGraphicFramePr>
        <xdr:cNvPr id="12" name="Diagramm 11">
          <a:extLst>
            <a:ext uri="{FF2B5EF4-FFF2-40B4-BE49-F238E27FC236}">
              <a16:creationId xmlns:a16="http://schemas.microsoft.com/office/drawing/2014/main" id="{00000000-0008-0000-1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2009776</xdr:colOff>
      <xdr:row>76</xdr:row>
      <xdr:rowOff>0</xdr:rowOff>
    </xdr:from>
    <xdr:to>
      <xdr:col>1</xdr:col>
      <xdr:colOff>2486026</xdr:colOff>
      <xdr:row>77</xdr:row>
      <xdr:rowOff>57150</xdr:rowOff>
    </xdr:to>
    <xdr:sp macro="" textlink="">
      <xdr:nvSpPr>
        <xdr:cNvPr id="13" name="Textfeld 12">
          <a:extLst>
            <a:ext uri="{FF2B5EF4-FFF2-40B4-BE49-F238E27FC236}">
              <a16:creationId xmlns:a16="http://schemas.microsoft.com/office/drawing/2014/main" id="{00000000-0008-0000-1F00-00000D000000}"/>
            </a:ext>
          </a:extLst>
        </xdr:cNvPr>
        <xdr:cNvSpPr txBox="1"/>
      </xdr:nvSpPr>
      <xdr:spPr>
        <a:xfrm>
          <a:off x="2295526" y="13687425"/>
          <a:ext cx="4762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Stoß</a:t>
          </a:r>
        </a:p>
      </xdr:txBody>
    </xdr:sp>
    <xdr:clientData/>
  </xdr:twoCellAnchor>
  <xdr:twoCellAnchor>
    <xdr:from>
      <xdr:col>1</xdr:col>
      <xdr:colOff>2549237</xdr:colOff>
      <xdr:row>76</xdr:row>
      <xdr:rowOff>9525</xdr:rowOff>
    </xdr:from>
    <xdr:to>
      <xdr:col>2</xdr:col>
      <xdr:colOff>929986</xdr:colOff>
      <xdr:row>77</xdr:row>
      <xdr:rowOff>66675</xdr:rowOff>
    </xdr:to>
    <xdr:sp macro="" textlink="">
      <xdr:nvSpPr>
        <xdr:cNvPr id="14" name="Textfeld 13">
          <a:extLst>
            <a:ext uri="{FF2B5EF4-FFF2-40B4-BE49-F238E27FC236}">
              <a16:creationId xmlns:a16="http://schemas.microsoft.com/office/drawing/2014/main" id="{00000000-0008-0000-1F00-00000E000000}"/>
            </a:ext>
          </a:extLst>
        </xdr:cNvPr>
        <xdr:cNvSpPr txBox="1"/>
      </xdr:nvSpPr>
      <xdr:spPr>
        <a:xfrm>
          <a:off x="2834987" y="13696950"/>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Wasserdruck</a:t>
          </a:r>
        </a:p>
      </xdr:txBody>
    </xdr:sp>
    <xdr:clientData/>
  </xdr:twoCellAnchor>
  <xdr:twoCellAnchor>
    <xdr:from>
      <xdr:col>2</xdr:col>
      <xdr:colOff>1129146</xdr:colOff>
      <xdr:row>76</xdr:row>
      <xdr:rowOff>24246</xdr:rowOff>
    </xdr:from>
    <xdr:to>
      <xdr:col>3</xdr:col>
      <xdr:colOff>223405</xdr:colOff>
      <xdr:row>77</xdr:row>
      <xdr:rowOff>81396</xdr:rowOff>
    </xdr:to>
    <xdr:sp macro="" textlink="">
      <xdr:nvSpPr>
        <xdr:cNvPr id="15" name="Textfeld 14">
          <a:extLst>
            <a:ext uri="{FF2B5EF4-FFF2-40B4-BE49-F238E27FC236}">
              <a16:creationId xmlns:a16="http://schemas.microsoft.com/office/drawing/2014/main" id="{00000000-0008-0000-1F00-00000F000000}"/>
            </a:ext>
          </a:extLst>
        </xdr:cNvPr>
        <xdr:cNvSpPr txBox="1"/>
      </xdr:nvSpPr>
      <xdr:spPr>
        <a:xfrm>
          <a:off x="3996171" y="13711671"/>
          <a:ext cx="47538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Stoß</a:t>
          </a:r>
        </a:p>
      </xdr:txBody>
    </xdr:sp>
    <xdr:clientData/>
  </xdr:twoCellAnchor>
  <xdr:twoCellAnchor>
    <xdr:from>
      <xdr:col>3</xdr:col>
      <xdr:colOff>288349</xdr:colOff>
      <xdr:row>76</xdr:row>
      <xdr:rowOff>33771</xdr:rowOff>
    </xdr:from>
    <xdr:to>
      <xdr:col>3</xdr:col>
      <xdr:colOff>1250373</xdr:colOff>
      <xdr:row>77</xdr:row>
      <xdr:rowOff>90921</xdr:rowOff>
    </xdr:to>
    <xdr:sp macro="" textlink="">
      <xdr:nvSpPr>
        <xdr:cNvPr id="16" name="Textfeld 15">
          <a:extLst>
            <a:ext uri="{FF2B5EF4-FFF2-40B4-BE49-F238E27FC236}">
              <a16:creationId xmlns:a16="http://schemas.microsoft.com/office/drawing/2014/main" id="{00000000-0008-0000-1F00-000010000000}"/>
            </a:ext>
          </a:extLst>
        </xdr:cNvPr>
        <xdr:cNvSpPr txBox="1"/>
      </xdr:nvSpPr>
      <xdr:spPr>
        <a:xfrm>
          <a:off x="4536499" y="13721196"/>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Wasserdruck</a:t>
          </a:r>
        </a:p>
      </xdr:txBody>
    </xdr:sp>
    <xdr:clientData/>
  </xdr:twoCellAnchor>
  <xdr:twoCellAnchor>
    <xdr:from>
      <xdr:col>1</xdr:col>
      <xdr:colOff>2032289</xdr:colOff>
      <xdr:row>74</xdr:row>
      <xdr:rowOff>35503</xdr:rowOff>
    </xdr:from>
    <xdr:to>
      <xdr:col>2</xdr:col>
      <xdr:colOff>932583</xdr:colOff>
      <xdr:row>75</xdr:row>
      <xdr:rowOff>92653</xdr:rowOff>
    </xdr:to>
    <xdr:sp macro="" textlink="">
      <xdr:nvSpPr>
        <xdr:cNvPr id="17" name="Textfeld 16">
          <a:extLst>
            <a:ext uri="{FF2B5EF4-FFF2-40B4-BE49-F238E27FC236}">
              <a16:creationId xmlns:a16="http://schemas.microsoft.com/office/drawing/2014/main" id="{00000000-0008-0000-1F00-000011000000}"/>
            </a:ext>
          </a:extLst>
        </xdr:cNvPr>
        <xdr:cNvSpPr txBox="1"/>
      </xdr:nvSpPr>
      <xdr:spPr>
        <a:xfrm>
          <a:off x="2318039" y="13360978"/>
          <a:ext cx="148156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Volleinstau</a:t>
          </a:r>
        </a:p>
      </xdr:txBody>
    </xdr:sp>
    <xdr:clientData/>
  </xdr:twoCellAnchor>
  <xdr:twoCellAnchor>
    <xdr:from>
      <xdr:col>2</xdr:col>
      <xdr:colOff>1130011</xdr:colOff>
      <xdr:row>74</xdr:row>
      <xdr:rowOff>46760</xdr:rowOff>
    </xdr:from>
    <xdr:to>
      <xdr:col>3</xdr:col>
      <xdr:colOff>1229589</xdr:colOff>
      <xdr:row>75</xdr:row>
      <xdr:rowOff>103910</xdr:rowOff>
    </xdr:to>
    <xdr:sp macro="" textlink="">
      <xdr:nvSpPr>
        <xdr:cNvPr id="18" name="Textfeld 17">
          <a:extLst>
            <a:ext uri="{FF2B5EF4-FFF2-40B4-BE49-F238E27FC236}">
              <a16:creationId xmlns:a16="http://schemas.microsoft.com/office/drawing/2014/main" id="{00000000-0008-0000-1F00-000012000000}"/>
            </a:ext>
          </a:extLst>
        </xdr:cNvPr>
        <xdr:cNvSpPr txBox="1"/>
      </xdr:nvSpPr>
      <xdr:spPr>
        <a:xfrm>
          <a:off x="3997036" y="13372235"/>
          <a:ext cx="1480703"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BHW</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138112</xdr:colOff>
      <xdr:row>76</xdr:row>
      <xdr:rowOff>95249</xdr:rowOff>
    </xdr:from>
    <xdr:to>
      <xdr:col>6</xdr:col>
      <xdr:colOff>600075</xdr:colOff>
      <xdr:row>100</xdr:row>
      <xdr:rowOff>47624</xdr:rowOff>
    </xdr:to>
    <xdr:graphicFrame macro="">
      <xdr:nvGraphicFramePr>
        <xdr:cNvPr id="2" name="Diagramm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2009776</xdr:colOff>
      <xdr:row>76</xdr:row>
      <xdr:rowOff>0</xdr:rowOff>
    </xdr:from>
    <xdr:to>
      <xdr:col>1</xdr:col>
      <xdr:colOff>2486026</xdr:colOff>
      <xdr:row>77</xdr:row>
      <xdr:rowOff>57150</xdr:rowOff>
    </xdr:to>
    <xdr:sp macro="" textlink="">
      <xdr:nvSpPr>
        <xdr:cNvPr id="3" name="Textfeld 2">
          <a:extLst>
            <a:ext uri="{FF2B5EF4-FFF2-40B4-BE49-F238E27FC236}">
              <a16:creationId xmlns:a16="http://schemas.microsoft.com/office/drawing/2014/main" id="{00000000-0008-0000-2800-000003000000}"/>
            </a:ext>
          </a:extLst>
        </xdr:cNvPr>
        <xdr:cNvSpPr txBox="1"/>
      </xdr:nvSpPr>
      <xdr:spPr>
        <a:xfrm>
          <a:off x="2295526" y="13687425"/>
          <a:ext cx="4762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Stoß</a:t>
          </a:r>
        </a:p>
      </xdr:txBody>
    </xdr:sp>
    <xdr:clientData/>
  </xdr:twoCellAnchor>
  <xdr:twoCellAnchor>
    <xdr:from>
      <xdr:col>1</xdr:col>
      <xdr:colOff>2549237</xdr:colOff>
      <xdr:row>76</xdr:row>
      <xdr:rowOff>9525</xdr:rowOff>
    </xdr:from>
    <xdr:to>
      <xdr:col>2</xdr:col>
      <xdr:colOff>929986</xdr:colOff>
      <xdr:row>77</xdr:row>
      <xdr:rowOff>66675</xdr:rowOff>
    </xdr:to>
    <xdr:sp macro="" textlink="">
      <xdr:nvSpPr>
        <xdr:cNvPr id="4" name="Textfeld 3">
          <a:extLst>
            <a:ext uri="{FF2B5EF4-FFF2-40B4-BE49-F238E27FC236}">
              <a16:creationId xmlns:a16="http://schemas.microsoft.com/office/drawing/2014/main" id="{00000000-0008-0000-2800-000004000000}"/>
            </a:ext>
          </a:extLst>
        </xdr:cNvPr>
        <xdr:cNvSpPr txBox="1"/>
      </xdr:nvSpPr>
      <xdr:spPr>
        <a:xfrm>
          <a:off x="2834987" y="13696950"/>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Wasserdruck</a:t>
          </a:r>
        </a:p>
      </xdr:txBody>
    </xdr:sp>
    <xdr:clientData/>
  </xdr:twoCellAnchor>
  <xdr:twoCellAnchor>
    <xdr:from>
      <xdr:col>2</xdr:col>
      <xdr:colOff>1129146</xdr:colOff>
      <xdr:row>76</xdr:row>
      <xdr:rowOff>24246</xdr:rowOff>
    </xdr:from>
    <xdr:to>
      <xdr:col>3</xdr:col>
      <xdr:colOff>223405</xdr:colOff>
      <xdr:row>77</xdr:row>
      <xdr:rowOff>81396</xdr:rowOff>
    </xdr:to>
    <xdr:sp macro="" textlink="">
      <xdr:nvSpPr>
        <xdr:cNvPr id="5" name="Textfeld 4">
          <a:extLst>
            <a:ext uri="{FF2B5EF4-FFF2-40B4-BE49-F238E27FC236}">
              <a16:creationId xmlns:a16="http://schemas.microsoft.com/office/drawing/2014/main" id="{00000000-0008-0000-2800-000005000000}"/>
            </a:ext>
          </a:extLst>
        </xdr:cNvPr>
        <xdr:cNvSpPr txBox="1"/>
      </xdr:nvSpPr>
      <xdr:spPr>
        <a:xfrm>
          <a:off x="3996171" y="13711671"/>
          <a:ext cx="47538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Stoß</a:t>
          </a:r>
        </a:p>
      </xdr:txBody>
    </xdr:sp>
    <xdr:clientData/>
  </xdr:twoCellAnchor>
  <xdr:twoCellAnchor>
    <xdr:from>
      <xdr:col>3</xdr:col>
      <xdr:colOff>288349</xdr:colOff>
      <xdr:row>76</xdr:row>
      <xdr:rowOff>33771</xdr:rowOff>
    </xdr:from>
    <xdr:to>
      <xdr:col>3</xdr:col>
      <xdr:colOff>1250373</xdr:colOff>
      <xdr:row>77</xdr:row>
      <xdr:rowOff>90921</xdr:rowOff>
    </xdr:to>
    <xdr:sp macro="" textlink="">
      <xdr:nvSpPr>
        <xdr:cNvPr id="6" name="Textfeld 5">
          <a:extLst>
            <a:ext uri="{FF2B5EF4-FFF2-40B4-BE49-F238E27FC236}">
              <a16:creationId xmlns:a16="http://schemas.microsoft.com/office/drawing/2014/main" id="{00000000-0008-0000-2800-000006000000}"/>
            </a:ext>
          </a:extLst>
        </xdr:cNvPr>
        <xdr:cNvSpPr txBox="1"/>
      </xdr:nvSpPr>
      <xdr:spPr>
        <a:xfrm>
          <a:off x="4536499" y="13721196"/>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Wasserdruck</a:t>
          </a:r>
        </a:p>
      </xdr:txBody>
    </xdr:sp>
    <xdr:clientData/>
  </xdr:twoCellAnchor>
  <xdr:twoCellAnchor>
    <xdr:from>
      <xdr:col>1</xdr:col>
      <xdr:colOff>2032289</xdr:colOff>
      <xdr:row>74</xdr:row>
      <xdr:rowOff>35503</xdr:rowOff>
    </xdr:from>
    <xdr:to>
      <xdr:col>2</xdr:col>
      <xdr:colOff>932583</xdr:colOff>
      <xdr:row>75</xdr:row>
      <xdr:rowOff>92653</xdr:rowOff>
    </xdr:to>
    <xdr:sp macro="" textlink="">
      <xdr:nvSpPr>
        <xdr:cNvPr id="7" name="Textfeld 6">
          <a:extLst>
            <a:ext uri="{FF2B5EF4-FFF2-40B4-BE49-F238E27FC236}">
              <a16:creationId xmlns:a16="http://schemas.microsoft.com/office/drawing/2014/main" id="{00000000-0008-0000-2800-000007000000}"/>
            </a:ext>
          </a:extLst>
        </xdr:cNvPr>
        <xdr:cNvSpPr txBox="1"/>
      </xdr:nvSpPr>
      <xdr:spPr>
        <a:xfrm>
          <a:off x="2318039" y="13360978"/>
          <a:ext cx="148156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Volleinstau</a:t>
          </a:r>
        </a:p>
      </xdr:txBody>
    </xdr:sp>
    <xdr:clientData/>
  </xdr:twoCellAnchor>
  <xdr:twoCellAnchor>
    <xdr:from>
      <xdr:col>2</xdr:col>
      <xdr:colOff>1130011</xdr:colOff>
      <xdr:row>74</xdr:row>
      <xdr:rowOff>46760</xdr:rowOff>
    </xdr:from>
    <xdr:to>
      <xdr:col>3</xdr:col>
      <xdr:colOff>1229589</xdr:colOff>
      <xdr:row>75</xdr:row>
      <xdr:rowOff>103910</xdr:rowOff>
    </xdr:to>
    <xdr:sp macro="" textlink="">
      <xdr:nvSpPr>
        <xdr:cNvPr id="8" name="Textfeld 7">
          <a:extLst>
            <a:ext uri="{FF2B5EF4-FFF2-40B4-BE49-F238E27FC236}">
              <a16:creationId xmlns:a16="http://schemas.microsoft.com/office/drawing/2014/main" id="{00000000-0008-0000-2800-000008000000}"/>
            </a:ext>
          </a:extLst>
        </xdr:cNvPr>
        <xdr:cNvSpPr txBox="1"/>
      </xdr:nvSpPr>
      <xdr:spPr>
        <a:xfrm>
          <a:off x="3997036" y="13372235"/>
          <a:ext cx="1480703"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BHW</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138112</xdr:colOff>
      <xdr:row>76</xdr:row>
      <xdr:rowOff>95249</xdr:rowOff>
    </xdr:from>
    <xdr:to>
      <xdr:col>6</xdr:col>
      <xdr:colOff>600075</xdr:colOff>
      <xdr:row>100</xdr:row>
      <xdr:rowOff>47624</xdr:rowOff>
    </xdr:to>
    <xdr:graphicFrame macro="">
      <xdr:nvGraphicFramePr>
        <xdr:cNvPr id="2" name="Diagramm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2009776</xdr:colOff>
      <xdr:row>76</xdr:row>
      <xdr:rowOff>0</xdr:rowOff>
    </xdr:from>
    <xdr:to>
      <xdr:col>1</xdr:col>
      <xdr:colOff>2486026</xdr:colOff>
      <xdr:row>77</xdr:row>
      <xdr:rowOff>57150</xdr:rowOff>
    </xdr:to>
    <xdr:sp macro="" textlink="">
      <xdr:nvSpPr>
        <xdr:cNvPr id="3" name="Textfeld 2">
          <a:extLst>
            <a:ext uri="{FF2B5EF4-FFF2-40B4-BE49-F238E27FC236}">
              <a16:creationId xmlns:a16="http://schemas.microsoft.com/office/drawing/2014/main" id="{00000000-0008-0000-3100-000003000000}"/>
            </a:ext>
          </a:extLst>
        </xdr:cNvPr>
        <xdr:cNvSpPr txBox="1"/>
      </xdr:nvSpPr>
      <xdr:spPr>
        <a:xfrm>
          <a:off x="2295526" y="13687425"/>
          <a:ext cx="4762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Stoß</a:t>
          </a:r>
        </a:p>
      </xdr:txBody>
    </xdr:sp>
    <xdr:clientData/>
  </xdr:twoCellAnchor>
  <xdr:twoCellAnchor>
    <xdr:from>
      <xdr:col>1</xdr:col>
      <xdr:colOff>2549237</xdr:colOff>
      <xdr:row>76</xdr:row>
      <xdr:rowOff>9525</xdr:rowOff>
    </xdr:from>
    <xdr:to>
      <xdr:col>2</xdr:col>
      <xdr:colOff>929986</xdr:colOff>
      <xdr:row>77</xdr:row>
      <xdr:rowOff>66675</xdr:rowOff>
    </xdr:to>
    <xdr:sp macro="" textlink="">
      <xdr:nvSpPr>
        <xdr:cNvPr id="4" name="Textfeld 3">
          <a:extLst>
            <a:ext uri="{FF2B5EF4-FFF2-40B4-BE49-F238E27FC236}">
              <a16:creationId xmlns:a16="http://schemas.microsoft.com/office/drawing/2014/main" id="{00000000-0008-0000-3100-000004000000}"/>
            </a:ext>
          </a:extLst>
        </xdr:cNvPr>
        <xdr:cNvSpPr txBox="1"/>
      </xdr:nvSpPr>
      <xdr:spPr>
        <a:xfrm>
          <a:off x="2834987" y="13696950"/>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Wasserdruck</a:t>
          </a:r>
        </a:p>
      </xdr:txBody>
    </xdr:sp>
    <xdr:clientData/>
  </xdr:twoCellAnchor>
  <xdr:twoCellAnchor>
    <xdr:from>
      <xdr:col>2</xdr:col>
      <xdr:colOff>1129146</xdr:colOff>
      <xdr:row>76</xdr:row>
      <xdr:rowOff>24246</xdr:rowOff>
    </xdr:from>
    <xdr:to>
      <xdr:col>3</xdr:col>
      <xdr:colOff>223405</xdr:colOff>
      <xdr:row>77</xdr:row>
      <xdr:rowOff>81396</xdr:rowOff>
    </xdr:to>
    <xdr:sp macro="" textlink="">
      <xdr:nvSpPr>
        <xdr:cNvPr id="5" name="Textfeld 4">
          <a:extLst>
            <a:ext uri="{FF2B5EF4-FFF2-40B4-BE49-F238E27FC236}">
              <a16:creationId xmlns:a16="http://schemas.microsoft.com/office/drawing/2014/main" id="{00000000-0008-0000-3100-000005000000}"/>
            </a:ext>
          </a:extLst>
        </xdr:cNvPr>
        <xdr:cNvSpPr txBox="1"/>
      </xdr:nvSpPr>
      <xdr:spPr>
        <a:xfrm>
          <a:off x="3996171" y="13711671"/>
          <a:ext cx="47538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Stoß</a:t>
          </a:r>
        </a:p>
      </xdr:txBody>
    </xdr:sp>
    <xdr:clientData/>
  </xdr:twoCellAnchor>
  <xdr:twoCellAnchor>
    <xdr:from>
      <xdr:col>3</xdr:col>
      <xdr:colOff>288349</xdr:colOff>
      <xdr:row>76</xdr:row>
      <xdr:rowOff>33771</xdr:rowOff>
    </xdr:from>
    <xdr:to>
      <xdr:col>3</xdr:col>
      <xdr:colOff>1250373</xdr:colOff>
      <xdr:row>77</xdr:row>
      <xdr:rowOff>90921</xdr:rowOff>
    </xdr:to>
    <xdr:sp macro="" textlink="">
      <xdr:nvSpPr>
        <xdr:cNvPr id="6" name="Textfeld 5">
          <a:extLst>
            <a:ext uri="{FF2B5EF4-FFF2-40B4-BE49-F238E27FC236}">
              <a16:creationId xmlns:a16="http://schemas.microsoft.com/office/drawing/2014/main" id="{00000000-0008-0000-3100-000006000000}"/>
            </a:ext>
          </a:extLst>
        </xdr:cNvPr>
        <xdr:cNvSpPr txBox="1"/>
      </xdr:nvSpPr>
      <xdr:spPr>
        <a:xfrm>
          <a:off x="4536499" y="13721196"/>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Wasserdruck</a:t>
          </a:r>
        </a:p>
      </xdr:txBody>
    </xdr:sp>
    <xdr:clientData/>
  </xdr:twoCellAnchor>
  <xdr:twoCellAnchor>
    <xdr:from>
      <xdr:col>1</xdr:col>
      <xdr:colOff>2032289</xdr:colOff>
      <xdr:row>74</xdr:row>
      <xdr:rowOff>35503</xdr:rowOff>
    </xdr:from>
    <xdr:to>
      <xdr:col>2</xdr:col>
      <xdr:colOff>932583</xdr:colOff>
      <xdr:row>75</xdr:row>
      <xdr:rowOff>92653</xdr:rowOff>
    </xdr:to>
    <xdr:sp macro="" textlink="">
      <xdr:nvSpPr>
        <xdr:cNvPr id="7" name="Textfeld 6">
          <a:extLst>
            <a:ext uri="{FF2B5EF4-FFF2-40B4-BE49-F238E27FC236}">
              <a16:creationId xmlns:a16="http://schemas.microsoft.com/office/drawing/2014/main" id="{00000000-0008-0000-3100-000007000000}"/>
            </a:ext>
          </a:extLst>
        </xdr:cNvPr>
        <xdr:cNvSpPr txBox="1"/>
      </xdr:nvSpPr>
      <xdr:spPr>
        <a:xfrm>
          <a:off x="2318039" y="13360978"/>
          <a:ext cx="148156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Volleinstau</a:t>
          </a:r>
        </a:p>
      </xdr:txBody>
    </xdr:sp>
    <xdr:clientData/>
  </xdr:twoCellAnchor>
  <xdr:twoCellAnchor>
    <xdr:from>
      <xdr:col>2</xdr:col>
      <xdr:colOff>1130011</xdr:colOff>
      <xdr:row>74</xdr:row>
      <xdr:rowOff>46760</xdr:rowOff>
    </xdr:from>
    <xdr:to>
      <xdr:col>3</xdr:col>
      <xdr:colOff>1229589</xdr:colOff>
      <xdr:row>75</xdr:row>
      <xdr:rowOff>103910</xdr:rowOff>
    </xdr:to>
    <xdr:sp macro="" textlink="">
      <xdr:nvSpPr>
        <xdr:cNvPr id="8" name="Textfeld 7">
          <a:extLst>
            <a:ext uri="{FF2B5EF4-FFF2-40B4-BE49-F238E27FC236}">
              <a16:creationId xmlns:a16="http://schemas.microsoft.com/office/drawing/2014/main" id="{00000000-0008-0000-3100-000008000000}"/>
            </a:ext>
          </a:extLst>
        </xdr:cNvPr>
        <xdr:cNvSpPr txBox="1"/>
      </xdr:nvSpPr>
      <xdr:spPr>
        <a:xfrm>
          <a:off x="3997036" y="13372235"/>
          <a:ext cx="1480703"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BHW</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138112</xdr:colOff>
      <xdr:row>76</xdr:row>
      <xdr:rowOff>95249</xdr:rowOff>
    </xdr:from>
    <xdr:to>
      <xdr:col>6</xdr:col>
      <xdr:colOff>600075</xdr:colOff>
      <xdr:row>100</xdr:row>
      <xdr:rowOff>47624</xdr:rowOff>
    </xdr:to>
    <xdr:graphicFrame macro="">
      <xdr:nvGraphicFramePr>
        <xdr:cNvPr id="2" name="Diagramm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2009776</xdr:colOff>
      <xdr:row>76</xdr:row>
      <xdr:rowOff>0</xdr:rowOff>
    </xdr:from>
    <xdr:to>
      <xdr:col>1</xdr:col>
      <xdr:colOff>2486026</xdr:colOff>
      <xdr:row>77</xdr:row>
      <xdr:rowOff>57150</xdr:rowOff>
    </xdr:to>
    <xdr:sp macro="" textlink="">
      <xdr:nvSpPr>
        <xdr:cNvPr id="3" name="Textfeld 2">
          <a:extLst>
            <a:ext uri="{FF2B5EF4-FFF2-40B4-BE49-F238E27FC236}">
              <a16:creationId xmlns:a16="http://schemas.microsoft.com/office/drawing/2014/main" id="{00000000-0008-0000-3A00-000003000000}"/>
            </a:ext>
          </a:extLst>
        </xdr:cNvPr>
        <xdr:cNvSpPr txBox="1"/>
      </xdr:nvSpPr>
      <xdr:spPr>
        <a:xfrm>
          <a:off x="2295526" y="13687425"/>
          <a:ext cx="4762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Stoß</a:t>
          </a:r>
        </a:p>
      </xdr:txBody>
    </xdr:sp>
    <xdr:clientData/>
  </xdr:twoCellAnchor>
  <xdr:twoCellAnchor>
    <xdr:from>
      <xdr:col>1</xdr:col>
      <xdr:colOff>2549237</xdr:colOff>
      <xdr:row>76</xdr:row>
      <xdr:rowOff>9525</xdr:rowOff>
    </xdr:from>
    <xdr:to>
      <xdr:col>2</xdr:col>
      <xdr:colOff>929986</xdr:colOff>
      <xdr:row>77</xdr:row>
      <xdr:rowOff>66675</xdr:rowOff>
    </xdr:to>
    <xdr:sp macro="" textlink="">
      <xdr:nvSpPr>
        <xdr:cNvPr id="4" name="Textfeld 3">
          <a:extLst>
            <a:ext uri="{FF2B5EF4-FFF2-40B4-BE49-F238E27FC236}">
              <a16:creationId xmlns:a16="http://schemas.microsoft.com/office/drawing/2014/main" id="{00000000-0008-0000-3A00-000004000000}"/>
            </a:ext>
          </a:extLst>
        </xdr:cNvPr>
        <xdr:cNvSpPr txBox="1"/>
      </xdr:nvSpPr>
      <xdr:spPr>
        <a:xfrm>
          <a:off x="2834987" y="13696950"/>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Wasserdruck</a:t>
          </a:r>
        </a:p>
      </xdr:txBody>
    </xdr:sp>
    <xdr:clientData/>
  </xdr:twoCellAnchor>
  <xdr:twoCellAnchor>
    <xdr:from>
      <xdr:col>2</xdr:col>
      <xdr:colOff>1129146</xdr:colOff>
      <xdr:row>76</xdr:row>
      <xdr:rowOff>24246</xdr:rowOff>
    </xdr:from>
    <xdr:to>
      <xdr:col>3</xdr:col>
      <xdr:colOff>223405</xdr:colOff>
      <xdr:row>77</xdr:row>
      <xdr:rowOff>81396</xdr:rowOff>
    </xdr:to>
    <xdr:sp macro="" textlink="">
      <xdr:nvSpPr>
        <xdr:cNvPr id="5" name="Textfeld 4">
          <a:extLst>
            <a:ext uri="{FF2B5EF4-FFF2-40B4-BE49-F238E27FC236}">
              <a16:creationId xmlns:a16="http://schemas.microsoft.com/office/drawing/2014/main" id="{00000000-0008-0000-3A00-000005000000}"/>
            </a:ext>
          </a:extLst>
        </xdr:cNvPr>
        <xdr:cNvSpPr txBox="1"/>
      </xdr:nvSpPr>
      <xdr:spPr>
        <a:xfrm>
          <a:off x="3996171" y="13711671"/>
          <a:ext cx="47538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Stoß</a:t>
          </a:r>
        </a:p>
      </xdr:txBody>
    </xdr:sp>
    <xdr:clientData/>
  </xdr:twoCellAnchor>
  <xdr:twoCellAnchor>
    <xdr:from>
      <xdr:col>3</xdr:col>
      <xdr:colOff>288349</xdr:colOff>
      <xdr:row>76</xdr:row>
      <xdr:rowOff>33771</xdr:rowOff>
    </xdr:from>
    <xdr:to>
      <xdr:col>3</xdr:col>
      <xdr:colOff>1250373</xdr:colOff>
      <xdr:row>77</xdr:row>
      <xdr:rowOff>90921</xdr:rowOff>
    </xdr:to>
    <xdr:sp macro="" textlink="">
      <xdr:nvSpPr>
        <xdr:cNvPr id="6" name="Textfeld 5">
          <a:extLst>
            <a:ext uri="{FF2B5EF4-FFF2-40B4-BE49-F238E27FC236}">
              <a16:creationId xmlns:a16="http://schemas.microsoft.com/office/drawing/2014/main" id="{00000000-0008-0000-3A00-000006000000}"/>
            </a:ext>
          </a:extLst>
        </xdr:cNvPr>
        <xdr:cNvSpPr txBox="1"/>
      </xdr:nvSpPr>
      <xdr:spPr>
        <a:xfrm>
          <a:off x="4536499" y="13721196"/>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Wasserdruck</a:t>
          </a:r>
        </a:p>
      </xdr:txBody>
    </xdr:sp>
    <xdr:clientData/>
  </xdr:twoCellAnchor>
  <xdr:twoCellAnchor>
    <xdr:from>
      <xdr:col>1</xdr:col>
      <xdr:colOff>2032289</xdr:colOff>
      <xdr:row>74</xdr:row>
      <xdr:rowOff>35503</xdr:rowOff>
    </xdr:from>
    <xdr:to>
      <xdr:col>2</xdr:col>
      <xdr:colOff>932583</xdr:colOff>
      <xdr:row>75</xdr:row>
      <xdr:rowOff>92653</xdr:rowOff>
    </xdr:to>
    <xdr:sp macro="" textlink="">
      <xdr:nvSpPr>
        <xdr:cNvPr id="7" name="Textfeld 6">
          <a:extLst>
            <a:ext uri="{FF2B5EF4-FFF2-40B4-BE49-F238E27FC236}">
              <a16:creationId xmlns:a16="http://schemas.microsoft.com/office/drawing/2014/main" id="{00000000-0008-0000-3A00-000007000000}"/>
            </a:ext>
          </a:extLst>
        </xdr:cNvPr>
        <xdr:cNvSpPr txBox="1"/>
      </xdr:nvSpPr>
      <xdr:spPr>
        <a:xfrm>
          <a:off x="2318039" y="13360978"/>
          <a:ext cx="148156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Volleinstau</a:t>
          </a:r>
        </a:p>
      </xdr:txBody>
    </xdr:sp>
    <xdr:clientData/>
  </xdr:twoCellAnchor>
  <xdr:twoCellAnchor>
    <xdr:from>
      <xdr:col>2</xdr:col>
      <xdr:colOff>1130011</xdr:colOff>
      <xdr:row>74</xdr:row>
      <xdr:rowOff>46760</xdr:rowOff>
    </xdr:from>
    <xdr:to>
      <xdr:col>3</xdr:col>
      <xdr:colOff>1229589</xdr:colOff>
      <xdr:row>75</xdr:row>
      <xdr:rowOff>103910</xdr:rowOff>
    </xdr:to>
    <xdr:sp macro="" textlink="">
      <xdr:nvSpPr>
        <xdr:cNvPr id="8" name="Textfeld 7">
          <a:extLst>
            <a:ext uri="{FF2B5EF4-FFF2-40B4-BE49-F238E27FC236}">
              <a16:creationId xmlns:a16="http://schemas.microsoft.com/office/drawing/2014/main" id="{00000000-0008-0000-3A00-000008000000}"/>
            </a:ext>
          </a:extLst>
        </xdr:cNvPr>
        <xdr:cNvSpPr txBox="1"/>
      </xdr:nvSpPr>
      <xdr:spPr>
        <a:xfrm>
          <a:off x="3997036" y="13372235"/>
          <a:ext cx="1480703"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BHW</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138112</xdr:colOff>
      <xdr:row>76</xdr:row>
      <xdr:rowOff>95249</xdr:rowOff>
    </xdr:from>
    <xdr:to>
      <xdr:col>6</xdr:col>
      <xdr:colOff>600075</xdr:colOff>
      <xdr:row>100</xdr:row>
      <xdr:rowOff>47624</xdr:rowOff>
    </xdr:to>
    <xdr:graphicFrame macro="">
      <xdr:nvGraphicFramePr>
        <xdr:cNvPr id="2" name="Diagramm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2009776</xdr:colOff>
      <xdr:row>76</xdr:row>
      <xdr:rowOff>0</xdr:rowOff>
    </xdr:from>
    <xdr:to>
      <xdr:col>1</xdr:col>
      <xdr:colOff>2486026</xdr:colOff>
      <xdr:row>77</xdr:row>
      <xdr:rowOff>57150</xdr:rowOff>
    </xdr:to>
    <xdr:sp macro="" textlink="">
      <xdr:nvSpPr>
        <xdr:cNvPr id="3" name="Textfeld 2">
          <a:extLst>
            <a:ext uri="{FF2B5EF4-FFF2-40B4-BE49-F238E27FC236}">
              <a16:creationId xmlns:a16="http://schemas.microsoft.com/office/drawing/2014/main" id="{00000000-0008-0000-4300-000003000000}"/>
            </a:ext>
          </a:extLst>
        </xdr:cNvPr>
        <xdr:cNvSpPr txBox="1"/>
      </xdr:nvSpPr>
      <xdr:spPr>
        <a:xfrm>
          <a:off x="2295526" y="13687425"/>
          <a:ext cx="4762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Stoß</a:t>
          </a:r>
        </a:p>
      </xdr:txBody>
    </xdr:sp>
    <xdr:clientData/>
  </xdr:twoCellAnchor>
  <xdr:twoCellAnchor>
    <xdr:from>
      <xdr:col>1</xdr:col>
      <xdr:colOff>2549237</xdr:colOff>
      <xdr:row>76</xdr:row>
      <xdr:rowOff>9525</xdr:rowOff>
    </xdr:from>
    <xdr:to>
      <xdr:col>2</xdr:col>
      <xdr:colOff>929986</xdr:colOff>
      <xdr:row>77</xdr:row>
      <xdr:rowOff>66675</xdr:rowOff>
    </xdr:to>
    <xdr:sp macro="" textlink="">
      <xdr:nvSpPr>
        <xdr:cNvPr id="4" name="Textfeld 3">
          <a:extLst>
            <a:ext uri="{FF2B5EF4-FFF2-40B4-BE49-F238E27FC236}">
              <a16:creationId xmlns:a16="http://schemas.microsoft.com/office/drawing/2014/main" id="{00000000-0008-0000-4300-000004000000}"/>
            </a:ext>
          </a:extLst>
        </xdr:cNvPr>
        <xdr:cNvSpPr txBox="1"/>
      </xdr:nvSpPr>
      <xdr:spPr>
        <a:xfrm>
          <a:off x="2834987" y="13696950"/>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Wasserdruck</a:t>
          </a:r>
        </a:p>
      </xdr:txBody>
    </xdr:sp>
    <xdr:clientData/>
  </xdr:twoCellAnchor>
  <xdr:twoCellAnchor>
    <xdr:from>
      <xdr:col>2</xdr:col>
      <xdr:colOff>1129146</xdr:colOff>
      <xdr:row>76</xdr:row>
      <xdr:rowOff>24246</xdr:rowOff>
    </xdr:from>
    <xdr:to>
      <xdr:col>3</xdr:col>
      <xdr:colOff>223405</xdr:colOff>
      <xdr:row>77</xdr:row>
      <xdr:rowOff>81396</xdr:rowOff>
    </xdr:to>
    <xdr:sp macro="" textlink="">
      <xdr:nvSpPr>
        <xdr:cNvPr id="5" name="Textfeld 4">
          <a:extLst>
            <a:ext uri="{FF2B5EF4-FFF2-40B4-BE49-F238E27FC236}">
              <a16:creationId xmlns:a16="http://schemas.microsoft.com/office/drawing/2014/main" id="{00000000-0008-0000-4300-000005000000}"/>
            </a:ext>
          </a:extLst>
        </xdr:cNvPr>
        <xdr:cNvSpPr txBox="1"/>
      </xdr:nvSpPr>
      <xdr:spPr>
        <a:xfrm>
          <a:off x="3996171" y="13711671"/>
          <a:ext cx="47538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Stoß</a:t>
          </a:r>
        </a:p>
      </xdr:txBody>
    </xdr:sp>
    <xdr:clientData/>
  </xdr:twoCellAnchor>
  <xdr:twoCellAnchor>
    <xdr:from>
      <xdr:col>3</xdr:col>
      <xdr:colOff>288349</xdr:colOff>
      <xdr:row>76</xdr:row>
      <xdr:rowOff>33771</xdr:rowOff>
    </xdr:from>
    <xdr:to>
      <xdr:col>3</xdr:col>
      <xdr:colOff>1250373</xdr:colOff>
      <xdr:row>77</xdr:row>
      <xdr:rowOff>90921</xdr:rowOff>
    </xdr:to>
    <xdr:sp macro="" textlink="">
      <xdr:nvSpPr>
        <xdr:cNvPr id="6" name="Textfeld 5">
          <a:extLst>
            <a:ext uri="{FF2B5EF4-FFF2-40B4-BE49-F238E27FC236}">
              <a16:creationId xmlns:a16="http://schemas.microsoft.com/office/drawing/2014/main" id="{00000000-0008-0000-4300-000006000000}"/>
            </a:ext>
          </a:extLst>
        </xdr:cNvPr>
        <xdr:cNvSpPr txBox="1"/>
      </xdr:nvSpPr>
      <xdr:spPr>
        <a:xfrm>
          <a:off x="4536499" y="13721196"/>
          <a:ext cx="962024"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a:t>Wasserdruck</a:t>
          </a:r>
        </a:p>
      </xdr:txBody>
    </xdr:sp>
    <xdr:clientData/>
  </xdr:twoCellAnchor>
  <xdr:twoCellAnchor>
    <xdr:from>
      <xdr:col>1</xdr:col>
      <xdr:colOff>2032289</xdr:colOff>
      <xdr:row>74</xdr:row>
      <xdr:rowOff>35503</xdr:rowOff>
    </xdr:from>
    <xdr:to>
      <xdr:col>2</xdr:col>
      <xdr:colOff>932583</xdr:colOff>
      <xdr:row>75</xdr:row>
      <xdr:rowOff>92653</xdr:rowOff>
    </xdr:to>
    <xdr:sp macro="" textlink="">
      <xdr:nvSpPr>
        <xdr:cNvPr id="7" name="Textfeld 6">
          <a:extLst>
            <a:ext uri="{FF2B5EF4-FFF2-40B4-BE49-F238E27FC236}">
              <a16:creationId xmlns:a16="http://schemas.microsoft.com/office/drawing/2014/main" id="{00000000-0008-0000-4300-000007000000}"/>
            </a:ext>
          </a:extLst>
        </xdr:cNvPr>
        <xdr:cNvSpPr txBox="1"/>
      </xdr:nvSpPr>
      <xdr:spPr>
        <a:xfrm>
          <a:off x="2318039" y="13360978"/>
          <a:ext cx="148156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Volleinstau</a:t>
          </a:r>
        </a:p>
      </xdr:txBody>
    </xdr:sp>
    <xdr:clientData/>
  </xdr:twoCellAnchor>
  <xdr:twoCellAnchor>
    <xdr:from>
      <xdr:col>2</xdr:col>
      <xdr:colOff>1130011</xdr:colOff>
      <xdr:row>74</xdr:row>
      <xdr:rowOff>46760</xdr:rowOff>
    </xdr:from>
    <xdr:to>
      <xdr:col>3</xdr:col>
      <xdr:colOff>1229589</xdr:colOff>
      <xdr:row>75</xdr:row>
      <xdr:rowOff>103910</xdr:rowOff>
    </xdr:to>
    <xdr:sp macro="" textlink="">
      <xdr:nvSpPr>
        <xdr:cNvPr id="8" name="Textfeld 7">
          <a:extLst>
            <a:ext uri="{FF2B5EF4-FFF2-40B4-BE49-F238E27FC236}">
              <a16:creationId xmlns:a16="http://schemas.microsoft.com/office/drawing/2014/main" id="{00000000-0008-0000-4300-000008000000}"/>
            </a:ext>
          </a:extLst>
        </xdr:cNvPr>
        <xdr:cNvSpPr txBox="1"/>
      </xdr:nvSpPr>
      <xdr:spPr>
        <a:xfrm>
          <a:off x="3997036" y="13372235"/>
          <a:ext cx="1480703"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AT" sz="1100"/>
            <a:t>BHW</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34</xdr:col>
      <xdr:colOff>9073</xdr:colOff>
      <xdr:row>26</xdr:row>
      <xdr:rowOff>26669</xdr:rowOff>
    </xdr:from>
    <xdr:to>
      <xdr:col>34</xdr:col>
      <xdr:colOff>396556</xdr:colOff>
      <xdr:row>26</xdr:row>
      <xdr:rowOff>169545</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2707" b="2707"/>
        <a:stretch/>
      </xdr:blipFill>
      <xdr:spPr>
        <a:xfrm>
          <a:off x="37545193" y="4781549"/>
          <a:ext cx="387483" cy="142876"/>
        </a:xfrm>
        <a:prstGeom prst="rect">
          <a:avLst/>
        </a:prstGeom>
      </xdr:spPr>
    </xdr:pic>
    <xdr:clientData/>
  </xdr:twoCellAnchor>
  <xdr:twoCellAnchor>
    <xdr:from>
      <xdr:col>34</xdr:col>
      <xdr:colOff>28362</xdr:colOff>
      <xdr:row>27</xdr:row>
      <xdr:rowOff>29601</xdr:rowOff>
    </xdr:from>
    <xdr:to>
      <xdr:col>34</xdr:col>
      <xdr:colOff>396317</xdr:colOff>
      <xdr:row>27</xdr:row>
      <xdr:rowOff>165735</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2547" b="2547"/>
        <a:stretch/>
      </xdr:blipFill>
      <xdr:spPr>
        <a:xfrm>
          <a:off x="37564482" y="4967361"/>
          <a:ext cx="367955" cy="136134"/>
        </a:xfrm>
        <a:prstGeom prst="rect">
          <a:avLst/>
        </a:prstGeom>
      </xdr:spPr>
    </xdr:pic>
    <xdr:clientData/>
  </xdr:twoCellAnchor>
  <xdr:twoCellAnchor>
    <xdr:from>
      <xdr:col>34</xdr:col>
      <xdr:colOff>9073</xdr:colOff>
      <xdr:row>28</xdr:row>
      <xdr:rowOff>24365</xdr:rowOff>
    </xdr:from>
    <xdr:to>
      <xdr:col>34</xdr:col>
      <xdr:colOff>396556</xdr:colOff>
      <xdr:row>28</xdr:row>
      <xdr:rowOff>169545</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1944" b="1944"/>
        <a:stretch/>
      </xdr:blipFill>
      <xdr:spPr>
        <a:xfrm>
          <a:off x="37545193" y="5145005"/>
          <a:ext cx="387483" cy="145180"/>
        </a:xfrm>
        <a:prstGeom prst="rect">
          <a:avLst/>
        </a:prstGeom>
      </xdr:spPr>
    </xdr:pic>
    <xdr:clientData/>
  </xdr:twoCellAnchor>
  <xdr:twoCellAnchor>
    <xdr:from>
      <xdr:col>35</xdr:col>
      <xdr:colOff>47105</xdr:colOff>
      <xdr:row>26</xdr:row>
      <xdr:rowOff>28574</xdr:rowOff>
    </xdr:from>
    <xdr:to>
      <xdr:col>36</xdr:col>
      <xdr:colOff>248</xdr:colOff>
      <xdr:row>26</xdr:row>
      <xdr:rowOff>160020</xdr:rowOff>
    </xdr:to>
    <xdr:pic>
      <xdr:nvPicPr>
        <xdr:cNvPr id="5" name="Grafik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6490" b="6490"/>
        <a:stretch/>
      </xdr:blipFill>
      <xdr:spPr>
        <a:xfrm>
          <a:off x="38017565" y="4783454"/>
          <a:ext cx="387483" cy="131446"/>
        </a:xfrm>
        <a:prstGeom prst="rect">
          <a:avLst/>
        </a:prstGeom>
      </xdr:spPr>
    </xdr:pic>
    <xdr:clientData/>
  </xdr:twoCellAnchor>
  <xdr:twoCellAnchor>
    <xdr:from>
      <xdr:col>35</xdr:col>
      <xdr:colOff>45027</xdr:colOff>
      <xdr:row>27</xdr:row>
      <xdr:rowOff>25791</xdr:rowOff>
    </xdr:from>
    <xdr:to>
      <xdr:col>35</xdr:col>
      <xdr:colOff>412982</xdr:colOff>
      <xdr:row>27</xdr:row>
      <xdr:rowOff>163830</xdr:rowOff>
    </xdr:to>
    <xdr:pic>
      <xdr:nvPicPr>
        <xdr:cNvPr id="6" name="Grafik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1883" b="1883"/>
        <a:stretch/>
      </xdr:blipFill>
      <xdr:spPr>
        <a:xfrm>
          <a:off x="38015487" y="4963551"/>
          <a:ext cx="367955" cy="138039"/>
        </a:xfrm>
        <a:prstGeom prst="rect">
          <a:avLst/>
        </a:prstGeom>
      </xdr:spPr>
    </xdr:pic>
    <xdr:clientData/>
  </xdr:twoCellAnchor>
  <xdr:twoCellAnchor>
    <xdr:from>
      <xdr:col>35</xdr:col>
      <xdr:colOff>46693</xdr:colOff>
      <xdr:row>28</xdr:row>
      <xdr:rowOff>20555</xdr:rowOff>
    </xdr:from>
    <xdr:to>
      <xdr:col>35</xdr:col>
      <xdr:colOff>434176</xdr:colOff>
      <xdr:row>28</xdr:row>
      <xdr:rowOff>165735</xdr:rowOff>
    </xdr:to>
    <xdr:pic>
      <xdr:nvPicPr>
        <xdr:cNvPr id="7" name="Grafik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t="1944" b="1944"/>
        <a:stretch/>
      </xdr:blipFill>
      <xdr:spPr>
        <a:xfrm>
          <a:off x="38017153" y="5141195"/>
          <a:ext cx="387483" cy="145180"/>
        </a:xfrm>
        <a:prstGeom prst="rect">
          <a:avLst/>
        </a:prstGeom>
      </xdr:spPr>
    </xdr:pic>
    <xdr:clientData/>
  </xdr:twoCellAnchor>
  <xdr:oneCellAnchor>
    <xdr:from>
      <xdr:col>37</xdr:col>
      <xdr:colOff>37494</xdr:colOff>
      <xdr:row>26</xdr:row>
      <xdr:rowOff>51781</xdr:rowOff>
    </xdr:from>
    <xdr:ext cx="136208" cy="102502"/>
    <xdr:pic>
      <xdr:nvPicPr>
        <xdr:cNvPr id="8" name="Grafik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123586" y="5004781"/>
          <a:ext cx="136208" cy="102502"/>
        </a:xfrm>
        <a:prstGeom prst="rect">
          <a:avLst/>
        </a:prstGeom>
      </xdr:spPr>
    </xdr:pic>
    <xdr:clientData/>
  </xdr:oneCellAnchor>
  <xdr:oneCellAnchor>
    <xdr:from>
      <xdr:col>37</xdr:col>
      <xdr:colOff>18029</xdr:colOff>
      <xdr:row>27</xdr:row>
      <xdr:rowOff>25674</xdr:rowOff>
    </xdr:from>
    <xdr:ext cx="175138" cy="150559"/>
    <xdr:pic>
      <xdr:nvPicPr>
        <xdr:cNvPr id="9" name="Grafik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104121" y="5169174"/>
          <a:ext cx="175138" cy="150559"/>
        </a:xfrm>
        <a:prstGeom prst="rect">
          <a:avLst/>
        </a:prstGeom>
      </xdr:spPr>
    </xdr:pic>
    <xdr:clientData/>
  </xdr:oneCellAnchor>
  <xdr:twoCellAnchor editAs="oneCell">
    <xdr:from>
      <xdr:col>1</xdr:col>
      <xdr:colOff>1</xdr:colOff>
      <xdr:row>35</xdr:row>
      <xdr:rowOff>0</xdr:rowOff>
    </xdr:from>
    <xdr:to>
      <xdr:col>1</xdr:col>
      <xdr:colOff>3934061</xdr:colOff>
      <xdr:row>35</xdr:row>
      <xdr:rowOff>1904999</xdr:rowOff>
    </xdr:to>
    <xdr:pic>
      <xdr:nvPicPr>
        <xdr:cNvPr id="17" name="Grafik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925287" y="6477000"/>
          <a:ext cx="3934060" cy="1904999"/>
        </a:xfrm>
        <a:prstGeom prst="rect">
          <a:avLst/>
        </a:prstGeom>
      </xdr:spPr>
    </xdr:pic>
    <xdr:clientData/>
  </xdr:twoCellAnchor>
  <xdr:twoCellAnchor editAs="oneCell">
    <xdr:from>
      <xdr:col>1</xdr:col>
      <xdr:colOff>1380</xdr:colOff>
      <xdr:row>36</xdr:row>
      <xdr:rowOff>5863</xdr:rowOff>
    </xdr:from>
    <xdr:to>
      <xdr:col>1</xdr:col>
      <xdr:colOff>7174767</xdr:colOff>
      <xdr:row>37</xdr:row>
      <xdr:rowOff>5863</xdr:rowOff>
    </xdr:to>
    <xdr:pic>
      <xdr:nvPicPr>
        <xdr:cNvPr id="19" name="Grafik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933365" y="8270632"/>
          <a:ext cx="7173387" cy="1905000"/>
        </a:xfrm>
        <a:prstGeom prst="rect">
          <a:avLst/>
        </a:prstGeom>
      </xdr:spPr>
    </xdr:pic>
    <xdr:clientData/>
  </xdr:twoCellAnchor>
  <xdr:twoCellAnchor editAs="oneCell">
    <xdr:from>
      <xdr:col>1</xdr:col>
      <xdr:colOff>1379</xdr:colOff>
      <xdr:row>37</xdr:row>
      <xdr:rowOff>0</xdr:rowOff>
    </xdr:from>
    <xdr:to>
      <xdr:col>2</xdr:col>
      <xdr:colOff>7036</xdr:colOff>
      <xdr:row>38</xdr:row>
      <xdr:rowOff>0</xdr:rowOff>
    </xdr:to>
    <xdr:pic>
      <xdr:nvPicPr>
        <xdr:cNvPr id="21" name="Grafik 20">
          <a:extLst>
            <a:ext uri="{FF2B5EF4-FFF2-40B4-BE49-F238E27FC236}">
              <a16:creationId xmlns:a16="http://schemas.microsoft.com/office/drawing/2014/main" id="{00000000-0008-0000-0200-000015000000}"/>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926665" y="10287000"/>
          <a:ext cx="10717200" cy="1905000"/>
        </a:xfrm>
        <a:prstGeom prst="rect">
          <a:avLst/>
        </a:prstGeom>
      </xdr:spPr>
    </xdr:pic>
    <xdr:clientData/>
  </xdr:twoCellAnchor>
  <xdr:oneCellAnchor>
    <xdr:from>
      <xdr:col>1</xdr:col>
      <xdr:colOff>2</xdr:colOff>
      <xdr:row>38</xdr:row>
      <xdr:rowOff>0</xdr:rowOff>
    </xdr:from>
    <xdr:ext cx="3934057" cy="1904999"/>
    <xdr:pic>
      <xdr:nvPicPr>
        <xdr:cNvPr id="10" name="Grafik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925288" y="12192000"/>
          <a:ext cx="3934057" cy="1904999"/>
        </a:xfrm>
        <a:prstGeom prst="rect">
          <a:avLst/>
        </a:prstGeom>
      </xdr:spPr>
    </xdr:pic>
    <xdr:clientData/>
  </xdr:oneCellAnchor>
  <xdr:oneCellAnchor>
    <xdr:from>
      <xdr:col>1</xdr:col>
      <xdr:colOff>1379</xdr:colOff>
      <xdr:row>39</xdr:row>
      <xdr:rowOff>1</xdr:rowOff>
    </xdr:from>
    <xdr:ext cx="7173387" cy="1905000"/>
    <xdr:pic>
      <xdr:nvPicPr>
        <xdr:cNvPr id="11" name="Grafik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926665" y="14097001"/>
          <a:ext cx="7173387" cy="1905000"/>
        </a:xfrm>
        <a:prstGeom prst="rect">
          <a:avLst/>
        </a:prstGeom>
      </xdr:spPr>
    </xdr:pic>
    <xdr:clientData/>
  </xdr:oneCellAnchor>
  <xdr:oneCellAnchor>
    <xdr:from>
      <xdr:col>1</xdr:col>
      <xdr:colOff>2</xdr:colOff>
      <xdr:row>40</xdr:row>
      <xdr:rowOff>0</xdr:rowOff>
    </xdr:from>
    <xdr:ext cx="10415471" cy="1904999"/>
    <xdr:pic>
      <xdr:nvPicPr>
        <xdr:cNvPr id="12" name="Grafik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925288" y="16002000"/>
          <a:ext cx="10415471" cy="1904999"/>
        </a:xfrm>
        <a:prstGeom prst="rect">
          <a:avLst/>
        </a:prstGeom>
      </xdr:spPr>
    </xdr:pic>
    <xdr:clientData/>
  </xdr:oneCellAnchor>
  <xdr:oneCellAnchor>
    <xdr:from>
      <xdr:col>1</xdr:col>
      <xdr:colOff>2</xdr:colOff>
      <xdr:row>41</xdr:row>
      <xdr:rowOff>0</xdr:rowOff>
    </xdr:from>
    <xdr:ext cx="3934057" cy="1904999"/>
    <xdr:pic>
      <xdr:nvPicPr>
        <xdr:cNvPr id="13" name="Grafik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925288" y="17907000"/>
          <a:ext cx="3934057" cy="1904999"/>
        </a:xfrm>
        <a:prstGeom prst="rect">
          <a:avLst/>
        </a:prstGeom>
      </xdr:spPr>
    </xdr:pic>
    <xdr:clientData/>
  </xdr:oneCellAnchor>
  <xdr:oneCellAnchor>
    <xdr:from>
      <xdr:col>1</xdr:col>
      <xdr:colOff>1379</xdr:colOff>
      <xdr:row>42</xdr:row>
      <xdr:rowOff>1</xdr:rowOff>
    </xdr:from>
    <xdr:ext cx="7173387" cy="1905000"/>
    <xdr:pic>
      <xdr:nvPicPr>
        <xdr:cNvPr id="14" name="Grafik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926665" y="19812001"/>
          <a:ext cx="7173387" cy="1905000"/>
        </a:xfrm>
        <a:prstGeom prst="rect">
          <a:avLst/>
        </a:prstGeom>
      </xdr:spPr>
    </xdr:pic>
    <xdr:clientData/>
  </xdr:oneCellAnchor>
  <xdr:oneCellAnchor>
    <xdr:from>
      <xdr:col>1</xdr:col>
      <xdr:colOff>2</xdr:colOff>
      <xdr:row>43</xdr:row>
      <xdr:rowOff>0</xdr:rowOff>
    </xdr:from>
    <xdr:ext cx="10415471" cy="1904999"/>
    <xdr:pic>
      <xdr:nvPicPr>
        <xdr:cNvPr id="15" name="Grafik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925288" y="21717000"/>
          <a:ext cx="10415471" cy="1904999"/>
        </a:xfrm>
        <a:prstGeom prst="rect">
          <a:avLst/>
        </a:prstGeom>
      </xdr:spPr>
    </xdr:pic>
    <xdr:clientData/>
  </xdr:oneCellAnchor>
  <xdr:oneCellAnchor>
    <xdr:from>
      <xdr:col>1</xdr:col>
      <xdr:colOff>2</xdr:colOff>
      <xdr:row>44</xdr:row>
      <xdr:rowOff>0</xdr:rowOff>
    </xdr:from>
    <xdr:ext cx="3934057" cy="1904999"/>
    <xdr:pic>
      <xdr:nvPicPr>
        <xdr:cNvPr id="16" name="Grafik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925288" y="23622000"/>
          <a:ext cx="3934057" cy="1904999"/>
        </a:xfrm>
        <a:prstGeom prst="rect">
          <a:avLst/>
        </a:prstGeom>
      </xdr:spPr>
    </xdr:pic>
    <xdr:clientData/>
  </xdr:oneCellAnchor>
  <xdr:oneCellAnchor>
    <xdr:from>
      <xdr:col>1</xdr:col>
      <xdr:colOff>1379</xdr:colOff>
      <xdr:row>45</xdr:row>
      <xdr:rowOff>1</xdr:rowOff>
    </xdr:from>
    <xdr:ext cx="7173387" cy="1905000"/>
    <xdr:pic>
      <xdr:nvPicPr>
        <xdr:cNvPr id="18" name="Grafik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926665" y="25527001"/>
          <a:ext cx="7173387" cy="1905000"/>
        </a:xfrm>
        <a:prstGeom prst="rect">
          <a:avLst/>
        </a:prstGeom>
      </xdr:spPr>
    </xdr:pic>
    <xdr:clientData/>
  </xdr:oneCellAnchor>
  <xdr:oneCellAnchor>
    <xdr:from>
      <xdr:col>1</xdr:col>
      <xdr:colOff>2</xdr:colOff>
      <xdr:row>46</xdr:row>
      <xdr:rowOff>0</xdr:rowOff>
    </xdr:from>
    <xdr:ext cx="10415471" cy="1904999"/>
    <xdr:pic>
      <xdr:nvPicPr>
        <xdr:cNvPr id="20" name="Grafik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925288" y="27432000"/>
          <a:ext cx="10415471" cy="1904999"/>
        </a:xfrm>
        <a:prstGeom prst="rect">
          <a:avLst/>
        </a:prstGeom>
      </xdr:spPr>
    </xdr:pic>
    <xdr:clientData/>
  </xdr:oneCellAnchor>
  <xdr:oneCellAnchor>
    <xdr:from>
      <xdr:col>1</xdr:col>
      <xdr:colOff>2</xdr:colOff>
      <xdr:row>47</xdr:row>
      <xdr:rowOff>0</xdr:rowOff>
    </xdr:from>
    <xdr:ext cx="3934057" cy="1904999"/>
    <xdr:pic>
      <xdr:nvPicPr>
        <xdr:cNvPr id="22" name="Grafik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925288" y="29337000"/>
          <a:ext cx="3934057" cy="1904999"/>
        </a:xfrm>
        <a:prstGeom prst="rect">
          <a:avLst/>
        </a:prstGeom>
      </xdr:spPr>
    </xdr:pic>
    <xdr:clientData/>
  </xdr:oneCellAnchor>
  <xdr:oneCellAnchor>
    <xdr:from>
      <xdr:col>1</xdr:col>
      <xdr:colOff>1</xdr:colOff>
      <xdr:row>48</xdr:row>
      <xdr:rowOff>1</xdr:rowOff>
    </xdr:from>
    <xdr:ext cx="7176144" cy="1904999"/>
    <xdr:pic>
      <xdr:nvPicPr>
        <xdr:cNvPr id="23" name="Grafik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925287" y="31242001"/>
          <a:ext cx="7176144" cy="1904999"/>
        </a:xfrm>
        <a:prstGeom prst="rect">
          <a:avLst/>
        </a:prstGeom>
      </xdr:spPr>
    </xdr:pic>
    <xdr:clientData/>
  </xdr:oneCellAnchor>
  <xdr:oneCellAnchor>
    <xdr:from>
      <xdr:col>1</xdr:col>
      <xdr:colOff>2</xdr:colOff>
      <xdr:row>49</xdr:row>
      <xdr:rowOff>0</xdr:rowOff>
    </xdr:from>
    <xdr:ext cx="10415471" cy="1904999"/>
    <xdr:pic>
      <xdr:nvPicPr>
        <xdr:cNvPr id="24" name="Grafik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a:off x="925288" y="33147000"/>
          <a:ext cx="10415471" cy="1904999"/>
        </a:xfrm>
        <a:prstGeom prst="rect">
          <a:avLst/>
        </a:prstGeom>
      </xdr:spPr>
    </xdr:pic>
    <xdr:clientData/>
  </xdr:oneCellAnchor>
  <xdr:oneCellAnchor>
    <xdr:from>
      <xdr:col>1</xdr:col>
      <xdr:colOff>2</xdr:colOff>
      <xdr:row>50</xdr:row>
      <xdr:rowOff>0</xdr:rowOff>
    </xdr:from>
    <xdr:ext cx="3934057" cy="1904999"/>
    <xdr:pic>
      <xdr:nvPicPr>
        <xdr:cNvPr id="25" name="Grafik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xdr:blipFill>
      <xdr:spPr>
        <a:xfrm>
          <a:off x="925288" y="35052000"/>
          <a:ext cx="3934057" cy="1904999"/>
        </a:xfrm>
        <a:prstGeom prst="rect">
          <a:avLst/>
        </a:prstGeom>
      </xdr:spPr>
    </xdr:pic>
    <xdr:clientData/>
  </xdr:oneCellAnchor>
  <xdr:oneCellAnchor>
    <xdr:from>
      <xdr:col>1</xdr:col>
      <xdr:colOff>1</xdr:colOff>
      <xdr:row>51</xdr:row>
      <xdr:rowOff>1</xdr:rowOff>
    </xdr:from>
    <xdr:ext cx="7176144" cy="1904999"/>
    <xdr:pic>
      <xdr:nvPicPr>
        <xdr:cNvPr id="26" name="Grafik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xdr:blipFill>
      <xdr:spPr>
        <a:xfrm>
          <a:off x="925287" y="36957001"/>
          <a:ext cx="7176144" cy="1904999"/>
        </a:xfrm>
        <a:prstGeom prst="rect">
          <a:avLst/>
        </a:prstGeom>
      </xdr:spPr>
    </xdr:pic>
    <xdr:clientData/>
  </xdr:oneCellAnchor>
  <xdr:oneCellAnchor>
    <xdr:from>
      <xdr:col>1</xdr:col>
      <xdr:colOff>2</xdr:colOff>
      <xdr:row>52</xdr:row>
      <xdr:rowOff>0</xdr:rowOff>
    </xdr:from>
    <xdr:ext cx="10415471" cy="1904999"/>
    <xdr:pic>
      <xdr:nvPicPr>
        <xdr:cNvPr id="27" name="Grafik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xdr:blipFill>
      <xdr:spPr>
        <a:xfrm>
          <a:off x="925288" y="38862000"/>
          <a:ext cx="10415471" cy="1904999"/>
        </a:xfrm>
        <a:prstGeom prst="rect">
          <a:avLst/>
        </a:prstGeom>
      </xdr:spPr>
    </xdr:pic>
    <xdr:clientData/>
  </xdr:oneCellAnchor>
  <xdr:oneCellAnchor>
    <xdr:from>
      <xdr:col>1</xdr:col>
      <xdr:colOff>2</xdr:colOff>
      <xdr:row>53</xdr:row>
      <xdr:rowOff>0</xdr:rowOff>
    </xdr:from>
    <xdr:ext cx="3934057" cy="1904999"/>
    <xdr:pic>
      <xdr:nvPicPr>
        <xdr:cNvPr id="28" name="Grafik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xdr:blipFill>
      <xdr:spPr>
        <a:xfrm>
          <a:off x="925288" y="40767000"/>
          <a:ext cx="3934057" cy="1904999"/>
        </a:xfrm>
        <a:prstGeom prst="rect">
          <a:avLst/>
        </a:prstGeom>
      </xdr:spPr>
    </xdr:pic>
    <xdr:clientData/>
  </xdr:oneCellAnchor>
  <xdr:oneCellAnchor>
    <xdr:from>
      <xdr:col>1</xdr:col>
      <xdr:colOff>1379</xdr:colOff>
      <xdr:row>54</xdr:row>
      <xdr:rowOff>1</xdr:rowOff>
    </xdr:from>
    <xdr:ext cx="7173387" cy="1905000"/>
    <xdr:pic>
      <xdr:nvPicPr>
        <xdr:cNvPr id="29" name="Grafik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xdr:blipFill>
      <xdr:spPr>
        <a:xfrm>
          <a:off x="926665" y="42672001"/>
          <a:ext cx="7173387" cy="1905000"/>
        </a:xfrm>
        <a:prstGeom prst="rect">
          <a:avLst/>
        </a:prstGeom>
      </xdr:spPr>
    </xdr:pic>
    <xdr:clientData/>
  </xdr:oneCellAnchor>
  <xdr:oneCellAnchor>
    <xdr:from>
      <xdr:col>1</xdr:col>
      <xdr:colOff>2</xdr:colOff>
      <xdr:row>55</xdr:row>
      <xdr:rowOff>0</xdr:rowOff>
    </xdr:from>
    <xdr:ext cx="10415471" cy="1904999"/>
    <xdr:pic>
      <xdr:nvPicPr>
        <xdr:cNvPr id="30" name="Grafik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xdr:blipFill>
      <xdr:spPr>
        <a:xfrm>
          <a:off x="925288" y="44577000"/>
          <a:ext cx="10415471" cy="1904999"/>
        </a:xfrm>
        <a:prstGeom prst="rect">
          <a:avLst/>
        </a:prstGeom>
      </xdr:spPr>
    </xdr:pic>
    <xdr:clientData/>
  </xdr:oneCellAnchor>
  <xdr:oneCellAnchor>
    <xdr:from>
      <xdr:col>1</xdr:col>
      <xdr:colOff>2</xdr:colOff>
      <xdr:row>56</xdr:row>
      <xdr:rowOff>0</xdr:rowOff>
    </xdr:from>
    <xdr:ext cx="3934057" cy="1904999"/>
    <xdr:pic>
      <xdr:nvPicPr>
        <xdr:cNvPr id="31" name="Grafik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xdr:blipFill>
      <xdr:spPr>
        <a:xfrm>
          <a:off x="925288" y="46482000"/>
          <a:ext cx="3934057" cy="1904999"/>
        </a:xfrm>
        <a:prstGeom prst="rect">
          <a:avLst/>
        </a:prstGeom>
      </xdr:spPr>
    </xdr:pic>
    <xdr:clientData/>
  </xdr:oneCellAnchor>
  <xdr:oneCellAnchor>
    <xdr:from>
      <xdr:col>1</xdr:col>
      <xdr:colOff>1</xdr:colOff>
      <xdr:row>57</xdr:row>
      <xdr:rowOff>1</xdr:rowOff>
    </xdr:from>
    <xdr:ext cx="7176144" cy="1904999"/>
    <xdr:pic>
      <xdr:nvPicPr>
        <xdr:cNvPr id="32" name="Grafik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xdr:blipFill>
      <xdr:spPr>
        <a:xfrm>
          <a:off x="925287" y="48387001"/>
          <a:ext cx="7176144" cy="1904999"/>
        </a:xfrm>
        <a:prstGeom prst="rect">
          <a:avLst/>
        </a:prstGeom>
      </xdr:spPr>
    </xdr:pic>
    <xdr:clientData/>
  </xdr:oneCellAnchor>
  <xdr:oneCellAnchor>
    <xdr:from>
      <xdr:col>1</xdr:col>
      <xdr:colOff>2</xdr:colOff>
      <xdr:row>58</xdr:row>
      <xdr:rowOff>0</xdr:rowOff>
    </xdr:from>
    <xdr:ext cx="10415471" cy="1904999"/>
    <xdr:pic>
      <xdr:nvPicPr>
        <xdr:cNvPr id="33" name="Grafik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xdr:blipFill>
      <xdr:spPr>
        <a:xfrm>
          <a:off x="925288" y="50292000"/>
          <a:ext cx="10415471" cy="1904999"/>
        </a:xfrm>
        <a:prstGeom prst="rect">
          <a:avLst/>
        </a:prstGeom>
      </xdr:spPr>
    </xdr:pic>
    <xdr:clientData/>
  </xdr:oneCellAnchor>
  <xdr:oneCellAnchor>
    <xdr:from>
      <xdr:col>1</xdr:col>
      <xdr:colOff>2</xdr:colOff>
      <xdr:row>59</xdr:row>
      <xdr:rowOff>0</xdr:rowOff>
    </xdr:from>
    <xdr:ext cx="3934057" cy="1904999"/>
    <xdr:pic>
      <xdr:nvPicPr>
        <xdr:cNvPr id="34" name="Grafik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xdr:blipFill>
      <xdr:spPr>
        <a:xfrm>
          <a:off x="925288" y="52197000"/>
          <a:ext cx="3934057" cy="1904999"/>
        </a:xfrm>
        <a:prstGeom prst="rect">
          <a:avLst/>
        </a:prstGeom>
      </xdr:spPr>
    </xdr:pic>
    <xdr:clientData/>
  </xdr:oneCellAnchor>
  <xdr:oneCellAnchor>
    <xdr:from>
      <xdr:col>1</xdr:col>
      <xdr:colOff>1</xdr:colOff>
      <xdr:row>60</xdr:row>
      <xdr:rowOff>1</xdr:rowOff>
    </xdr:from>
    <xdr:ext cx="7176144" cy="1904999"/>
    <xdr:pic>
      <xdr:nvPicPr>
        <xdr:cNvPr id="35" name="Grafik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xdr:blipFill>
      <xdr:spPr>
        <a:xfrm>
          <a:off x="925287" y="54102001"/>
          <a:ext cx="7176144" cy="1904999"/>
        </a:xfrm>
        <a:prstGeom prst="rect">
          <a:avLst/>
        </a:prstGeom>
      </xdr:spPr>
    </xdr:pic>
    <xdr:clientData/>
  </xdr:oneCellAnchor>
  <xdr:oneCellAnchor>
    <xdr:from>
      <xdr:col>1</xdr:col>
      <xdr:colOff>2</xdr:colOff>
      <xdr:row>61</xdr:row>
      <xdr:rowOff>0</xdr:rowOff>
    </xdr:from>
    <xdr:ext cx="10415471" cy="1904999"/>
    <xdr:pic>
      <xdr:nvPicPr>
        <xdr:cNvPr id="36" name="Grafik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xdr:blipFill>
      <xdr:spPr>
        <a:xfrm>
          <a:off x="925288" y="56007000"/>
          <a:ext cx="10415471" cy="190499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7</xdr:col>
      <xdr:colOff>0</xdr:colOff>
      <xdr:row>7</xdr:row>
      <xdr:rowOff>11430</xdr:rowOff>
    </xdr:from>
    <xdr:ext cx="184731" cy="272577"/>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6758940" y="144018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de-DE"/>
        </a:p>
      </xdr:txBody>
    </xdr:sp>
    <xdr:clientData/>
  </xdr:oneCellAnchor>
  <xdr:twoCellAnchor editAs="oneCell">
    <xdr:from>
      <xdr:col>0</xdr:col>
      <xdr:colOff>296333</xdr:colOff>
      <xdr:row>15</xdr:row>
      <xdr:rowOff>0</xdr:rowOff>
    </xdr:from>
    <xdr:to>
      <xdr:col>6</xdr:col>
      <xdr:colOff>296333</xdr:colOff>
      <xdr:row>29</xdr:row>
      <xdr:rowOff>73233</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6333" y="3445933"/>
          <a:ext cx="5130800" cy="2748700"/>
        </a:xfrm>
        <a:prstGeom prst="rect">
          <a:avLst/>
        </a:prstGeom>
      </xdr:spPr>
    </xdr:pic>
    <xdr:clientData/>
  </xdr:twoCellAnchor>
  <xdr:oneCellAnchor>
    <xdr:from>
      <xdr:col>7</xdr:col>
      <xdr:colOff>0</xdr:colOff>
      <xdr:row>22</xdr:row>
      <xdr:rowOff>11430</xdr:rowOff>
    </xdr:from>
    <xdr:ext cx="184731" cy="272577"/>
    <xdr:sp macro="" textlink="">
      <xdr:nvSpPr>
        <xdr:cNvPr id="4" name="Textfeld 3">
          <a:extLst>
            <a:ext uri="{FF2B5EF4-FFF2-40B4-BE49-F238E27FC236}">
              <a16:creationId xmlns:a16="http://schemas.microsoft.com/office/drawing/2014/main" id="{00000000-0008-0000-0300-000004000000}"/>
            </a:ext>
          </a:extLst>
        </xdr:cNvPr>
        <xdr:cNvSpPr txBox="1"/>
      </xdr:nvSpPr>
      <xdr:spPr>
        <a:xfrm>
          <a:off x="6758940" y="485013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de-DE"/>
        </a:p>
      </xdr:txBody>
    </xdr:sp>
    <xdr:clientData/>
  </xdr:oneCellAnchor>
  <xdr:oneCellAnchor>
    <xdr:from>
      <xdr:col>7</xdr:col>
      <xdr:colOff>0</xdr:colOff>
      <xdr:row>37</xdr:row>
      <xdr:rowOff>11430</xdr:rowOff>
    </xdr:from>
    <xdr:ext cx="184731" cy="272577"/>
    <xdr:sp macro="" textlink="">
      <xdr:nvSpPr>
        <xdr:cNvPr id="5" name="Textfeld 4">
          <a:extLst>
            <a:ext uri="{FF2B5EF4-FFF2-40B4-BE49-F238E27FC236}">
              <a16:creationId xmlns:a16="http://schemas.microsoft.com/office/drawing/2014/main" id="{00000000-0008-0000-0300-000005000000}"/>
            </a:ext>
          </a:extLst>
        </xdr:cNvPr>
        <xdr:cNvSpPr txBox="1"/>
      </xdr:nvSpPr>
      <xdr:spPr>
        <a:xfrm>
          <a:off x="6758940" y="799338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16566</xdr:colOff>
      <xdr:row>0</xdr:row>
      <xdr:rowOff>16566</xdr:rowOff>
    </xdr:from>
    <xdr:to>
      <xdr:col>1</xdr:col>
      <xdr:colOff>254923</xdr:colOff>
      <xdr:row>3</xdr:row>
      <xdr:rowOff>10195</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66" y="16566"/>
          <a:ext cx="619357" cy="5963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5</xdr:col>
          <xdr:colOff>0</xdr:colOff>
          <xdr:row>25</xdr:row>
          <xdr:rowOff>0</xdr:rowOff>
        </xdr:to>
        <xdr:sp macro="" textlink="">
          <xdr:nvSpPr>
            <xdr:cNvPr id="5121" name="Group Box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9</xdr:col>
          <xdr:colOff>0</xdr:colOff>
          <xdr:row>25</xdr:row>
          <xdr:rowOff>0</xdr:rowOff>
        </xdr:to>
        <xdr:sp macro="" textlink="">
          <xdr:nvSpPr>
            <xdr:cNvPr id="5122" name="Group Box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28575</xdr:colOff>
          <xdr:row>22</xdr:row>
          <xdr:rowOff>19050</xdr:rowOff>
        </xdr:from>
        <xdr:to>
          <xdr:col>3</xdr:col>
          <xdr:colOff>371475</xdr:colOff>
          <xdr:row>23</xdr:row>
          <xdr:rowOff>0</xdr:rowOff>
        </xdr:to>
        <xdr:sp macro="" textlink="">
          <xdr:nvSpPr>
            <xdr:cNvPr id="5125" name="Option Button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23</xdr:row>
          <xdr:rowOff>19050</xdr:rowOff>
        </xdr:from>
        <xdr:to>
          <xdr:col>3</xdr:col>
          <xdr:colOff>371475</xdr:colOff>
          <xdr:row>23</xdr:row>
          <xdr:rowOff>152400</xdr:rowOff>
        </xdr:to>
        <xdr:sp macro="" textlink="">
          <xdr:nvSpPr>
            <xdr:cNvPr id="5126" name="Option Button 6"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24</xdr:row>
          <xdr:rowOff>19050</xdr:rowOff>
        </xdr:from>
        <xdr:to>
          <xdr:col>3</xdr:col>
          <xdr:colOff>371475</xdr:colOff>
          <xdr:row>24</xdr:row>
          <xdr:rowOff>142875</xdr:rowOff>
        </xdr:to>
        <xdr:sp macro="" textlink="">
          <xdr:nvSpPr>
            <xdr:cNvPr id="5127" name="Option Button 7" hidden="1">
              <a:extLst>
                <a:ext uri="{63B3BB69-23CF-44E3-9099-C40C66FF867C}">
                  <a14:compatExt spid="_x0000_s5127"/>
                </a:ext>
                <a:ext uri="{FF2B5EF4-FFF2-40B4-BE49-F238E27FC236}">
                  <a16:creationId xmlns:a16="http://schemas.microsoft.com/office/drawing/2014/main" id="{00000000-0008-0000-04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22</xdr:row>
          <xdr:rowOff>28575</xdr:rowOff>
        </xdr:from>
        <xdr:to>
          <xdr:col>7</xdr:col>
          <xdr:colOff>371475</xdr:colOff>
          <xdr:row>23</xdr:row>
          <xdr:rowOff>0</xdr:rowOff>
        </xdr:to>
        <xdr:sp macro="" textlink="">
          <xdr:nvSpPr>
            <xdr:cNvPr id="5128" name="Option Button 8" hidden="1">
              <a:extLst>
                <a:ext uri="{63B3BB69-23CF-44E3-9099-C40C66FF867C}">
                  <a14:compatExt spid="_x0000_s5128"/>
                </a:ext>
                <a:ext uri="{FF2B5EF4-FFF2-40B4-BE49-F238E27FC236}">
                  <a16:creationId xmlns:a16="http://schemas.microsoft.com/office/drawing/2014/main" id="{00000000-0008-0000-04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23</xdr:row>
          <xdr:rowOff>19050</xdr:rowOff>
        </xdr:from>
        <xdr:to>
          <xdr:col>7</xdr:col>
          <xdr:colOff>371475</xdr:colOff>
          <xdr:row>23</xdr:row>
          <xdr:rowOff>152400</xdr:rowOff>
        </xdr:to>
        <xdr:sp macro="" textlink="">
          <xdr:nvSpPr>
            <xdr:cNvPr id="5129" name="Option Button 9" hidden="1">
              <a:extLst>
                <a:ext uri="{63B3BB69-23CF-44E3-9099-C40C66FF867C}">
                  <a14:compatExt spid="_x0000_s5129"/>
                </a:ext>
                <a:ext uri="{FF2B5EF4-FFF2-40B4-BE49-F238E27FC236}">
                  <a16:creationId xmlns:a16="http://schemas.microsoft.com/office/drawing/2014/main" id="{00000000-0008-0000-04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24</xdr:row>
          <xdr:rowOff>19050</xdr:rowOff>
        </xdr:from>
        <xdr:to>
          <xdr:col>7</xdr:col>
          <xdr:colOff>371475</xdr:colOff>
          <xdr:row>24</xdr:row>
          <xdr:rowOff>142875</xdr:rowOff>
        </xdr:to>
        <xdr:sp macro="" textlink="">
          <xdr:nvSpPr>
            <xdr:cNvPr id="5130" name="Option Button 10" hidden="1">
              <a:extLst>
                <a:ext uri="{63B3BB69-23CF-44E3-9099-C40C66FF867C}">
                  <a14:compatExt spid="_x0000_s5130"/>
                </a:ext>
                <a:ext uri="{FF2B5EF4-FFF2-40B4-BE49-F238E27FC236}">
                  <a16:creationId xmlns:a16="http://schemas.microsoft.com/office/drawing/2014/main" id="{00000000-0008-0000-04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0</xdr:rowOff>
        </xdr:from>
        <xdr:to>
          <xdr:col>17</xdr:col>
          <xdr:colOff>0</xdr:colOff>
          <xdr:row>5</xdr:row>
          <xdr:rowOff>0</xdr:rowOff>
        </xdr:to>
        <xdr:sp macro="" textlink="">
          <xdr:nvSpPr>
            <xdr:cNvPr id="5131" name="Group Box 11" hidden="1">
              <a:extLst>
                <a:ext uri="{63B3BB69-23CF-44E3-9099-C40C66FF867C}">
                  <a14:compatExt spid="_x0000_s5131"/>
                </a:ext>
                <a:ext uri="{FF2B5EF4-FFF2-40B4-BE49-F238E27FC236}">
                  <a16:creationId xmlns:a16="http://schemas.microsoft.com/office/drawing/2014/main" id="{00000000-0008-0000-0400-00000B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xdr:row>
          <xdr:rowOff>19050</xdr:rowOff>
        </xdr:from>
        <xdr:to>
          <xdr:col>13</xdr:col>
          <xdr:colOff>0</xdr:colOff>
          <xdr:row>4</xdr:row>
          <xdr:rowOff>152400</xdr:rowOff>
        </xdr:to>
        <xdr:sp macro="" textlink="">
          <xdr:nvSpPr>
            <xdr:cNvPr id="5132" name="Option Button 12" hidden="1">
              <a:extLst>
                <a:ext uri="{63B3BB69-23CF-44E3-9099-C40C66FF867C}">
                  <a14:compatExt spid="_x0000_s5132"/>
                </a:ext>
                <a:ext uri="{FF2B5EF4-FFF2-40B4-BE49-F238E27FC236}">
                  <a16:creationId xmlns:a16="http://schemas.microsoft.com/office/drawing/2014/main" id="{00000000-0008-0000-04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xdr:row>
          <xdr:rowOff>19050</xdr:rowOff>
        </xdr:from>
        <xdr:to>
          <xdr:col>15</xdr:col>
          <xdr:colOff>371475</xdr:colOff>
          <xdr:row>4</xdr:row>
          <xdr:rowOff>142875</xdr:rowOff>
        </xdr:to>
        <xdr:sp macro="" textlink="">
          <xdr:nvSpPr>
            <xdr:cNvPr id="5134" name="Option Button 14" hidden="1">
              <a:extLst>
                <a:ext uri="{63B3BB69-23CF-44E3-9099-C40C66FF867C}">
                  <a14:compatExt spid="_x0000_s5134"/>
                </a:ext>
                <a:ext uri="{FF2B5EF4-FFF2-40B4-BE49-F238E27FC236}">
                  <a16:creationId xmlns:a16="http://schemas.microsoft.com/office/drawing/2014/main" id="{00000000-0008-0000-04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0</xdr:colOff>
          <xdr:row>14</xdr:row>
          <xdr:rowOff>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4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0</xdr:rowOff>
        </xdr:from>
        <xdr:to>
          <xdr:col>13</xdr:col>
          <xdr:colOff>0</xdr:colOff>
          <xdr:row>14</xdr:row>
          <xdr:rowOff>180975</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4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19050</xdr:rowOff>
        </xdr:from>
        <xdr:to>
          <xdr:col>17</xdr:col>
          <xdr:colOff>0</xdr:colOff>
          <xdr:row>14</xdr:row>
          <xdr:rowOff>0</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4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14</xdr:row>
          <xdr:rowOff>0</xdr:rowOff>
        </xdr:from>
        <xdr:to>
          <xdr:col>17</xdr:col>
          <xdr:colOff>0</xdr:colOff>
          <xdr:row>14</xdr:row>
          <xdr:rowOff>180975</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4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xdr:row>
          <xdr:rowOff>19050</xdr:rowOff>
        </xdr:from>
        <xdr:to>
          <xdr:col>21</xdr:col>
          <xdr:colOff>0</xdr:colOff>
          <xdr:row>4</xdr:row>
          <xdr:rowOff>142875</xdr:rowOff>
        </xdr:to>
        <xdr:sp macro="" textlink="">
          <xdr:nvSpPr>
            <xdr:cNvPr id="5143" name="Option Button 23" hidden="1">
              <a:extLst>
                <a:ext uri="{63B3BB69-23CF-44E3-9099-C40C66FF867C}">
                  <a14:compatExt spid="_x0000_s5143"/>
                </a:ext>
                <a:ext uri="{FF2B5EF4-FFF2-40B4-BE49-F238E27FC236}">
                  <a16:creationId xmlns:a16="http://schemas.microsoft.com/office/drawing/2014/main" id="{00000000-0008-0000-04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xdr:row>
          <xdr:rowOff>190500</xdr:rowOff>
        </xdr:from>
        <xdr:to>
          <xdr:col>24</xdr:col>
          <xdr:colOff>0</xdr:colOff>
          <xdr:row>5</xdr:row>
          <xdr:rowOff>0</xdr:rowOff>
        </xdr:to>
        <xdr:sp macro="" textlink="">
          <xdr:nvSpPr>
            <xdr:cNvPr id="5144" name="Group Box 24" hidden="1">
              <a:extLst>
                <a:ext uri="{63B3BB69-23CF-44E3-9099-C40C66FF867C}">
                  <a14:compatExt spid="_x0000_s5144"/>
                </a:ext>
                <a:ext uri="{FF2B5EF4-FFF2-40B4-BE49-F238E27FC236}">
                  <a16:creationId xmlns:a16="http://schemas.microsoft.com/office/drawing/2014/main" id="{00000000-0008-0000-0400-000018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4</xdr:row>
          <xdr:rowOff>19050</xdr:rowOff>
        </xdr:from>
        <xdr:to>
          <xdr:col>24</xdr:col>
          <xdr:colOff>0</xdr:colOff>
          <xdr:row>4</xdr:row>
          <xdr:rowOff>142875</xdr:rowOff>
        </xdr:to>
        <xdr:sp macro="" textlink="">
          <xdr:nvSpPr>
            <xdr:cNvPr id="5145" name="Option Button 25" hidden="1">
              <a:extLst>
                <a:ext uri="{63B3BB69-23CF-44E3-9099-C40C66FF867C}">
                  <a14:compatExt spid="_x0000_s5145"/>
                </a:ext>
                <a:ext uri="{FF2B5EF4-FFF2-40B4-BE49-F238E27FC236}">
                  <a16:creationId xmlns:a16="http://schemas.microsoft.com/office/drawing/2014/main" id="{00000000-0008-0000-04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22</xdr:col>
          <xdr:colOff>0</xdr:colOff>
          <xdr:row>16</xdr:row>
          <xdr:rowOff>0</xdr:rowOff>
        </xdr:to>
        <xdr:sp macro="" textlink="">
          <xdr:nvSpPr>
            <xdr:cNvPr id="5146" name="Group Box 26" hidden="1">
              <a:extLst>
                <a:ext uri="{63B3BB69-23CF-44E3-9099-C40C66FF867C}">
                  <a14:compatExt spid="_x0000_s5146"/>
                </a:ext>
                <a:ext uri="{FF2B5EF4-FFF2-40B4-BE49-F238E27FC236}">
                  <a16:creationId xmlns:a16="http://schemas.microsoft.com/office/drawing/2014/main" id="{00000000-0008-0000-0400-00001A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12</xdr:row>
          <xdr:rowOff>19050</xdr:rowOff>
        </xdr:from>
        <xdr:to>
          <xdr:col>21</xdr:col>
          <xdr:colOff>123825</xdr:colOff>
          <xdr:row>13</xdr:row>
          <xdr:rowOff>0</xdr:rowOff>
        </xdr:to>
        <xdr:sp macro="" textlink="">
          <xdr:nvSpPr>
            <xdr:cNvPr id="5147" name="Option Button 27" hidden="1">
              <a:extLst>
                <a:ext uri="{63B3BB69-23CF-44E3-9099-C40C66FF867C}">
                  <a14:compatExt spid="_x0000_s5147"/>
                </a:ext>
                <a:ext uri="{FF2B5EF4-FFF2-40B4-BE49-F238E27FC236}">
                  <a16:creationId xmlns:a16="http://schemas.microsoft.com/office/drawing/2014/main" id="{00000000-0008-0000-04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14</xdr:row>
          <xdr:rowOff>19050</xdr:rowOff>
        </xdr:from>
        <xdr:to>
          <xdr:col>21</xdr:col>
          <xdr:colOff>123825</xdr:colOff>
          <xdr:row>14</xdr:row>
          <xdr:rowOff>142875</xdr:rowOff>
        </xdr:to>
        <xdr:sp macro="" textlink="">
          <xdr:nvSpPr>
            <xdr:cNvPr id="5148" name="Option Button 28" hidden="1">
              <a:extLst>
                <a:ext uri="{63B3BB69-23CF-44E3-9099-C40C66FF867C}">
                  <a14:compatExt spid="_x0000_s5148"/>
                </a:ext>
                <a:ext uri="{FF2B5EF4-FFF2-40B4-BE49-F238E27FC236}">
                  <a16:creationId xmlns:a16="http://schemas.microsoft.com/office/drawing/2014/main" id="{00000000-0008-0000-04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15</xdr:row>
          <xdr:rowOff>19050</xdr:rowOff>
        </xdr:from>
        <xdr:to>
          <xdr:col>21</xdr:col>
          <xdr:colOff>123825</xdr:colOff>
          <xdr:row>15</xdr:row>
          <xdr:rowOff>142875</xdr:rowOff>
        </xdr:to>
        <xdr:sp macro="" textlink="">
          <xdr:nvSpPr>
            <xdr:cNvPr id="5149" name="Option Button 29" hidden="1">
              <a:extLst>
                <a:ext uri="{63B3BB69-23CF-44E3-9099-C40C66FF867C}">
                  <a14:compatExt spid="_x0000_s5149"/>
                </a:ext>
                <a:ext uri="{FF2B5EF4-FFF2-40B4-BE49-F238E27FC236}">
                  <a16:creationId xmlns:a16="http://schemas.microsoft.com/office/drawing/2014/main" id="{00000000-0008-0000-04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18</xdr:row>
          <xdr:rowOff>0</xdr:rowOff>
        </xdr:from>
        <xdr:to>
          <xdr:col>24</xdr:col>
          <xdr:colOff>0</xdr:colOff>
          <xdr:row>21</xdr:row>
          <xdr:rowOff>0</xdr:rowOff>
        </xdr:to>
        <xdr:sp macro="" textlink="">
          <xdr:nvSpPr>
            <xdr:cNvPr id="5150" name="Group Box 30" hidden="1">
              <a:extLst>
                <a:ext uri="{63B3BB69-23CF-44E3-9099-C40C66FF867C}">
                  <a14:compatExt spid="_x0000_s5150"/>
                </a:ext>
                <a:ext uri="{FF2B5EF4-FFF2-40B4-BE49-F238E27FC236}">
                  <a16:creationId xmlns:a16="http://schemas.microsoft.com/office/drawing/2014/main" id="{00000000-0008-0000-0400-00001E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20</xdr:row>
          <xdr:rowOff>0</xdr:rowOff>
        </xdr:from>
        <xdr:to>
          <xdr:col>20</xdr:col>
          <xdr:colOff>0</xdr:colOff>
          <xdr:row>20</xdr:row>
          <xdr:rowOff>152400</xdr:rowOff>
        </xdr:to>
        <xdr:sp macro="" textlink="">
          <xdr:nvSpPr>
            <xdr:cNvPr id="5151" name="Option Button 31" hidden="1">
              <a:extLst>
                <a:ext uri="{63B3BB69-23CF-44E3-9099-C40C66FF867C}">
                  <a14:compatExt spid="_x0000_s5151"/>
                </a:ext>
                <a:ext uri="{FF2B5EF4-FFF2-40B4-BE49-F238E27FC236}">
                  <a16:creationId xmlns:a16="http://schemas.microsoft.com/office/drawing/2014/main" id="{00000000-0008-0000-04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19</xdr:row>
          <xdr:rowOff>0</xdr:rowOff>
        </xdr:from>
        <xdr:to>
          <xdr:col>22</xdr:col>
          <xdr:colOff>0</xdr:colOff>
          <xdr:row>19</xdr:row>
          <xdr:rowOff>152400</xdr:rowOff>
        </xdr:to>
        <xdr:sp macro="" textlink="">
          <xdr:nvSpPr>
            <xdr:cNvPr id="5152" name="Option Button 32" hidden="1">
              <a:extLst>
                <a:ext uri="{63B3BB69-23CF-44E3-9099-C40C66FF867C}">
                  <a14:compatExt spid="_x0000_s5152"/>
                </a:ext>
                <a:ext uri="{FF2B5EF4-FFF2-40B4-BE49-F238E27FC236}">
                  <a16:creationId xmlns:a16="http://schemas.microsoft.com/office/drawing/2014/main" id="{00000000-0008-0000-04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20</xdr:row>
          <xdr:rowOff>9525</xdr:rowOff>
        </xdr:from>
        <xdr:to>
          <xdr:col>22</xdr:col>
          <xdr:colOff>0</xdr:colOff>
          <xdr:row>20</xdr:row>
          <xdr:rowOff>152400</xdr:rowOff>
        </xdr:to>
        <xdr:sp macro="" textlink="">
          <xdr:nvSpPr>
            <xdr:cNvPr id="5153" name="Option Button 33" hidden="1">
              <a:extLst>
                <a:ext uri="{63B3BB69-23CF-44E3-9099-C40C66FF867C}">
                  <a14:compatExt spid="_x0000_s5153"/>
                </a:ext>
                <a:ext uri="{FF2B5EF4-FFF2-40B4-BE49-F238E27FC236}">
                  <a16:creationId xmlns:a16="http://schemas.microsoft.com/office/drawing/2014/main" id="{00000000-0008-0000-04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161925</xdr:rowOff>
        </xdr:from>
        <xdr:to>
          <xdr:col>24</xdr:col>
          <xdr:colOff>0</xdr:colOff>
          <xdr:row>20</xdr:row>
          <xdr:rowOff>152400</xdr:rowOff>
        </xdr:to>
        <xdr:sp macro="" textlink="">
          <xdr:nvSpPr>
            <xdr:cNvPr id="5154" name="Option Button 34" hidden="1">
              <a:extLst>
                <a:ext uri="{63B3BB69-23CF-44E3-9099-C40C66FF867C}">
                  <a14:compatExt spid="_x0000_s5154"/>
                </a:ext>
                <a:ext uri="{FF2B5EF4-FFF2-40B4-BE49-F238E27FC236}">
                  <a16:creationId xmlns:a16="http://schemas.microsoft.com/office/drawing/2014/main" id="{00000000-0008-0000-04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0</xdr:rowOff>
        </xdr:from>
        <xdr:to>
          <xdr:col>15</xdr:col>
          <xdr:colOff>0</xdr:colOff>
          <xdr:row>24</xdr:row>
          <xdr:rowOff>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4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24</xdr:row>
          <xdr:rowOff>0</xdr:rowOff>
        </xdr:from>
        <xdr:to>
          <xdr:col>15</xdr:col>
          <xdr:colOff>0</xdr:colOff>
          <xdr:row>25</xdr:row>
          <xdr:rowOff>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4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23</xdr:row>
          <xdr:rowOff>0</xdr:rowOff>
        </xdr:from>
        <xdr:to>
          <xdr:col>22</xdr:col>
          <xdr:colOff>0</xdr:colOff>
          <xdr:row>24</xdr:row>
          <xdr:rowOff>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4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24</xdr:row>
          <xdr:rowOff>0</xdr:rowOff>
        </xdr:from>
        <xdr:to>
          <xdr:col>22</xdr:col>
          <xdr:colOff>0</xdr:colOff>
          <xdr:row>25</xdr:row>
          <xdr:rowOff>0</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4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15</xdr:col>
          <xdr:colOff>0</xdr:colOff>
          <xdr:row>19</xdr:row>
          <xdr:rowOff>0</xdr:rowOff>
        </xdr:to>
        <xdr:sp macro="" textlink="">
          <xdr:nvSpPr>
            <xdr:cNvPr id="5164" name="Group Box 44" hidden="1">
              <a:extLst>
                <a:ext uri="{63B3BB69-23CF-44E3-9099-C40C66FF867C}">
                  <a14:compatExt spid="_x0000_s5164"/>
                </a:ext>
                <a:ext uri="{FF2B5EF4-FFF2-40B4-BE49-F238E27FC236}">
                  <a16:creationId xmlns:a16="http://schemas.microsoft.com/office/drawing/2014/main" id="{00000000-0008-0000-0400-00002C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xdr:row>
          <xdr:rowOff>19050</xdr:rowOff>
        </xdr:from>
        <xdr:to>
          <xdr:col>12</xdr:col>
          <xdr:colOff>266700</xdr:colOff>
          <xdr:row>17</xdr:row>
          <xdr:rowOff>142875</xdr:rowOff>
        </xdr:to>
        <xdr:sp macro="" textlink="">
          <xdr:nvSpPr>
            <xdr:cNvPr id="5165" name="Option Button 45" hidden="1">
              <a:extLst>
                <a:ext uri="{63B3BB69-23CF-44E3-9099-C40C66FF867C}">
                  <a14:compatExt spid="_x0000_s5165"/>
                </a:ext>
                <a:ext uri="{FF2B5EF4-FFF2-40B4-BE49-F238E27FC236}">
                  <a16:creationId xmlns:a16="http://schemas.microsoft.com/office/drawing/2014/main" id="{00000000-0008-0000-04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9525</xdr:rowOff>
        </xdr:from>
        <xdr:to>
          <xdr:col>12</xdr:col>
          <xdr:colOff>266700</xdr:colOff>
          <xdr:row>18</xdr:row>
          <xdr:rowOff>133350</xdr:rowOff>
        </xdr:to>
        <xdr:sp macro="" textlink="">
          <xdr:nvSpPr>
            <xdr:cNvPr id="5167" name="Option Button 47" hidden="1">
              <a:extLst>
                <a:ext uri="{63B3BB69-23CF-44E3-9099-C40C66FF867C}">
                  <a14:compatExt spid="_x0000_s5167"/>
                </a:ext>
                <a:ext uri="{FF2B5EF4-FFF2-40B4-BE49-F238E27FC236}">
                  <a16:creationId xmlns:a16="http://schemas.microsoft.com/office/drawing/2014/main" id="{00000000-0008-0000-04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27</xdr:row>
          <xdr:rowOff>0</xdr:rowOff>
        </xdr:from>
        <xdr:to>
          <xdr:col>15</xdr:col>
          <xdr:colOff>0</xdr:colOff>
          <xdr:row>28</xdr:row>
          <xdr:rowOff>0</xdr:rowOff>
        </xdr:to>
        <xdr:sp macro="" textlink="">
          <xdr:nvSpPr>
            <xdr:cNvPr id="5762" name="Check Box 642" hidden="1">
              <a:extLst>
                <a:ext uri="{63B3BB69-23CF-44E3-9099-C40C66FF867C}">
                  <a14:compatExt spid="_x0000_s5762"/>
                </a:ext>
                <a:ext uri="{FF2B5EF4-FFF2-40B4-BE49-F238E27FC236}">
                  <a16:creationId xmlns:a16="http://schemas.microsoft.com/office/drawing/2014/main" id="{00000000-0008-0000-0400-00008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31</xdr:row>
          <xdr:rowOff>0</xdr:rowOff>
        </xdr:from>
        <xdr:to>
          <xdr:col>15</xdr:col>
          <xdr:colOff>0</xdr:colOff>
          <xdr:row>32</xdr:row>
          <xdr:rowOff>0</xdr:rowOff>
        </xdr:to>
        <xdr:sp macro="" textlink="">
          <xdr:nvSpPr>
            <xdr:cNvPr id="5765" name="Check Box 645" hidden="1">
              <a:extLst>
                <a:ext uri="{63B3BB69-23CF-44E3-9099-C40C66FF867C}">
                  <a14:compatExt spid="_x0000_s5765"/>
                </a:ext>
                <a:ext uri="{FF2B5EF4-FFF2-40B4-BE49-F238E27FC236}">
                  <a16:creationId xmlns:a16="http://schemas.microsoft.com/office/drawing/2014/main" id="{00000000-0008-0000-0400-00008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32</xdr:row>
          <xdr:rowOff>0</xdr:rowOff>
        </xdr:from>
        <xdr:to>
          <xdr:col>15</xdr:col>
          <xdr:colOff>0</xdr:colOff>
          <xdr:row>33</xdr:row>
          <xdr:rowOff>0</xdr:rowOff>
        </xdr:to>
        <xdr:sp macro="" textlink="">
          <xdr:nvSpPr>
            <xdr:cNvPr id="5766" name="Check Box 646" hidden="1">
              <a:extLst>
                <a:ext uri="{63B3BB69-23CF-44E3-9099-C40C66FF867C}">
                  <a14:compatExt spid="_x0000_s5766"/>
                </a:ext>
                <a:ext uri="{FF2B5EF4-FFF2-40B4-BE49-F238E27FC236}">
                  <a16:creationId xmlns:a16="http://schemas.microsoft.com/office/drawing/2014/main" id="{00000000-0008-0000-0400-00008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33</xdr:row>
          <xdr:rowOff>0</xdr:rowOff>
        </xdr:from>
        <xdr:to>
          <xdr:col>15</xdr:col>
          <xdr:colOff>0</xdr:colOff>
          <xdr:row>34</xdr:row>
          <xdr:rowOff>0</xdr:rowOff>
        </xdr:to>
        <xdr:sp macro="" textlink="">
          <xdr:nvSpPr>
            <xdr:cNvPr id="5767" name="Check Box 647" hidden="1">
              <a:extLst>
                <a:ext uri="{63B3BB69-23CF-44E3-9099-C40C66FF867C}">
                  <a14:compatExt spid="_x0000_s5767"/>
                </a:ext>
                <a:ext uri="{FF2B5EF4-FFF2-40B4-BE49-F238E27FC236}">
                  <a16:creationId xmlns:a16="http://schemas.microsoft.com/office/drawing/2014/main" id="{00000000-0008-0000-0400-00008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sp macro="" textlink="">
          <xdr:nvSpPr>
            <xdr:cNvPr id="5768" name="Check Box 648" hidden="1">
              <a:extLst>
                <a:ext uri="{63B3BB69-23CF-44E3-9099-C40C66FF867C}">
                  <a14:compatExt spid="_x0000_s5768"/>
                </a:ext>
                <a:ext uri="{FF2B5EF4-FFF2-40B4-BE49-F238E27FC236}">
                  <a16:creationId xmlns:a16="http://schemas.microsoft.com/office/drawing/2014/main" id="{00000000-0008-0000-0400-00008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34</xdr:row>
          <xdr:rowOff>0</xdr:rowOff>
        </xdr:from>
        <xdr:to>
          <xdr:col>15</xdr:col>
          <xdr:colOff>0</xdr:colOff>
          <xdr:row>35</xdr:row>
          <xdr:rowOff>0</xdr:rowOff>
        </xdr:to>
        <xdr:sp macro="" textlink="">
          <xdr:nvSpPr>
            <xdr:cNvPr id="5769" name="Check Box 649" hidden="1">
              <a:extLst>
                <a:ext uri="{63B3BB69-23CF-44E3-9099-C40C66FF867C}">
                  <a14:compatExt spid="_x0000_s5769"/>
                </a:ext>
                <a:ext uri="{FF2B5EF4-FFF2-40B4-BE49-F238E27FC236}">
                  <a16:creationId xmlns:a16="http://schemas.microsoft.com/office/drawing/2014/main" id="{00000000-0008-0000-0400-00008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35</xdr:row>
          <xdr:rowOff>0</xdr:rowOff>
        </xdr:from>
        <xdr:to>
          <xdr:col>15</xdr:col>
          <xdr:colOff>0</xdr:colOff>
          <xdr:row>36</xdr:row>
          <xdr:rowOff>0</xdr:rowOff>
        </xdr:to>
        <xdr:sp macro="" textlink="">
          <xdr:nvSpPr>
            <xdr:cNvPr id="5770" name="Check Box 650" hidden="1">
              <a:extLst>
                <a:ext uri="{63B3BB69-23CF-44E3-9099-C40C66FF867C}">
                  <a14:compatExt spid="_x0000_s5770"/>
                </a:ext>
                <a:ext uri="{FF2B5EF4-FFF2-40B4-BE49-F238E27FC236}">
                  <a16:creationId xmlns:a16="http://schemas.microsoft.com/office/drawing/2014/main" id="{00000000-0008-0000-0400-00008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36</xdr:row>
          <xdr:rowOff>0</xdr:rowOff>
        </xdr:from>
        <xdr:to>
          <xdr:col>15</xdr:col>
          <xdr:colOff>0</xdr:colOff>
          <xdr:row>37</xdr:row>
          <xdr:rowOff>0</xdr:rowOff>
        </xdr:to>
        <xdr:sp macro="" textlink="">
          <xdr:nvSpPr>
            <xdr:cNvPr id="5771" name="Check Box 651" hidden="1">
              <a:extLst>
                <a:ext uri="{63B3BB69-23CF-44E3-9099-C40C66FF867C}">
                  <a14:compatExt spid="_x0000_s5771"/>
                </a:ext>
                <a:ext uri="{FF2B5EF4-FFF2-40B4-BE49-F238E27FC236}">
                  <a16:creationId xmlns:a16="http://schemas.microsoft.com/office/drawing/2014/main" id="{00000000-0008-0000-0400-00008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47624</xdr:colOff>
          <xdr:row>17</xdr:row>
          <xdr:rowOff>190499</xdr:rowOff>
        </xdr:from>
        <xdr:to>
          <xdr:col>4</xdr:col>
          <xdr:colOff>344624</xdr:colOff>
          <xdr:row>22</xdr:row>
          <xdr:rowOff>24299</xdr:rowOff>
        </xdr:to>
        <xdr:pic>
          <xdr:nvPicPr>
            <xdr:cNvPr id="3" name="Grafik 2">
              <a:extLst>
                <a:ext uri="{FF2B5EF4-FFF2-40B4-BE49-F238E27FC236}">
                  <a16:creationId xmlns:a16="http://schemas.microsoft.com/office/drawing/2014/main" id="{00000000-0008-0000-0400-000003000000}"/>
                </a:ext>
              </a:extLst>
            </xdr:cNvPr>
            <xdr:cNvPicPr>
              <a:picLocks noChangeAspect="1" noChangeArrowheads="1"/>
              <a:extLst>
                <a:ext uri="{84589F7E-364E-4C9E-8A38-B11213B215E9}">
                  <a14:cameraTool cellRange="MontageartLinks1" spid="_x0000_s389800"/>
                </a:ext>
              </a:extLst>
            </xdr:cNvPicPr>
          </xdr:nvPicPr>
          <xdr:blipFill>
            <a:blip xmlns:r="http://schemas.openxmlformats.org/officeDocument/2006/relationships" r:embed="rId2"/>
            <a:srcRect/>
            <a:stretch>
              <a:fillRect/>
            </a:stretch>
          </xdr:blipFill>
          <xdr:spPr bwMode="auto">
            <a:xfrm>
              <a:off x="428624" y="2352674"/>
              <a:ext cx="1440000" cy="67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47624</xdr:colOff>
          <xdr:row>17</xdr:row>
          <xdr:rowOff>190499</xdr:rowOff>
        </xdr:from>
        <xdr:to>
          <xdr:col>8</xdr:col>
          <xdr:colOff>344624</xdr:colOff>
          <xdr:row>22</xdr:row>
          <xdr:rowOff>24299</xdr:rowOff>
        </xdr:to>
        <xdr:pic>
          <xdr:nvPicPr>
            <xdr:cNvPr id="4" name="Grafik 3">
              <a:extLst>
                <a:ext uri="{FF2B5EF4-FFF2-40B4-BE49-F238E27FC236}">
                  <a16:creationId xmlns:a16="http://schemas.microsoft.com/office/drawing/2014/main" id="{00000000-0008-0000-0400-000004000000}"/>
                </a:ext>
              </a:extLst>
            </xdr:cNvPr>
            <xdr:cNvPicPr>
              <a:picLocks noChangeAspect="1" noChangeArrowheads="1"/>
              <a:extLst>
                <a:ext uri="{84589F7E-364E-4C9E-8A38-B11213B215E9}">
                  <a14:cameraTool cellRange="MontageartRechts1" spid="_x0000_s389801"/>
                </a:ext>
              </a:extLst>
            </xdr:cNvPicPr>
          </xdr:nvPicPr>
          <xdr:blipFill>
            <a:blip xmlns:r="http://schemas.openxmlformats.org/officeDocument/2006/relationships" r:embed="rId3"/>
            <a:srcRect/>
            <a:stretch>
              <a:fillRect/>
            </a:stretch>
          </xdr:blipFill>
          <xdr:spPr bwMode="auto">
            <a:xfrm>
              <a:off x="1952624" y="2352674"/>
              <a:ext cx="1440000" cy="672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28574</xdr:colOff>
          <xdr:row>16</xdr:row>
          <xdr:rowOff>152399</xdr:rowOff>
        </xdr:from>
        <xdr:to>
          <xdr:col>17</xdr:col>
          <xdr:colOff>8174</xdr:colOff>
          <xdr:row>21</xdr:row>
          <xdr:rowOff>84374</xdr:rowOff>
        </xdr:to>
        <xdr:pic>
          <xdr:nvPicPr>
            <xdr:cNvPr id="5" name="Grafik 4">
              <a:extLst>
                <a:ext uri="{FF2B5EF4-FFF2-40B4-BE49-F238E27FC236}">
                  <a16:creationId xmlns:a16="http://schemas.microsoft.com/office/drawing/2014/main" id="{00000000-0008-0000-0400-000005000000}"/>
                </a:ext>
              </a:extLst>
            </xdr:cNvPr>
            <xdr:cNvPicPr>
              <a:picLocks noChangeAspect="1" noChangeArrowheads="1"/>
              <a:extLst>
                <a:ext uri="{84589F7E-364E-4C9E-8A38-B11213B215E9}">
                  <a14:cameraTool cellRange="Rundprofil1" spid="_x0000_s389802"/>
                </a:ext>
              </a:extLst>
            </xdr:cNvPicPr>
          </xdr:nvPicPr>
          <xdr:blipFill>
            <a:blip xmlns:r="http://schemas.openxmlformats.org/officeDocument/2006/relationships" r:embed="rId4"/>
            <a:srcRect/>
            <a:stretch>
              <a:fillRect/>
            </a:stretch>
          </xdr:blipFill>
          <xdr:spPr bwMode="auto">
            <a:xfrm>
              <a:off x="5743574" y="2152649"/>
              <a:ext cx="741600" cy="741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xdr:row>
          <xdr:rowOff>0</xdr:rowOff>
        </xdr:from>
        <xdr:to>
          <xdr:col>17</xdr:col>
          <xdr:colOff>0</xdr:colOff>
          <xdr:row>37</xdr:row>
          <xdr:rowOff>0</xdr:rowOff>
        </xdr:to>
        <xdr:sp macro="" textlink="">
          <xdr:nvSpPr>
            <xdr:cNvPr id="297462" name="Group Box 6646" hidden="1">
              <a:extLst>
                <a:ext uri="{63B3BB69-23CF-44E3-9099-C40C66FF867C}">
                  <a14:compatExt spid="_x0000_s297462"/>
                </a:ext>
                <a:ext uri="{FF2B5EF4-FFF2-40B4-BE49-F238E27FC236}">
                  <a16:creationId xmlns:a16="http://schemas.microsoft.com/office/drawing/2014/main" id="{00000000-0008-0000-0400-0000F689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29</xdr:row>
          <xdr:rowOff>19050</xdr:rowOff>
        </xdr:from>
        <xdr:to>
          <xdr:col>14</xdr:col>
          <xdr:colOff>171450</xdr:colOff>
          <xdr:row>29</xdr:row>
          <xdr:rowOff>142875</xdr:rowOff>
        </xdr:to>
        <xdr:sp macro="" textlink="">
          <xdr:nvSpPr>
            <xdr:cNvPr id="297463" name="Option Button 6647" hidden="1">
              <a:extLst>
                <a:ext uri="{63B3BB69-23CF-44E3-9099-C40C66FF867C}">
                  <a14:compatExt spid="_x0000_s297463"/>
                </a:ext>
                <a:ext uri="{FF2B5EF4-FFF2-40B4-BE49-F238E27FC236}">
                  <a16:creationId xmlns:a16="http://schemas.microsoft.com/office/drawing/2014/main" id="{00000000-0008-0000-0400-0000F7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30</xdr:row>
          <xdr:rowOff>9525</xdr:rowOff>
        </xdr:from>
        <xdr:to>
          <xdr:col>14</xdr:col>
          <xdr:colOff>171450</xdr:colOff>
          <xdr:row>30</xdr:row>
          <xdr:rowOff>133350</xdr:rowOff>
        </xdr:to>
        <xdr:sp macro="" textlink="">
          <xdr:nvSpPr>
            <xdr:cNvPr id="297464" name="Option Button 6648" hidden="1">
              <a:extLst>
                <a:ext uri="{63B3BB69-23CF-44E3-9099-C40C66FF867C}">
                  <a14:compatExt spid="_x0000_s297464"/>
                </a:ext>
                <a:ext uri="{FF2B5EF4-FFF2-40B4-BE49-F238E27FC236}">
                  <a16:creationId xmlns:a16="http://schemas.microsoft.com/office/drawing/2014/main" id="{00000000-0008-0000-0400-0000F88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24</xdr:col>
          <xdr:colOff>0</xdr:colOff>
          <xdr:row>16</xdr:row>
          <xdr:rowOff>0</xdr:rowOff>
        </xdr:to>
        <xdr:sp macro="" textlink="">
          <xdr:nvSpPr>
            <xdr:cNvPr id="297846" name="Group Box 7030" hidden="1">
              <a:extLst>
                <a:ext uri="{63B3BB69-23CF-44E3-9099-C40C66FF867C}">
                  <a14:compatExt spid="_x0000_s297846"/>
                </a:ext>
                <a:ext uri="{FF2B5EF4-FFF2-40B4-BE49-F238E27FC236}">
                  <a16:creationId xmlns:a16="http://schemas.microsoft.com/office/drawing/2014/main" id="{00000000-0008-0000-0400-0000768B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12</xdr:row>
          <xdr:rowOff>19050</xdr:rowOff>
        </xdr:from>
        <xdr:to>
          <xdr:col>23</xdr:col>
          <xdr:colOff>123825</xdr:colOff>
          <xdr:row>13</xdr:row>
          <xdr:rowOff>0</xdr:rowOff>
        </xdr:to>
        <xdr:sp macro="" textlink="">
          <xdr:nvSpPr>
            <xdr:cNvPr id="297847" name="Option Button 7031" hidden="1">
              <a:extLst>
                <a:ext uri="{63B3BB69-23CF-44E3-9099-C40C66FF867C}">
                  <a14:compatExt spid="_x0000_s297847"/>
                </a:ext>
                <a:ext uri="{FF2B5EF4-FFF2-40B4-BE49-F238E27FC236}">
                  <a16:creationId xmlns:a16="http://schemas.microsoft.com/office/drawing/2014/main" id="{00000000-0008-0000-0400-000077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14</xdr:row>
          <xdr:rowOff>19050</xdr:rowOff>
        </xdr:from>
        <xdr:to>
          <xdr:col>23</xdr:col>
          <xdr:colOff>123825</xdr:colOff>
          <xdr:row>14</xdr:row>
          <xdr:rowOff>142875</xdr:rowOff>
        </xdr:to>
        <xdr:sp macro="" textlink="">
          <xdr:nvSpPr>
            <xdr:cNvPr id="297848" name="Option Button 7032" hidden="1">
              <a:extLst>
                <a:ext uri="{63B3BB69-23CF-44E3-9099-C40C66FF867C}">
                  <a14:compatExt spid="_x0000_s297848"/>
                </a:ext>
                <a:ext uri="{FF2B5EF4-FFF2-40B4-BE49-F238E27FC236}">
                  <a16:creationId xmlns:a16="http://schemas.microsoft.com/office/drawing/2014/main" id="{00000000-0008-0000-0400-000078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15</xdr:row>
          <xdr:rowOff>19050</xdr:rowOff>
        </xdr:from>
        <xdr:to>
          <xdr:col>23</xdr:col>
          <xdr:colOff>123825</xdr:colOff>
          <xdr:row>15</xdr:row>
          <xdr:rowOff>142875</xdr:rowOff>
        </xdr:to>
        <xdr:sp macro="" textlink="">
          <xdr:nvSpPr>
            <xdr:cNvPr id="297849" name="Option Button 7033" hidden="1">
              <a:extLst>
                <a:ext uri="{63B3BB69-23CF-44E3-9099-C40C66FF867C}">
                  <a14:compatExt spid="_x0000_s297849"/>
                </a:ext>
                <a:ext uri="{FF2B5EF4-FFF2-40B4-BE49-F238E27FC236}">
                  <a16:creationId xmlns:a16="http://schemas.microsoft.com/office/drawing/2014/main" id="{00000000-0008-0000-0400-0000798B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16566</xdr:colOff>
      <xdr:row>0</xdr:row>
      <xdr:rowOff>16566</xdr:rowOff>
    </xdr:from>
    <xdr:to>
      <xdr:col>1</xdr:col>
      <xdr:colOff>254923</xdr:colOff>
      <xdr:row>3</xdr:row>
      <xdr:rowOff>10195</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66" y="16566"/>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5</xdr:col>
          <xdr:colOff>0</xdr:colOff>
          <xdr:row>25</xdr:row>
          <xdr:rowOff>0</xdr:rowOff>
        </xdr:to>
        <xdr:sp macro="" textlink="">
          <xdr:nvSpPr>
            <xdr:cNvPr id="39937" name="Group Box 1" hidden="1">
              <a:extLst>
                <a:ext uri="{63B3BB69-23CF-44E3-9099-C40C66FF867C}">
                  <a14:compatExt spid="_x0000_s39937"/>
                </a:ext>
                <a:ext uri="{FF2B5EF4-FFF2-40B4-BE49-F238E27FC236}">
                  <a16:creationId xmlns:a16="http://schemas.microsoft.com/office/drawing/2014/main" id="{00000000-0008-0000-0500-0000019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9</xdr:col>
          <xdr:colOff>0</xdr:colOff>
          <xdr:row>25</xdr:row>
          <xdr:rowOff>0</xdr:rowOff>
        </xdr:to>
        <xdr:sp macro="" textlink="">
          <xdr:nvSpPr>
            <xdr:cNvPr id="39938" name="Group Box 2" hidden="1">
              <a:extLst>
                <a:ext uri="{63B3BB69-23CF-44E3-9099-C40C66FF867C}">
                  <a14:compatExt spid="_x0000_s39938"/>
                </a:ext>
                <a:ext uri="{FF2B5EF4-FFF2-40B4-BE49-F238E27FC236}">
                  <a16:creationId xmlns:a16="http://schemas.microsoft.com/office/drawing/2014/main" id="{00000000-0008-0000-0500-0000029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28575</xdr:colOff>
          <xdr:row>22</xdr:row>
          <xdr:rowOff>19050</xdr:rowOff>
        </xdr:from>
        <xdr:to>
          <xdr:col>3</xdr:col>
          <xdr:colOff>371475</xdr:colOff>
          <xdr:row>23</xdr:row>
          <xdr:rowOff>0</xdr:rowOff>
        </xdr:to>
        <xdr:sp macro="" textlink="">
          <xdr:nvSpPr>
            <xdr:cNvPr id="39939" name="Option Button 3" hidden="1">
              <a:extLst>
                <a:ext uri="{63B3BB69-23CF-44E3-9099-C40C66FF867C}">
                  <a14:compatExt spid="_x0000_s39939"/>
                </a:ext>
                <a:ext uri="{FF2B5EF4-FFF2-40B4-BE49-F238E27FC236}">
                  <a16:creationId xmlns:a16="http://schemas.microsoft.com/office/drawing/2014/main" id="{00000000-0008-0000-0500-00000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23</xdr:row>
          <xdr:rowOff>19050</xdr:rowOff>
        </xdr:from>
        <xdr:to>
          <xdr:col>3</xdr:col>
          <xdr:colOff>371475</xdr:colOff>
          <xdr:row>23</xdr:row>
          <xdr:rowOff>152400</xdr:rowOff>
        </xdr:to>
        <xdr:sp macro="" textlink="">
          <xdr:nvSpPr>
            <xdr:cNvPr id="39940" name="Option Button 4" hidden="1">
              <a:extLst>
                <a:ext uri="{63B3BB69-23CF-44E3-9099-C40C66FF867C}">
                  <a14:compatExt spid="_x0000_s39940"/>
                </a:ext>
                <a:ext uri="{FF2B5EF4-FFF2-40B4-BE49-F238E27FC236}">
                  <a16:creationId xmlns:a16="http://schemas.microsoft.com/office/drawing/2014/main" id="{00000000-0008-0000-0500-00000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24</xdr:row>
          <xdr:rowOff>19050</xdr:rowOff>
        </xdr:from>
        <xdr:to>
          <xdr:col>3</xdr:col>
          <xdr:colOff>371475</xdr:colOff>
          <xdr:row>24</xdr:row>
          <xdr:rowOff>142875</xdr:rowOff>
        </xdr:to>
        <xdr:sp macro="" textlink="">
          <xdr:nvSpPr>
            <xdr:cNvPr id="39941" name="Option Button 5" hidden="1">
              <a:extLst>
                <a:ext uri="{63B3BB69-23CF-44E3-9099-C40C66FF867C}">
                  <a14:compatExt spid="_x0000_s39941"/>
                </a:ext>
                <a:ext uri="{FF2B5EF4-FFF2-40B4-BE49-F238E27FC236}">
                  <a16:creationId xmlns:a16="http://schemas.microsoft.com/office/drawing/2014/main" id="{00000000-0008-0000-0500-00000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22</xdr:row>
          <xdr:rowOff>28575</xdr:rowOff>
        </xdr:from>
        <xdr:to>
          <xdr:col>7</xdr:col>
          <xdr:colOff>371475</xdr:colOff>
          <xdr:row>23</xdr:row>
          <xdr:rowOff>0</xdr:rowOff>
        </xdr:to>
        <xdr:sp macro="" textlink="">
          <xdr:nvSpPr>
            <xdr:cNvPr id="39942" name="Option Button 6" hidden="1">
              <a:extLst>
                <a:ext uri="{63B3BB69-23CF-44E3-9099-C40C66FF867C}">
                  <a14:compatExt spid="_x0000_s39942"/>
                </a:ext>
                <a:ext uri="{FF2B5EF4-FFF2-40B4-BE49-F238E27FC236}">
                  <a16:creationId xmlns:a16="http://schemas.microsoft.com/office/drawing/2014/main" id="{00000000-0008-0000-0500-00000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23</xdr:row>
          <xdr:rowOff>19050</xdr:rowOff>
        </xdr:from>
        <xdr:to>
          <xdr:col>7</xdr:col>
          <xdr:colOff>371475</xdr:colOff>
          <xdr:row>23</xdr:row>
          <xdr:rowOff>152400</xdr:rowOff>
        </xdr:to>
        <xdr:sp macro="" textlink="">
          <xdr:nvSpPr>
            <xdr:cNvPr id="39943" name="Option Button 7" hidden="1">
              <a:extLst>
                <a:ext uri="{63B3BB69-23CF-44E3-9099-C40C66FF867C}">
                  <a14:compatExt spid="_x0000_s39943"/>
                </a:ext>
                <a:ext uri="{FF2B5EF4-FFF2-40B4-BE49-F238E27FC236}">
                  <a16:creationId xmlns:a16="http://schemas.microsoft.com/office/drawing/2014/main" id="{00000000-0008-0000-0500-00000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24</xdr:row>
          <xdr:rowOff>19050</xdr:rowOff>
        </xdr:from>
        <xdr:to>
          <xdr:col>7</xdr:col>
          <xdr:colOff>371475</xdr:colOff>
          <xdr:row>24</xdr:row>
          <xdr:rowOff>142875</xdr:rowOff>
        </xdr:to>
        <xdr:sp macro="" textlink="">
          <xdr:nvSpPr>
            <xdr:cNvPr id="39944" name="Option Button 8" hidden="1">
              <a:extLst>
                <a:ext uri="{63B3BB69-23CF-44E3-9099-C40C66FF867C}">
                  <a14:compatExt spid="_x0000_s39944"/>
                </a:ext>
                <a:ext uri="{FF2B5EF4-FFF2-40B4-BE49-F238E27FC236}">
                  <a16:creationId xmlns:a16="http://schemas.microsoft.com/office/drawing/2014/main" id="{00000000-0008-0000-0500-00000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0</xdr:rowOff>
        </xdr:from>
        <xdr:to>
          <xdr:col>17</xdr:col>
          <xdr:colOff>0</xdr:colOff>
          <xdr:row>5</xdr:row>
          <xdr:rowOff>0</xdr:rowOff>
        </xdr:to>
        <xdr:sp macro="" textlink="">
          <xdr:nvSpPr>
            <xdr:cNvPr id="39945" name="Group Box 9" hidden="1">
              <a:extLst>
                <a:ext uri="{63B3BB69-23CF-44E3-9099-C40C66FF867C}">
                  <a14:compatExt spid="_x0000_s39945"/>
                </a:ext>
                <a:ext uri="{FF2B5EF4-FFF2-40B4-BE49-F238E27FC236}">
                  <a16:creationId xmlns:a16="http://schemas.microsoft.com/office/drawing/2014/main" id="{00000000-0008-0000-0500-0000099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xdr:row>
          <xdr:rowOff>19050</xdr:rowOff>
        </xdr:from>
        <xdr:to>
          <xdr:col>13</xdr:col>
          <xdr:colOff>0</xdr:colOff>
          <xdr:row>4</xdr:row>
          <xdr:rowOff>152400</xdr:rowOff>
        </xdr:to>
        <xdr:sp macro="" textlink="">
          <xdr:nvSpPr>
            <xdr:cNvPr id="39946" name="Option Button 10" hidden="1">
              <a:extLst>
                <a:ext uri="{63B3BB69-23CF-44E3-9099-C40C66FF867C}">
                  <a14:compatExt spid="_x0000_s39946"/>
                </a:ext>
                <a:ext uri="{FF2B5EF4-FFF2-40B4-BE49-F238E27FC236}">
                  <a16:creationId xmlns:a16="http://schemas.microsoft.com/office/drawing/2014/main" id="{00000000-0008-0000-0500-00000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xdr:row>
          <xdr:rowOff>19050</xdr:rowOff>
        </xdr:from>
        <xdr:to>
          <xdr:col>15</xdr:col>
          <xdr:colOff>371475</xdr:colOff>
          <xdr:row>4</xdr:row>
          <xdr:rowOff>142875</xdr:rowOff>
        </xdr:to>
        <xdr:sp macro="" textlink="">
          <xdr:nvSpPr>
            <xdr:cNvPr id="39947" name="Option Button 11" hidden="1">
              <a:extLst>
                <a:ext uri="{63B3BB69-23CF-44E3-9099-C40C66FF867C}">
                  <a14:compatExt spid="_x0000_s39947"/>
                </a:ext>
                <a:ext uri="{FF2B5EF4-FFF2-40B4-BE49-F238E27FC236}">
                  <a16:creationId xmlns:a16="http://schemas.microsoft.com/office/drawing/2014/main" id="{00000000-0008-0000-0500-00000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0</xdr:colOff>
          <xdr:row>14</xdr:row>
          <xdr:rowOff>0</xdr:rowOff>
        </xdr:to>
        <xdr:sp macro="" textlink="">
          <xdr:nvSpPr>
            <xdr:cNvPr id="39948" name="Check Box 12" hidden="1">
              <a:extLst>
                <a:ext uri="{63B3BB69-23CF-44E3-9099-C40C66FF867C}">
                  <a14:compatExt spid="_x0000_s39948"/>
                </a:ext>
                <a:ext uri="{FF2B5EF4-FFF2-40B4-BE49-F238E27FC236}">
                  <a16:creationId xmlns:a16="http://schemas.microsoft.com/office/drawing/2014/main" id="{00000000-0008-0000-0500-00000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0</xdr:rowOff>
        </xdr:from>
        <xdr:to>
          <xdr:col>13</xdr:col>
          <xdr:colOff>0</xdr:colOff>
          <xdr:row>14</xdr:row>
          <xdr:rowOff>180975</xdr:rowOff>
        </xdr:to>
        <xdr:sp macro="" textlink="">
          <xdr:nvSpPr>
            <xdr:cNvPr id="39949" name="Check Box 13" hidden="1">
              <a:extLst>
                <a:ext uri="{63B3BB69-23CF-44E3-9099-C40C66FF867C}">
                  <a14:compatExt spid="_x0000_s39949"/>
                </a:ext>
                <a:ext uri="{FF2B5EF4-FFF2-40B4-BE49-F238E27FC236}">
                  <a16:creationId xmlns:a16="http://schemas.microsoft.com/office/drawing/2014/main" id="{00000000-0008-0000-0500-00000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19050</xdr:rowOff>
        </xdr:from>
        <xdr:to>
          <xdr:col>17</xdr:col>
          <xdr:colOff>0</xdr:colOff>
          <xdr:row>14</xdr:row>
          <xdr:rowOff>0</xdr:rowOff>
        </xdr:to>
        <xdr:sp macro="" textlink="">
          <xdr:nvSpPr>
            <xdr:cNvPr id="39950" name="Check Box 14" hidden="1">
              <a:extLst>
                <a:ext uri="{63B3BB69-23CF-44E3-9099-C40C66FF867C}">
                  <a14:compatExt spid="_x0000_s39950"/>
                </a:ext>
                <a:ext uri="{FF2B5EF4-FFF2-40B4-BE49-F238E27FC236}">
                  <a16:creationId xmlns:a16="http://schemas.microsoft.com/office/drawing/2014/main" id="{00000000-0008-0000-0500-00000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14</xdr:row>
          <xdr:rowOff>0</xdr:rowOff>
        </xdr:from>
        <xdr:to>
          <xdr:col>17</xdr:col>
          <xdr:colOff>0</xdr:colOff>
          <xdr:row>14</xdr:row>
          <xdr:rowOff>180975</xdr:rowOff>
        </xdr:to>
        <xdr:sp macro="" textlink="">
          <xdr:nvSpPr>
            <xdr:cNvPr id="39951" name="Check Box 15" hidden="1">
              <a:extLst>
                <a:ext uri="{63B3BB69-23CF-44E3-9099-C40C66FF867C}">
                  <a14:compatExt spid="_x0000_s39951"/>
                </a:ext>
                <a:ext uri="{FF2B5EF4-FFF2-40B4-BE49-F238E27FC236}">
                  <a16:creationId xmlns:a16="http://schemas.microsoft.com/office/drawing/2014/main" id="{00000000-0008-0000-0500-00000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xdr:row>
          <xdr:rowOff>19050</xdr:rowOff>
        </xdr:from>
        <xdr:to>
          <xdr:col>21</xdr:col>
          <xdr:colOff>0</xdr:colOff>
          <xdr:row>4</xdr:row>
          <xdr:rowOff>142875</xdr:rowOff>
        </xdr:to>
        <xdr:sp macro="" textlink="">
          <xdr:nvSpPr>
            <xdr:cNvPr id="39952" name="Option Button 16" hidden="1">
              <a:extLst>
                <a:ext uri="{63B3BB69-23CF-44E3-9099-C40C66FF867C}">
                  <a14:compatExt spid="_x0000_s39952"/>
                </a:ext>
                <a:ext uri="{FF2B5EF4-FFF2-40B4-BE49-F238E27FC236}">
                  <a16:creationId xmlns:a16="http://schemas.microsoft.com/office/drawing/2014/main" id="{00000000-0008-0000-0500-00001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xdr:row>
          <xdr:rowOff>190500</xdr:rowOff>
        </xdr:from>
        <xdr:to>
          <xdr:col>24</xdr:col>
          <xdr:colOff>0</xdr:colOff>
          <xdr:row>5</xdr:row>
          <xdr:rowOff>0</xdr:rowOff>
        </xdr:to>
        <xdr:sp macro="" textlink="">
          <xdr:nvSpPr>
            <xdr:cNvPr id="39953" name="Group Box 17" hidden="1">
              <a:extLst>
                <a:ext uri="{63B3BB69-23CF-44E3-9099-C40C66FF867C}">
                  <a14:compatExt spid="_x0000_s39953"/>
                </a:ext>
                <a:ext uri="{FF2B5EF4-FFF2-40B4-BE49-F238E27FC236}">
                  <a16:creationId xmlns:a16="http://schemas.microsoft.com/office/drawing/2014/main" id="{00000000-0008-0000-0500-0000119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4</xdr:row>
          <xdr:rowOff>19050</xdr:rowOff>
        </xdr:from>
        <xdr:to>
          <xdr:col>24</xdr:col>
          <xdr:colOff>0</xdr:colOff>
          <xdr:row>4</xdr:row>
          <xdr:rowOff>142875</xdr:rowOff>
        </xdr:to>
        <xdr:sp macro="" textlink="">
          <xdr:nvSpPr>
            <xdr:cNvPr id="39954" name="Option Button 18" hidden="1">
              <a:extLst>
                <a:ext uri="{63B3BB69-23CF-44E3-9099-C40C66FF867C}">
                  <a14:compatExt spid="_x0000_s39954"/>
                </a:ext>
                <a:ext uri="{FF2B5EF4-FFF2-40B4-BE49-F238E27FC236}">
                  <a16:creationId xmlns:a16="http://schemas.microsoft.com/office/drawing/2014/main" id="{00000000-0008-0000-0500-00001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18</xdr:row>
          <xdr:rowOff>0</xdr:rowOff>
        </xdr:from>
        <xdr:to>
          <xdr:col>24</xdr:col>
          <xdr:colOff>0</xdr:colOff>
          <xdr:row>21</xdr:row>
          <xdr:rowOff>0</xdr:rowOff>
        </xdr:to>
        <xdr:sp macro="" textlink="">
          <xdr:nvSpPr>
            <xdr:cNvPr id="39959" name="Group Box 23" hidden="1">
              <a:extLst>
                <a:ext uri="{63B3BB69-23CF-44E3-9099-C40C66FF867C}">
                  <a14:compatExt spid="_x0000_s39959"/>
                </a:ext>
                <a:ext uri="{FF2B5EF4-FFF2-40B4-BE49-F238E27FC236}">
                  <a16:creationId xmlns:a16="http://schemas.microsoft.com/office/drawing/2014/main" id="{00000000-0008-0000-0500-0000179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20</xdr:row>
          <xdr:rowOff>0</xdr:rowOff>
        </xdr:from>
        <xdr:to>
          <xdr:col>20</xdr:col>
          <xdr:colOff>0</xdr:colOff>
          <xdr:row>20</xdr:row>
          <xdr:rowOff>152400</xdr:rowOff>
        </xdr:to>
        <xdr:sp macro="" textlink="">
          <xdr:nvSpPr>
            <xdr:cNvPr id="39960" name="Option Button 24" hidden="1">
              <a:extLst>
                <a:ext uri="{63B3BB69-23CF-44E3-9099-C40C66FF867C}">
                  <a14:compatExt spid="_x0000_s39960"/>
                </a:ext>
                <a:ext uri="{FF2B5EF4-FFF2-40B4-BE49-F238E27FC236}">
                  <a16:creationId xmlns:a16="http://schemas.microsoft.com/office/drawing/2014/main" id="{00000000-0008-0000-0500-00001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19</xdr:row>
          <xdr:rowOff>0</xdr:rowOff>
        </xdr:from>
        <xdr:to>
          <xdr:col>22</xdr:col>
          <xdr:colOff>0</xdr:colOff>
          <xdr:row>19</xdr:row>
          <xdr:rowOff>152400</xdr:rowOff>
        </xdr:to>
        <xdr:sp macro="" textlink="">
          <xdr:nvSpPr>
            <xdr:cNvPr id="39961" name="Option Button 25" hidden="1">
              <a:extLst>
                <a:ext uri="{63B3BB69-23CF-44E3-9099-C40C66FF867C}">
                  <a14:compatExt spid="_x0000_s39961"/>
                </a:ext>
                <a:ext uri="{FF2B5EF4-FFF2-40B4-BE49-F238E27FC236}">
                  <a16:creationId xmlns:a16="http://schemas.microsoft.com/office/drawing/2014/main" id="{00000000-0008-0000-0500-00001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20</xdr:row>
          <xdr:rowOff>9525</xdr:rowOff>
        </xdr:from>
        <xdr:to>
          <xdr:col>22</xdr:col>
          <xdr:colOff>0</xdr:colOff>
          <xdr:row>20</xdr:row>
          <xdr:rowOff>152400</xdr:rowOff>
        </xdr:to>
        <xdr:sp macro="" textlink="">
          <xdr:nvSpPr>
            <xdr:cNvPr id="39962" name="Option Button 26" hidden="1">
              <a:extLst>
                <a:ext uri="{63B3BB69-23CF-44E3-9099-C40C66FF867C}">
                  <a14:compatExt spid="_x0000_s39962"/>
                </a:ext>
                <a:ext uri="{FF2B5EF4-FFF2-40B4-BE49-F238E27FC236}">
                  <a16:creationId xmlns:a16="http://schemas.microsoft.com/office/drawing/2014/main" id="{00000000-0008-0000-0500-00001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161925</xdr:rowOff>
        </xdr:from>
        <xdr:to>
          <xdr:col>24</xdr:col>
          <xdr:colOff>0</xdr:colOff>
          <xdr:row>20</xdr:row>
          <xdr:rowOff>152400</xdr:rowOff>
        </xdr:to>
        <xdr:sp macro="" textlink="">
          <xdr:nvSpPr>
            <xdr:cNvPr id="39963" name="Option Button 27" hidden="1">
              <a:extLst>
                <a:ext uri="{63B3BB69-23CF-44E3-9099-C40C66FF867C}">
                  <a14:compatExt spid="_x0000_s39963"/>
                </a:ext>
                <a:ext uri="{FF2B5EF4-FFF2-40B4-BE49-F238E27FC236}">
                  <a16:creationId xmlns:a16="http://schemas.microsoft.com/office/drawing/2014/main" id="{00000000-0008-0000-0500-00001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0</xdr:rowOff>
        </xdr:from>
        <xdr:to>
          <xdr:col>15</xdr:col>
          <xdr:colOff>0</xdr:colOff>
          <xdr:row>24</xdr:row>
          <xdr:rowOff>0</xdr:rowOff>
        </xdr:to>
        <xdr:sp macro="" textlink="">
          <xdr:nvSpPr>
            <xdr:cNvPr id="39964" name="Check Box 28" hidden="1">
              <a:extLst>
                <a:ext uri="{63B3BB69-23CF-44E3-9099-C40C66FF867C}">
                  <a14:compatExt spid="_x0000_s39964"/>
                </a:ext>
                <a:ext uri="{FF2B5EF4-FFF2-40B4-BE49-F238E27FC236}">
                  <a16:creationId xmlns:a16="http://schemas.microsoft.com/office/drawing/2014/main" id="{00000000-0008-0000-0500-00001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24</xdr:row>
          <xdr:rowOff>0</xdr:rowOff>
        </xdr:from>
        <xdr:to>
          <xdr:col>15</xdr:col>
          <xdr:colOff>0</xdr:colOff>
          <xdr:row>25</xdr:row>
          <xdr:rowOff>0</xdr:rowOff>
        </xdr:to>
        <xdr:sp macro="" textlink="">
          <xdr:nvSpPr>
            <xdr:cNvPr id="39965" name="Check Box 29" hidden="1">
              <a:extLst>
                <a:ext uri="{63B3BB69-23CF-44E3-9099-C40C66FF867C}">
                  <a14:compatExt spid="_x0000_s39965"/>
                </a:ext>
                <a:ext uri="{FF2B5EF4-FFF2-40B4-BE49-F238E27FC236}">
                  <a16:creationId xmlns:a16="http://schemas.microsoft.com/office/drawing/2014/main" id="{00000000-0008-0000-0500-00001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23</xdr:row>
          <xdr:rowOff>0</xdr:rowOff>
        </xdr:from>
        <xdr:to>
          <xdr:col>22</xdr:col>
          <xdr:colOff>0</xdr:colOff>
          <xdr:row>24</xdr:row>
          <xdr:rowOff>0</xdr:rowOff>
        </xdr:to>
        <xdr:sp macro="" textlink="">
          <xdr:nvSpPr>
            <xdr:cNvPr id="39966" name="Check Box 30" hidden="1">
              <a:extLst>
                <a:ext uri="{63B3BB69-23CF-44E3-9099-C40C66FF867C}">
                  <a14:compatExt spid="_x0000_s39966"/>
                </a:ext>
                <a:ext uri="{FF2B5EF4-FFF2-40B4-BE49-F238E27FC236}">
                  <a16:creationId xmlns:a16="http://schemas.microsoft.com/office/drawing/2014/main" id="{00000000-0008-0000-0500-00001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24</xdr:row>
          <xdr:rowOff>0</xdr:rowOff>
        </xdr:from>
        <xdr:to>
          <xdr:col>22</xdr:col>
          <xdr:colOff>0</xdr:colOff>
          <xdr:row>25</xdr:row>
          <xdr:rowOff>0</xdr:rowOff>
        </xdr:to>
        <xdr:sp macro="" textlink="">
          <xdr:nvSpPr>
            <xdr:cNvPr id="39967" name="Check Box 31" hidden="1">
              <a:extLst>
                <a:ext uri="{63B3BB69-23CF-44E3-9099-C40C66FF867C}">
                  <a14:compatExt spid="_x0000_s39967"/>
                </a:ext>
                <a:ext uri="{FF2B5EF4-FFF2-40B4-BE49-F238E27FC236}">
                  <a16:creationId xmlns:a16="http://schemas.microsoft.com/office/drawing/2014/main" id="{00000000-0008-0000-0500-00001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15</xdr:col>
          <xdr:colOff>0</xdr:colOff>
          <xdr:row>19</xdr:row>
          <xdr:rowOff>0</xdr:rowOff>
        </xdr:to>
        <xdr:sp macro="" textlink="">
          <xdr:nvSpPr>
            <xdr:cNvPr id="39968" name="Group Box 32" hidden="1">
              <a:extLst>
                <a:ext uri="{63B3BB69-23CF-44E3-9099-C40C66FF867C}">
                  <a14:compatExt spid="_x0000_s39968"/>
                </a:ext>
                <a:ext uri="{FF2B5EF4-FFF2-40B4-BE49-F238E27FC236}">
                  <a16:creationId xmlns:a16="http://schemas.microsoft.com/office/drawing/2014/main" id="{00000000-0008-0000-0500-0000209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xdr:row>
          <xdr:rowOff>19050</xdr:rowOff>
        </xdr:from>
        <xdr:to>
          <xdr:col>12</xdr:col>
          <xdr:colOff>266700</xdr:colOff>
          <xdr:row>17</xdr:row>
          <xdr:rowOff>142875</xdr:rowOff>
        </xdr:to>
        <xdr:sp macro="" textlink="">
          <xdr:nvSpPr>
            <xdr:cNvPr id="39969" name="Option Button 33" hidden="1">
              <a:extLst>
                <a:ext uri="{63B3BB69-23CF-44E3-9099-C40C66FF867C}">
                  <a14:compatExt spid="_x0000_s39969"/>
                </a:ext>
                <a:ext uri="{FF2B5EF4-FFF2-40B4-BE49-F238E27FC236}">
                  <a16:creationId xmlns:a16="http://schemas.microsoft.com/office/drawing/2014/main" id="{00000000-0008-0000-0500-00002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9525</xdr:rowOff>
        </xdr:from>
        <xdr:to>
          <xdr:col>12</xdr:col>
          <xdr:colOff>266700</xdr:colOff>
          <xdr:row>18</xdr:row>
          <xdr:rowOff>133350</xdr:rowOff>
        </xdr:to>
        <xdr:sp macro="" textlink="">
          <xdr:nvSpPr>
            <xdr:cNvPr id="39970" name="Option Button 34" hidden="1">
              <a:extLst>
                <a:ext uri="{63B3BB69-23CF-44E3-9099-C40C66FF867C}">
                  <a14:compatExt spid="_x0000_s39970"/>
                </a:ext>
                <a:ext uri="{FF2B5EF4-FFF2-40B4-BE49-F238E27FC236}">
                  <a16:creationId xmlns:a16="http://schemas.microsoft.com/office/drawing/2014/main" id="{00000000-0008-0000-0500-00002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27</xdr:row>
          <xdr:rowOff>0</xdr:rowOff>
        </xdr:from>
        <xdr:to>
          <xdr:col>15</xdr:col>
          <xdr:colOff>0</xdr:colOff>
          <xdr:row>28</xdr:row>
          <xdr:rowOff>0</xdr:rowOff>
        </xdr:to>
        <xdr:sp macro="" textlink="">
          <xdr:nvSpPr>
            <xdr:cNvPr id="39971" name="Check Box 35" hidden="1">
              <a:extLst>
                <a:ext uri="{63B3BB69-23CF-44E3-9099-C40C66FF867C}">
                  <a14:compatExt spid="_x0000_s39971"/>
                </a:ext>
                <a:ext uri="{FF2B5EF4-FFF2-40B4-BE49-F238E27FC236}">
                  <a16:creationId xmlns:a16="http://schemas.microsoft.com/office/drawing/2014/main" id="{00000000-0008-0000-0500-00002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31</xdr:row>
          <xdr:rowOff>0</xdr:rowOff>
        </xdr:from>
        <xdr:to>
          <xdr:col>15</xdr:col>
          <xdr:colOff>0</xdr:colOff>
          <xdr:row>32</xdr:row>
          <xdr:rowOff>0</xdr:rowOff>
        </xdr:to>
        <xdr:sp macro="" textlink="">
          <xdr:nvSpPr>
            <xdr:cNvPr id="39974" name="Check Box 38" hidden="1">
              <a:extLst>
                <a:ext uri="{63B3BB69-23CF-44E3-9099-C40C66FF867C}">
                  <a14:compatExt spid="_x0000_s39974"/>
                </a:ext>
                <a:ext uri="{FF2B5EF4-FFF2-40B4-BE49-F238E27FC236}">
                  <a16:creationId xmlns:a16="http://schemas.microsoft.com/office/drawing/2014/main" id="{00000000-0008-0000-0500-00002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32</xdr:row>
          <xdr:rowOff>0</xdr:rowOff>
        </xdr:from>
        <xdr:to>
          <xdr:col>15</xdr:col>
          <xdr:colOff>0</xdr:colOff>
          <xdr:row>33</xdr:row>
          <xdr:rowOff>0</xdr:rowOff>
        </xdr:to>
        <xdr:sp macro="" textlink="">
          <xdr:nvSpPr>
            <xdr:cNvPr id="39975" name="Check Box 39" hidden="1">
              <a:extLst>
                <a:ext uri="{63B3BB69-23CF-44E3-9099-C40C66FF867C}">
                  <a14:compatExt spid="_x0000_s39975"/>
                </a:ext>
                <a:ext uri="{FF2B5EF4-FFF2-40B4-BE49-F238E27FC236}">
                  <a16:creationId xmlns:a16="http://schemas.microsoft.com/office/drawing/2014/main" id="{00000000-0008-0000-0500-00002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33</xdr:row>
          <xdr:rowOff>0</xdr:rowOff>
        </xdr:from>
        <xdr:to>
          <xdr:col>15</xdr:col>
          <xdr:colOff>0</xdr:colOff>
          <xdr:row>34</xdr:row>
          <xdr:rowOff>0</xdr:rowOff>
        </xdr:to>
        <xdr:sp macro="" textlink="">
          <xdr:nvSpPr>
            <xdr:cNvPr id="39976" name="Check Box 40" hidden="1">
              <a:extLst>
                <a:ext uri="{63B3BB69-23CF-44E3-9099-C40C66FF867C}">
                  <a14:compatExt spid="_x0000_s39976"/>
                </a:ext>
                <a:ext uri="{FF2B5EF4-FFF2-40B4-BE49-F238E27FC236}">
                  <a16:creationId xmlns:a16="http://schemas.microsoft.com/office/drawing/2014/main" id="{00000000-0008-0000-0500-00002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sp macro="" textlink="">
          <xdr:nvSpPr>
            <xdr:cNvPr id="39977" name="Check Box 41" hidden="1">
              <a:extLst>
                <a:ext uri="{63B3BB69-23CF-44E3-9099-C40C66FF867C}">
                  <a14:compatExt spid="_x0000_s39977"/>
                </a:ext>
                <a:ext uri="{FF2B5EF4-FFF2-40B4-BE49-F238E27FC236}">
                  <a16:creationId xmlns:a16="http://schemas.microsoft.com/office/drawing/2014/main" id="{00000000-0008-0000-0500-00002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34</xdr:row>
          <xdr:rowOff>0</xdr:rowOff>
        </xdr:from>
        <xdr:to>
          <xdr:col>15</xdr:col>
          <xdr:colOff>0</xdr:colOff>
          <xdr:row>35</xdr:row>
          <xdr:rowOff>0</xdr:rowOff>
        </xdr:to>
        <xdr:sp macro="" textlink="">
          <xdr:nvSpPr>
            <xdr:cNvPr id="39978" name="Check Box 42" hidden="1">
              <a:extLst>
                <a:ext uri="{63B3BB69-23CF-44E3-9099-C40C66FF867C}">
                  <a14:compatExt spid="_x0000_s39978"/>
                </a:ext>
                <a:ext uri="{FF2B5EF4-FFF2-40B4-BE49-F238E27FC236}">
                  <a16:creationId xmlns:a16="http://schemas.microsoft.com/office/drawing/2014/main" id="{00000000-0008-0000-0500-00002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35</xdr:row>
          <xdr:rowOff>0</xdr:rowOff>
        </xdr:from>
        <xdr:to>
          <xdr:col>15</xdr:col>
          <xdr:colOff>0</xdr:colOff>
          <xdr:row>36</xdr:row>
          <xdr:rowOff>0</xdr:rowOff>
        </xdr:to>
        <xdr:sp macro="" textlink="">
          <xdr:nvSpPr>
            <xdr:cNvPr id="39979" name="Check Box 43" hidden="1">
              <a:extLst>
                <a:ext uri="{63B3BB69-23CF-44E3-9099-C40C66FF867C}">
                  <a14:compatExt spid="_x0000_s39979"/>
                </a:ext>
                <a:ext uri="{FF2B5EF4-FFF2-40B4-BE49-F238E27FC236}">
                  <a16:creationId xmlns:a16="http://schemas.microsoft.com/office/drawing/2014/main" id="{00000000-0008-0000-0500-00002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36</xdr:row>
          <xdr:rowOff>0</xdr:rowOff>
        </xdr:from>
        <xdr:to>
          <xdr:col>15</xdr:col>
          <xdr:colOff>0</xdr:colOff>
          <xdr:row>37</xdr:row>
          <xdr:rowOff>0</xdr:rowOff>
        </xdr:to>
        <xdr:sp macro="" textlink="">
          <xdr:nvSpPr>
            <xdr:cNvPr id="39980" name="Check Box 44" hidden="1">
              <a:extLst>
                <a:ext uri="{63B3BB69-23CF-44E3-9099-C40C66FF867C}">
                  <a14:compatExt spid="_x0000_s39980"/>
                </a:ext>
                <a:ext uri="{FF2B5EF4-FFF2-40B4-BE49-F238E27FC236}">
                  <a16:creationId xmlns:a16="http://schemas.microsoft.com/office/drawing/2014/main" id="{00000000-0008-0000-0500-00002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47624</xdr:colOff>
          <xdr:row>17</xdr:row>
          <xdr:rowOff>190499</xdr:rowOff>
        </xdr:from>
        <xdr:to>
          <xdr:col>4</xdr:col>
          <xdr:colOff>344624</xdr:colOff>
          <xdr:row>22</xdr:row>
          <xdr:rowOff>6844</xdr:rowOff>
        </xdr:to>
        <xdr:pic>
          <xdr:nvPicPr>
            <xdr:cNvPr id="6" name="Grafik 5">
              <a:extLst>
                <a:ext uri="{FF2B5EF4-FFF2-40B4-BE49-F238E27FC236}">
                  <a16:creationId xmlns:a16="http://schemas.microsoft.com/office/drawing/2014/main" id="{00000000-0008-0000-0500-000006000000}"/>
                </a:ext>
              </a:extLst>
            </xdr:cNvPr>
            <xdr:cNvPicPr>
              <a:picLocks noChangeAspect="1" noChangeArrowheads="1"/>
              <a:extLst>
                <a:ext uri="{84589F7E-364E-4C9E-8A38-B11213B215E9}">
                  <a14:cameraTool cellRange="MontageartLinks2" spid="_x0000_s455155"/>
                </a:ext>
              </a:extLst>
            </xdr:cNvPicPr>
          </xdr:nvPicPr>
          <xdr:blipFill>
            <a:blip xmlns:r="http://schemas.openxmlformats.org/officeDocument/2006/relationships" r:embed="rId2"/>
            <a:srcRect/>
            <a:stretch>
              <a:fillRect/>
            </a:stretch>
          </xdr:blipFill>
          <xdr:spPr bwMode="auto">
            <a:xfrm>
              <a:off x="428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47624</xdr:colOff>
          <xdr:row>17</xdr:row>
          <xdr:rowOff>190499</xdr:rowOff>
        </xdr:from>
        <xdr:to>
          <xdr:col>8</xdr:col>
          <xdr:colOff>344624</xdr:colOff>
          <xdr:row>22</xdr:row>
          <xdr:rowOff>6844</xdr:rowOff>
        </xdr:to>
        <xdr:pic>
          <xdr:nvPicPr>
            <xdr:cNvPr id="7" name="Grafik 6">
              <a:extLst>
                <a:ext uri="{FF2B5EF4-FFF2-40B4-BE49-F238E27FC236}">
                  <a16:creationId xmlns:a16="http://schemas.microsoft.com/office/drawing/2014/main" id="{00000000-0008-0000-0500-000007000000}"/>
                </a:ext>
              </a:extLst>
            </xdr:cNvPr>
            <xdr:cNvPicPr>
              <a:picLocks noChangeAspect="1" noChangeArrowheads="1"/>
              <a:extLst>
                <a:ext uri="{84589F7E-364E-4C9E-8A38-B11213B215E9}">
                  <a14:cameraTool cellRange="MontageartRechts2" spid="_x0000_s455156"/>
                </a:ext>
              </a:extLst>
            </xdr:cNvPicPr>
          </xdr:nvPicPr>
          <xdr:blipFill>
            <a:blip xmlns:r="http://schemas.openxmlformats.org/officeDocument/2006/relationships" r:embed="rId3"/>
            <a:srcRect/>
            <a:stretch>
              <a:fillRect/>
            </a:stretch>
          </xdr:blipFill>
          <xdr:spPr bwMode="auto">
            <a:xfrm>
              <a:off x="1952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28574</xdr:colOff>
          <xdr:row>16</xdr:row>
          <xdr:rowOff>152399</xdr:rowOff>
        </xdr:from>
        <xdr:to>
          <xdr:col>17</xdr:col>
          <xdr:colOff>8174</xdr:colOff>
          <xdr:row>21</xdr:row>
          <xdr:rowOff>84374</xdr:rowOff>
        </xdr:to>
        <xdr:pic>
          <xdr:nvPicPr>
            <xdr:cNvPr id="8" name="Grafik 7">
              <a:extLst>
                <a:ext uri="{FF2B5EF4-FFF2-40B4-BE49-F238E27FC236}">
                  <a16:creationId xmlns:a16="http://schemas.microsoft.com/office/drawing/2014/main" id="{00000000-0008-0000-0500-000008000000}"/>
                </a:ext>
              </a:extLst>
            </xdr:cNvPr>
            <xdr:cNvPicPr>
              <a:picLocks noChangeAspect="1" noChangeArrowheads="1"/>
              <a:extLst>
                <a:ext uri="{84589F7E-364E-4C9E-8A38-B11213B215E9}">
                  <a14:cameraTool cellRange="Rundprofil2" spid="_x0000_s455157"/>
                </a:ext>
              </a:extLst>
            </xdr:cNvPicPr>
          </xdr:nvPicPr>
          <xdr:blipFill>
            <a:blip xmlns:r="http://schemas.openxmlformats.org/officeDocument/2006/relationships" r:embed="rId4"/>
            <a:srcRect/>
            <a:stretch>
              <a:fillRect/>
            </a:stretch>
          </xdr:blipFill>
          <xdr:spPr bwMode="auto">
            <a:xfrm>
              <a:off x="5743574" y="2152649"/>
              <a:ext cx="741600" cy="741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xdr:row>
          <xdr:rowOff>0</xdr:rowOff>
        </xdr:from>
        <xdr:to>
          <xdr:col>17</xdr:col>
          <xdr:colOff>0</xdr:colOff>
          <xdr:row>37</xdr:row>
          <xdr:rowOff>0</xdr:rowOff>
        </xdr:to>
        <xdr:sp macro="" textlink="">
          <xdr:nvSpPr>
            <xdr:cNvPr id="324936" name="Group Box 2376" hidden="1">
              <a:extLst>
                <a:ext uri="{63B3BB69-23CF-44E3-9099-C40C66FF867C}">
                  <a14:compatExt spid="_x0000_s324936"/>
                </a:ext>
                <a:ext uri="{FF2B5EF4-FFF2-40B4-BE49-F238E27FC236}">
                  <a16:creationId xmlns:a16="http://schemas.microsoft.com/office/drawing/2014/main" id="{00000000-0008-0000-0500-000048F5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29</xdr:row>
          <xdr:rowOff>19050</xdr:rowOff>
        </xdr:from>
        <xdr:to>
          <xdr:col>12</xdr:col>
          <xdr:colOff>266700</xdr:colOff>
          <xdr:row>29</xdr:row>
          <xdr:rowOff>142875</xdr:rowOff>
        </xdr:to>
        <xdr:sp macro="" textlink="">
          <xdr:nvSpPr>
            <xdr:cNvPr id="324937" name="Option Button 2377" hidden="1">
              <a:extLst>
                <a:ext uri="{63B3BB69-23CF-44E3-9099-C40C66FF867C}">
                  <a14:compatExt spid="_x0000_s324937"/>
                </a:ext>
                <a:ext uri="{FF2B5EF4-FFF2-40B4-BE49-F238E27FC236}">
                  <a16:creationId xmlns:a16="http://schemas.microsoft.com/office/drawing/2014/main" id="{00000000-0008-0000-0500-000049F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30</xdr:row>
          <xdr:rowOff>9525</xdr:rowOff>
        </xdr:from>
        <xdr:to>
          <xdr:col>12</xdr:col>
          <xdr:colOff>266700</xdr:colOff>
          <xdr:row>30</xdr:row>
          <xdr:rowOff>133350</xdr:rowOff>
        </xdr:to>
        <xdr:sp macro="" textlink="">
          <xdr:nvSpPr>
            <xdr:cNvPr id="324938" name="Option Button 2378" hidden="1">
              <a:extLst>
                <a:ext uri="{63B3BB69-23CF-44E3-9099-C40C66FF867C}">
                  <a14:compatExt spid="_x0000_s324938"/>
                </a:ext>
                <a:ext uri="{FF2B5EF4-FFF2-40B4-BE49-F238E27FC236}">
                  <a16:creationId xmlns:a16="http://schemas.microsoft.com/office/drawing/2014/main" id="{00000000-0008-0000-0500-00004AF5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22</xdr:col>
          <xdr:colOff>0</xdr:colOff>
          <xdr:row>16</xdr:row>
          <xdr:rowOff>0</xdr:rowOff>
        </xdr:to>
        <xdr:sp macro="" textlink="">
          <xdr:nvSpPr>
            <xdr:cNvPr id="325345" name="Group Box 2785" hidden="1">
              <a:extLst>
                <a:ext uri="{63B3BB69-23CF-44E3-9099-C40C66FF867C}">
                  <a14:compatExt spid="_x0000_s325345"/>
                </a:ext>
                <a:ext uri="{FF2B5EF4-FFF2-40B4-BE49-F238E27FC236}">
                  <a16:creationId xmlns:a16="http://schemas.microsoft.com/office/drawing/2014/main" id="{00000000-0008-0000-0500-0000E1F6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12</xdr:row>
          <xdr:rowOff>19050</xdr:rowOff>
        </xdr:from>
        <xdr:to>
          <xdr:col>21</xdr:col>
          <xdr:colOff>123825</xdr:colOff>
          <xdr:row>13</xdr:row>
          <xdr:rowOff>0</xdr:rowOff>
        </xdr:to>
        <xdr:sp macro="" textlink="">
          <xdr:nvSpPr>
            <xdr:cNvPr id="325346" name="Option Button 2786" hidden="1">
              <a:extLst>
                <a:ext uri="{63B3BB69-23CF-44E3-9099-C40C66FF867C}">
                  <a14:compatExt spid="_x0000_s325346"/>
                </a:ext>
                <a:ext uri="{FF2B5EF4-FFF2-40B4-BE49-F238E27FC236}">
                  <a16:creationId xmlns:a16="http://schemas.microsoft.com/office/drawing/2014/main" id="{00000000-0008-0000-0500-0000E2F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14</xdr:row>
          <xdr:rowOff>19050</xdr:rowOff>
        </xdr:from>
        <xdr:to>
          <xdr:col>21</xdr:col>
          <xdr:colOff>123825</xdr:colOff>
          <xdr:row>14</xdr:row>
          <xdr:rowOff>142875</xdr:rowOff>
        </xdr:to>
        <xdr:sp macro="" textlink="">
          <xdr:nvSpPr>
            <xdr:cNvPr id="325347" name="Option Button 2787" hidden="1">
              <a:extLst>
                <a:ext uri="{63B3BB69-23CF-44E3-9099-C40C66FF867C}">
                  <a14:compatExt spid="_x0000_s325347"/>
                </a:ext>
                <a:ext uri="{FF2B5EF4-FFF2-40B4-BE49-F238E27FC236}">
                  <a16:creationId xmlns:a16="http://schemas.microsoft.com/office/drawing/2014/main" id="{00000000-0008-0000-0500-0000E3F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15</xdr:row>
          <xdr:rowOff>19050</xdr:rowOff>
        </xdr:from>
        <xdr:to>
          <xdr:col>21</xdr:col>
          <xdr:colOff>123825</xdr:colOff>
          <xdr:row>15</xdr:row>
          <xdr:rowOff>142875</xdr:rowOff>
        </xdr:to>
        <xdr:sp macro="" textlink="">
          <xdr:nvSpPr>
            <xdr:cNvPr id="325348" name="Option Button 2788" hidden="1">
              <a:extLst>
                <a:ext uri="{63B3BB69-23CF-44E3-9099-C40C66FF867C}">
                  <a14:compatExt spid="_x0000_s325348"/>
                </a:ext>
                <a:ext uri="{FF2B5EF4-FFF2-40B4-BE49-F238E27FC236}">
                  <a16:creationId xmlns:a16="http://schemas.microsoft.com/office/drawing/2014/main" id="{00000000-0008-0000-0500-0000E4F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24</xdr:col>
          <xdr:colOff>0</xdr:colOff>
          <xdr:row>15</xdr:row>
          <xdr:rowOff>161925</xdr:rowOff>
        </xdr:to>
        <xdr:sp macro="" textlink="">
          <xdr:nvSpPr>
            <xdr:cNvPr id="325349" name="Group Box 2789" hidden="1">
              <a:extLst>
                <a:ext uri="{63B3BB69-23CF-44E3-9099-C40C66FF867C}">
                  <a14:compatExt spid="_x0000_s325349"/>
                </a:ext>
                <a:ext uri="{FF2B5EF4-FFF2-40B4-BE49-F238E27FC236}">
                  <a16:creationId xmlns:a16="http://schemas.microsoft.com/office/drawing/2014/main" id="{00000000-0008-0000-0500-0000E5F6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12</xdr:row>
          <xdr:rowOff>19050</xdr:rowOff>
        </xdr:from>
        <xdr:to>
          <xdr:col>23</xdr:col>
          <xdr:colOff>123825</xdr:colOff>
          <xdr:row>12</xdr:row>
          <xdr:rowOff>161925</xdr:rowOff>
        </xdr:to>
        <xdr:sp macro="" textlink="">
          <xdr:nvSpPr>
            <xdr:cNvPr id="325350" name="Option Button 2790" hidden="1">
              <a:extLst>
                <a:ext uri="{63B3BB69-23CF-44E3-9099-C40C66FF867C}">
                  <a14:compatExt spid="_x0000_s325350"/>
                </a:ext>
                <a:ext uri="{FF2B5EF4-FFF2-40B4-BE49-F238E27FC236}">
                  <a16:creationId xmlns:a16="http://schemas.microsoft.com/office/drawing/2014/main" id="{00000000-0008-0000-0500-0000E6F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14</xdr:row>
          <xdr:rowOff>19050</xdr:rowOff>
        </xdr:from>
        <xdr:to>
          <xdr:col>23</xdr:col>
          <xdr:colOff>123825</xdr:colOff>
          <xdr:row>14</xdr:row>
          <xdr:rowOff>142875</xdr:rowOff>
        </xdr:to>
        <xdr:sp macro="" textlink="">
          <xdr:nvSpPr>
            <xdr:cNvPr id="325351" name="Option Button 2791" hidden="1">
              <a:extLst>
                <a:ext uri="{63B3BB69-23CF-44E3-9099-C40C66FF867C}">
                  <a14:compatExt spid="_x0000_s325351"/>
                </a:ext>
                <a:ext uri="{FF2B5EF4-FFF2-40B4-BE49-F238E27FC236}">
                  <a16:creationId xmlns:a16="http://schemas.microsoft.com/office/drawing/2014/main" id="{00000000-0008-0000-0500-0000E7F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15</xdr:row>
          <xdr:rowOff>19050</xdr:rowOff>
        </xdr:from>
        <xdr:to>
          <xdr:col>23</xdr:col>
          <xdr:colOff>123825</xdr:colOff>
          <xdr:row>15</xdr:row>
          <xdr:rowOff>142875</xdr:rowOff>
        </xdr:to>
        <xdr:sp macro="" textlink="">
          <xdr:nvSpPr>
            <xdr:cNvPr id="325352" name="Option Button 2792" hidden="1">
              <a:extLst>
                <a:ext uri="{63B3BB69-23CF-44E3-9099-C40C66FF867C}">
                  <a14:compatExt spid="_x0000_s325352"/>
                </a:ext>
                <a:ext uri="{FF2B5EF4-FFF2-40B4-BE49-F238E27FC236}">
                  <a16:creationId xmlns:a16="http://schemas.microsoft.com/office/drawing/2014/main" id="{00000000-0008-0000-0500-0000E8F6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16566</xdr:colOff>
      <xdr:row>0</xdr:row>
      <xdr:rowOff>16566</xdr:rowOff>
    </xdr:from>
    <xdr:to>
      <xdr:col>1</xdr:col>
      <xdr:colOff>254923</xdr:colOff>
      <xdr:row>3</xdr:row>
      <xdr:rowOff>10195</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66" y="16566"/>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5</xdr:col>
          <xdr:colOff>0</xdr:colOff>
          <xdr:row>25</xdr:row>
          <xdr:rowOff>0</xdr:rowOff>
        </xdr:to>
        <xdr:sp macro="" textlink="">
          <xdr:nvSpPr>
            <xdr:cNvPr id="43009" name="Group Box 1" hidden="1">
              <a:extLst>
                <a:ext uri="{63B3BB69-23CF-44E3-9099-C40C66FF867C}">
                  <a14:compatExt spid="_x0000_s43009"/>
                </a:ext>
                <a:ext uri="{FF2B5EF4-FFF2-40B4-BE49-F238E27FC236}">
                  <a16:creationId xmlns:a16="http://schemas.microsoft.com/office/drawing/2014/main" id="{00000000-0008-0000-0600-00000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9</xdr:col>
          <xdr:colOff>0</xdr:colOff>
          <xdr:row>25</xdr:row>
          <xdr:rowOff>0</xdr:rowOff>
        </xdr:to>
        <xdr:sp macro="" textlink="">
          <xdr:nvSpPr>
            <xdr:cNvPr id="43010" name="Group Box 2" hidden="1">
              <a:extLst>
                <a:ext uri="{63B3BB69-23CF-44E3-9099-C40C66FF867C}">
                  <a14:compatExt spid="_x0000_s43010"/>
                </a:ext>
                <a:ext uri="{FF2B5EF4-FFF2-40B4-BE49-F238E27FC236}">
                  <a16:creationId xmlns:a16="http://schemas.microsoft.com/office/drawing/2014/main" id="{00000000-0008-0000-0600-00000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28575</xdr:colOff>
          <xdr:row>22</xdr:row>
          <xdr:rowOff>19050</xdr:rowOff>
        </xdr:from>
        <xdr:to>
          <xdr:col>3</xdr:col>
          <xdr:colOff>371475</xdr:colOff>
          <xdr:row>23</xdr:row>
          <xdr:rowOff>0</xdr:rowOff>
        </xdr:to>
        <xdr:sp macro="" textlink="">
          <xdr:nvSpPr>
            <xdr:cNvPr id="43011" name="Option Button 3" hidden="1">
              <a:extLst>
                <a:ext uri="{63B3BB69-23CF-44E3-9099-C40C66FF867C}">
                  <a14:compatExt spid="_x0000_s43011"/>
                </a:ext>
                <a:ext uri="{FF2B5EF4-FFF2-40B4-BE49-F238E27FC236}">
                  <a16:creationId xmlns:a16="http://schemas.microsoft.com/office/drawing/2014/main" id="{00000000-0008-0000-06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23</xdr:row>
          <xdr:rowOff>19050</xdr:rowOff>
        </xdr:from>
        <xdr:to>
          <xdr:col>3</xdr:col>
          <xdr:colOff>371475</xdr:colOff>
          <xdr:row>23</xdr:row>
          <xdr:rowOff>152400</xdr:rowOff>
        </xdr:to>
        <xdr:sp macro="" textlink="">
          <xdr:nvSpPr>
            <xdr:cNvPr id="43012" name="Option Button 4" hidden="1">
              <a:extLst>
                <a:ext uri="{63B3BB69-23CF-44E3-9099-C40C66FF867C}">
                  <a14:compatExt spid="_x0000_s43012"/>
                </a:ext>
                <a:ext uri="{FF2B5EF4-FFF2-40B4-BE49-F238E27FC236}">
                  <a16:creationId xmlns:a16="http://schemas.microsoft.com/office/drawing/2014/main" id="{00000000-0008-0000-06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24</xdr:row>
          <xdr:rowOff>19050</xdr:rowOff>
        </xdr:from>
        <xdr:to>
          <xdr:col>3</xdr:col>
          <xdr:colOff>371475</xdr:colOff>
          <xdr:row>24</xdr:row>
          <xdr:rowOff>142875</xdr:rowOff>
        </xdr:to>
        <xdr:sp macro="" textlink="">
          <xdr:nvSpPr>
            <xdr:cNvPr id="43013" name="Option Button 5" hidden="1">
              <a:extLst>
                <a:ext uri="{63B3BB69-23CF-44E3-9099-C40C66FF867C}">
                  <a14:compatExt spid="_x0000_s43013"/>
                </a:ext>
                <a:ext uri="{FF2B5EF4-FFF2-40B4-BE49-F238E27FC236}">
                  <a16:creationId xmlns:a16="http://schemas.microsoft.com/office/drawing/2014/main" id="{00000000-0008-0000-0600-00000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22</xdr:row>
          <xdr:rowOff>28575</xdr:rowOff>
        </xdr:from>
        <xdr:to>
          <xdr:col>7</xdr:col>
          <xdr:colOff>371475</xdr:colOff>
          <xdr:row>23</xdr:row>
          <xdr:rowOff>0</xdr:rowOff>
        </xdr:to>
        <xdr:sp macro="" textlink="">
          <xdr:nvSpPr>
            <xdr:cNvPr id="43014" name="Option Button 6" hidden="1">
              <a:extLst>
                <a:ext uri="{63B3BB69-23CF-44E3-9099-C40C66FF867C}">
                  <a14:compatExt spid="_x0000_s43014"/>
                </a:ext>
                <a:ext uri="{FF2B5EF4-FFF2-40B4-BE49-F238E27FC236}">
                  <a16:creationId xmlns:a16="http://schemas.microsoft.com/office/drawing/2014/main" id="{00000000-0008-0000-06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23</xdr:row>
          <xdr:rowOff>19050</xdr:rowOff>
        </xdr:from>
        <xdr:to>
          <xdr:col>7</xdr:col>
          <xdr:colOff>371475</xdr:colOff>
          <xdr:row>23</xdr:row>
          <xdr:rowOff>152400</xdr:rowOff>
        </xdr:to>
        <xdr:sp macro="" textlink="">
          <xdr:nvSpPr>
            <xdr:cNvPr id="43015" name="Option Button 7" hidden="1">
              <a:extLst>
                <a:ext uri="{63B3BB69-23CF-44E3-9099-C40C66FF867C}">
                  <a14:compatExt spid="_x0000_s43015"/>
                </a:ext>
                <a:ext uri="{FF2B5EF4-FFF2-40B4-BE49-F238E27FC236}">
                  <a16:creationId xmlns:a16="http://schemas.microsoft.com/office/drawing/2014/main" id="{00000000-0008-0000-06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24</xdr:row>
          <xdr:rowOff>19050</xdr:rowOff>
        </xdr:from>
        <xdr:to>
          <xdr:col>7</xdr:col>
          <xdr:colOff>371475</xdr:colOff>
          <xdr:row>24</xdr:row>
          <xdr:rowOff>142875</xdr:rowOff>
        </xdr:to>
        <xdr:sp macro="" textlink="">
          <xdr:nvSpPr>
            <xdr:cNvPr id="43016" name="Option Button 8" hidden="1">
              <a:extLst>
                <a:ext uri="{63B3BB69-23CF-44E3-9099-C40C66FF867C}">
                  <a14:compatExt spid="_x0000_s43016"/>
                </a:ext>
                <a:ext uri="{FF2B5EF4-FFF2-40B4-BE49-F238E27FC236}">
                  <a16:creationId xmlns:a16="http://schemas.microsoft.com/office/drawing/2014/main" id="{00000000-0008-0000-06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0</xdr:rowOff>
        </xdr:from>
        <xdr:to>
          <xdr:col>17</xdr:col>
          <xdr:colOff>0</xdr:colOff>
          <xdr:row>5</xdr:row>
          <xdr:rowOff>0</xdr:rowOff>
        </xdr:to>
        <xdr:sp macro="" textlink="">
          <xdr:nvSpPr>
            <xdr:cNvPr id="43017" name="Group Box 9" hidden="1">
              <a:extLst>
                <a:ext uri="{63B3BB69-23CF-44E3-9099-C40C66FF867C}">
                  <a14:compatExt spid="_x0000_s43017"/>
                </a:ext>
                <a:ext uri="{FF2B5EF4-FFF2-40B4-BE49-F238E27FC236}">
                  <a16:creationId xmlns:a16="http://schemas.microsoft.com/office/drawing/2014/main" id="{00000000-0008-0000-0600-000009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xdr:row>
          <xdr:rowOff>19050</xdr:rowOff>
        </xdr:from>
        <xdr:to>
          <xdr:col>13</xdr:col>
          <xdr:colOff>0</xdr:colOff>
          <xdr:row>4</xdr:row>
          <xdr:rowOff>152400</xdr:rowOff>
        </xdr:to>
        <xdr:sp macro="" textlink="">
          <xdr:nvSpPr>
            <xdr:cNvPr id="43018" name="Option Button 10" hidden="1">
              <a:extLst>
                <a:ext uri="{63B3BB69-23CF-44E3-9099-C40C66FF867C}">
                  <a14:compatExt spid="_x0000_s43018"/>
                </a:ext>
                <a:ext uri="{FF2B5EF4-FFF2-40B4-BE49-F238E27FC236}">
                  <a16:creationId xmlns:a16="http://schemas.microsoft.com/office/drawing/2014/main" id="{00000000-0008-0000-0600-00000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xdr:row>
          <xdr:rowOff>19050</xdr:rowOff>
        </xdr:from>
        <xdr:to>
          <xdr:col>15</xdr:col>
          <xdr:colOff>371475</xdr:colOff>
          <xdr:row>4</xdr:row>
          <xdr:rowOff>142875</xdr:rowOff>
        </xdr:to>
        <xdr:sp macro="" textlink="">
          <xdr:nvSpPr>
            <xdr:cNvPr id="43019" name="Option Button 11" hidden="1">
              <a:extLst>
                <a:ext uri="{63B3BB69-23CF-44E3-9099-C40C66FF867C}">
                  <a14:compatExt spid="_x0000_s43019"/>
                </a:ext>
                <a:ext uri="{FF2B5EF4-FFF2-40B4-BE49-F238E27FC236}">
                  <a16:creationId xmlns:a16="http://schemas.microsoft.com/office/drawing/2014/main" id="{00000000-0008-0000-0600-00000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0</xdr:colOff>
          <xdr:row>14</xdr:row>
          <xdr:rowOff>0</xdr:rowOff>
        </xdr:to>
        <xdr:sp macro="" textlink="">
          <xdr:nvSpPr>
            <xdr:cNvPr id="43020" name="Check Box 12" hidden="1">
              <a:extLst>
                <a:ext uri="{63B3BB69-23CF-44E3-9099-C40C66FF867C}">
                  <a14:compatExt spid="_x0000_s43020"/>
                </a:ext>
                <a:ext uri="{FF2B5EF4-FFF2-40B4-BE49-F238E27FC236}">
                  <a16:creationId xmlns:a16="http://schemas.microsoft.com/office/drawing/2014/main" id="{00000000-0008-0000-0600-00000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0</xdr:rowOff>
        </xdr:from>
        <xdr:to>
          <xdr:col>13</xdr:col>
          <xdr:colOff>0</xdr:colOff>
          <xdr:row>14</xdr:row>
          <xdr:rowOff>180975</xdr:rowOff>
        </xdr:to>
        <xdr:sp macro="" textlink="">
          <xdr:nvSpPr>
            <xdr:cNvPr id="43021" name="Check Box 13" hidden="1">
              <a:extLst>
                <a:ext uri="{63B3BB69-23CF-44E3-9099-C40C66FF867C}">
                  <a14:compatExt spid="_x0000_s43021"/>
                </a:ext>
                <a:ext uri="{FF2B5EF4-FFF2-40B4-BE49-F238E27FC236}">
                  <a16:creationId xmlns:a16="http://schemas.microsoft.com/office/drawing/2014/main" id="{00000000-0008-0000-0600-00000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19050</xdr:rowOff>
        </xdr:from>
        <xdr:to>
          <xdr:col>17</xdr:col>
          <xdr:colOff>0</xdr:colOff>
          <xdr:row>14</xdr:row>
          <xdr:rowOff>0</xdr:rowOff>
        </xdr:to>
        <xdr:sp macro="" textlink="">
          <xdr:nvSpPr>
            <xdr:cNvPr id="43022" name="Check Box 14" hidden="1">
              <a:extLst>
                <a:ext uri="{63B3BB69-23CF-44E3-9099-C40C66FF867C}">
                  <a14:compatExt spid="_x0000_s43022"/>
                </a:ext>
                <a:ext uri="{FF2B5EF4-FFF2-40B4-BE49-F238E27FC236}">
                  <a16:creationId xmlns:a16="http://schemas.microsoft.com/office/drawing/2014/main" id="{00000000-0008-0000-0600-00000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14</xdr:row>
          <xdr:rowOff>0</xdr:rowOff>
        </xdr:from>
        <xdr:to>
          <xdr:col>17</xdr:col>
          <xdr:colOff>0</xdr:colOff>
          <xdr:row>14</xdr:row>
          <xdr:rowOff>180975</xdr:rowOff>
        </xdr:to>
        <xdr:sp macro="" textlink="">
          <xdr:nvSpPr>
            <xdr:cNvPr id="43023" name="Check Box 15" hidden="1">
              <a:extLst>
                <a:ext uri="{63B3BB69-23CF-44E3-9099-C40C66FF867C}">
                  <a14:compatExt spid="_x0000_s43023"/>
                </a:ext>
                <a:ext uri="{FF2B5EF4-FFF2-40B4-BE49-F238E27FC236}">
                  <a16:creationId xmlns:a16="http://schemas.microsoft.com/office/drawing/2014/main" id="{00000000-0008-0000-0600-00000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xdr:row>
          <xdr:rowOff>19050</xdr:rowOff>
        </xdr:from>
        <xdr:to>
          <xdr:col>21</xdr:col>
          <xdr:colOff>0</xdr:colOff>
          <xdr:row>4</xdr:row>
          <xdr:rowOff>142875</xdr:rowOff>
        </xdr:to>
        <xdr:sp macro="" textlink="">
          <xdr:nvSpPr>
            <xdr:cNvPr id="43024" name="Option Button 16" hidden="1">
              <a:extLst>
                <a:ext uri="{63B3BB69-23CF-44E3-9099-C40C66FF867C}">
                  <a14:compatExt spid="_x0000_s43024"/>
                </a:ext>
                <a:ext uri="{FF2B5EF4-FFF2-40B4-BE49-F238E27FC236}">
                  <a16:creationId xmlns:a16="http://schemas.microsoft.com/office/drawing/2014/main" id="{00000000-0008-0000-0600-00001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xdr:row>
          <xdr:rowOff>190500</xdr:rowOff>
        </xdr:from>
        <xdr:to>
          <xdr:col>24</xdr:col>
          <xdr:colOff>0</xdr:colOff>
          <xdr:row>5</xdr:row>
          <xdr:rowOff>0</xdr:rowOff>
        </xdr:to>
        <xdr:sp macro="" textlink="">
          <xdr:nvSpPr>
            <xdr:cNvPr id="43025" name="Group Box 17" hidden="1">
              <a:extLst>
                <a:ext uri="{63B3BB69-23CF-44E3-9099-C40C66FF867C}">
                  <a14:compatExt spid="_x0000_s43025"/>
                </a:ext>
                <a:ext uri="{FF2B5EF4-FFF2-40B4-BE49-F238E27FC236}">
                  <a16:creationId xmlns:a16="http://schemas.microsoft.com/office/drawing/2014/main" id="{00000000-0008-0000-0600-00001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4</xdr:row>
          <xdr:rowOff>19050</xdr:rowOff>
        </xdr:from>
        <xdr:to>
          <xdr:col>24</xdr:col>
          <xdr:colOff>0</xdr:colOff>
          <xdr:row>4</xdr:row>
          <xdr:rowOff>142875</xdr:rowOff>
        </xdr:to>
        <xdr:sp macro="" textlink="">
          <xdr:nvSpPr>
            <xdr:cNvPr id="43026" name="Option Button 18" hidden="1">
              <a:extLst>
                <a:ext uri="{63B3BB69-23CF-44E3-9099-C40C66FF867C}">
                  <a14:compatExt spid="_x0000_s43026"/>
                </a:ext>
                <a:ext uri="{FF2B5EF4-FFF2-40B4-BE49-F238E27FC236}">
                  <a16:creationId xmlns:a16="http://schemas.microsoft.com/office/drawing/2014/main" id="{00000000-0008-0000-0600-00001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18</xdr:row>
          <xdr:rowOff>0</xdr:rowOff>
        </xdr:from>
        <xdr:to>
          <xdr:col>24</xdr:col>
          <xdr:colOff>0</xdr:colOff>
          <xdr:row>21</xdr:row>
          <xdr:rowOff>0</xdr:rowOff>
        </xdr:to>
        <xdr:sp macro="" textlink="">
          <xdr:nvSpPr>
            <xdr:cNvPr id="43031" name="Group Box 23" hidden="1">
              <a:extLst>
                <a:ext uri="{63B3BB69-23CF-44E3-9099-C40C66FF867C}">
                  <a14:compatExt spid="_x0000_s43031"/>
                </a:ext>
                <a:ext uri="{FF2B5EF4-FFF2-40B4-BE49-F238E27FC236}">
                  <a16:creationId xmlns:a16="http://schemas.microsoft.com/office/drawing/2014/main" id="{00000000-0008-0000-0600-000017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20</xdr:row>
          <xdr:rowOff>0</xdr:rowOff>
        </xdr:from>
        <xdr:to>
          <xdr:col>20</xdr:col>
          <xdr:colOff>0</xdr:colOff>
          <xdr:row>20</xdr:row>
          <xdr:rowOff>152400</xdr:rowOff>
        </xdr:to>
        <xdr:sp macro="" textlink="">
          <xdr:nvSpPr>
            <xdr:cNvPr id="43032" name="Option Button 24" hidden="1">
              <a:extLst>
                <a:ext uri="{63B3BB69-23CF-44E3-9099-C40C66FF867C}">
                  <a14:compatExt spid="_x0000_s43032"/>
                </a:ext>
                <a:ext uri="{FF2B5EF4-FFF2-40B4-BE49-F238E27FC236}">
                  <a16:creationId xmlns:a16="http://schemas.microsoft.com/office/drawing/2014/main" id="{00000000-0008-0000-0600-00001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19</xdr:row>
          <xdr:rowOff>0</xdr:rowOff>
        </xdr:from>
        <xdr:to>
          <xdr:col>22</xdr:col>
          <xdr:colOff>0</xdr:colOff>
          <xdr:row>19</xdr:row>
          <xdr:rowOff>152400</xdr:rowOff>
        </xdr:to>
        <xdr:sp macro="" textlink="">
          <xdr:nvSpPr>
            <xdr:cNvPr id="43033" name="Option Button 25" hidden="1">
              <a:extLst>
                <a:ext uri="{63B3BB69-23CF-44E3-9099-C40C66FF867C}">
                  <a14:compatExt spid="_x0000_s43033"/>
                </a:ext>
                <a:ext uri="{FF2B5EF4-FFF2-40B4-BE49-F238E27FC236}">
                  <a16:creationId xmlns:a16="http://schemas.microsoft.com/office/drawing/2014/main" id="{00000000-0008-0000-0600-00001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20</xdr:row>
          <xdr:rowOff>9525</xdr:rowOff>
        </xdr:from>
        <xdr:to>
          <xdr:col>22</xdr:col>
          <xdr:colOff>0</xdr:colOff>
          <xdr:row>20</xdr:row>
          <xdr:rowOff>152400</xdr:rowOff>
        </xdr:to>
        <xdr:sp macro="" textlink="">
          <xdr:nvSpPr>
            <xdr:cNvPr id="43034" name="Option Button 26" hidden="1">
              <a:extLst>
                <a:ext uri="{63B3BB69-23CF-44E3-9099-C40C66FF867C}">
                  <a14:compatExt spid="_x0000_s43034"/>
                </a:ext>
                <a:ext uri="{FF2B5EF4-FFF2-40B4-BE49-F238E27FC236}">
                  <a16:creationId xmlns:a16="http://schemas.microsoft.com/office/drawing/2014/main" id="{00000000-0008-0000-0600-00001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161925</xdr:rowOff>
        </xdr:from>
        <xdr:to>
          <xdr:col>24</xdr:col>
          <xdr:colOff>0</xdr:colOff>
          <xdr:row>20</xdr:row>
          <xdr:rowOff>152400</xdr:rowOff>
        </xdr:to>
        <xdr:sp macro="" textlink="">
          <xdr:nvSpPr>
            <xdr:cNvPr id="43035" name="Option Button 27" hidden="1">
              <a:extLst>
                <a:ext uri="{63B3BB69-23CF-44E3-9099-C40C66FF867C}">
                  <a14:compatExt spid="_x0000_s43035"/>
                </a:ext>
                <a:ext uri="{FF2B5EF4-FFF2-40B4-BE49-F238E27FC236}">
                  <a16:creationId xmlns:a16="http://schemas.microsoft.com/office/drawing/2014/main" id="{00000000-0008-0000-0600-00001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0</xdr:rowOff>
        </xdr:from>
        <xdr:to>
          <xdr:col>15</xdr:col>
          <xdr:colOff>0</xdr:colOff>
          <xdr:row>24</xdr:row>
          <xdr:rowOff>0</xdr:rowOff>
        </xdr:to>
        <xdr:sp macro="" textlink="">
          <xdr:nvSpPr>
            <xdr:cNvPr id="43036" name="Check Box 28" hidden="1">
              <a:extLst>
                <a:ext uri="{63B3BB69-23CF-44E3-9099-C40C66FF867C}">
                  <a14:compatExt spid="_x0000_s43036"/>
                </a:ext>
                <a:ext uri="{FF2B5EF4-FFF2-40B4-BE49-F238E27FC236}">
                  <a16:creationId xmlns:a16="http://schemas.microsoft.com/office/drawing/2014/main" id="{00000000-0008-0000-0600-00001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24</xdr:row>
          <xdr:rowOff>0</xdr:rowOff>
        </xdr:from>
        <xdr:to>
          <xdr:col>15</xdr:col>
          <xdr:colOff>0</xdr:colOff>
          <xdr:row>25</xdr:row>
          <xdr:rowOff>0</xdr:rowOff>
        </xdr:to>
        <xdr:sp macro="" textlink="">
          <xdr:nvSpPr>
            <xdr:cNvPr id="43037" name="Check Box 29" hidden="1">
              <a:extLst>
                <a:ext uri="{63B3BB69-23CF-44E3-9099-C40C66FF867C}">
                  <a14:compatExt spid="_x0000_s43037"/>
                </a:ext>
                <a:ext uri="{FF2B5EF4-FFF2-40B4-BE49-F238E27FC236}">
                  <a16:creationId xmlns:a16="http://schemas.microsoft.com/office/drawing/2014/main" id="{00000000-0008-0000-0600-00001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23</xdr:row>
          <xdr:rowOff>0</xdr:rowOff>
        </xdr:from>
        <xdr:to>
          <xdr:col>22</xdr:col>
          <xdr:colOff>0</xdr:colOff>
          <xdr:row>24</xdr:row>
          <xdr:rowOff>0</xdr:rowOff>
        </xdr:to>
        <xdr:sp macro="" textlink="">
          <xdr:nvSpPr>
            <xdr:cNvPr id="43038" name="Check Box 30" hidden="1">
              <a:extLst>
                <a:ext uri="{63B3BB69-23CF-44E3-9099-C40C66FF867C}">
                  <a14:compatExt spid="_x0000_s43038"/>
                </a:ext>
                <a:ext uri="{FF2B5EF4-FFF2-40B4-BE49-F238E27FC236}">
                  <a16:creationId xmlns:a16="http://schemas.microsoft.com/office/drawing/2014/main" id="{00000000-0008-0000-0600-00001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24</xdr:row>
          <xdr:rowOff>0</xdr:rowOff>
        </xdr:from>
        <xdr:to>
          <xdr:col>22</xdr:col>
          <xdr:colOff>0</xdr:colOff>
          <xdr:row>25</xdr:row>
          <xdr:rowOff>0</xdr:rowOff>
        </xdr:to>
        <xdr:sp macro="" textlink="">
          <xdr:nvSpPr>
            <xdr:cNvPr id="43039" name="Check Box 31" hidden="1">
              <a:extLst>
                <a:ext uri="{63B3BB69-23CF-44E3-9099-C40C66FF867C}">
                  <a14:compatExt spid="_x0000_s43039"/>
                </a:ext>
                <a:ext uri="{FF2B5EF4-FFF2-40B4-BE49-F238E27FC236}">
                  <a16:creationId xmlns:a16="http://schemas.microsoft.com/office/drawing/2014/main" id="{00000000-0008-0000-0600-00001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15</xdr:col>
          <xdr:colOff>0</xdr:colOff>
          <xdr:row>19</xdr:row>
          <xdr:rowOff>0</xdr:rowOff>
        </xdr:to>
        <xdr:sp macro="" textlink="">
          <xdr:nvSpPr>
            <xdr:cNvPr id="43040" name="Group Box 32" hidden="1">
              <a:extLst>
                <a:ext uri="{63B3BB69-23CF-44E3-9099-C40C66FF867C}">
                  <a14:compatExt spid="_x0000_s43040"/>
                </a:ext>
                <a:ext uri="{FF2B5EF4-FFF2-40B4-BE49-F238E27FC236}">
                  <a16:creationId xmlns:a16="http://schemas.microsoft.com/office/drawing/2014/main" id="{00000000-0008-0000-0600-000020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xdr:row>
          <xdr:rowOff>19050</xdr:rowOff>
        </xdr:from>
        <xdr:to>
          <xdr:col>12</xdr:col>
          <xdr:colOff>266700</xdr:colOff>
          <xdr:row>17</xdr:row>
          <xdr:rowOff>142875</xdr:rowOff>
        </xdr:to>
        <xdr:sp macro="" textlink="">
          <xdr:nvSpPr>
            <xdr:cNvPr id="43041" name="Option Button 33" hidden="1">
              <a:extLst>
                <a:ext uri="{63B3BB69-23CF-44E3-9099-C40C66FF867C}">
                  <a14:compatExt spid="_x0000_s43041"/>
                </a:ext>
                <a:ext uri="{FF2B5EF4-FFF2-40B4-BE49-F238E27FC236}">
                  <a16:creationId xmlns:a16="http://schemas.microsoft.com/office/drawing/2014/main" id="{00000000-0008-0000-0600-00002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9525</xdr:rowOff>
        </xdr:from>
        <xdr:to>
          <xdr:col>12</xdr:col>
          <xdr:colOff>266700</xdr:colOff>
          <xdr:row>18</xdr:row>
          <xdr:rowOff>133350</xdr:rowOff>
        </xdr:to>
        <xdr:sp macro="" textlink="">
          <xdr:nvSpPr>
            <xdr:cNvPr id="43042" name="Option Button 34" hidden="1">
              <a:extLst>
                <a:ext uri="{63B3BB69-23CF-44E3-9099-C40C66FF867C}">
                  <a14:compatExt spid="_x0000_s43042"/>
                </a:ext>
                <a:ext uri="{FF2B5EF4-FFF2-40B4-BE49-F238E27FC236}">
                  <a16:creationId xmlns:a16="http://schemas.microsoft.com/office/drawing/2014/main" id="{00000000-0008-0000-0600-00002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27</xdr:row>
          <xdr:rowOff>0</xdr:rowOff>
        </xdr:from>
        <xdr:to>
          <xdr:col>15</xdr:col>
          <xdr:colOff>0</xdr:colOff>
          <xdr:row>28</xdr:row>
          <xdr:rowOff>0</xdr:rowOff>
        </xdr:to>
        <xdr:sp macro="" textlink="">
          <xdr:nvSpPr>
            <xdr:cNvPr id="43043" name="Check Box 35" hidden="1">
              <a:extLst>
                <a:ext uri="{63B3BB69-23CF-44E3-9099-C40C66FF867C}">
                  <a14:compatExt spid="_x0000_s43043"/>
                </a:ext>
                <a:ext uri="{FF2B5EF4-FFF2-40B4-BE49-F238E27FC236}">
                  <a16:creationId xmlns:a16="http://schemas.microsoft.com/office/drawing/2014/main" id="{00000000-0008-0000-0600-00002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31</xdr:row>
          <xdr:rowOff>0</xdr:rowOff>
        </xdr:from>
        <xdr:to>
          <xdr:col>15</xdr:col>
          <xdr:colOff>0</xdr:colOff>
          <xdr:row>32</xdr:row>
          <xdr:rowOff>0</xdr:rowOff>
        </xdr:to>
        <xdr:sp macro="" textlink="">
          <xdr:nvSpPr>
            <xdr:cNvPr id="43046" name="Check Box 38" hidden="1">
              <a:extLst>
                <a:ext uri="{63B3BB69-23CF-44E3-9099-C40C66FF867C}">
                  <a14:compatExt spid="_x0000_s43046"/>
                </a:ext>
                <a:ext uri="{FF2B5EF4-FFF2-40B4-BE49-F238E27FC236}">
                  <a16:creationId xmlns:a16="http://schemas.microsoft.com/office/drawing/2014/main" id="{00000000-0008-0000-0600-00002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32</xdr:row>
          <xdr:rowOff>0</xdr:rowOff>
        </xdr:from>
        <xdr:to>
          <xdr:col>15</xdr:col>
          <xdr:colOff>0</xdr:colOff>
          <xdr:row>33</xdr:row>
          <xdr:rowOff>0</xdr:rowOff>
        </xdr:to>
        <xdr:sp macro="" textlink="">
          <xdr:nvSpPr>
            <xdr:cNvPr id="43047" name="Check Box 39" hidden="1">
              <a:extLst>
                <a:ext uri="{63B3BB69-23CF-44E3-9099-C40C66FF867C}">
                  <a14:compatExt spid="_x0000_s43047"/>
                </a:ext>
                <a:ext uri="{FF2B5EF4-FFF2-40B4-BE49-F238E27FC236}">
                  <a16:creationId xmlns:a16="http://schemas.microsoft.com/office/drawing/2014/main" id="{00000000-0008-0000-0600-00002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33</xdr:row>
          <xdr:rowOff>0</xdr:rowOff>
        </xdr:from>
        <xdr:to>
          <xdr:col>15</xdr:col>
          <xdr:colOff>0</xdr:colOff>
          <xdr:row>34</xdr:row>
          <xdr:rowOff>0</xdr:rowOff>
        </xdr:to>
        <xdr:sp macro="" textlink="">
          <xdr:nvSpPr>
            <xdr:cNvPr id="43048" name="Check Box 40" hidden="1">
              <a:extLst>
                <a:ext uri="{63B3BB69-23CF-44E3-9099-C40C66FF867C}">
                  <a14:compatExt spid="_x0000_s43048"/>
                </a:ext>
                <a:ext uri="{FF2B5EF4-FFF2-40B4-BE49-F238E27FC236}">
                  <a16:creationId xmlns:a16="http://schemas.microsoft.com/office/drawing/2014/main" id="{00000000-0008-0000-0600-00002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sp macro="" textlink="">
          <xdr:nvSpPr>
            <xdr:cNvPr id="43049" name="Check Box 41" hidden="1">
              <a:extLst>
                <a:ext uri="{63B3BB69-23CF-44E3-9099-C40C66FF867C}">
                  <a14:compatExt spid="_x0000_s43049"/>
                </a:ext>
                <a:ext uri="{FF2B5EF4-FFF2-40B4-BE49-F238E27FC236}">
                  <a16:creationId xmlns:a16="http://schemas.microsoft.com/office/drawing/2014/main" id="{00000000-0008-0000-0600-00002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34</xdr:row>
          <xdr:rowOff>0</xdr:rowOff>
        </xdr:from>
        <xdr:to>
          <xdr:col>15</xdr:col>
          <xdr:colOff>0</xdr:colOff>
          <xdr:row>35</xdr:row>
          <xdr:rowOff>0</xdr:rowOff>
        </xdr:to>
        <xdr:sp macro="" textlink="">
          <xdr:nvSpPr>
            <xdr:cNvPr id="43050" name="Check Box 42" hidden="1">
              <a:extLst>
                <a:ext uri="{63B3BB69-23CF-44E3-9099-C40C66FF867C}">
                  <a14:compatExt spid="_x0000_s43050"/>
                </a:ext>
                <a:ext uri="{FF2B5EF4-FFF2-40B4-BE49-F238E27FC236}">
                  <a16:creationId xmlns:a16="http://schemas.microsoft.com/office/drawing/2014/main" id="{00000000-0008-0000-0600-00002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35</xdr:row>
          <xdr:rowOff>0</xdr:rowOff>
        </xdr:from>
        <xdr:to>
          <xdr:col>15</xdr:col>
          <xdr:colOff>0</xdr:colOff>
          <xdr:row>36</xdr:row>
          <xdr:rowOff>0</xdr:rowOff>
        </xdr:to>
        <xdr:sp macro="" textlink="">
          <xdr:nvSpPr>
            <xdr:cNvPr id="43051" name="Check Box 43" hidden="1">
              <a:extLst>
                <a:ext uri="{63B3BB69-23CF-44E3-9099-C40C66FF867C}">
                  <a14:compatExt spid="_x0000_s43051"/>
                </a:ext>
                <a:ext uri="{FF2B5EF4-FFF2-40B4-BE49-F238E27FC236}">
                  <a16:creationId xmlns:a16="http://schemas.microsoft.com/office/drawing/2014/main" id="{00000000-0008-0000-0600-00002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36</xdr:row>
          <xdr:rowOff>0</xdr:rowOff>
        </xdr:from>
        <xdr:to>
          <xdr:col>15</xdr:col>
          <xdr:colOff>0</xdr:colOff>
          <xdr:row>37</xdr:row>
          <xdr:rowOff>0</xdr:rowOff>
        </xdr:to>
        <xdr:sp macro="" textlink="">
          <xdr:nvSpPr>
            <xdr:cNvPr id="43052" name="Check Box 44" hidden="1">
              <a:extLst>
                <a:ext uri="{63B3BB69-23CF-44E3-9099-C40C66FF867C}">
                  <a14:compatExt spid="_x0000_s43052"/>
                </a:ext>
                <a:ext uri="{FF2B5EF4-FFF2-40B4-BE49-F238E27FC236}">
                  <a16:creationId xmlns:a16="http://schemas.microsoft.com/office/drawing/2014/main" id="{00000000-0008-0000-0600-00002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47624</xdr:colOff>
          <xdr:row>17</xdr:row>
          <xdr:rowOff>190499</xdr:rowOff>
        </xdr:from>
        <xdr:to>
          <xdr:col>4</xdr:col>
          <xdr:colOff>344624</xdr:colOff>
          <xdr:row>22</xdr:row>
          <xdr:rowOff>6844</xdr:rowOff>
        </xdr:to>
        <xdr:pic>
          <xdr:nvPicPr>
            <xdr:cNvPr id="6" name="Grafik 5">
              <a:extLst>
                <a:ext uri="{FF2B5EF4-FFF2-40B4-BE49-F238E27FC236}">
                  <a16:creationId xmlns:a16="http://schemas.microsoft.com/office/drawing/2014/main" id="{00000000-0008-0000-0600-000006000000}"/>
                </a:ext>
              </a:extLst>
            </xdr:cNvPr>
            <xdr:cNvPicPr>
              <a:picLocks noChangeAspect="1" noChangeArrowheads="1"/>
              <a:extLst>
                <a:ext uri="{84589F7E-364E-4C9E-8A38-B11213B215E9}">
                  <a14:cameraTool cellRange="MontageartLinks3" spid="_x0000_s519625"/>
                </a:ext>
              </a:extLst>
            </xdr:cNvPicPr>
          </xdr:nvPicPr>
          <xdr:blipFill>
            <a:blip xmlns:r="http://schemas.openxmlformats.org/officeDocument/2006/relationships" r:embed="rId2"/>
            <a:srcRect/>
            <a:stretch>
              <a:fillRect/>
            </a:stretch>
          </xdr:blipFill>
          <xdr:spPr bwMode="auto">
            <a:xfrm>
              <a:off x="428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47624</xdr:colOff>
          <xdr:row>17</xdr:row>
          <xdr:rowOff>190499</xdr:rowOff>
        </xdr:from>
        <xdr:to>
          <xdr:col>8</xdr:col>
          <xdr:colOff>344624</xdr:colOff>
          <xdr:row>22</xdr:row>
          <xdr:rowOff>6844</xdr:rowOff>
        </xdr:to>
        <xdr:pic>
          <xdr:nvPicPr>
            <xdr:cNvPr id="7" name="Grafik 6">
              <a:extLst>
                <a:ext uri="{FF2B5EF4-FFF2-40B4-BE49-F238E27FC236}">
                  <a16:creationId xmlns:a16="http://schemas.microsoft.com/office/drawing/2014/main" id="{00000000-0008-0000-0600-000007000000}"/>
                </a:ext>
              </a:extLst>
            </xdr:cNvPr>
            <xdr:cNvPicPr>
              <a:picLocks noChangeAspect="1" noChangeArrowheads="1"/>
              <a:extLst>
                <a:ext uri="{84589F7E-364E-4C9E-8A38-B11213B215E9}">
                  <a14:cameraTool cellRange="MontageartRechts3" spid="_x0000_s519626"/>
                </a:ext>
              </a:extLst>
            </xdr:cNvPicPr>
          </xdr:nvPicPr>
          <xdr:blipFill>
            <a:blip xmlns:r="http://schemas.openxmlformats.org/officeDocument/2006/relationships" r:embed="rId3"/>
            <a:srcRect/>
            <a:stretch>
              <a:fillRect/>
            </a:stretch>
          </xdr:blipFill>
          <xdr:spPr bwMode="auto">
            <a:xfrm>
              <a:off x="1952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28574</xdr:colOff>
          <xdr:row>16</xdr:row>
          <xdr:rowOff>152399</xdr:rowOff>
        </xdr:from>
        <xdr:to>
          <xdr:col>17</xdr:col>
          <xdr:colOff>8174</xdr:colOff>
          <xdr:row>21</xdr:row>
          <xdr:rowOff>84374</xdr:rowOff>
        </xdr:to>
        <xdr:pic>
          <xdr:nvPicPr>
            <xdr:cNvPr id="8" name="Grafik 7">
              <a:extLst>
                <a:ext uri="{FF2B5EF4-FFF2-40B4-BE49-F238E27FC236}">
                  <a16:creationId xmlns:a16="http://schemas.microsoft.com/office/drawing/2014/main" id="{00000000-0008-0000-0600-000008000000}"/>
                </a:ext>
              </a:extLst>
            </xdr:cNvPr>
            <xdr:cNvPicPr>
              <a:picLocks noChangeAspect="1" noChangeArrowheads="1"/>
              <a:extLst>
                <a:ext uri="{84589F7E-364E-4C9E-8A38-B11213B215E9}">
                  <a14:cameraTool cellRange="Rundprofil3" spid="_x0000_s519627"/>
                </a:ext>
              </a:extLst>
            </xdr:cNvPicPr>
          </xdr:nvPicPr>
          <xdr:blipFill>
            <a:blip xmlns:r="http://schemas.openxmlformats.org/officeDocument/2006/relationships" r:embed="rId4"/>
            <a:srcRect/>
            <a:stretch>
              <a:fillRect/>
            </a:stretch>
          </xdr:blipFill>
          <xdr:spPr bwMode="auto">
            <a:xfrm>
              <a:off x="5743574" y="2152649"/>
              <a:ext cx="741600" cy="741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xdr:row>
          <xdr:rowOff>0</xdr:rowOff>
        </xdr:from>
        <xdr:to>
          <xdr:col>17</xdr:col>
          <xdr:colOff>0</xdr:colOff>
          <xdr:row>37</xdr:row>
          <xdr:rowOff>0</xdr:rowOff>
        </xdr:to>
        <xdr:sp macro="" textlink="">
          <xdr:nvSpPr>
            <xdr:cNvPr id="325923" name="Group Box 2339" hidden="1">
              <a:extLst>
                <a:ext uri="{63B3BB69-23CF-44E3-9099-C40C66FF867C}">
                  <a14:compatExt spid="_x0000_s325923"/>
                </a:ext>
                <a:ext uri="{FF2B5EF4-FFF2-40B4-BE49-F238E27FC236}">
                  <a16:creationId xmlns:a16="http://schemas.microsoft.com/office/drawing/2014/main" id="{00000000-0008-0000-0600-000023F9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29</xdr:row>
          <xdr:rowOff>19050</xdr:rowOff>
        </xdr:from>
        <xdr:to>
          <xdr:col>12</xdr:col>
          <xdr:colOff>266700</xdr:colOff>
          <xdr:row>29</xdr:row>
          <xdr:rowOff>142875</xdr:rowOff>
        </xdr:to>
        <xdr:sp macro="" textlink="">
          <xdr:nvSpPr>
            <xdr:cNvPr id="325924" name="Option Button 2340" hidden="1">
              <a:extLst>
                <a:ext uri="{63B3BB69-23CF-44E3-9099-C40C66FF867C}">
                  <a14:compatExt spid="_x0000_s325924"/>
                </a:ext>
                <a:ext uri="{FF2B5EF4-FFF2-40B4-BE49-F238E27FC236}">
                  <a16:creationId xmlns:a16="http://schemas.microsoft.com/office/drawing/2014/main" id="{00000000-0008-0000-0600-000024F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30</xdr:row>
          <xdr:rowOff>9525</xdr:rowOff>
        </xdr:from>
        <xdr:to>
          <xdr:col>12</xdr:col>
          <xdr:colOff>266700</xdr:colOff>
          <xdr:row>30</xdr:row>
          <xdr:rowOff>133350</xdr:rowOff>
        </xdr:to>
        <xdr:sp macro="" textlink="">
          <xdr:nvSpPr>
            <xdr:cNvPr id="325925" name="Option Button 2341" hidden="1">
              <a:extLst>
                <a:ext uri="{63B3BB69-23CF-44E3-9099-C40C66FF867C}">
                  <a14:compatExt spid="_x0000_s325925"/>
                </a:ext>
                <a:ext uri="{FF2B5EF4-FFF2-40B4-BE49-F238E27FC236}">
                  <a16:creationId xmlns:a16="http://schemas.microsoft.com/office/drawing/2014/main" id="{00000000-0008-0000-0600-000025F9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22</xdr:col>
          <xdr:colOff>0</xdr:colOff>
          <xdr:row>16</xdr:row>
          <xdr:rowOff>0</xdr:rowOff>
        </xdr:to>
        <xdr:sp macro="" textlink="">
          <xdr:nvSpPr>
            <xdr:cNvPr id="326328" name="Group Box 2744" hidden="1">
              <a:extLst>
                <a:ext uri="{63B3BB69-23CF-44E3-9099-C40C66FF867C}">
                  <a14:compatExt spid="_x0000_s326328"/>
                </a:ext>
                <a:ext uri="{FF2B5EF4-FFF2-40B4-BE49-F238E27FC236}">
                  <a16:creationId xmlns:a16="http://schemas.microsoft.com/office/drawing/2014/main" id="{00000000-0008-0000-0600-0000B8FA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12</xdr:row>
          <xdr:rowOff>19050</xdr:rowOff>
        </xdr:from>
        <xdr:to>
          <xdr:col>21</xdr:col>
          <xdr:colOff>123825</xdr:colOff>
          <xdr:row>13</xdr:row>
          <xdr:rowOff>0</xdr:rowOff>
        </xdr:to>
        <xdr:sp macro="" textlink="">
          <xdr:nvSpPr>
            <xdr:cNvPr id="326329" name="Option Button 2745" hidden="1">
              <a:extLst>
                <a:ext uri="{63B3BB69-23CF-44E3-9099-C40C66FF867C}">
                  <a14:compatExt spid="_x0000_s326329"/>
                </a:ext>
                <a:ext uri="{FF2B5EF4-FFF2-40B4-BE49-F238E27FC236}">
                  <a16:creationId xmlns:a16="http://schemas.microsoft.com/office/drawing/2014/main" id="{00000000-0008-0000-0600-0000B9F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14</xdr:row>
          <xdr:rowOff>19050</xdr:rowOff>
        </xdr:from>
        <xdr:to>
          <xdr:col>21</xdr:col>
          <xdr:colOff>123825</xdr:colOff>
          <xdr:row>14</xdr:row>
          <xdr:rowOff>142875</xdr:rowOff>
        </xdr:to>
        <xdr:sp macro="" textlink="">
          <xdr:nvSpPr>
            <xdr:cNvPr id="326330" name="Option Button 2746" hidden="1">
              <a:extLst>
                <a:ext uri="{63B3BB69-23CF-44E3-9099-C40C66FF867C}">
                  <a14:compatExt spid="_x0000_s326330"/>
                </a:ext>
                <a:ext uri="{FF2B5EF4-FFF2-40B4-BE49-F238E27FC236}">
                  <a16:creationId xmlns:a16="http://schemas.microsoft.com/office/drawing/2014/main" id="{00000000-0008-0000-0600-0000BAF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15</xdr:row>
          <xdr:rowOff>19050</xdr:rowOff>
        </xdr:from>
        <xdr:to>
          <xdr:col>21</xdr:col>
          <xdr:colOff>123825</xdr:colOff>
          <xdr:row>15</xdr:row>
          <xdr:rowOff>142875</xdr:rowOff>
        </xdr:to>
        <xdr:sp macro="" textlink="">
          <xdr:nvSpPr>
            <xdr:cNvPr id="326331" name="Option Button 2747" hidden="1">
              <a:extLst>
                <a:ext uri="{63B3BB69-23CF-44E3-9099-C40C66FF867C}">
                  <a14:compatExt spid="_x0000_s326331"/>
                </a:ext>
                <a:ext uri="{FF2B5EF4-FFF2-40B4-BE49-F238E27FC236}">
                  <a16:creationId xmlns:a16="http://schemas.microsoft.com/office/drawing/2014/main" id="{00000000-0008-0000-0600-0000BBF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24</xdr:col>
          <xdr:colOff>0</xdr:colOff>
          <xdr:row>15</xdr:row>
          <xdr:rowOff>161925</xdr:rowOff>
        </xdr:to>
        <xdr:sp macro="" textlink="">
          <xdr:nvSpPr>
            <xdr:cNvPr id="326332" name="Group Box 2748" hidden="1">
              <a:extLst>
                <a:ext uri="{63B3BB69-23CF-44E3-9099-C40C66FF867C}">
                  <a14:compatExt spid="_x0000_s326332"/>
                </a:ext>
                <a:ext uri="{FF2B5EF4-FFF2-40B4-BE49-F238E27FC236}">
                  <a16:creationId xmlns:a16="http://schemas.microsoft.com/office/drawing/2014/main" id="{00000000-0008-0000-0600-0000BCFA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12</xdr:row>
          <xdr:rowOff>19050</xdr:rowOff>
        </xdr:from>
        <xdr:to>
          <xdr:col>23</xdr:col>
          <xdr:colOff>123825</xdr:colOff>
          <xdr:row>12</xdr:row>
          <xdr:rowOff>161925</xdr:rowOff>
        </xdr:to>
        <xdr:sp macro="" textlink="">
          <xdr:nvSpPr>
            <xdr:cNvPr id="326333" name="Option Button 2749" hidden="1">
              <a:extLst>
                <a:ext uri="{63B3BB69-23CF-44E3-9099-C40C66FF867C}">
                  <a14:compatExt spid="_x0000_s326333"/>
                </a:ext>
                <a:ext uri="{FF2B5EF4-FFF2-40B4-BE49-F238E27FC236}">
                  <a16:creationId xmlns:a16="http://schemas.microsoft.com/office/drawing/2014/main" id="{00000000-0008-0000-0600-0000BDF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14</xdr:row>
          <xdr:rowOff>19050</xdr:rowOff>
        </xdr:from>
        <xdr:to>
          <xdr:col>23</xdr:col>
          <xdr:colOff>123825</xdr:colOff>
          <xdr:row>14</xdr:row>
          <xdr:rowOff>142875</xdr:rowOff>
        </xdr:to>
        <xdr:sp macro="" textlink="">
          <xdr:nvSpPr>
            <xdr:cNvPr id="326334" name="Option Button 2750" hidden="1">
              <a:extLst>
                <a:ext uri="{63B3BB69-23CF-44E3-9099-C40C66FF867C}">
                  <a14:compatExt spid="_x0000_s326334"/>
                </a:ext>
                <a:ext uri="{FF2B5EF4-FFF2-40B4-BE49-F238E27FC236}">
                  <a16:creationId xmlns:a16="http://schemas.microsoft.com/office/drawing/2014/main" id="{00000000-0008-0000-0600-0000BEF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15</xdr:row>
          <xdr:rowOff>19050</xdr:rowOff>
        </xdr:from>
        <xdr:to>
          <xdr:col>23</xdr:col>
          <xdr:colOff>123825</xdr:colOff>
          <xdr:row>15</xdr:row>
          <xdr:rowOff>142875</xdr:rowOff>
        </xdr:to>
        <xdr:sp macro="" textlink="">
          <xdr:nvSpPr>
            <xdr:cNvPr id="326335" name="Option Button 2751" hidden="1">
              <a:extLst>
                <a:ext uri="{63B3BB69-23CF-44E3-9099-C40C66FF867C}">
                  <a14:compatExt spid="_x0000_s326335"/>
                </a:ext>
                <a:ext uri="{FF2B5EF4-FFF2-40B4-BE49-F238E27FC236}">
                  <a16:creationId xmlns:a16="http://schemas.microsoft.com/office/drawing/2014/main" id="{00000000-0008-0000-0600-0000BFF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16566</xdr:colOff>
      <xdr:row>0</xdr:row>
      <xdr:rowOff>16566</xdr:rowOff>
    </xdr:from>
    <xdr:to>
      <xdr:col>1</xdr:col>
      <xdr:colOff>254923</xdr:colOff>
      <xdr:row>3</xdr:row>
      <xdr:rowOff>10195</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66" y="16566"/>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5</xdr:col>
          <xdr:colOff>0</xdr:colOff>
          <xdr:row>25</xdr:row>
          <xdr:rowOff>0</xdr:rowOff>
        </xdr:to>
        <xdr:sp macro="" textlink="">
          <xdr:nvSpPr>
            <xdr:cNvPr id="48129" name="Group Box 1" hidden="1">
              <a:extLst>
                <a:ext uri="{63B3BB69-23CF-44E3-9099-C40C66FF867C}">
                  <a14:compatExt spid="_x0000_s48129"/>
                </a:ext>
                <a:ext uri="{FF2B5EF4-FFF2-40B4-BE49-F238E27FC236}">
                  <a16:creationId xmlns:a16="http://schemas.microsoft.com/office/drawing/2014/main" id="{00000000-0008-0000-0700-00000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9</xdr:col>
          <xdr:colOff>0</xdr:colOff>
          <xdr:row>25</xdr:row>
          <xdr:rowOff>0</xdr:rowOff>
        </xdr:to>
        <xdr:sp macro="" textlink="">
          <xdr:nvSpPr>
            <xdr:cNvPr id="48130" name="Group Box 2" hidden="1">
              <a:extLst>
                <a:ext uri="{63B3BB69-23CF-44E3-9099-C40C66FF867C}">
                  <a14:compatExt spid="_x0000_s48130"/>
                </a:ext>
                <a:ext uri="{FF2B5EF4-FFF2-40B4-BE49-F238E27FC236}">
                  <a16:creationId xmlns:a16="http://schemas.microsoft.com/office/drawing/2014/main" id="{00000000-0008-0000-0700-00000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28575</xdr:colOff>
          <xdr:row>22</xdr:row>
          <xdr:rowOff>19050</xdr:rowOff>
        </xdr:from>
        <xdr:to>
          <xdr:col>3</xdr:col>
          <xdr:colOff>371475</xdr:colOff>
          <xdr:row>23</xdr:row>
          <xdr:rowOff>0</xdr:rowOff>
        </xdr:to>
        <xdr:sp macro="" textlink="">
          <xdr:nvSpPr>
            <xdr:cNvPr id="48131" name="Option Button 3" hidden="1">
              <a:extLst>
                <a:ext uri="{63B3BB69-23CF-44E3-9099-C40C66FF867C}">
                  <a14:compatExt spid="_x0000_s48131"/>
                </a:ext>
                <a:ext uri="{FF2B5EF4-FFF2-40B4-BE49-F238E27FC236}">
                  <a16:creationId xmlns:a16="http://schemas.microsoft.com/office/drawing/2014/main" id="{00000000-0008-0000-07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23</xdr:row>
          <xdr:rowOff>19050</xdr:rowOff>
        </xdr:from>
        <xdr:to>
          <xdr:col>3</xdr:col>
          <xdr:colOff>371475</xdr:colOff>
          <xdr:row>23</xdr:row>
          <xdr:rowOff>152400</xdr:rowOff>
        </xdr:to>
        <xdr:sp macro="" textlink="">
          <xdr:nvSpPr>
            <xdr:cNvPr id="48132" name="Option Button 4" hidden="1">
              <a:extLst>
                <a:ext uri="{63B3BB69-23CF-44E3-9099-C40C66FF867C}">
                  <a14:compatExt spid="_x0000_s48132"/>
                </a:ext>
                <a:ext uri="{FF2B5EF4-FFF2-40B4-BE49-F238E27FC236}">
                  <a16:creationId xmlns:a16="http://schemas.microsoft.com/office/drawing/2014/main" id="{00000000-0008-0000-07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24</xdr:row>
          <xdr:rowOff>19050</xdr:rowOff>
        </xdr:from>
        <xdr:to>
          <xdr:col>3</xdr:col>
          <xdr:colOff>371475</xdr:colOff>
          <xdr:row>24</xdr:row>
          <xdr:rowOff>142875</xdr:rowOff>
        </xdr:to>
        <xdr:sp macro="" textlink="">
          <xdr:nvSpPr>
            <xdr:cNvPr id="48133" name="Option Button 5" hidden="1">
              <a:extLst>
                <a:ext uri="{63B3BB69-23CF-44E3-9099-C40C66FF867C}">
                  <a14:compatExt spid="_x0000_s48133"/>
                </a:ext>
                <a:ext uri="{FF2B5EF4-FFF2-40B4-BE49-F238E27FC236}">
                  <a16:creationId xmlns:a16="http://schemas.microsoft.com/office/drawing/2014/main" id="{00000000-0008-0000-07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22</xdr:row>
          <xdr:rowOff>28575</xdr:rowOff>
        </xdr:from>
        <xdr:to>
          <xdr:col>7</xdr:col>
          <xdr:colOff>371475</xdr:colOff>
          <xdr:row>23</xdr:row>
          <xdr:rowOff>0</xdr:rowOff>
        </xdr:to>
        <xdr:sp macro="" textlink="">
          <xdr:nvSpPr>
            <xdr:cNvPr id="48134" name="Option Button 6" hidden="1">
              <a:extLst>
                <a:ext uri="{63B3BB69-23CF-44E3-9099-C40C66FF867C}">
                  <a14:compatExt spid="_x0000_s48134"/>
                </a:ext>
                <a:ext uri="{FF2B5EF4-FFF2-40B4-BE49-F238E27FC236}">
                  <a16:creationId xmlns:a16="http://schemas.microsoft.com/office/drawing/2014/main" id="{00000000-0008-0000-07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23</xdr:row>
          <xdr:rowOff>19050</xdr:rowOff>
        </xdr:from>
        <xdr:to>
          <xdr:col>7</xdr:col>
          <xdr:colOff>371475</xdr:colOff>
          <xdr:row>23</xdr:row>
          <xdr:rowOff>152400</xdr:rowOff>
        </xdr:to>
        <xdr:sp macro="" textlink="">
          <xdr:nvSpPr>
            <xdr:cNvPr id="48135" name="Option Button 7" hidden="1">
              <a:extLst>
                <a:ext uri="{63B3BB69-23CF-44E3-9099-C40C66FF867C}">
                  <a14:compatExt spid="_x0000_s48135"/>
                </a:ext>
                <a:ext uri="{FF2B5EF4-FFF2-40B4-BE49-F238E27FC236}">
                  <a16:creationId xmlns:a16="http://schemas.microsoft.com/office/drawing/2014/main" id="{00000000-0008-0000-07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24</xdr:row>
          <xdr:rowOff>19050</xdr:rowOff>
        </xdr:from>
        <xdr:to>
          <xdr:col>7</xdr:col>
          <xdr:colOff>371475</xdr:colOff>
          <xdr:row>24</xdr:row>
          <xdr:rowOff>142875</xdr:rowOff>
        </xdr:to>
        <xdr:sp macro="" textlink="">
          <xdr:nvSpPr>
            <xdr:cNvPr id="48136" name="Option Button 8" hidden="1">
              <a:extLst>
                <a:ext uri="{63B3BB69-23CF-44E3-9099-C40C66FF867C}">
                  <a14:compatExt spid="_x0000_s48136"/>
                </a:ext>
                <a:ext uri="{FF2B5EF4-FFF2-40B4-BE49-F238E27FC236}">
                  <a16:creationId xmlns:a16="http://schemas.microsoft.com/office/drawing/2014/main" id="{00000000-0008-0000-07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0</xdr:rowOff>
        </xdr:from>
        <xdr:to>
          <xdr:col>17</xdr:col>
          <xdr:colOff>0</xdr:colOff>
          <xdr:row>5</xdr:row>
          <xdr:rowOff>0</xdr:rowOff>
        </xdr:to>
        <xdr:sp macro="" textlink="">
          <xdr:nvSpPr>
            <xdr:cNvPr id="48137" name="Group Box 9" hidden="1">
              <a:extLst>
                <a:ext uri="{63B3BB69-23CF-44E3-9099-C40C66FF867C}">
                  <a14:compatExt spid="_x0000_s48137"/>
                </a:ext>
                <a:ext uri="{FF2B5EF4-FFF2-40B4-BE49-F238E27FC236}">
                  <a16:creationId xmlns:a16="http://schemas.microsoft.com/office/drawing/2014/main" id="{00000000-0008-0000-0700-00000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xdr:row>
          <xdr:rowOff>19050</xdr:rowOff>
        </xdr:from>
        <xdr:to>
          <xdr:col>13</xdr:col>
          <xdr:colOff>0</xdr:colOff>
          <xdr:row>4</xdr:row>
          <xdr:rowOff>152400</xdr:rowOff>
        </xdr:to>
        <xdr:sp macro="" textlink="">
          <xdr:nvSpPr>
            <xdr:cNvPr id="48138" name="Option Button 10" hidden="1">
              <a:extLst>
                <a:ext uri="{63B3BB69-23CF-44E3-9099-C40C66FF867C}">
                  <a14:compatExt spid="_x0000_s48138"/>
                </a:ext>
                <a:ext uri="{FF2B5EF4-FFF2-40B4-BE49-F238E27FC236}">
                  <a16:creationId xmlns:a16="http://schemas.microsoft.com/office/drawing/2014/main" id="{00000000-0008-0000-07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xdr:row>
          <xdr:rowOff>19050</xdr:rowOff>
        </xdr:from>
        <xdr:to>
          <xdr:col>15</xdr:col>
          <xdr:colOff>371475</xdr:colOff>
          <xdr:row>4</xdr:row>
          <xdr:rowOff>142875</xdr:rowOff>
        </xdr:to>
        <xdr:sp macro="" textlink="">
          <xdr:nvSpPr>
            <xdr:cNvPr id="48139" name="Option Button 11" hidden="1">
              <a:extLst>
                <a:ext uri="{63B3BB69-23CF-44E3-9099-C40C66FF867C}">
                  <a14:compatExt spid="_x0000_s48139"/>
                </a:ext>
                <a:ext uri="{FF2B5EF4-FFF2-40B4-BE49-F238E27FC236}">
                  <a16:creationId xmlns:a16="http://schemas.microsoft.com/office/drawing/2014/main" id="{00000000-0008-0000-07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0</xdr:colOff>
          <xdr:row>14</xdr:row>
          <xdr:rowOff>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7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0</xdr:rowOff>
        </xdr:from>
        <xdr:to>
          <xdr:col>13</xdr:col>
          <xdr:colOff>0</xdr:colOff>
          <xdr:row>14</xdr:row>
          <xdr:rowOff>180975</xdr:rowOff>
        </xdr:to>
        <xdr:sp macro="" textlink="">
          <xdr:nvSpPr>
            <xdr:cNvPr id="48141" name="Check Box 13" hidden="1">
              <a:extLst>
                <a:ext uri="{63B3BB69-23CF-44E3-9099-C40C66FF867C}">
                  <a14:compatExt spid="_x0000_s48141"/>
                </a:ext>
                <a:ext uri="{FF2B5EF4-FFF2-40B4-BE49-F238E27FC236}">
                  <a16:creationId xmlns:a16="http://schemas.microsoft.com/office/drawing/2014/main" id="{00000000-0008-0000-0700-00000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19050</xdr:rowOff>
        </xdr:from>
        <xdr:to>
          <xdr:col>17</xdr:col>
          <xdr:colOff>0</xdr:colOff>
          <xdr:row>14</xdr:row>
          <xdr:rowOff>0</xdr:rowOff>
        </xdr:to>
        <xdr:sp macro="" textlink="">
          <xdr:nvSpPr>
            <xdr:cNvPr id="48142" name="Check Box 14" hidden="1">
              <a:extLst>
                <a:ext uri="{63B3BB69-23CF-44E3-9099-C40C66FF867C}">
                  <a14:compatExt spid="_x0000_s48142"/>
                </a:ext>
                <a:ext uri="{FF2B5EF4-FFF2-40B4-BE49-F238E27FC236}">
                  <a16:creationId xmlns:a16="http://schemas.microsoft.com/office/drawing/2014/main" id="{00000000-0008-0000-0700-00000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14</xdr:row>
          <xdr:rowOff>0</xdr:rowOff>
        </xdr:from>
        <xdr:to>
          <xdr:col>17</xdr:col>
          <xdr:colOff>0</xdr:colOff>
          <xdr:row>14</xdr:row>
          <xdr:rowOff>180975</xdr:rowOff>
        </xdr:to>
        <xdr:sp macro="" textlink="">
          <xdr:nvSpPr>
            <xdr:cNvPr id="48143" name="Check Box 15" hidden="1">
              <a:extLst>
                <a:ext uri="{63B3BB69-23CF-44E3-9099-C40C66FF867C}">
                  <a14:compatExt spid="_x0000_s48143"/>
                </a:ext>
                <a:ext uri="{FF2B5EF4-FFF2-40B4-BE49-F238E27FC236}">
                  <a16:creationId xmlns:a16="http://schemas.microsoft.com/office/drawing/2014/main" id="{00000000-0008-0000-0700-00000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xdr:row>
          <xdr:rowOff>19050</xdr:rowOff>
        </xdr:from>
        <xdr:to>
          <xdr:col>21</xdr:col>
          <xdr:colOff>0</xdr:colOff>
          <xdr:row>4</xdr:row>
          <xdr:rowOff>142875</xdr:rowOff>
        </xdr:to>
        <xdr:sp macro="" textlink="">
          <xdr:nvSpPr>
            <xdr:cNvPr id="48144" name="Option Button 16" hidden="1">
              <a:extLst>
                <a:ext uri="{63B3BB69-23CF-44E3-9099-C40C66FF867C}">
                  <a14:compatExt spid="_x0000_s48144"/>
                </a:ext>
                <a:ext uri="{FF2B5EF4-FFF2-40B4-BE49-F238E27FC236}">
                  <a16:creationId xmlns:a16="http://schemas.microsoft.com/office/drawing/2014/main" id="{00000000-0008-0000-0700-00001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xdr:row>
          <xdr:rowOff>190500</xdr:rowOff>
        </xdr:from>
        <xdr:to>
          <xdr:col>24</xdr:col>
          <xdr:colOff>0</xdr:colOff>
          <xdr:row>5</xdr:row>
          <xdr:rowOff>0</xdr:rowOff>
        </xdr:to>
        <xdr:sp macro="" textlink="">
          <xdr:nvSpPr>
            <xdr:cNvPr id="48145" name="Group Box 17" hidden="1">
              <a:extLst>
                <a:ext uri="{63B3BB69-23CF-44E3-9099-C40C66FF867C}">
                  <a14:compatExt spid="_x0000_s48145"/>
                </a:ext>
                <a:ext uri="{FF2B5EF4-FFF2-40B4-BE49-F238E27FC236}">
                  <a16:creationId xmlns:a16="http://schemas.microsoft.com/office/drawing/2014/main" id="{00000000-0008-0000-0700-00001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4</xdr:row>
          <xdr:rowOff>19050</xdr:rowOff>
        </xdr:from>
        <xdr:to>
          <xdr:col>24</xdr:col>
          <xdr:colOff>0</xdr:colOff>
          <xdr:row>4</xdr:row>
          <xdr:rowOff>142875</xdr:rowOff>
        </xdr:to>
        <xdr:sp macro="" textlink="">
          <xdr:nvSpPr>
            <xdr:cNvPr id="48146" name="Option Button 18" hidden="1">
              <a:extLst>
                <a:ext uri="{63B3BB69-23CF-44E3-9099-C40C66FF867C}">
                  <a14:compatExt spid="_x0000_s48146"/>
                </a:ext>
                <a:ext uri="{FF2B5EF4-FFF2-40B4-BE49-F238E27FC236}">
                  <a16:creationId xmlns:a16="http://schemas.microsoft.com/office/drawing/2014/main" id="{00000000-0008-0000-0700-00001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18</xdr:row>
          <xdr:rowOff>0</xdr:rowOff>
        </xdr:from>
        <xdr:to>
          <xdr:col>24</xdr:col>
          <xdr:colOff>0</xdr:colOff>
          <xdr:row>21</xdr:row>
          <xdr:rowOff>0</xdr:rowOff>
        </xdr:to>
        <xdr:sp macro="" textlink="">
          <xdr:nvSpPr>
            <xdr:cNvPr id="48151" name="Group Box 23" hidden="1">
              <a:extLst>
                <a:ext uri="{63B3BB69-23CF-44E3-9099-C40C66FF867C}">
                  <a14:compatExt spid="_x0000_s48151"/>
                </a:ext>
                <a:ext uri="{FF2B5EF4-FFF2-40B4-BE49-F238E27FC236}">
                  <a16:creationId xmlns:a16="http://schemas.microsoft.com/office/drawing/2014/main" id="{00000000-0008-0000-0700-00001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20</xdr:row>
          <xdr:rowOff>0</xdr:rowOff>
        </xdr:from>
        <xdr:to>
          <xdr:col>20</xdr:col>
          <xdr:colOff>0</xdr:colOff>
          <xdr:row>20</xdr:row>
          <xdr:rowOff>152400</xdr:rowOff>
        </xdr:to>
        <xdr:sp macro="" textlink="">
          <xdr:nvSpPr>
            <xdr:cNvPr id="48152" name="Option Button 24" hidden="1">
              <a:extLst>
                <a:ext uri="{63B3BB69-23CF-44E3-9099-C40C66FF867C}">
                  <a14:compatExt spid="_x0000_s48152"/>
                </a:ext>
                <a:ext uri="{FF2B5EF4-FFF2-40B4-BE49-F238E27FC236}">
                  <a16:creationId xmlns:a16="http://schemas.microsoft.com/office/drawing/2014/main" id="{00000000-0008-0000-0700-00001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19</xdr:row>
          <xdr:rowOff>0</xdr:rowOff>
        </xdr:from>
        <xdr:to>
          <xdr:col>22</xdr:col>
          <xdr:colOff>0</xdr:colOff>
          <xdr:row>19</xdr:row>
          <xdr:rowOff>152400</xdr:rowOff>
        </xdr:to>
        <xdr:sp macro="" textlink="">
          <xdr:nvSpPr>
            <xdr:cNvPr id="48153" name="Option Button 25" hidden="1">
              <a:extLst>
                <a:ext uri="{63B3BB69-23CF-44E3-9099-C40C66FF867C}">
                  <a14:compatExt spid="_x0000_s48153"/>
                </a:ext>
                <a:ext uri="{FF2B5EF4-FFF2-40B4-BE49-F238E27FC236}">
                  <a16:creationId xmlns:a16="http://schemas.microsoft.com/office/drawing/2014/main" id="{00000000-0008-0000-0700-00001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20</xdr:row>
          <xdr:rowOff>9525</xdr:rowOff>
        </xdr:from>
        <xdr:to>
          <xdr:col>22</xdr:col>
          <xdr:colOff>0</xdr:colOff>
          <xdr:row>20</xdr:row>
          <xdr:rowOff>152400</xdr:rowOff>
        </xdr:to>
        <xdr:sp macro="" textlink="">
          <xdr:nvSpPr>
            <xdr:cNvPr id="48154" name="Option Button 26" hidden="1">
              <a:extLst>
                <a:ext uri="{63B3BB69-23CF-44E3-9099-C40C66FF867C}">
                  <a14:compatExt spid="_x0000_s48154"/>
                </a:ext>
                <a:ext uri="{FF2B5EF4-FFF2-40B4-BE49-F238E27FC236}">
                  <a16:creationId xmlns:a16="http://schemas.microsoft.com/office/drawing/2014/main" id="{00000000-0008-0000-0700-00001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161925</xdr:rowOff>
        </xdr:from>
        <xdr:to>
          <xdr:col>24</xdr:col>
          <xdr:colOff>0</xdr:colOff>
          <xdr:row>20</xdr:row>
          <xdr:rowOff>152400</xdr:rowOff>
        </xdr:to>
        <xdr:sp macro="" textlink="">
          <xdr:nvSpPr>
            <xdr:cNvPr id="48155" name="Option Button 27" hidden="1">
              <a:extLst>
                <a:ext uri="{63B3BB69-23CF-44E3-9099-C40C66FF867C}">
                  <a14:compatExt spid="_x0000_s48155"/>
                </a:ext>
                <a:ext uri="{FF2B5EF4-FFF2-40B4-BE49-F238E27FC236}">
                  <a16:creationId xmlns:a16="http://schemas.microsoft.com/office/drawing/2014/main" id="{00000000-0008-0000-0700-00001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0</xdr:rowOff>
        </xdr:from>
        <xdr:to>
          <xdr:col>15</xdr:col>
          <xdr:colOff>0</xdr:colOff>
          <xdr:row>24</xdr:row>
          <xdr:rowOff>0</xdr:rowOff>
        </xdr:to>
        <xdr:sp macro="" textlink="">
          <xdr:nvSpPr>
            <xdr:cNvPr id="48156" name="Check Box 28" hidden="1">
              <a:extLst>
                <a:ext uri="{63B3BB69-23CF-44E3-9099-C40C66FF867C}">
                  <a14:compatExt spid="_x0000_s48156"/>
                </a:ext>
                <a:ext uri="{FF2B5EF4-FFF2-40B4-BE49-F238E27FC236}">
                  <a16:creationId xmlns:a16="http://schemas.microsoft.com/office/drawing/2014/main" id="{00000000-0008-0000-0700-00001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24</xdr:row>
          <xdr:rowOff>0</xdr:rowOff>
        </xdr:from>
        <xdr:to>
          <xdr:col>15</xdr:col>
          <xdr:colOff>0</xdr:colOff>
          <xdr:row>25</xdr:row>
          <xdr:rowOff>0</xdr:rowOff>
        </xdr:to>
        <xdr:sp macro="" textlink="">
          <xdr:nvSpPr>
            <xdr:cNvPr id="48157" name="Check Box 29" hidden="1">
              <a:extLst>
                <a:ext uri="{63B3BB69-23CF-44E3-9099-C40C66FF867C}">
                  <a14:compatExt spid="_x0000_s48157"/>
                </a:ext>
                <a:ext uri="{FF2B5EF4-FFF2-40B4-BE49-F238E27FC236}">
                  <a16:creationId xmlns:a16="http://schemas.microsoft.com/office/drawing/2014/main" id="{00000000-0008-0000-0700-00001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23</xdr:row>
          <xdr:rowOff>0</xdr:rowOff>
        </xdr:from>
        <xdr:to>
          <xdr:col>22</xdr:col>
          <xdr:colOff>0</xdr:colOff>
          <xdr:row>24</xdr:row>
          <xdr:rowOff>0</xdr:rowOff>
        </xdr:to>
        <xdr:sp macro="" textlink="">
          <xdr:nvSpPr>
            <xdr:cNvPr id="48158" name="Check Box 30" hidden="1">
              <a:extLst>
                <a:ext uri="{63B3BB69-23CF-44E3-9099-C40C66FF867C}">
                  <a14:compatExt spid="_x0000_s48158"/>
                </a:ext>
                <a:ext uri="{FF2B5EF4-FFF2-40B4-BE49-F238E27FC236}">
                  <a16:creationId xmlns:a16="http://schemas.microsoft.com/office/drawing/2014/main" id="{00000000-0008-0000-0700-00001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24</xdr:row>
          <xdr:rowOff>0</xdr:rowOff>
        </xdr:from>
        <xdr:to>
          <xdr:col>22</xdr:col>
          <xdr:colOff>0</xdr:colOff>
          <xdr:row>25</xdr:row>
          <xdr:rowOff>0</xdr:rowOff>
        </xdr:to>
        <xdr:sp macro="" textlink="">
          <xdr:nvSpPr>
            <xdr:cNvPr id="48159" name="Check Box 31" hidden="1">
              <a:extLst>
                <a:ext uri="{63B3BB69-23CF-44E3-9099-C40C66FF867C}">
                  <a14:compatExt spid="_x0000_s48159"/>
                </a:ext>
                <a:ext uri="{FF2B5EF4-FFF2-40B4-BE49-F238E27FC236}">
                  <a16:creationId xmlns:a16="http://schemas.microsoft.com/office/drawing/2014/main" id="{00000000-0008-0000-0700-00001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15</xdr:col>
          <xdr:colOff>0</xdr:colOff>
          <xdr:row>19</xdr:row>
          <xdr:rowOff>0</xdr:rowOff>
        </xdr:to>
        <xdr:sp macro="" textlink="">
          <xdr:nvSpPr>
            <xdr:cNvPr id="48160" name="Group Box 32" hidden="1">
              <a:extLst>
                <a:ext uri="{63B3BB69-23CF-44E3-9099-C40C66FF867C}">
                  <a14:compatExt spid="_x0000_s48160"/>
                </a:ext>
                <a:ext uri="{FF2B5EF4-FFF2-40B4-BE49-F238E27FC236}">
                  <a16:creationId xmlns:a16="http://schemas.microsoft.com/office/drawing/2014/main" id="{00000000-0008-0000-0700-00002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xdr:row>
          <xdr:rowOff>19050</xdr:rowOff>
        </xdr:from>
        <xdr:to>
          <xdr:col>12</xdr:col>
          <xdr:colOff>266700</xdr:colOff>
          <xdr:row>17</xdr:row>
          <xdr:rowOff>142875</xdr:rowOff>
        </xdr:to>
        <xdr:sp macro="" textlink="">
          <xdr:nvSpPr>
            <xdr:cNvPr id="48161" name="Option Button 33" hidden="1">
              <a:extLst>
                <a:ext uri="{63B3BB69-23CF-44E3-9099-C40C66FF867C}">
                  <a14:compatExt spid="_x0000_s48161"/>
                </a:ext>
                <a:ext uri="{FF2B5EF4-FFF2-40B4-BE49-F238E27FC236}">
                  <a16:creationId xmlns:a16="http://schemas.microsoft.com/office/drawing/2014/main" id="{00000000-0008-0000-0700-00002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9525</xdr:rowOff>
        </xdr:from>
        <xdr:to>
          <xdr:col>12</xdr:col>
          <xdr:colOff>266700</xdr:colOff>
          <xdr:row>18</xdr:row>
          <xdr:rowOff>133350</xdr:rowOff>
        </xdr:to>
        <xdr:sp macro="" textlink="">
          <xdr:nvSpPr>
            <xdr:cNvPr id="48162" name="Option Button 34" hidden="1">
              <a:extLst>
                <a:ext uri="{63B3BB69-23CF-44E3-9099-C40C66FF867C}">
                  <a14:compatExt spid="_x0000_s48162"/>
                </a:ext>
                <a:ext uri="{FF2B5EF4-FFF2-40B4-BE49-F238E27FC236}">
                  <a16:creationId xmlns:a16="http://schemas.microsoft.com/office/drawing/2014/main" id="{00000000-0008-0000-0700-00002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27</xdr:row>
          <xdr:rowOff>0</xdr:rowOff>
        </xdr:from>
        <xdr:to>
          <xdr:col>15</xdr:col>
          <xdr:colOff>0</xdr:colOff>
          <xdr:row>28</xdr:row>
          <xdr:rowOff>0</xdr:rowOff>
        </xdr:to>
        <xdr:sp macro="" textlink="">
          <xdr:nvSpPr>
            <xdr:cNvPr id="48163" name="Check Box 35" hidden="1">
              <a:extLst>
                <a:ext uri="{63B3BB69-23CF-44E3-9099-C40C66FF867C}">
                  <a14:compatExt spid="_x0000_s48163"/>
                </a:ext>
                <a:ext uri="{FF2B5EF4-FFF2-40B4-BE49-F238E27FC236}">
                  <a16:creationId xmlns:a16="http://schemas.microsoft.com/office/drawing/2014/main" id="{00000000-0008-0000-0700-00002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31</xdr:row>
          <xdr:rowOff>0</xdr:rowOff>
        </xdr:from>
        <xdr:to>
          <xdr:col>15</xdr:col>
          <xdr:colOff>0</xdr:colOff>
          <xdr:row>32</xdr:row>
          <xdr:rowOff>0</xdr:rowOff>
        </xdr:to>
        <xdr:sp macro="" textlink="">
          <xdr:nvSpPr>
            <xdr:cNvPr id="48166" name="Check Box 38" hidden="1">
              <a:extLst>
                <a:ext uri="{63B3BB69-23CF-44E3-9099-C40C66FF867C}">
                  <a14:compatExt spid="_x0000_s48166"/>
                </a:ext>
                <a:ext uri="{FF2B5EF4-FFF2-40B4-BE49-F238E27FC236}">
                  <a16:creationId xmlns:a16="http://schemas.microsoft.com/office/drawing/2014/main" id="{00000000-0008-0000-0700-00002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32</xdr:row>
          <xdr:rowOff>0</xdr:rowOff>
        </xdr:from>
        <xdr:to>
          <xdr:col>15</xdr:col>
          <xdr:colOff>0</xdr:colOff>
          <xdr:row>33</xdr:row>
          <xdr:rowOff>0</xdr:rowOff>
        </xdr:to>
        <xdr:sp macro="" textlink="">
          <xdr:nvSpPr>
            <xdr:cNvPr id="48167" name="Check Box 39" hidden="1">
              <a:extLst>
                <a:ext uri="{63B3BB69-23CF-44E3-9099-C40C66FF867C}">
                  <a14:compatExt spid="_x0000_s48167"/>
                </a:ext>
                <a:ext uri="{FF2B5EF4-FFF2-40B4-BE49-F238E27FC236}">
                  <a16:creationId xmlns:a16="http://schemas.microsoft.com/office/drawing/2014/main" id="{00000000-0008-0000-0700-00002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33</xdr:row>
          <xdr:rowOff>0</xdr:rowOff>
        </xdr:from>
        <xdr:to>
          <xdr:col>15</xdr:col>
          <xdr:colOff>0</xdr:colOff>
          <xdr:row>34</xdr:row>
          <xdr:rowOff>0</xdr:rowOff>
        </xdr:to>
        <xdr:sp macro="" textlink="">
          <xdr:nvSpPr>
            <xdr:cNvPr id="48168" name="Check Box 40" hidden="1">
              <a:extLst>
                <a:ext uri="{63B3BB69-23CF-44E3-9099-C40C66FF867C}">
                  <a14:compatExt spid="_x0000_s48168"/>
                </a:ext>
                <a:ext uri="{FF2B5EF4-FFF2-40B4-BE49-F238E27FC236}">
                  <a16:creationId xmlns:a16="http://schemas.microsoft.com/office/drawing/2014/main" id="{00000000-0008-0000-0700-00002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sp macro="" textlink="">
          <xdr:nvSpPr>
            <xdr:cNvPr id="48169" name="Check Box 41" hidden="1">
              <a:extLst>
                <a:ext uri="{63B3BB69-23CF-44E3-9099-C40C66FF867C}">
                  <a14:compatExt spid="_x0000_s48169"/>
                </a:ext>
                <a:ext uri="{FF2B5EF4-FFF2-40B4-BE49-F238E27FC236}">
                  <a16:creationId xmlns:a16="http://schemas.microsoft.com/office/drawing/2014/main" id="{00000000-0008-0000-0700-00002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34</xdr:row>
          <xdr:rowOff>0</xdr:rowOff>
        </xdr:from>
        <xdr:to>
          <xdr:col>15</xdr:col>
          <xdr:colOff>0</xdr:colOff>
          <xdr:row>35</xdr:row>
          <xdr:rowOff>0</xdr:rowOff>
        </xdr:to>
        <xdr:sp macro="" textlink="">
          <xdr:nvSpPr>
            <xdr:cNvPr id="48170" name="Check Box 42" hidden="1">
              <a:extLst>
                <a:ext uri="{63B3BB69-23CF-44E3-9099-C40C66FF867C}">
                  <a14:compatExt spid="_x0000_s48170"/>
                </a:ext>
                <a:ext uri="{FF2B5EF4-FFF2-40B4-BE49-F238E27FC236}">
                  <a16:creationId xmlns:a16="http://schemas.microsoft.com/office/drawing/2014/main" id="{00000000-0008-0000-0700-00002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35</xdr:row>
          <xdr:rowOff>0</xdr:rowOff>
        </xdr:from>
        <xdr:to>
          <xdr:col>15</xdr:col>
          <xdr:colOff>0</xdr:colOff>
          <xdr:row>36</xdr:row>
          <xdr:rowOff>0</xdr:rowOff>
        </xdr:to>
        <xdr:sp macro="" textlink="">
          <xdr:nvSpPr>
            <xdr:cNvPr id="48171" name="Check Box 43" hidden="1">
              <a:extLst>
                <a:ext uri="{63B3BB69-23CF-44E3-9099-C40C66FF867C}">
                  <a14:compatExt spid="_x0000_s48171"/>
                </a:ext>
                <a:ext uri="{FF2B5EF4-FFF2-40B4-BE49-F238E27FC236}">
                  <a16:creationId xmlns:a16="http://schemas.microsoft.com/office/drawing/2014/main" id="{00000000-0008-0000-0700-00002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36</xdr:row>
          <xdr:rowOff>0</xdr:rowOff>
        </xdr:from>
        <xdr:to>
          <xdr:col>15</xdr:col>
          <xdr:colOff>0</xdr:colOff>
          <xdr:row>37</xdr:row>
          <xdr:rowOff>0</xdr:rowOff>
        </xdr:to>
        <xdr:sp macro="" textlink="">
          <xdr:nvSpPr>
            <xdr:cNvPr id="48172" name="Check Box 44" hidden="1">
              <a:extLst>
                <a:ext uri="{63B3BB69-23CF-44E3-9099-C40C66FF867C}">
                  <a14:compatExt spid="_x0000_s48172"/>
                </a:ext>
                <a:ext uri="{FF2B5EF4-FFF2-40B4-BE49-F238E27FC236}">
                  <a16:creationId xmlns:a16="http://schemas.microsoft.com/office/drawing/2014/main" id="{00000000-0008-0000-0700-00002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47624</xdr:colOff>
          <xdr:row>17</xdr:row>
          <xdr:rowOff>190499</xdr:rowOff>
        </xdr:from>
        <xdr:to>
          <xdr:col>4</xdr:col>
          <xdr:colOff>344624</xdr:colOff>
          <xdr:row>22</xdr:row>
          <xdr:rowOff>6844</xdr:rowOff>
        </xdr:to>
        <xdr:pic>
          <xdr:nvPicPr>
            <xdr:cNvPr id="6" name="Grafik 5">
              <a:extLst>
                <a:ext uri="{FF2B5EF4-FFF2-40B4-BE49-F238E27FC236}">
                  <a16:creationId xmlns:a16="http://schemas.microsoft.com/office/drawing/2014/main" id="{00000000-0008-0000-0700-000006000000}"/>
                </a:ext>
              </a:extLst>
            </xdr:cNvPr>
            <xdr:cNvPicPr>
              <a:picLocks noChangeAspect="1" noChangeArrowheads="1"/>
              <a:extLst>
                <a:ext uri="{84589F7E-364E-4C9E-8A38-B11213B215E9}">
                  <a14:cameraTool cellRange="MontageartLinks4" spid="_x0000_s583071"/>
                </a:ext>
              </a:extLst>
            </xdr:cNvPicPr>
          </xdr:nvPicPr>
          <xdr:blipFill>
            <a:blip xmlns:r="http://schemas.openxmlformats.org/officeDocument/2006/relationships" r:embed="rId2"/>
            <a:srcRect/>
            <a:stretch>
              <a:fillRect/>
            </a:stretch>
          </xdr:blipFill>
          <xdr:spPr bwMode="auto">
            <a:xfrm>
              <a:off x="428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47624</xdr:colOff>
          <xdr:row>17</xdr:row>
          <xdr:rowOff>190499</xdr:rowOff>
        </xdr:from>
        <xdr:to>
          <xdr:col>8</xdr:col>
          <xdr:colOff>344624</xdr:colOff>
          <xdr:row>22</xdr:row>
          <xdr:rowOff>6844</xdr:rowOff>
        </xdr:to>
        <xdr:pic>
          <xdr:nvPicPr>
            <xdr:cNvPr id="7" name="Grafik 6">
              <a:extLst>
                <a:ext uri="{FF2B5EF4-FFF2-40B4-BE49-F238E27FC236}">
                  <a16:creationId xmlns:a16="http://schemas.microsoft.com/office/drawing/2014/main" id="{00000000-0008-0000-0700-000007000000}"/>
                </a:ext>
              </a:extLst>
            </xdr:cNvPr>
            <xdr:cNvPicPr>
              <a:picLocks noChangeAspect="1" noChangeArrowheads="1"/>
              <a:extLst>
                <a:ext uri="{84589F7E-364E-4C9E-8A38-B11213B215E9}">
                  <a14:cameraTool cellRange="MontageartRechts4" spid="_x0000_s583072"/>
                </a:ext>
              </a:extLst>
            </xdr:cNvPicPr>
          </xdr:nvPicPr>
          <xdr:blipFill>
            <a:blip xmlns:r="http://schemas.openxmlformats.org/officeDocument/2006/relationships" r:embed="rId3"/>
            <a:srcRect/>
            <a:stretch>
              <a:fillRect/>
            </a:stretch>
          </xdr:blipFill>
          <xdr:spPr bwMode="auto">
            <a:xfrm>
              <a:off x="1952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28574</xdr:colOff>
          <xdr:row>16</xdr:row>
          <xdr:rowOff>152399</xdr:rowOff>
        </xdr:from>
        <xdr:to>
          <xdr:col>17</xdr:col>
          <xdr:colOff>8174</xdr:colOff>
          <xdr:row>21</xdr:row>
          <xdr:rowOff>84374</xdr:rowOff>
        </xdr:to>
        <xdr:pic>
          <xdr:nvPicPr>
            <xdr:cNvPr id="8" name="Grafik 7">
              <a:extLst>
                <a:ext uri="{FF2B5EF4-FFF2-40B4-BE49-F238E27FC236}">
                  <a16:creationId xmlns:a16="http://schemas.microsoft.com/office/drawing/2014/main" id="{00000000-0008-0000-0700-000008000000}"/>
                </a:ext>
              </a:extLst>
            </xdr:cNvPr>
            <xdr:cNvPicPr>
              <a:picLocks noChangeAspect="1" noChangeArrowheads="1"/>
              <a:extLst>
                <a:ext uri="{84589F7E-364E-4C9E-8A38-B11213B215E9}">
                  <a14:cameraTool cellRange="Rundprofil4" spid="_x0000_s583073"/>
                </a:ext>
              </a:extLst>
            </xdr:cNvPicPr>
          </xdr:nvPicPr>
          <xdr:blipFill>
            <a:blip xmlns:r="http://schemas.openxmlformats.org/officeDocument/2006/relationships" r:embed="rId4"/>
            <a:srcRect/>
            <a:stretch>
              <a:fillRect/>
            </a:stretch>
          </xdr:blipFill>
          <xdr:spPr bwMode="auto">
            <a:xfrm>
              <a:off x="5743574" y="2152649"/>
              <a:ext cx="741600" cy="741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xdr:row>
          <xdr:rowOff>0</xdr:rowOff>
        </xdr:from>
        <xdr:to>
          <xdr:col>17</xdr:col>
          <xdr:colOff>0</xdr:colOff>
          <xdr:row>37</xdr:row>
          <xdr:rowOff>0</xdr:rowOff>
        </xdr:to>
        <xdr:sp macro="" textlink="">
          <xdr:nvSpPr>
            <xdr:cNvPr id="326917" name="Group Box 2309" hidden="1">
              <a:extLst>
                <a:ext uri="{63B3BB69-23CF-44E3-9099-C40C66FF867C}">
                  <a14:compatExt spid="_x0000_s326917"/>
                </a:ext>
                <a:ext uri="{FF2B5EF4-FFF2-40B4-BE49-F238E27FC236}">
                  <a16:creationId xmlns:a16="http://schemas.microsoft.com/office/drawing/2014/main" id="{00000000-0008-0000-0700-000005FD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29</xdr:row>
          <xdr:rowOff>19050</xdr:rowOff>
        </xdr:from>
        <xdr:to>
          <xdr:col>12</xdr:col>
          <xdr:colOff>266700</xdr:colOff>
          <xdr:row>29</xdr:row>
          <xdr:rowOff>142875</xdr:rowOff>
        </xdr:to>
        <xdr:sp macro="" textlink="">
          <xdr:nvSpPr>
            <xdr:cNvPr id="326918" name="Option Button 2310" hidden="1">
              <a:extLst>
                <a:ext uri="{63B3BB69-23CF-44E3-9099-C40C66FF867C}">
                  <a14:compatExt spid="_x0000_s326918"/>
                </a:ext>
                <a:ext uri="{FF2B5EF4-FFF2-40B4-BE49-F238E27FC236}">
                  <a16:creationId xmlns:a16="http://schemas.microsoft.com/office/drawing/2014/main" id="{00000000-0008-0000-0700-000006F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30</xdr:row>
          <xdr:rowOff>9525</xdr:rowOff>
        </xdr:from>
        <xdr:to>
          <xdr:col>12</xdr:col>
          <xdr:colOff>266700</xdr:colOff>
          <xdr:row>30</xdr:row>
          <xdr:rowOff>133350</xdr:rowOff>
        </xdr:to>
        <xdr:sp macro="" textlink="">
          <xdr:nvSpPr>
            <xdr:cNvPr id="326919" name="Option Button 2311" hidden="1">
              <a:extLst>
                <a:ext uri="{63B3BB69-23CF-44E3-9099-C40C66FF867C}">
                  <a14:compatExt spid="_x0000_s326919"/>
                </a:ext>
                <a:ext uri="{FF2B5EF4-FFF2-40B4-BE49-F238E27FC236}">
                  <a16:creationId xmlns:a16="http://schemas.microsoft.com/office/drawing/2014/main" id="{00000000-0008-0000-0700-000007FD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22</xdr:col>
          <xdr:colOff>0</xdr:colOff>
          <xdr:row>16</xdr:row>
          <xdr:rowOff>0</xdr:rowOff>
        </xdr:to>
        <xdr:sp macro="" textlink="">
          <xdr:nvSpPr>
            <xdr:cNvPr id="327310" name="Group Box 2702" hidden="1">
              <a:extLst>
                <a:ext uri="{63B3BB69-23CF-44E3-9099-C40C66FF867C}">
                  <a14:compatExt spid="_x0000_s327310"/>
                </a:ext>
                <a:ext uri="{FF2B5EF4-FFF2-40B4-BE49-F238E27FC236}">
                  <a16:creationId xmlns:a16="http://schemas.microsoft.com/office/drawing/2014/main" id="{00000000-0008-0000-0700-00008EFE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12</xdr:row>
          <xdr:rowOff>19050</xdr:rowOff>
        </xdr:from>
        <xdr:to>
          <xdr:col>21</xdr:col>
          <xdr:colOff>123825</xdr:colOff>
          <xdr:row>13</xdr:row>
          <xdr:rowOff>0</xdr:rowOff>
        </xdr:to>
        <xdr:sp macro="" textlink="">
          <xdr:nvSpPr>
            <xdr:cNvPr id="327311" name="Option Button 2703" hidden="1">
              <a:extLst>
                <a:ext uri="{63B3BB69-23CF-44E3-9099-C40C66FF867C}">
                  <a14:compatExt spid="_x0000_s327311"/>
                </a:ext>
                <a:ext uri="{FF2B5EF4-FFF2-40B4-BE49-F238E27FC236}">
                  <a16:creationId xmlns:a16="http://schemas.microsoft.com/office/drawing/2014/main" id="{00000000-0008-0000-0700-00008FF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14</xdr:row>
          <xdr:rowOff>19050</xdr:rowOff>
        </xdr:from>
        <xdr:to>
          <xdr:col>21</xdr:col>
          <xdr:colOff>123825</xdr:colOff>
          <xdr:row>14</xdr:row>
          <xdr:rowOff>142875</xdr:rowOff>
        </xdr:to>
        <xdr:sp macro="" textlink="">
          <xdr:nvSpPr>
            <xdr:cNvPr id="327312" name="Option Button 2704" hidden="1">
              <a:extLst>
                <a:ext uri="{63B3BB69-23CF-44E3-9099-C40C66FF867C}">
                  <a14:compatExt spid="_x0000_s327312"/>
                </a:ext>
                <a:ext uri="{FF2B5EF4-FFF2-40B4-BE49-F238E27FC236}">
                  <a16:creationId xmlns:a16="http://schemas.microsoft.com/office/drawing/2014/main" id="{00000000-0008-0000-0700-000090F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15</xdr:row>
          <xdr:rowOff>19050</xdr:rowOff>
        </xdr:from>
        <xdr:to>
          <xdr:col>21</xdr:col>
          <xdr:colOff>123825</xdr:colOff>
          <xdr:row>15</xdr:row>
          <xdr:rowOff>142875</xdr:rowOff>
        </xdr:to>
        <xdr:sp macro="" textlink="">
          <xdr:nvSpPr>
            <xdr:cNvPr id="327313" name="Option Button 2705" hidden="1">
              <a:extLst>
                <a:ext uri="{63B3BB69-23CF-44E3-9099-C40C66FF867C}">
                  <a14:compatExt spid="_x0000_s327313"/>
                </a:ext>
                <a:ext uri="{FF2B5EF4-FFF2-40B4-BE49-F238E27FC236}">
                  <a16:creationId xmlns:a16="http://schemas.microsoft.com/office/drawing/2014/main" id="{00000000-0008-0000-0700-000091F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24</xdr:col>
          <xdr:colOff>0</xdr:colOff>
          <xdr:row>15</xdr:row>
          <xdr:rowOff>161925</xdr:rowOff>
        </xdr:to>
        <xdr:sp macro="" textlink="">
          <xdr:nvSpPr>
            <xdr:cNvPr id="327314" name="Group Box 2706" hidden="1">
              <a:extLst>
                <a:ext uri="{63B3BB69-23CF-44E3-9099-C40C66FF867C}">
                  <a14:compatExt spid="_x0000_s327314"/>
                </a:ext>
                <a:ext uri="{FF2B5EF4-FFF2-40B4-BE49-F238E27FC236}">
                  <a16:creationId xmlns:a16="http://schemas.microsoft.com/office/drawing/2014/main" id="{00000000-0008-0000-0700-000092FE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12</xdr:row>
          <xdr:rowOff>19050</xdr:rowOff>
        </xdr:from>
        <xdr:to>
          <xdr:col>23</xdr:col>
          <xdr:colOff>123825</xdr:colOff>
          <xdr:row>12</xdr:row>
          <xdr:rowOff>161925</xdr:rowOff>
        </xdr:to>
        <xdr:sp macro="" textlink="">
          <xdr:nvSpPr>
            <xdr:cNvPr id="327315" name="Option Button 2707" hidden="1">
              <a:extLst>
                <a:ext uri="{63B3BB69-23CF-44E3-9099-C40C66FF867C}">
                  <a14:compatExt spid="_x0000_s327315"/>
                </a:ext>
                <a:ext uri="{FF2B5EF4-FFF2-40B4-BE49-F238E27FC236}">
                  <a16:creationId xmlns:a16="http://schemas.microsoft.com/office/drawing/2014/main" id="{00000000-0008-0000-0700-000093F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14</xdr:row>
          <xdr:rowOff>19050</xdr:rowOff>
        </xdr:from>
        <xdr:to>
          <xdr:col>23</xdr:col>
          <xdr:colOff>123825</xdr:colOff>
          <xdr:row>14</xdr:row>
          <xdr:rowOff>142875</xdr:rowOff>
        </xdr:to>
        <xdr:sp macro="" textlink="">
          <xdr:nvSpPr>
            <xdr:cNvPr id="327316" name="Option Button 2708" hidden="1">
              <a:extLst>
                <a:ext uri="{63B3BB69-23CF-44E3-9099-C40C66FF867C}">
                  <a14:compatExt spid="_x0000_s327316"/>
                </a:ext>
                <a:ext uri="{FF2B5EF4-FFF2-40B4-BE49-F238E27FC236}">
                  <a16:creationId xmlns:a16="http://schemas.microsoft.com/office/drawing/2014/main" id="{00000000-0008-0000-0700-000094F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15</xdr:row>
          <xdr:rowOff>19050</xdr:rowOff>
        </xdr:from>
        <xdr:to>
          <xdr:col>23</xdr:col>
          <xdr:colOff>123825</xdr:colOff>
          <xdr:row>15</xdr:row>
          <xdr:rowOff>142875</xdr:rowOff>
        </xdr:to>
        <xdr:sp macro="" textlink="">
          <xdr:nvSpPr>
            <xdr:cNvPr id="327317" name="Option Button 2709" hidden="1">
              <a:extLst>
                <a:ext uri="{63B3BB69-23CF-44E3-9099-C40C66FF867C}">
                  <a14:compatExt spid="_x0000_s327317"/>
                </a:ext>
                <a:ext uri="{FF2B5EF4-FFF2-40B4-BE49-F238E27FC236}">
                  <a16:creationId xmlns:a16="http://schemas.microsoft.com/office/drawing/2014/main" id="{00000000-0008-0000-0700-000095FE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16566</xdr:colOff>
      <xdr:row>0</xdr:row>
      <xdr:rowOff>16566</xdr:rowOff>
    </xdr:from>
    <xdr:to>
      <xdr:col>1</xdr:col>
      <xdr:colOff>254923</xdr:colOff>
      <xdr:row>3</xdr:row>
      <xdr:rowOff>10195</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66" y="16566"/>
          <a:ext cx="619357" cy="6032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5</xdr:col>
          <xdr:colOff>0</xdr:colOff>
          <xdr:row>25</xdr:row>
          <xdr:rowOff>0</xdr:rowOff>
        </xdr:to>
        <xdr:sp macro="" textlink="">
          <xdr:nvSpPr>
            <xdr:cNvPr id="52225" name="Group Box 1" hidden="1">
              <a:extLst>
                <a:ext uri="{63B3BB69-23CF-44E3-9099-C40C66FF867C}">
                  <a14:compatExt spid="_x0000_s52225"/>
                </a:ext>
                <a:ext uri="{FF2B5EF4-FFF2-40B4-BE49-F238E27FC236}">
                  <a16:creationId xmlns:a16="http://schemas.microsoft.com/office/drawing/2014/main" id="{00000000-0008-0000-0800-000001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9</xdr:col>
          <xdr:colOff>0</xdr:colOff>
          <xdr:row>25</xdr:row>
          <xdr:rowOff>0</xdr:rowOff>
        </xdr:to>
        <xdr:sp macro="" textlink="">
          <xdr:nvSpPr>
            <xdr:cNvPr id="52226" name="Group Box 2" hidden="1">
              <a:extLst>
                <a:ext uri="{63B3BB69-23CF-44E3-9099-C40C66FF867C}">
                  <a14:compatExt spid="_x0000_s52226"/>
                </a:ext>
                <a:ext uri="{FF2B5EF4-FFF2-40B4-BE49-F238E27FC236}">
                  <a16:creationId xmlns:a16="http://schemas.microsoft.com/office/drawing/2014/main" id="{00000000-0008-0000-0800-000002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28575</xdr:colOff>
          <xdr:row>22</xdr:row>
          <xdr:rowOff>19050</xdr:rowOff>
        </xdr:from>
        <xdr:to>
          <xdr:col>3</xdr:col>
          <xdr:colOff>371475</xdr:colOff>
          <xdr:row>23</xdr:row>
          <xdr:rowOff>0</xdr:rowOff>
        </xdr:to>
        <xdr:sp macro="" textlink="">
          <xdr:nvSpPr>
            <xdr:cNvPr id="52227" name="Option Button 3" hidden="1">
              <a:extLst>
                <a:ext uri="{63B3BB69-23CF-44E3-9099-C40C66FF867C}">
                  <a14:compatExt spid="_x0000_s52227"/>
                </a:ext>
                <a:ext uri="{FF2B5EF4-FFF2-40B4-BE49-F238E27FC236}">
                  <a16:creationId xmlns:a16="http://schemas.microsoft.com/office/drawing/2014/main" id="{00000000-0008-0000-0800-00000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23</xdr:row>
          <xdr:rowOff>19050</xdr:rowOff>
        </xdr:from>
        <xdr:to>
          <xdr:col>3</xdr:col>
          <xdr:colOff>371475</xdr:colOff>
          <xdr:row>23</xdr:row>
          <xdr:rowOff>152400</xdr:rowOff>
        </xdr:to>
        <xdr:sp macro="" textlink="">
          <xdr:nvSpPr>
            <xdr:cNvPr id="52228" name="Option Button 4" hidden="1">
              <a:extLst>
                <a:ext uri="{63B3BB69-23CF-44E3-9099-C40C66FF867C}">
                  <a14:compatExt spid="_x0000_s52228"/>
                </a:ext>
                <a:ext uri="{FF2B5EF4-FFF2-40B4-BE49-F238E27FC236}">
                  <a16:creationId xmlns:a16="http://schemas.microsoft.com/office/drawing/2014/main" id="{00000000-0008-0000-0800-00000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24</xdr:row>
          <xdr:rowOff>19050</xdr:rowOff>
        </xdr:from>
        <xdr:to>
          <xdr:col>3</xdr:col>
          <xdr:colOff>371475</xdr:colOff>
          <xdr:row>24</xdr:row>
          <xdr:rowOff>142875</xdr:rowOff>
        </xdr:to>
        <xdr:sp macro="" textlink="">
          <xdr:nvSpPr>
            <xdr:cNvPr id="52229" name="Option Button 5" hidden="1">
              <a:extLst>
                <a:ext uri="{63B3BB69-23CF-44E3-9099-C40C66FF867C}">
                  <a14:compatExt spid="_x0000_s52229"/>
                </a:ext>
                <a:ext uri="{FF2B5EF4-FFF2-40B4-BE49-F238E27FC236}">
                  <a16:creationId xmlns:a16="http://schemas.microsoft.com/office/drawing/2014/main" id="{00000000-0008-0000-0800-00000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22</xdr:row>
          <xdr:rowOff>28575</xdr:rowOff>
        </xdr:from>
        <xdr:to>
          <xdr:col>7</xdr:col>
          <xdr:colOff>371475</xdr:colOff>
          <xdr:row>23</xdr:row>
          <xdr:rowOff>0</xdr:rowOff>
        </xdr:to>
        <xdr:sp macro="" textlink="">
          <xdr:nvSpPr>
            <xdr:cNvPr id="52230" name="Option Button 6" hidden="1">
              <a:extLst>
                <a:ext uri="{63B3BB69-23CF-44E3-9099-C40C66FF867C}">
                  <a14:compatExt spid="_x0000_s52230"/>
                </a:ext>
                <a:ext uri="{FF2B5EF4-FFF2-40B4-BE49-F238E27FC236}">
                  <a16:creationId xmlns:a16="http://schemas.microsoft.com/office/drawing/2014/main" id="{00000000-0008-0000-0800-00000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23</xdr:row>
          <xdr:rowOff>19050</xdr:rowOff>
        </xdr:from>
        <xdr:to>
          <xdr:col>7</xdr:col>
          <xdr:colOff>371475</xdr:colOff>
          <xdr:row>23</xdr:row>
          <xdr:rowOff>152400</xdr:rowOff>
        </xdr:to>
        <xdr:sp macro="" textlink="">
          <xdr:nvSpPr>
            <xdr:cNvPr id="52231" name="Option Button 7" hidden="1">
              <a:extLst>
                <a:ext uri="{63B3BB69-23CF-44E3-9099-C40C66FF867C}">
                  <a14:compatExt spid="_x0000_s52231"/>
                </a:ext>
                <a:ext uri="{FF2B5EF4-FFF2-40B4-BE49-F238E27FC236}">
                  <a16:creationId xmlns:a16="http://schemas.microsoft.com/office/drawing/2014/main" id="{00000000-0008-0000-0800-00000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24</xdr:row>
          <xdr:rowOff>19050</xdr:rowOff>
        </xdr:from>
        <xdr:to>
          <xdr:col>7</xdr:col>
          <xdr:colOff>371475</xdr:colOff>
          <xdr:row>24</xdr:row>
          <xdr:rowOff>142875</xdr:rowOff>
        </xdr:to>
        <xdr:sp macro="" textlink="">
          <xdr:nvSpPr>
            <xdr:cNvPr id="52232" name="Option Button 8" hidden="1">
              <a:extLst>
                <a:ext uri="{63B3BB69-23CF-44E3-9099-C40C66FF867C}">
                  <a14:compatExt spid="_x0000_s52232"/>
                </a:ext>
                <a:ext uri="{FF2B5EF4-FFF2-40B4-BE49-F238E27FC236}">
                  <a16:creationId xmlns:a16="http://schemas.microsoft.com/office/drawing/2014/main" id="{00000000-0008-0000-0800-00000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0</xdr:rowOff>
        </xdr:from>
        <xdr:to>
          <xdr:col>17</xdr:col>
          <xdr:colOff>0</xdr:colOff>
          <xdr:row>5</xdr:row>
          <xdr:rowOff>0</xdr:rowOff>
        </xdr:to>
        <xdr:sp macro="" textlink="">
          <xdr:nvSpPr>
            <xdr:cNvPr id="52233" name="Group Box 9" hidden="1">
              <a:extLst>
                <a:ext uri="{63B3BB69-23CF-44E3-9099-C40C66FF867C}">
                  <a14:compatExt spid="_x0000_s52233"/>
                </a:ext>
                <a:ext uri="{FF2B5EF4-FFF2-40B4-BE49-F238E27FC236}">
                  <a16:creationId xmlns:a16="http://schemas.microsoft.com/office/drawing/2014/main" id="{00000000-0008-0000-0800-000009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xdr:row>
          <xdr:rowOff>19050</xdr:rowOff>
        </xdr:from>
        <xdr:to>
          <xdr:col>13</xdr:col>
          <xdr:colOff>0</xdr:colOff>
          <xdr:row>4</xdr:row>
          <xdr:rowOff>152400</xdr:rowOff>
        </xdr:to>
        <xdr:sp macro="" textlink="">
          <xdr:nvSpPr>
            <xdr:cNvPr id="52234" name="Option Button 10" hidden="1">
              <a:extLst>
                <a:ext uri="{63B3BB69-23CF-44E3-9099-C40C66FF867C}">
                  <a14:compatExt spid="_x0000_s52234"/>
                </a:ext>
                <a:ext uri="{FF2B5EF4-FFF2-40B4-BE49-F238E27FC236}">
                  <a16:creationId xmlns:a16="http://schemas.microsoft.com/office/drawing/2014/main" id="{00000000-0008-0000-0800-00000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xdr:row>
          <xdr:rowOff>19050</xdr:rowOff>
        </xdr:from>
        <xdr:to>
          <xdr:col>15</xdr:col>
          <xdr:colOff>371475</xdr:colOff>
          <xdr:row>4</xdr:row>
          <xdr:rowOff>142875</xdr:rowOff>
        </xdr:to>
        <xdr:sp macro="" textlink="">
          <xdr:nvSpPr>
            <xdr:cNvPr id="52235" name="Option Button 11" hidden="1">
              <a:extLst>
                <a:ext uri="{63B3BB69-23CF-44E3-9099-C40C66FF867C}">
                  <a14:compatExt spid="_x0000_s52235"/>
                </a:ext>
                <a:ext uri="{FF2B5EF4-FFF2-40B4-BE49-F238E27FC236}">
                  <a16:creationId xmlns:a16="http://schemas.microsoft.com/office/drawing/2014/main" id="{00000000-0008-0000-0800-00000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0</xdr:colOff>
          <xdr:row>14</xdr:row>
          <xdr:rowOff>0</xdr:rowOff>
        </xdr:to>
        <xdr:sp macro="" textlink="">
          <xdr:nvSpPr>
            <xdr:cNvPr id="52236" name="Check Box 12" hidden="1">
              <a:extLst>
                <a:ext uri="{63B3BB69-23CF-44E3-9099-C40C66FF867C}">
                  <a14:compatExt spid="_x0000_s52236"/>
                </a:ext>
                <a:ext uri="{FF2B5EF4-FFF2-40B4-BE49-F238E27FC236}">
                  <a16:creationId xmlns:a16="http://schemas.microsoft.com/office/drawing/2014/main" id="{00000000-0008-0000-0800-00000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14</xdr:row>
          <xdr:rowOff>0</xdr:rowOff>
        </xdr:from>
        <xdr:to>
          <xdr:col>13</xdr:col>
          <xdr:colOff>0</xdr:colOff>
          <xdr:row>14</xdr:row>
          <xdr:rowOff>180975</xdr:rowOff>
        </xdr:to>
        <xdr:sp macro="" textlink="">
          <xdr:nvSpPr>
            <xdr:cNvPr id="52237" name="Check Box 13" hidden="1">
              <a:extLst>
                <a:ext uri="{63B3BB69-23CF-44E3-9099-C40C66FF867C}">
                  <a14:compatExt spid="_x0000_s52237"/>
                </a:ext>
                <a:ext uri="{FF2B5EF4-FFF2-40B4-BE49-F238E27FC236}">
                  <a16:creationId xmlns:a16="http://schemas.microsoft.com/office/drawing/2014/main" id="{00000000-0008-0000-0800-00000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19050</xdr:rowOff>
        </xdr:from>
        <xdr:to>
          <xdr:col>17</xdr:col>
          <xdr:colOff>0</xdr:colOff>
          <xdr:row>14</xdr:row>
          <xdr:rowOff>0</xdr:rowOff>
        </xdr:to>
        <xdr:sp macro="" textlink="">
          <xdr:nvSpPr>
            <xdr:cNvPr id="52238" name="Check Box 14" hidden="1">
              <a:extLst>
                <a:ext uri="{63B3BB69-23CF-44E3-9099-C40C66FF867C}">
                  <a14:compatExt spid="_x0000_s52238"/>
                </a:ext>
                <a:ext uri="{FF2B5EF4-FFF2-40B4-BE49-F238E27FC236}">
                  <a16:creationId xmlns:a16="http://schemas.microsoft.com/office/drawing/2014/main" id="{00000000-0008-0000-0800-00000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14</xdr:row>
          <xdr:rowOff>0</xdr:rowOff>
        </xdr:from>
        <xdr:to>
          <xdr:col>17</xdr:col>
          <xdr:colOff>0</xdr:colOff>
          <xdr:row>14</xdr:row>
          <xdr:rowOff>180975</xdr:rowOff>
        </xdr:to>
        <xdr:sp macro="" textlink="">
          <xdr:nvSpPr>
            <xdr:cNvPr id="52239" name="Check Box 15" hidden="1">
              <a:extLst>
                <a:ext uri="{63B3BB69-23CF-44E3-9099-C40C66FF867C}">
                  <a14:compatExt spid="_x0000_s52239"/>
                </a:ext>
                <a:ext uri="{FF2B5EF4-FFF2-40B4-BE49-F238E27FC236}">
                  <a16:creationId xmlns:a16="http://schemas.microsoft.com/office/drawing/2014/main" id="{00000000-0008-0000-0800-00000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xdr:row>
          <xdr:rowOff>19050</xdr:rowOff>
        </xdr:from>
        <xdr:to>
          <xdr:col>21</xdr:col>
          <xdr:colOff>0</xdr:colOff>
          <xdr:row>4</xdr:row>
          <xdr:rowOff>142875</xdr:rowOff>
        </xdr:to>
        <xdr:sp macro="" textlink="">
          <xdr:nvSpPr>
            <xdr:cNvPr id="52240" name="Option Button 16" hidden="1">
              <a:extLst>
                <a:ext uri="{63B3BB69-23CF-44E3-9099-C40C66FF867C}">
                  <a14:compatExt spid="_x0000_s52240"/>
                </a:ext>
                <a:ext uri="{FF2B5EF4-FFF2-40B4-BE49-F238E27FC236}">
                  <a16:creationId xmlns:a16="http://schemas.microsoft.com/office/drawing/2014/main" id="{00000000-0008-0000-0800-00001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xdr:row>
          <xdr:rowOff>190500</xdr:rowOff>
        </xdr:from>
        <xdr:to>
          <xdr:col>24</xdr:col>
          <xdr:colOff>0</xdr:colOff>
          <xdr:row>5</xdr:row>
          <xdr:rowOff>0</xdr:rowOff>
        </xdr:to>
        <xdr:sp macro="" textlink="">
          <xdr:nvSpPr>
            <xdr:cNvPr id="52241" name="Group Box 17" hidden="1">
              <a:extLst>
                <a:ext uri="{63B3BB69-23CF-44E3-9099-C40C66FF867C}">
                  <a14:compatExt spid="_x0000_s52241"/>
                </a:ext>
                <a:ext uri="{FF2B5EF4-FFF2-40B4-BE49-F238E27FC236}">
                  <a16:creationId xmlns:a16="http://schemas.microsoft.com/office/drawing/2014/main" id="{00000000-0008-0000-0800-000011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4</xdr:row>
          <xdr:rowOff>19050</xdr:rowOff>
        </xdr:from>
        <xdr:to>
          <xdr:col>24</xdr:col>
          <xdr:colOff>0</xdr:colOff>
          <xdr:row>4</xdr:row>
          <xdr:rowOff>142875</xdr:rowOff>
        </xdr:to>
        <xdr:sp macro="" textlink="">
          <xdr:nvSpPr>
            <xdr:cNvPr id="52242" name="Option Button 18" hidden="1">
              <a:extLst>
                <a:ext uri="{63B3BB69-23CF-44E3-9099-C40C66FF867C}">
                  <a14:compatExt spid="_x0000_s52242"/>
                </a:ext>
                <a:ext uri="{FF2B5EF4-FFF2-40B4-BE49-F238E27FC236}">
                  <a16:creationId xmlns:a16="http://schemas.microsoft.com/office/drawing/2014/main" id="{00000000-0008-0000-0800-00001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18</xdr:row>
          <xdr:rowOff>0</xdr:rowOff>
        </xdr:from>
        <xdr:to>
          <xdr:col>24</xdr:col>
          <xdr:colOff>0</xdr:colOff>
          <xdr:row>21</xdr:row>
          <xdr:rowOff>0</xdr:rowOff>
        </xdr:to>
        <xdr:sp macro="" textlink="">
          <xdr:nvSpPr>
            <xdr:cNvPr id="52247" name="Group Box 23" hidden="1">
              <a:extLst>
                <a:ext uri="{63B3BB69-23CF-44E3-9099-C40C66FF867C}">
                  <a14:compatExt spid="_x0000_s52247"/>
                </a:ext>
                <a:ext uri="{FF2B5EF4-FFF2-40B4-BE49-F238E27FC236}">
                  <a16:creationId xmlns:a16="http://schemas.microsoft.com/office/drawing/2014/main" id="{00000000-0008-0000-0800-000017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20</xdr:row>
          <xdr:rowOff>0</xdr:rowOff>
        </xdr:from>
        <xdr:to>
          <xdr:col>20</xdr:col>
          <xdr:colOff>0</xdr:colOff>
          <xdr:row>20</xdr:row>
          <xdr:rowOff>152400</xdr:rowOff>
        </xdr:to>
        <xdr:sp macro="" textlink="">
          <xdr:nvSpPr>
            <xdr:cNvPr id="52248" name="Option Button 24" hidden="1">
              <a:extLst>
                <a:ext uri="{63B3BB69-23CF-44E3-9099-C40C66FF867C}">
                  <a14:compatExt spid="_x0000_s52248"/>
                </a:ext>
                <a:ext uri="{FF2B5EF4-FFF2-40B4-BE49-F238E27FC236}">
                  <a16:creationId xmlns:a16="http://schemas.microsoft.com/office/drawing/2014/main" id="{00000000-0008-0000-0800-00001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19</xdr:row>
          <xdr:rowOff>0</xdr:rowOff>
        </xdr:from>
        <xdr:to>
          <xdr:col>22</xdr:col>
          <xdr:colOff>0</xdr:colOff>
          <xdr:row>19</xdr:row>
          <xdr:rowOff>152400</xdr:rowOff>
        </xdr:to>
        <xdr:sp macro="" textlink="">
          <xdr:nvSpPr>
            <xdr:cNvPr id="52249" name="Option Button 25" hidden="1">
              <a:extLst>
                <a:ext uri="{63B3BB69-23CF-44E3-9099-C40C66FF867C}">
                  <a14:compatExt spid="_x0000_s52249"/>
                </a:ext>
                <a:ext uri="{FF2B5EF4-FFF2-40B4-BE49-F238E27FC236}">
                  <a16:creationId xmlns:a16="http://schemas.microsoft.com/office/drawing/2014/main" id="{00000000-0008-0000-0800-00001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20</xdr:row>
          <xdr:rowOff>9525</xdr:rowOff>
        </xdr:from>
        <xdr:to>
          <xdr:col>22</xdr:col>
          <xdr:colOff>0</xdr:colOff>
          <xdr:row>20</xdr:row>
          <xdr:rowOff>152400</xdr:rowOff>
        </xdr:to>
        <xdr:sp macro="" textlink="">
          <xdr:nvSpPr>
            <xdr:cNvPr id="52250" name="Option Button 26" hidden="1">
              <a:extLst>
                <a:ext uri="{63B3BB69-23CF-44E3-9099-C40C66FF867C}">
                  <a14:compatExt spid="_x0000_s52250"/>
                </a:ext>
                <a:ext uri="{FF2B5EF4-FFF2-40B4-BE49-F238E27FC236}">
                  <a16:creationId xmlns:a16="http://schemas.microsoft.com/office/drawing/2014/main" id="{00000000-0008-0000-0800-00001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161925</xdr:rowOff>
        </xdr:from>
        <xdr:to>
          <xdr:col>24</xdr:col>
          <xdr:colOff>0</xdr:colOff>
          <xdr:row>20</xdr:row>
          <xdr:rowOff>152400</xdr:rowOff>
        </xdr:to>
        <xdr:sp macro="" textlink="">
          <xdr:nvSpPr>
            <xdr:cNvPr id="52251" name="Option Button 27" hidden="1">
              <a:extLst>
                <a:ext uri="{63B3BB69-23CF-44E3-9099-C40C66FF867C}">
                  <a14:compatExt spid="_x0000_s52251"/>
                </a:ext>
                <a:ext uri="{FF2B5EF4-FFF2-40B4-BE49-F238E27FC236}">
                  <a16:creationId xmlns:a16="http://schemas.microsoft.com/office/drawing/2014/main" id="{00000000-0008-0000-0800-00001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23</xdr:row>
          <xdr:rowOff>0</xdr:rowOff>
        </xdr:from>
        <xdr:to>
          <xdr:col>15</xdr:col>
          <xdr:colOff>0</xdr:colOff>
          <xdr:row>24</xdr:row>
          <xdr:rowOff>0</xdr:rowOff>
        </xdr:to>
        <xdr:sp macro="" textlink="">
          <xdr:nvSpPr>
            <xdr:cNvPr id="52252" name="Check Box 28" hidden="1">
              <a:extLst>
                <a:ext uri="{63B3BB69-23CF-44E3-9099-C40C66FF867C}">
                  <a14:compatExt spid="_x0000_s52252"/>
                </a:ext>
                <a:ext uri="{FF2B5EF4-FFF2-40B4-BE49-F238E27FC236}">
                  <a16:creationId xmlns:a16="http://schemas.microsoft.com/office/drawing/2014/main" id="{00000000-0008-0000-0800-00001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24</xdr:row>
          <xdr:rowOff>0</xdr:rowOff>
        </xdr:from>
        <xdr:to>
          <xdr:col>15</xdr:col>
          <xdr:colOff>0</xdr:colOff>
          <xdr:row>25</xdr:row>
          <xdr:rowOff>0</xdr:rowOff>
        </xdr:to>
        <xdr:sp macro="" textlink="">
          <xdr:nvSpPr>
            <xdr:cNvPr id="52253" name="Check Box 29" hidden="1">
              <a:extLst>
                <a:ext uri="{63B3BB69-23CF-44E3-9099-C40C66FF867C}">
                  <a14:compatExt spid="_x0000_s52253"/>
                </a:ext>
                <a:ext uri="{FF2B5EF4-FFF2-40B4-BE49-F238E27FC236}">
                  <a16:creationId xmlns:a16="http://schemas.microsoft.com/office/drawing/2014/main" id="{00000000-0008-0000-0800-00001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23</xdr:row>
          <xdr:rowOff>0</xdr:rowOff>
        </xdr:from>
        <xdr:to>
          <xdr:col>22</xdr:col>
          <xdr:colOff>0</xdr:colOff>
          <xdr:row>24</xdr:row>
          <xdr:rowOff>0</xdr:rowOff>
        </xdr:to>
        <xdr:sp macro="" textlink="">
          <xdr:nvSpPr>
            <xdr:cNvPr id="52254" name="Check Box 30" hidden="1">
              <a:extLst>
                <a:ext uri="{63B3BB69-23CF-44E3-9099-C40C66FF867C}">
                  <a14:compatExt spid="_x0000_s52254"/>
                </a:ext>
                <a:ext uri="{FF2B5EF4-FFF2-40B4-BE49-F238E27FC236}">
                  <a16:creationId xmlns:a16="http://schemas.microsoft.com/office/drawing/2014/main" id="{00000000-0008-0000-0800-00001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24</xdr:row>
          <xdr:rowOff>0</xdr:rowOff>
        </xdr:from>
        <xdr:to>
          <xdr:col>22</xdr:col>
          <xdr:colOff>0</xdr:colOff>
          <xdr:row>25</xdr:row>
          <xdr:rowOff>0</xdr:rowOff>
        </xdr:to>
        <xdr:sp macro="" textlink="">
          <xdr:nvSpPr>
            <xdr:cNvPr id="52255" name="Check Box 31" hidden="1">
              <a:extLst>
                <a:ext uri="{63B3BB69-23CF-44E3-9099-C40C66FF867C}">
                  <a14:compatExt spid="_x0000_s52255"/>
                </a:ext>
                <a:ext uri="{FF2B5EF4-FFF2-40B4-BE49-F238E27FC236}">
                  <a16:creationId xmlns:a16="http://schemas.microsoft.com/office/drawing/2014/main" id="{00000000-0008-0000-0800-00001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15</xdr:col>
          <xdr:colOff>0</xdr:colOff>
          <xdr:row>19</xdr:row>
          <xdr:rowOff>0</xdr:rowOff>
        </xdr:to>
        <xdr:sp macro="" textlink="">
          <xdr:nvSpPr>
            <xdr:cNvPr id="52256" name="Group Box 32" hidden="1">
              <a:extLst>
                <a:ext uri="{63B3BB69-23CF-44E3-9099-C40C66FF867C}">
                  <a14:compatExt spid="_x0000_s52256"/>
                </a:ext>
                <a:ext uri="{FF2B5EF4-FFF2-40B4-BE49-F238E27FC236}">
                  <a16:creationId xmlns:a16="http://schemas.microsoft.com/office/drawing/2014/main" id="{00000000-0008-0000-0800-000020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xdr:row>
          <xdr:rowOff>19050</xdr:rowOff>
        </xdr:from>
        <xdr:to>
          <xdr:col>12</xdr:col>
          <xdr:colOff>266700</xdr:colOff>
          <xdr:row>17</xdr:row>
          <xdr:rowOff>142875</xdr:rowOff>
        </xdr:to>
        <xdr:sp macro="" textlink="">
          <xdr:nvSpPr>
            <xdr:cNvPr id="52257" name="Option Button 33" hidden="1">
              <a:extLst>
                <a:ext uri="{63B3BB69-23CF-44E3-9099-C40C66FF867C}">
                  <a14:compatExt spid="_x0000_s52257"/>
                </a:ext>
                <a:ext uri="{FF2B5EF4-FFF2-40B4-BE49-F238E27FC236}">
                  <a16:creationId xmlns:a16="http://schemas.microsoft.com/office/drawing/2014/main" id="{00000000-0008-0000-0800-00002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9525</xdr:rowOff>
        </xdr:from>
        <xdr:to>
          <xdr:col>12</xdr:col>
          <xdr:colOff>266700</xdr:colOff>
          <xdr:row>18</xdr:row>
          <xdr:rowOff>133350</xdr:rowOff>
        </xdr:to>
        <xdr:sp macro="" textlink="">
          <xdr:nvSpPr>
            <xdr:cNvPr id="52258" name="Option Button 34" hidden="1">
              <a:extLst>
                <a:ext uri="{63B3BB69-23CF-44E3-9099-C40C66FF867C}">
                  <a14:compatExt spid="_x0000_s52258"/>
                </a:ext>
                <a:ext uri="{FF2B5EF4-FFF2-40B4-BE49-F238E27FC236}">
                  <a16:creationId xmlns:a16="http://schemas.microsoft.com/office/drawing/2014/main" id="{00000000-0008-0000-0800-00002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27</xdr:row>
          <xdr:rowOff>0</xdr:rowOff>
        </xdr:from>
        <xdr:to>
          <xdr:col>15</xdr:col>
          <xdr:colOff>0</xdr:colOff>
          <xdr:row>28</xdr:row>
          <xdr:rowOff>0</xdr:rowOff>
        </xdr:to>
        <xdr:sp macro="" textlink="">
          <xdr:nvSpPr>
            <xdr:cNvPr id="52259" name="Check Box 35" hidden="1">
              <a:extLst>
                <a:ext uri="{63B3BB69-23CF-44E3-9099-C40C66FF867C}">
                  <a14:compatExt spid="_x0000_s52259"/>
                </a:ext>
                <a:ext uri="{FF2B5EF4-FFF2-40B4-BE49-F238E27FC236}">
                  <a16:creationId xmlns:a16="http://schemas.microsoft.com/office/drawing/2014/main" id="{00000000-0008-0000-0800-00002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31</xdr:row>
          <xdr:rowOff>0</xdr:rowOff>
        </xdr:from>
        <xdr:to>
          <xdr:col>15</xdr:col>
          <xdr:colOff>0</xdr:colOff>
          <xdr:row>32</xdr:row>
          <xdr:rowOff>0</xdr:rowOff>
        </xdr:to>
        <xdr:sp macro="" textlink="">
          <xdr:nvSpPr>
            <xdr:cNvPr id="52262" name="Check Box 38" hidden="1">
              <a:extLst>
                <a:ext uri="{63B3BB69-23CF-44E3-9099-C40C66FF867C}">
                  <a14:compatExt spid="_x0000_s52262"/>
                </a:ext>
                <a:ext uri="{FF2B5EF4-FFF2-40B4-BE49-F238E27FC236}">
                  <a16:creationId xmlns:a16="http://schemas.microsoft.com/office/drawing/2014/main" id="{00000000-0008-0000-0800-00002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32</xdr:row>
          <xdr:rowOff>0</xdr:rowOff>
        </xdr:from>
        <xdr:to>
          <xdr:col>15</xdr:col>
          <xdr:colOff>0</xdr:colOff>
          <xdr:row>33</xdr:row>
          <xdr:rowOff>0</xdr:rowOff>
        </xdr:to>
        <xdr:sp macro="" textlink="">
          <xdr:nvSpPr>
            <xdr:cNvPr id="52263" name="Check Box 39" hidden="1">
              <a:extLst>
                <a:ext uri="{63B3BB69-23CF-44E3-9099-C40C66FF867C}">
                  <a14:compatExt spid="_x0000_s52263"/>
                </a:ext>
                <a:ext uri="{FF2B5EF4-FFF2-40B4-BE49-F238E27FC236}">
                  <a16:creationId xmlns:a16="http://schemas.microsoft.com/office/drawing/2014/main" id="{00000000-0008-0000-0800-00002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33</xdr:row>
          <xdr:rowOff>0</xdr:rowOff>
        </xdr:from>
        <xdr:to>
          <xdr:col>15</xdr:col>
          <xdr:colOff>0</xdr:colOff>
          <xdr:row>34</xdr:row>
          <xdr:rowOff>0</xdr:rowOff>
        </xdr:to>
        <xdr:sp macro="" textlink="">
          <xdr:nvSpPr>
            <xdr:cNvPr id="52264" name="Check Box 40" hidden="1">
              <a:extLst>
                <a:ext uri="{63B3BB69-23CF-44E3-9099-C40C66FF867C}">
                  <a14:compatExt spid="_x0000_s52264"/>
                </a:ext>
                <a:ext uri="{FF2B5EF4-FFF2-40B4-BE49-F238E27FC236}">
                  <a16:creationId xmlns:a16="http://schemas.microsoft.com/office/drawing/2014/main" id="{00000000-0008-0000-0800-00002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sp macro="" textlink="">
          <xdr:nvSpPr>
            <xdr:cNvPr id="52265" name="Check Box 41" hidden="1">
              <a:extLst>
                <a:ext uri="{63B3BB69-23CF-44E3-9099-C40C66FF867C}">
                  <a14:compatExt spid="_x0000_s52265"/>
                </a:ext>
                <a:ext uri="{FF2B5EF4-FFF2-40B4-BE49-F238E27FC236}">
                  <a16:creationId xmlns:a16="http://schemas.microsoft.com/office/drawing/2014/main" id="{00000000-0008-0000-0800-00002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34</xdr:row>
          <xdr:rowOff>0</xdr:rowOff>
        </xdr:from>
        <xdr:to>
          <xdr:col>15</xdr:col>
          <xdr:colOff>0</xdr:colOff>
          <xdr:row>35</xdr:row>
          <xdr:rowOff>0</xdr:rowOff>
        </xdr:to>
        <xdr:sp macro="" textlink="">
          <xdr:nvSpPr>
            <xdr:cNvPr id="52266" name="Check Box 42" hidden="1">
              <a:extLst>
                <a:ext uri="{63B3BB69-23CF-44E3-9099-C40C66FF867C}">
                  <a14:compatExt spid="_x0000_s52266"/>
                </a:ext>
                <a:ext uri="{FF2B5EF4-FFF2-40B4-BE49-F238E27FC236}">
                  <a16:creationId xmlns:a16="http://schemas.microsoft.com/office/drawing/2014/main" id="{00000000-0008-0000-0800-00002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35</xdr:row>
          <xdr:rowOff>0</xdr:rowOff>
        </xdr:from>
        <xdr:to>
          <xdr:col>15</xdr:col>
          <xdr:colOff>0</xdr:colOff>
          <xdr:row>36</xdr:row>
          <xdr:rowOff>0</xdr:rowOff>
        </xdr:to>
        <xdr:sp macro="" textlink="">
          <xdr:nvSpPr>
            <xdr:cNvPr id="52267" name="Check Box 43" hidden="1">
              <a:extLst>
                <a:ext uri="{63B3BB69-23CF-44E3-9099-C40C66FF867C}">
                  <a14:compatExt spid="_x0000_s52267"/>
                </a:ext>
                <a:ext uri="{FF2B5EF4-FFF2-40B4-BE49-F238E27FC236}">
                  <a16:creationId xmlns:a16="http://schemas.microsoft.com/office/drawing/2014/main" id="{00000000-0008-0000-0800-00002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36</xdr:row>
          <xdr:rowOff>0</xdr:rowOff>
        </xdr:from>
        <xdr:to>
          <xdr:col>15</xdr:col>
          <xdr:colOff>0</xdr:colOff>
          <xdr:row>37</xdr:row>
          <xdr:rowOff>0</xdr:rowOff>
        </xdr:to>
        <xdr:sp macro="" textlink="">
          <xdr:nvSpPr>
            <xdr:cNvPr id="52268" name="Check Box 44" hidden="1">
              <a:extLst>
                <a:ext uri="{63B3BB69-23CF-44E3-9099-C40C66FF867C}">
                  <a14:compatExt spid="_x0000_s52268"/>
                </a:ext>
                <a:ext uri="{FF2B5EF4-FFF2-40B4-BE49-F238E27FC236}">
                  <a16:creationId xmlns:a16="http://schemas.microsoft.com/office/drawing/2014/main" id="{00000000-0008-0000-0800-00002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47624</xdr:colOff>
          <xdr:row>17</xdr:row>
          <xdr:rowOff>190499</xdr:rowOff>
        </xdr:from>
        <xdr:to>
          <xdr:col>4</xdr:col>
          <xdr:colOff>344624</xdr:colOff>
          <xdr:row>22</xdr:row>
          <xdr:rowOff>6844</xdr:rowOff>
        </xdr:to>
        <xdr:pic>
          <xdr:nvPicPr>
            <xdr:cNvPr id="6" name="Grafik 5">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MontageartLinks5" spid="_x0000_s645500"/>
                </a:ext>
              </a:extLst>
            </xdr:cNvPicPr>
          </xdr:nvPicPr>
          <xdr:blipFill>
            <a:blip xmlns:r="http://schemas.openxmlformats.org/officeDocument/2006/relationships" r:embed="rId2"/>
            <a:srcRect/>
            <a:stretch>
              <a:fillRect/>
            </a:stretch>
          </xdr:blipFill>
          <xdr:spPr bwMode="auto">
            <a:xfrm>
              <a:off x="428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47624</xdr:colOff>
          <xdr:row>17</xdr:row>
          <xdr:rowOff>190499</xdr:rowOff>
        </xdr:from>
        <xdr:to>
          <xdr:col>8</xdr:col>
          <xdr:colOff>344624</xdr:colOff>
          <xdr:row>22</xdr:row>
          <xdr:rowOff>6844</xdr:rowOff>
        </xdr:to>
        <xdr:pic>
          <xdr:nvPicPr>
            <xdr:cNvPr id="7" name="Grafik 6">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MontageartRechts5" spid="_x0000_s645501"/>
                </a:ext>
              </a:extLst>
            </xdr:cNvPicPr>
          </xdr:nvPicPr>
          <xdr:blipFill>
            <a:blip xmlns:r="http://schemas.openxmlformats.org/officeDocument/2006/relationships" r:embed="rId3"/>
            <a:srcRect/>
            <a:stretch>
              <a:fillRect/>
            </a:stretch>
          </xdr:blipFill>
          <xdr:spPr bwMode="auto">
            <a:xfrm>
              <a:off x="1952624" y="2352674"/>
              <a:ext cx="1440000" cy="6545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28574</xdr:colOff>
          <xdr:row>16</xdr:row>
          <xdr:rowOff>152399</xdr:rowOff>
        </xdr:from>
        <xdr:to>
          <xdr:col>17</xdr:col>
          <xdr:colOff>8174</xdr:colOff>
          <xdr:row>21</xdr:row>
          <xdr:rowOff>84374</xdr:rowOff>
        </xdr:to>
        <xdr:pic>
          <xdr:nvPicPr>
            <xdr:cNvPr id="8" name="Grafik 7">
              <a:extLst>
                <a:ext uri="{FF2B5EF4-FFF2-40B4-BE49-F238E27FC236}">
                  <a16:creationId xmlns:a16="http://schemas.microsoft.com/office/drawing/2014/main" id="{00000000-0008-0000-0800-000008000000}"/>
                </a:ext>
              </a:extLst>
            </xdr:cNvPr>
            <xdr:cNvPicPr>
              <a:picLocks noChangeAspect="1" noChangeArrowheads="1"/>
              <a:extLst>
                <a:ext uri="{84589F7E-364E-4C9E-8A38-B11213B215E9}">
                  <a14:cameraTool cellRange="Rundprofil5" spid="_x0000_s645502"/>
                </a:ext>
              </a:extLst>
            </xdr:cNvPicPr>
          </xdr:nvPicPr>
          <xdr:blipFill>
            <a:blip xmlns:r="http://schemas.openxmlformats.org/officeDocument/2006/relationships" r:embed="rId4"/>
            <a:srcRect/>
            <a:stretch>
              <a:fillRect/>
            </a:stretch>
          </xdr:blipFill>
          <xdr:spPr bwMode="auto">
            <a:xfrm>
              <a:off x="5743574" y="2152649"/>
              <a:ext cx="741600" cy="7416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xdr:row>
          <xdr:rowOff>0</xdr:rowOff>
        </xdr:from>
        <xdr:to>
          <xdr:col>17</xdr:col>
          <xdr:colOff>0</xdr:colOff>
          <xdr:row>37</xdr:row>
          <xdr:rowOff>0</xdr:rowOff>
        </xdr:to>
        <xdr:sp macro="" textlink="">
          <xdr:nvSpPr>
            <xdr:cNvPr id="327909" name="Group Box 2277" hidden="1">
              <a:extLst>
                <a:ext uri="{63B3BB69-23CF-44E3-9099-C40C66FF867C}">
                  <a14:compatExt spid="_x0000_s327909"/>
                </a:ext>
                <a:ext uri="{FF2B5EF4-FFF2-40B4-BE49-F238E27FC236}">
                  <a16:creationId xmlns:a16="http://schemas.microsoft.com/office/drawing/2014/main" id="{00000000-0008-0000-0800-0000E500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29</xdr:row>
          <xdr:rowOff>19050</xdr:rowOff>
        </xdr:from>
        <xdr:to>
          <xdr:col>12</xdr:col>
          <xdr:colOff>266700</xdr:colOff>
          <xdr:row>29</xdr:row>
          <xdr:rowOff>142875</xdr:rowOff>
        </xdr:to>
        <xdr:sp macro="" textlink="">
          <xdr:nvSpPr>
            <xdr:cNvPr id="327910" name="Option Button 2278" hidden="1">
              <a:extLst>
                <a:ext uri="{63B3BB69-23CF-44E3-9099-C40C66FF867C}">
                  <a14:compatExt spid="_x0000_s327910"/>
                </a:ext>
                <a:ext uri="{FF2B5EF4-FFF2-40B4-BE49-F238E27FC236}">
                  <a16:creationId xmlns:a16="http://schemas.microsoft.com/office/drawing/2014/main" id="{00000000-0008-0000-0800-0000E6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30</xdr:row>
          <xdr:rowOff>9525</xdr:rowOff>
        </xdr:from>
        <xdr:to>
          <xdr:col>12</xdr:col>
          <xdr:colOff>266700</xdr:colOff>
          <xdr:row>30</xdr:row>
          <xdr:rowOff>133350</xdr:rowOff>
        </xdr:to>
        <xdr:sp macro="" textlink="">
          <xdr:nvSpPr>
            <xdr:cNvPr id="327911" name="Option Button 2279" hidden="1">
              <a:extLst>
                <a:ext uri="{63B3BB69-23CF-44E3-9099-C40C66FF867C}">
                  <a14:compatExt spid="_x0000_s327911"/>
                </a:ext>
                <a:ext uri="{FF2B5EF4-FFF2-40B4-BE49-F238E27FC236}">
                  <a16:creationId xmlns:a16="http://schemas.microsoft.com/office/drawing/2014/main" id="{00000000-0008-0000-0800-0000E70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22</xdr:col>
          <xdr:colOff>0</xdr:colOff>
          <xdr:row>16</xdr:row>
          <xdr:rowOff>0</xdr:rowOff>
        </xdr:to>
        <xdr:sp macro="" textlink="">
          <xdr:nvSpPr>
            <xdr:cNvPr id="328299" name="Group Box 2667" hidden="1">
              <a:extLst>
                <a:ext uri="{63B3BB69-23CF-44E3-9099-C40C66FF867C}">
                  <a14:compatExt spid="_x0000_s328299"/>
                </a:ext>
                <a:ext uri="{FF2B5EF4-FFF2-40B4-BE49-F238E27FC236}">
                  <a16:creationId xmlns:a16="http://schemas.microsoft.com/office/drawing/2014/main" id="{00000000-0008-0000-0800-00006B0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12</xdr:row>
          <xdr:rowOff>19050</xdr:rowOff>
        </xdr:from>
        <xdr:to>
          <xdr:col>21</xdr:col>
          <xdr:colOff>123825</xdr:colOff>
          <xdr:row>13</xdr:row>
          <xdr:rowOff>0</xdr:rowOff>
        </xdr:to>
        <xdr:sp macro="" textlink="">
          <xdr:nvSpPr>
            <xdr:cNvPr id="328300" name="Option Button 2668" hidden="1">
              <a:extLst>
                <a:ext uri="{63B3BB69-23CF-44E3-9099-C40C66FF867C}">
                  <a14:compatExt spid="_x0000_s328300"/>
                </a:ext>
                <a:ext uri="{FF2B5EF4-FFF2-40B4-BE49-F238E27FC236}">
                  <a16:creationId xmlns:a16="http://schemas.microsoft.com/office/drawing/2014/main" id="{00000000-0008-0000-0800-00006C0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14</xdr:row>
          <xdr:rowOff>19050</xdr:rowOff>
        </xdr:from>
        <xdr:to>
          <xdr:col>21</xdr:col>
          <xdr:colOff>123825</xdr:colOff>
          <xdr:row>14</xdr:row>
          <xdr:rowOff>142875</xdr:rowOff>
        </xdr:to>
        <xdr:sp macro="" textlink="">
          <xdr:nvSpPr>
            <xdr:cNvPr id="328301" name="Option Button 2669" hidden="1">
              <a:extLst>
                <a:ext uri="{63B3BB69-23CF-44E3-9099-C40C66FF867C}">
                  <a14:compatExt spid="_x0000_s328301"/>
                </a:ext>
                <a:ext uri="{FF2B5EF4-FFF2-40B4-BE49-F238E27FC236}">
                  <a16:creationId xmlns:a16="http://schemas.microsoft.com/office/drawing/2014/main" id="{00000000-0008-0000-0800-00006D0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285750</xdr:colOff>
          <xdr:row>15</xdr:row>
          <xdr:rowOff>19050</xdr:rowOff>
        </xdr:from>
        <xdr:to>
          <xdr:col>21</xdr:col>
          <xdr:colOff>123825</xdr:colOff>
          <xdr:row>15</xdr:row>
          <xdr:rowOff>142875</xdr:rowOff>
        </xdr:to>
        <xdr:sp macro="" textlink="">
          <xdr:nvSpPr>
            <xdr:cNvPr id="328302" name="Option Button 2670" hidden="1">
              <a:extLst>
                <a:ext uri="{63B3BB69-23CF-44E3-9099-C40C66FF867C}">
                  <a14:compatExt spid="_x0000_s328302"/>
                </a:ext>
                <a:ext uri="{FF2B5EF4-FFF2-40B4-BE49-F238E27FC236}">
                  <a16:creationId xmlns:a16="http://schemas.microsoft.com/office/drawing/2014/main" id="{00000000-0008-0000-0800-00006E0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0</xdr:rowOff>
        </xdr:from>
        <xdr:to>
          <xdr:col>24</xdr:col>
          <xdr:colOff>0</xdr:colOff>
          <xdr:row>15</xdr:row>
          <xdr:rowOff>161925</xdr:rowOff>
        </xdr:to>
        <xdr:sp macro="" textlink="">
          <xdr:nvSpPr>
            <xdr:cNvPr id="328303" name="Group Box 2671" hidden="1">
              <a:extLst>
                <a:ext uri="{63B3BB69-23CF-44E3-9099-C40C66FF867C}">
                  <a14:compatExt spid="_x0000_s328303"/>
                </a:ext>
                <a:ext uri="{FF2B5EF4-FFF2-40B4-BE49-F238E27FC236}">
                  <a16:creationId xmlns:a16="http://schemas.microsoft.com/office/drawing/2014/main" id="{00000000-0008-0000-0800-00006F02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12</xdr:row>
          <xdr:rowOff>19050</xdr:rowOff>
        </xdr:from>
        <xdr:to>
          <xdr:col>23</xdr:col>
          <xdr:colOff>123825</xdr:colOff>
          <xdr:row>12</xdr:row>
          <xdr:rowOff>161925</xdr:rowOff>
        </xdr:to>
        <xdr:sp macro="" textlink="">
          <xdr:nvSpPr>
            <xdr:cNvPr id="328304" name="Option Button 2672" hidden="1">
              <a:extLst>
                <a:ext uri="{63B3BB69-23CF-44E3-9099-C40C66FF867C}">
                  <a14:compatExt spid="_x0000_s328304"/>
                </a:ext>
                <a:ext uri="{FF2B5EF4-FFF2-40B4-BE49-F238E27FC236}">
                  <a16:creationId xmlns:a16="http://schemas.microsoft.com/office/drawing/2014/main" id="{00000000-0008-0000-0800-0000700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14</xdr:row>
          <xdr:rowOff>19050</xdr:rowOff>
        </xdr:from>
        <xdr:to>
          <xdr:col>23</xdr:col>
          <xdr:colOff>123825</xdr:colOff>
          <xdr:row>14</xdr:row>
          <xdr:rowOff>142875</xdr:rowOff>
        </xdr:to>
        <xdr:sp macro="" textlink="">
          <xdr:nvSpPr>
            <xdr:cNvPr id="328305" name="Option Button 2673" hidden="1">
              <a:extLst>
                <a:ext uri="{63B3BB69-23CF-44E3-9099-C40C66FF867C}">
                  <a14:compatExt spid="_x0000_s328305"/>
                </a:ext>
                <a:ext uri="{FF2B5EF4-FFF2-40B4-BE49-F238E27FC236}">
                  <a16:creationId xmlns:a16="http://schemas.microsoft.com/office/drawing/2014/main" id="{00000000-0008-0000-0800-0000710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15</xdr:row>
          <xdr:rowOff>19050</xdr:rowOff>
        </xdr:from>
        <xdr:to>
          <xdr:col>23</xdr:col>
          <xdr:colOff>123825</xdr:colOff>
          <xdr:row>15</xdr:row>
          <xdr:rowOff>142875</xdr:rowOff>
        </xdr:to>
        <xdr:sp macro="" textlink="">
          <xdr:nvSpPr>
            <xdr:cNvPr id="328306" name="Option Button 2674" hidden="1">
              <a:extLst>
                <a:ext uri="{63B3BB69-23CF-44E3-9099-C40C66FF867C}">
                  <a14:compatExt spid="_x0000_s328306"/>
                </a:ext>
                <a:ext uri="{FF2B5EF4-FFF2-40B4-BE49-F238E27FC236}">
                  <a16:creationId xmlns:a16="http://schemas.microsoft.com/office/drawing/2014/main" id="{00000000-0008-0000-0800-0000720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ctrlProp" Target="../ctrlProps/ctrlProp5.xml"/><Relationship Id="rId26" Type="http://schemas.openxmlformats.org/officeDocument/2006/relationships/ctrlProp" Target="../ctrlProps/ctrlProp13.xml"/><Relationship Id="rId39" Type="http://schemas.openxmlformats.org/officeDocument/2006/relationships/ctrlProp" Target="../ctrlProps/ctrlProp26.xml"/><Relationship Id="rId21" Type="http://schemas.openxmlformats.org/officeDocument/2006/relationships/ctrlProp" Target="../ctrlProps/ctrlProp8.xml"/><Relationship Id="rId34" Type="http://schemas.openxmlformats.org/officeDocument/2006/relationships/ctrlProp" Target="../ctrlProps/ctrlProp21.xml"/><Relationship Id="rId42" Type="http://schemas.openxmlformats.org/officeDocument/2006/relationships/ctrlProp" Target="../ctrlProps/ctrlProp29.xml"/><Relationship Id="rId47" Type="http://schemas.openxmlformats.org/officeDocument/2006/relationships/ctrlProp" Target="../ctrlProps/ctrlProp34.xml"/><Relationship Id="rId50" Type="http://schemas.openxmlformats.org/officeDocument/2006/relationships/ctrlProp" Target="../ctrlProps/ctrlProp37.xml"/><Relationship Id="rId7" Type="http://schemas.openxmlformats.org/officeDocument/2006/relationships/image" Target="../media/image2.emf"/><Relationship Id="rId2" Type="http://schemas.openxmlformats.org/officeDocument/2006/relationships/drawing" Target="../drawings/drawing1.xml"/><Relationship Id="rId16" Type="http://schemas.openxmlformats.org/officeDocument/2006/relationships/ctrlProp" Target="../ctrlProps/ctrlProp3.xml"/><Relationship Id="rId29" Type="http://schemas.openxmlformats.org/officeDocument/2006/relationships/ctrlProp" Target="../ctrlProps/ctrlProp16.xml"/><Relationship Id="rId11" Type="http://schemas.openxmlformats.org/officeDocument/2006/relationships/image" Target="../media/image4.emf"/><Relationship Id="rId24" Type="http://schemas.openxmlformats.org/officeDocument/2006/relationships/ctrlProp" Target="../ctrlProps/ctrlProp11.xml"/><Relationship Id="rId32" Type="http://schemas.openxmlformats.org/officeDocument/2006/relationships/ctrlProp" Target="../ctrlProps/ctrlProp19.xml"/><Relationship Id="rId37" Type="http://schemas.openxmlformats.org/officeDocument/2006/relationships/ctrlProp" Target="../ctrlProps/ctrlProp24.xml"/><Relationship Id="rId40" Type="http://schemas.openxmlformats.org/officeDocument/2006/relationships/ctrlProp" Target="../ctrlProps/ctrlProp27.xml"/><Relationship Id="rId45" Type="http://schemas.openxmlformats.org/officeDocument/2006/relationships/ctrlProp" Target="../ctrlProps/ctrlProp32.xml"/><Relationship Id="rId5" Type="http://schemas.openxmlformats.org/officeDocument/2006/relationships/image" Target="../media/image1.emf"/><Relationship Id="rId15" Type="http://schemas.openxmlformats.org/officeDocument/2006/relationships/ctrlProp" Target="../ctrlProps/ctrlProp2.xml"/><Relationship Id="rId23" Type="http://schemas.openxmlformats.org/officeDocument/2006/relationships/ctrlProp" Target="../ctrlProps/ctrlProp10.xml"/><Relationship Id="rId28" Type="http://schemas.openxmlformats.org/officeDocument/2006/relationships/ctrlProp" Target="../ctrlProps/ctrlProp15.xml"/><Relationship Id="rId36" Type="http://schemas.openxmlformats.org/officeDocument/2006/relationships/ctrlProp" Target="../ctrlProps/ctrlProp23.xml"/><Relationship Id="rId49" Type="http://schemas.openxmlformats.org/officeDocument/2006/relationships/ctrlProp" Target="../ctrlProps/ctrlProp36.xml"/><Relationship Id="rId10" Type="http://schemas.openxmlformats.org/officeDocument/2006/relationships/oleObject" Target="../embeddings/oleObject4.bin"/><Relationship Id="rId19" Type="http://schemas.openxmlformats.org/officeDocument/2006/relationships/ctrlProp" Target="../ctrlProps/ctrlProp6.xml"/><Relationship Id="rId31" Type="http://schemas.openxmlformats.org/officeDocument/2006/relationships/ctrlProp" Target="../ctrlProps/ctrlProp18.xml"/><Relationship Id="rId44" Type="http://schemas.openxmlformats.org/officeDocument/2006/relationships/ctrlProp" Target="../ctrlProps/ctrlProp31.xml"/><Relationship Id="rId52" Type="http://schemas.openxmlformats.org/officeDocument/2006/relationships/ctrlProp" Target="../ctrlProps/ctrlProp39.xml"/><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ctrlProp" Target="../ctrlProps/ctrlProp1.xml"/><Relationship Id="rId22" Type="http://schemas.openxmlformats.org/officeDocument/2006/relationships/ctrlProp" Target="../ctrlProps/ctrlProp9.xml"/><Relationship Id="rId27" Type="http://schemas.openxmlformats.org/officeDocument/2006/relationships/ctrlProp" Target="../ctrlProps/ctrlProp14.xml"/><Relationship Id="rId30" Type="http://schemas.openxmlformats.org/officeDocument/2006/relationships/ctrlProp" Target="../ctrlProps/ctrlProp17.xml"/><Relationship Id="rId35" Type="http://schemas.openxmlformats.org/officeDocument/2006/relationships/ctrlProp" Target="../ctrlProps/ctrlProp22.xml"/><Relationship Id="rId43" Type="http://schemas.openxmlformats.org/officeDocument/2006/relationships/ctrlProp" Target="../ctrlProps/ctrlProp30.xml"/><Relationship Id="rId48" Type="http://schemas.openxmlformats.org/officeDocument/2006/relationships/ctrlProp" Target="../ctrlProps/ctrlProp35.xml"/><Relationship Id="rId8" Type="http://schemas.openxmlformats.org/officeDocument/2006/relationships/oleObject" Target="../embeddings/oleObject3.bin"/><Relationship Id="rId51" Type="http://schemas.openxmlformats.org/officeDocument/2006/relationships/ctrlProp" Target="../ctrlProps/ctrlProp38.xml"/><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ctrlProp" Target="../ctrlProps/ctrlProp4.xml"/><Relationship Id="rId25" Type="http://schemas.openxmlformats.org/officeDocument/2006/relationships/ctrlProp" Target="../ctrlProps/ctrlProp12.xml"/><Relationship Id="rId33" Type="http://schemas.openxmlformats.org/officeDocument/2006/relationships/ctrlProp" Target="../ctrlProps/ctrlProp20.xml"/><Relationship Id="rId38" Type="http://schemas.openxmlformats.org/officeDocument/2006/relationships/ctrlProp" Target="../ctrlProps/ctrlProp25.xml"/><Relationship Id="rId46" Type="http://schemas.openxmlformats.org/officeDocument/2006/relationships/ctrlProp" Target="../ctrlProps/ctrlProp33.xml"/><Relationship Id="rId20" Type="http://schemas.openxmlformats.org/officeDocument/2006/relationships/ctrlProp" Target="../ctrlProps/ctrlProp7.xml"/><Relationship Id="rId41" Type="http://schemas.openxmlformats.org/officeDocument/2006/relationships/ctrlProp" Target="../ctrlProps/ctrlProp28.xml"/><Relationship Id="rId1" Type="http://schemas.openxmlformats.org/officeDocument/2006/relationships/printerSettings" Target="../printerSettings/printerSettings1.bin"/><Relationship Id="rId6" Type="http://schemas.openxmlformats.org/officeDocument/2006/relationships/oleObject" Target="../embeddings/oleObject2.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286.xml"/><Relationship Id="rId4" Type="http://schemas.openxmlformats.org/officeDocument/2006/relationships/ctrlProp" Target="../ctrlProps/ctrlProp28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288.xml"/><Relationship Id="rId4" Type="http://schemas.openxmlformats.org/officeDocument/2006/relationships/ctrlProp" Target="../ctrlProps/ctrlProp28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290.xml"/><Relationship Id="rId4" Type="http://schemas.openxmlformats.org/officeDocument/2006/relationships/ctrlProp" Target="../ctrlProps/ctrlProp28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292.xml"/><Relationship Id="rId4" Type="http://schemas.openxmlformats.org/officeDocument/2006/relationships/ctrlProp" Target="../ctrlProps/ctrlProp29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trlProp" Target="../ctrlProps/ctrlProp294.xml"/><Relationship Id="rId4" Type="http://schemas.openxmlformats.org/officeDocument/2006/relationships/ctrlProp" Target="../ctrlProps/ctrlProp29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trlProp" Target="../ctrlProps/ctrlProp296.xml"/><Relationship Id="rId4" Type="http://schemas.openxmlformats.org/officeDocument/2006/relationships/ctrlProp" Target="../ctrlProps/ctrlProp29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49.xml"/><Relationship Id="rId18" Type="http://schemas.openxmlformats.org/officeDocument/2006/relationships/ctrlProp" Target="../ctrlProps/ctrlProp54.xml"/><Relationship Id="rId26" Type="http://schemas.openxmlformats.org/officeDocument/2006/relationships/ctrlProp" Target="../ctrlProps/ctrlProp62.xml"/><Relationship Id="rId39" Type="http://schemas.openxmlformats.org/officeDocument/2006/relationships/ctrlProp" Target="../ctrlProps/ctrlProp75.xml"/><Relationship Id="rId21" Type="http://schemas.openxmlformats.org/officeDocument/2006/relationships/ctrlProp" Target="../ctrlProps/ctrlProp57.xml"/><Relationship Id="rId34" Type="http://schemas.openxmlformats.org/officeDocument/2006/relationships/ctrlProp" Target="../ctrlProps/ctrlProp70.xml"/><Relationship Id="rId42" Type="http://schemas.openxmlformats.org/officeDocument/2006/relationships/ctrlProp" Target="../ctrlProps/ctrlProp78.xml"/><Relationship Id="rId47" Type="http://schemas.openxmlformats.org/officeDocument/2006/relationships/ctrlProp" Target="../ctrlProps/ctrlProp83.xml"/><Relationship Id="rId50" Type="http://schemas.openxmlformats.org/officeDocument/2006/relationships/ctrlProp" Target="../ctrlProps/ctrlProp86.xml"/><Relationship Id="rId7" Type="http://schemas.openxmlformats.org/officeDocument/2006/relationships/ctrlProp" Target="../ctrlProps/ctrlProp43.xml"/><Relationship Id="rId2" Type="http://schemas.openxmlformats.org/officeDocument/2006/relationships/drawing" Target="../drawings/drawing5.xml"/><Relationship Id="rId16" Type="http://schemas.openxmlformats.org/officeDocument/2006/relationships/ctrlProp" Target="../ctrlProps/ctrlProp52.xml"/><Relationship Id="rId29" Type="http://schemas.openxmlformats.org/officeDocument/2006/relationships/ctrlProp" Target="../ctrlProps/ctrlProp65.xml"/><Relationship Id="rId11" Type="http://schemas.openxmlformats.org/officeDocument/2006/relationships/ctrlProp" Target="../ctrlProps/ctrlProp47.xml"/><Relationship Id="rId24" Type="http://schemas.openxmlformats.org/officeDocument/2006/relationships/ctrlProp" Target="../ctrlProps/ctrlProp60.xml"/><Relationship Id="rId32" Type="http://schemas.openxmlformats.org/officeDocument/2006/relationships/ctrlProp" Target="../ctrlProps/ctrlProp68.xml"/><Relationship Id="rId37" Type="http://schemas.openxmlformats.org/officeDocument/2006/relationships/ctrlProp" Target="../ctrlProps/ctrlProp73.xml"/><Relationship Id="rId40" Type="http://schemas.openxmlformats.org/officeDocument/2006/relationships/ctrlProp" Target="../ctrlProps/ctrlProp76.xml"/><Relationship Id="rId45" Type="http://schemas.openxmlformats.org/officeDocument/2006/relationships/ctrlProp" Target="../ctrlProps/ctrlProp81.xml"/><Relationship Id="rId5" Type="http://schemas.openxmlformats.org/officeDocument/2006/relationships/ctrlProp" Target="../ctrlProps/ctrlProp41.xml"/><Relationship Id="rId15" Type="http://schemas.openxmlformats.org/officeDocument/2006/relationships/ctrlProp" Target="../ctrlProps/ctrlProp51.xml"/><Relationship Id="rId23" Type="http://schemas.openxmlformats.org/officeDocument/2006/relationships/ctrlProp" Target="../ctrlProps/ctrlProp59.xml"/><Relationship Id="rId28" Type="http://schemas.openxmlformats.org/officeDocument/2006/relationships/ctrlProp" Target="../ctrlProps/ctrlProp64.xml"/><Relationship Id="rId36" Type="http://schemas.openxmlformats.org/officeDocument/2006/relationships/ctrlProp" Target="../ctrlProps/ctrlProp72.xml"/><Relationship Id="rId49" Type="http://schemas.openxmlformats.org/officeDocument/2006/relationships/ctrlProp" Target="../ctrlProps/ctrlProp85.xml"/><Relationship Id="rId10" Type="http://schemas.openxmlformats.org/officeDocument/2006/relationships/ctrlProp" Target="../ctrlProps/ctrlProp46.xml"/><Relationship Id="rId19" Type="http://schemas.openxmlformats.org/officeDocument/2006/relationships/ctrlProp" Target="../ctrlProps/ctrlProp55.xml"/><Relationship Id="rId31" Type="http://schemas.openxmlformats.org/officeDocument/2006/relationships/ctrlProp" Target="../ctrlProps/ctrlProp67.xml"/><Relationship Id="rId44" Type="http://schemas.openxmlformats.org/officeDocument/2006/relationships/ctrlProp" Target="../ctrlProps/ctrlProp80.xml"/><Relationship Id="rId52" Type="http://schemas.openxmlformats.org/officeDocument/2006/relationships/ctrlProp" Target="../ctrlProps/ctrlProp88.xml"/><Relationship Id="rId4" Type="http://schemas.openxmlformats.org/officeDocument/2006/relationships/ctrlProp" Target="../ctrlProps/ctrlProp40.xml"/><Relationship Id="rId9" Type="http://schemas.openxmlformats.org/officeDocument/2006/relationships/ctrlProp" Target="../ctrlProps/ctrlProp45.xml"/><Relationship Id="rId14" Type="http://schemas.openxmlformats.org/officeDocument/2006/relationships/ctrlProp" Target="../ctrlProps/ctrlProp50.xml"/><Relationship Id="rId22" Type="http://schemas.openxmlformats.org/officeDocument/2006/relationships/ctrlProp" Target="../ctrlProps/ctrlProp58.xml"/><Relationship Id="rId27" Type="http://schemas.openxmlformats.org/officeDocument/2006/relationships/ctrlProp" Target="../ctrlProps/ctrlProp63.xml"/><Relationship Id="rId30" Type="http://schemas.openxmlformats.org/officeDocument/2006/relationships/ctrlProp" Target="../ctrlProps/ctrlProp66.xml"/><Relationship Id="rId35" Type="http://schemas.openxmlformats.org/officeDocument/2006/relationships/ctrlProp" Target="../ctrlProps/ctrlProp71.xml"/><Relationship Id="rId43" Type="http://schemas.openxmlformats.org/officeDocument/2006/relationships/ctrlProp" Target="../ctrlProps/ctrlProp79.xml"/><Relationship Id="rId48" Type="http://schemas.openxmlformats.org/officeDocument/2006/relationships/ctrlProp" Target="../ctrlProps/ctrlProp84.xml"/><Relationship Id="rId8" Type="http://schemas.openxmlformats.org/officeDocument/2006/relationships/ctrlProp" Target="../ctrlProps/ctrlProp44.xml"/><Relationship Id="rId51" Type="http://schemas.openxmlformats.org/officeDocument/2006/relationships/ctrlProp" Target="../ctrlProps/ctrlProp87.xml"/><Relationship Id="rId3" Type="http://schemas.openxmlformats.org/officeDocument/2006/relationships/vmlDrawing" Target="../drawings/vmlDrawing2.vml"/><Relationship Id="rId12" Type="http://schemas.openxmlformats.org/officeDocument/2006/relationships/ctrlProp" Target="../ctrlProps/ctrlProp48.xml"/><Relationship Id="rId17" Type="http://schemas.openxmlformats.org/officeDocument/2006/relationships/ctrlProp" Target="../ctrlProps/ctrlProp53.xml"/><Relationship Id="rId25" Type="http://schemas.openxmlformats.org/officeDocument/2006/relationships/ctrlProp" Target="../ctrlProps/ctrlProp61.xml"/><Relationship Id="rId33" Type="http://schemas.openxmlformats.org/officeDocument/2006/relationships/ctrlProp" Target="../ctrlProps/ctrlProp69.xml"/><Relationship Id="rId38" Type="http://schemas.openxmlformats.org/officeDocument/2006/relationships/ctrlProp" Target="../ctrlProps/ctrlProp74.xml"/><Relationship Id="rId46" Type="http://schemas.openxmlformats.org/officeDocument/2006/relationships/ctrlProp" Target="../ctrlProps/ctrlProp82.xml"/><Relationship Id="rId20" Type="http://schemas.openxmlformats.org/officeDocument/2006/relationships/ctrlProp" Target="../ctrlProps/ctrlProp56.xml"/><Relationship Id="rId41" Type="http://schemas.openxmlformats.org/officeDocument/2006/relationships/ctrlProp" Target="../ctrlProps/ctrlProp77.xml"/><Relationship Id="rId1" Type="http://schemas.openxmlformats.org/officeDocument/2006/relationships/printerSettings" Target="../printerSettings/printerSettings5.bin"/><Relationship Id="rId6" Type="http://schemas.openxmlformats.org/officeDocument/2006/relationships/ctrlProp" Target="../ctrlProps/ctrlProp42.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98.xml"/><Relationship Id="rId18" Type="http://schemas.openxmlformats.org/officeDocument/2006/relationships/ctrlProp" Target="../ctrlProps/ctrlProp103.xml"/><Relationship Id="rId26" Type="http://schemas.openxmlformats.org/officeDocument/2006/relationships/ctrlProp" Target="../ctrlProps/ctrlProp111.xml"/><Relationship Id="rId39" Type="http://schemas.openxmlformats.org/officeDocument/2006/relationships/ctrlProp" Target="../ctrlProps/ctrlProp124.xml"/><Relationship Id="rId21" Type="http://schemas.openxmlformats.org/officeDocument/2006/relationships/ctrlProp" Target="../ctrlProps/ctrlProp106.xml"/><Relationship Id="rId34" Type="http://schemas.openxmlformats.org/officeDocument/2006/relationships/ctrlProp" Target="../ctrlProps/ctrlProp119.xml"/><Relationship Id="rId42" Type="http://schemas.openxmlformats.org/officeDocument/2006/relationships/ctrlProp" Target="../ctrlProps/ctrlProp127.xml"/><Relationship Id="rId47" Type="http://schemas.openxmlformats.org/officeDocument/2006/relationships/ctrlProp" Target="../ctrlProps/ctrlProp132.xml"/><Relationship Id="rId50" Type="http://schemas.openxmlformats.org/officeDocument/2006/relationships/ctrlProp" Target="../ctrlProps/ctrlProp135.xml"/><Relationship Id="rId7" Type="http://schemas.openxmlformats.org/officeDocument/2006/relationships/ctrlProp" Target="../ctrlProps/ctrlProp92.xml"/><Relationship Id="rId2" Type="http://schemas.openxmlformats.org/officeDocument/2006/relationships/drawing" Target="../drawings/drawing6.xml"/><Relationship Id="rId16" Type="http://schemas.openxmlformats.org/officeDocument/2006/relationships/ctrlProp" Target="../ctrlProps/ctrlProp101.xml"/><Relationship Id="rId29" Type="http://schemas.openxmlformats.org/officeDocument/2006/relationships/ctrlProp" Target="../ctrlProps/ctrlProp114.xml"/><Relationship Id="rId11" Type="http://schemas.openxmlformats.org/officeDocument/2006/relationships/ctrlProp" Target="../ctrlProps/ctrlProp96.xml"/><Relationship Id="rId24" Type="http://schemas.openxmlformats.org/officeDocument/2006/relationships/ctrlProp" Target="../ctrlProps/ctrlProp109.xml"/><Relationship Id="rId32" Type="http://schemas.openxmlformats.org/officeDocument/2006/relationships/ctrlProp" Target="../ctrlProps/ctrlProp117.xml"/><Relationship Id="rId37" Type="http://schemas.openxmlformats.org/officeDocument/2006/relationships/ctrlProp" Target="../ctrlProps/ctrlProp122.xml"/><Relationship Id="rId40" Type="http://schemas.openxmlformats.org/officeDocument/2006/relationships/ctrlProp" Target="../ctrlProps/ctrlProp125.xml"/><Relationship Id="rId45" Type="http://schemas.openxmlformats.org/officeDocument/2006/relationships/ctrlProp" Target="../ctrlProps/ctrlProp130.xml"/><Relationship Id="rId5" Type="http://schemas.openxmlformats.org/officeDocument/2006/relationships/ctrlProp" Target="../ctrlProps/ctrlProp90.xml"/><Relationship Id="rId15" Type="http://schemas.openxmlformats.org/officeDocument/2006/relationships/ctrlProp" Target="../ctrlProps/ctrlProp100.xml"/><Relationship Id="rId23" Type="http://schemas.openxmlformats.org/officeDocument/2006/relationships/ctrlProp" Target="../ctrlProps/ctrlProp108.xml"/><Relationship Id="rId28" Type="http://schemas.openxmlformats.org/officeDocument/2006/relationships/ctrlProp" Target="../ctrlProps/ctrlProp113.xml"/><Relationship Id="rId36" Type="http://schemas.openxmlformats.org/officeDocument/2006/relationships/ctrlProp" Target="../ctrlProps/ctrlProp121.xml"/><Relationship Id="rId49" Type="http://schemas.openxmlformats.org/officeDocument/2006/relationships/ctrlProp" Target="../ctrlProps/ctrlProp134.xml"/><Relationship Id="rId10" Type="http://schemas.openxmlformats.org/officeDocument/2006/relationships/ctrlProp" Target="../ctrlProps/ctrlProp95.xml"/><Relationship Id="rId19" Type="http://schemas.openxmlformats.org/officeDocument/2006/relationships/ctrlProp" Target="../ctrlProps/ctrlProp104.xml"/><Relationship Id="rId31" Type="http://schemas.openxmlformats.org/officeDocument/2006/relationships/ctrlProp" Target="../ctrlProps/ctrlProp116.xml"/><Relationship Id="rId44" Type="http://schemas.openxmlformats.org/officeDocument/2006/relationships/ctrlProp" Target="../ctrlProps/ctrlProp129.xml"/><Relationship Id="rId52" Type="http://schemas.openxmlformats.org/officeDocument/2006/relationships/ctrlProp" Target="../ctrlProps/ctrlProp137.xml"/><Relationship Id="rId4" Type="http://schemas.openxmlformats.org/officeDocument/2006/relationships/ctrlProp" Target="../ctrlProps/ctrlProp89.xml"/><Relationship Id="rId9" Type="http://schemas.openxmlformats.org/officeDocument/2006/relationships/ctrlProp" Target="../ctrlProps/ctrlProp94.xml"/><Relationship Id="rId14" Type="http://schemas.openxmlformats.org/officeDocument/2006/relationships/ctrlProp" Target="../ctrlProps/ctrlProp99.xml"/><Relationship Id="rId22" Type="http://schemas.openxmlformats.org/officeDocument/2006/relationships/ctrlProp" Target="../ctrlProps/ctrlProp107.xml"/><Relationship Id="rId27" Type="http://schemas.openxmlformats.org/officeDocument/2006/relationships/ctrlProp" Target="../ctrlProps/ctrlProp112.xml"/><Relationship Id="rId30" Type="http://schemas.openxmlformats.org/officeDocument/2006/relationships/ctrlProp" Target="../ctrlProps/ctrlProp115.xml"/><Relationship Id="rId35" Type="http://schemas.openxmlformats.org/officeDocument/2006/relationships/ctrlProp" Target="../ctrlProps/ctrlProp120.xml"/><Relationship Id="rId43" Type="http://schemas.openxmlformats.org/officeDocument/2006/relationships/ctrlProp" Target="../ctrlProps/ctrlProp128.xml"/><Relationship Id="rId48" Type="http://schemas.openxmlformats.org/officeDocument/2006/relationships/ctrlProp" Target="../ctrlProps/ctrlProp133.xml"/><Relationship Id="rId8" Type="http://schemas.openxmlformats.org/officeDocument/2006/relationships/ctrlProp" Target="../ctrlProps/ctrlProp93.xml"/><Relationship Id="rId51" Type="http://schemas.openxmlformats.org/officeDocument/2006/relationships/ctrlProp" Target="../ctrlProps/ctrlProp136.xml"/><Relationship Id="rId3" Type="http://schemas.openxmlformats.org/officeDocument/2006/relationships/vmlDrawing" Target="../drawings/vmlDrawing3.vml"/><Relationship Id="rId12" Type="http://schemas.openxmlformats.org/officeDocument/2006/relationships/ctrlProp" Target="../ctrlProps/ctrlProp97.xml"/><Relationship Id="rId17" Type="http://schemas.openxmlformats.org/officeDocument/2006/relationships/ctrlProp" Target="../ctrlProps/ctrlProp102.xml"/><Relationship Id="rId25" Type="http://schemas.openxmlformats.org/officeDocument/2006/relationships/ctrlProp" Target="../ctrlProps/ctrlProp110.xml"/><Relationship Id="rId33" Type="http://schemas.openxmlformats.org/officeDocument/2006/relationships/ctrlProp" Target="../ctrlProps/ctrlProp118.xml"/><Relationship Id="rId38" Type="http://schemas.openxmlformats.org/officeDocument/2006/relationships/ctrlProp" Target="../ctrlProps/ctrlProp123.xml"/><Relationship Id="rId46" Type="http://schemas.openxmlformats.org/officeDocument/2006/relationships/ctrlProp" Target="../ctrlProps/ctrlProp131.xml"/><Relationship Id="rId20" Type="http://schemas.openxmlformats.org/officeDocument/2006/relationships/ctrlProp" Target="../ctrlProps/ctrlProp105.xml"/><Relationship Id="rId41" Type="http://schemas.openxmlformats.org/officeDocument/2006/relationships/ctrlProp" Target="../ctrlProps/ctrlProp126.xml"/><Relationship Id="rId1" Type="http://schemas.openxmlformats.org/officeDocument/2006/relationships/printerSettings" Target="../printerSettings/printerSettings6.bin"/><Relationship Id="rId6" Type="http://schemas.openxmlformats.org/officeDocument/2006/relationships/ctrlProp" Target="../ctrlProps/ctrlProp91.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47.xml"/><Relationship Id="rId18" Type="http://schemas.openxmlformats.org/officeDocument/2006/relationships/ctrlProp" Target="../ctrlProps/ctrlProp152.xml"/><Relationship Id="rId26" Type="http://schemas.openxmlformats.org/officeDocument/2006/relationships/ctrlProp" Target="../ctrlProps/ctrlProp160.xml"/><Relationship Id="rId39" Type="http://schemas.openxmlformats.org/officeDocument/2006/relationships/ctrlProp" Target="../ctrlProps/ctrlProp173.xml"/><Relationship Id="rId21" Type="http://schemas.openxmlformats.org/officeDocument/2006/relationships/ctrlProp" Target="../ctrlProps/ctrlProp155.xml"/><Relationship Id="rId34" Type="http://schemas.openxmlformats.org/officeDocument/2006/relationships/ctrlProp" Target="../ctrlProps/ctrlProp168.xml"/><Relationship Id="rId42" Type="http://schemas.openxmlformats.org/officeDocument/2006/relationships/ctrlProp" Target="../ctrlProps/ctrlProp176.xml"/><Relationship Id="rId47" Type="http://schemas.openxmlformats.org/officeDocument/2006/relationships/ctrlProp" Target="../ctrlProps/ctrlProp181.xml"/><Relationship Id="rId50" Type="http://schemas.openxmlformats.org/officeDocument/2006/relationships/ctrlProp" Target="../ctrlProps/ctrlProp184.xml"/><Relationship Id="rId7" Type="http://schemas.openxmlformats.org/officeDocument/2006/relationships/ctrlProp" Target="../ctrlProps/ctrlProp141.xml"/><Relationship Id="rId2" Type="http://schemas.openxmlformats.org/officeDocument/2006/relationships/drawing" Target="../drawings/drawing7.xml"/><Relationship Id="rId16" Type="http://schemas.openxmlformats.org/officeDocument/2006/relationships/ctrlProp" Target="../ctrlProps/ctrlProp150.xml"/><Relationship Id="rId29" Type="http://schemas.openxmlformats.org/officeDocument/2006/relationships/ctrlProp" Target="../ctrlProps/ctrlProp163.xml"/><Relationship Id="rId11" Type="http://schemas.openxmlformats.org/officeDocument/2006/relationships/ctrlProp" Target="../ctrlProps/ctrlProp145.xml"/><Relationship Id="rId24" Type="http://schemas.openxmlformats.org/officeDocument/2006/relationships/ctrlProp" Target="../ctrlProps/ctrlProp158.xml"/><Relationship Id="rId32" Type="http://schemas.openxmlformats.org/officeDocument/2006/relationships/ctrlProp" Target="../ctrlProps/ctrlProp166.xml"/><Relationship Id="rId37" Type="http://schemas.openxmlformats.org/officeDocument/2006/relationships/ctrlProp" Target="../ctrlProps/ctrlProp171.xml"/><Relationship Id="rId40" Type="http://schemas.openxmlformats.org/officeDocument/2006/relationships/ctrlProp" Target="../ctrlProps/ctrlProp174.xml"/><Relationship Id="rId45" Type="http://schemas.openxmlformats.org/officeDocument/2006/relationships/ctrlProp" Target="../ctrlProps/ctrlProp179.xml"/><Relationship Id="rId5" Type="http://schemas.openxmlformats.org/officeDocument/2006/relationships/ctrlProp" Target="../ctrlProps/ctrlProp139.xml"/><Relationship Id="rId15" Type="http://schemas.openxmlformats.org/officeDocument/2006/relationships/ctrlProp" Target="../ctrlProps/ctrlProp149.xml"/><Relationship Id="rId23" Type="http://schemas.openxmlformats.org/officeDocument/2006/relationships/ctrlProp" Target="../ctrlProps/ctrlProp157.xml"/><Relationship Id="rId28" Type="http://schemas.openxmlformats.org/officeDocument/2006/relationships/ctrlProp" Target="../ctrlProps/ctrlProp162.xml"/><Relationship Id="rId36" Type="http://schemas.openxmlformats.org/officeDocument/2006/relationships/ctrlProp" Target="../ctrlProps/ctrlProp170.xml"/><Relationship Id="rId49" Type="http://schemas.openxmlformats.org/officeDocument/2006/relationships/ctrlProp" Target="../ctrlProps/ctrlProp183.xml"/><Relationship Id="rId10" Type="http://schemas.openxmlformats.org/officeDocument/2006/relationships/ctrlProp" Target="../ctrlProps/ctrlProp144.xml"/><Relationship Id="rId19" Type="http://schemas.openxmlformats.org/officeDocument/2006/relationships/ctrlProp" Target="../ctrlProps/ctrlProp153.xml"/><Relationship Id="rId31" Type="http://schemas.openxmlformats.org/officeDocument/2006/relationships/ctrlProp" Target="../ctrlProps/ctrlProp165.xml"/><Relationship Id="rId44" Type="http://schemas.openxmlformats.org/officeDocument/2006/relationships/ctrlProp" Target="../ctrlProps/ctrlProp178.xml"/><Relationship Id="rId52" Type="http://schemas.openxmlformats.org/officeDocument/2006/relationships/ctrlProp" Target="../ctrlProps/ctrlProp186.xml"/><Relationship Id="rId4" Type="http://schemas.openxmlformats.org/officeDocument/2006/relationships/ctrlProp" Target="../ctrlProps/ctrlProp138.xml"/><Relationship Id="rId9" Type="http://schemas.openxmlformats.org/officeDocument/2006/relationships/ctrlProp" Target="../ctrlProps/ctrlProp143.xml"/><Relationship Id="rId14" Type="http://schemas.openxmlformats.org/officeDocument/2006/relationships/ctrlProp" Target="../ctrlProps/ctrlProp148.xml"/><Relationship Id="rId22" Type="http://schemas.openxmlformats.org/officeDocument/2006/relationships/ctrlProp" Target="../ctrlProps/ctrlProp156.xml"/><Relationship Id="rId27" Type="http://schemas.openxmlformats.org/officeDocument/2006/relationships/ctrlProp" Target="../ctrlProps/ctrlProp161.xml"/><Relationship Id="rId30" Type="http://schemas.openxmlformats.org/officeDocument/2006/relationships/ctrlProp" Target="../ctrlProps/ctrlProp164.xml"/><Relationship Id="rId35" Type="http://schemas.openxmlformats.org/officeDocument/2006/relationships/ctrlProp" Target="../ctrlProps/ctrlProp169.xml"/><Relationship Id="rId43" Type="http://schemas.openxmlformats.org/officeDocument/2006/relationships/ctrlProp" Target="../ctrlProps/ctrlProp177.xml"/><Relationship Id="rId48" Type="http://schemas.openxmlformats.org/officeDocument/2006/relationships/ctrlProp" Target="../ctrlProps/ctrlProp182.xml"/><Relationship Id="rId8" Type="http://schemas.openxmlformats.org/officeDocument/2006/relationships/ctrlProp" Target="../ctrlProps/ctrlProp142.xml"/><Relationship Id="rId51" Type="http://schemas.openxmlformats.org/officeDocument/2006/relationships/ctrlProp" Target="../ctrlProps/ctrlProp185.xml"/><Relationship Id="rId3" Type="http://schemas.openxmlformats.org/officeDocument/2006/relationships/vmlDrawing" Target="../drawings/vmlDrawing4.vml"/><Relationship Id="rId12" Type="http://schemas.openxmlformats.org/officeDocument/2006/relationships/ctrlProp" Target="../ctrlProps/ctrlProp146.xml"/><Relationship Id="rId17" Type="http://schemas.openxmlformats.org/officeDocument/2006/relationships/ctrlProp" Target="../ctrlProps/ctrlProp151.xml"/><Relationship Id="rId25" Type="http://schemas.openxmlformats.org/officeDocument/2006/relationships/ctrlProp" Target="../ctrlProps/ctrlProp159.xml"/><Relationship Id="rId33" Type="http://schemas.openxmlformats.org/officeDocument/2006/relationships/ctrlProp" Target="../ctrlProps/ctrlProp167.xml"/><Relationship Id="rId38" Type="http://schemas.openxmlformats.org/officeDocument/2006/relationships/ctrlProp" Target="../ctrlProps/ctrlProp172.xml"/><Relationship Id="rId46" Type="http://schemas.openxmlformats.org/officeDocument/2006/relationships/ctrlProp" Target="../ctrlProps/ctrlProp180.xml"/><Relationship Id="rId20" Type="http://schemas.openxmlformats.org/officeDocument/2006/relationships/ctrlProp" Target="../ctrlProps/ctrlProp154.xml"/><Relationship Id="rId41" Type="http://schemas.openxmlformats.org/officeDocument/2006/relationships/ctrlProp" Target="../ctrlProps/ctrlProp175.xml"/><Relationship Id="rId1" Type="http://schemas.openxmlformats.org/officeDocument/2006/relationships/printerSettings" Target="../printerSettings/printerSettings7.bin"/><Relationship Id="rId6" Type="http://schemas.openxmlformats.org/officeDocument/2006/relationships/ctrlProp" Target="../ctrlProps/ctrlProp140.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196.xml"/><Relationship Id="rId18" Type="http://schemas.openxmlformats.org/officeDocument/2006/relationships/ctrlProp" Target="../ctrlProps/ctrlProp201.xml"/><Relationship Id="rId26" Type="http://schemas.openxmlformats.org/officeDocument/2006/relationships/ctrlProp" Target="../ctrlProps/ctrlProp209.xml"/><Relationship Id="rId39" Type="http://schemas.openxmlformats.org/officeDocument/2006/relationships/ctrlProp" Target="../ctrlProps/ctrlProp222.xml"/><Relationship Id="rId21" Type="http://schemas.openxmlformats.org/officeDocument/2006/relationships/ctrlProp" Target="../ctrlProps/ctrlProp204.xml"/><Relationship Id="rId34" Type="http://schemas.openxmlformats.org/officeDocument/2006/relationships/ctrlProp" Target="../ctrlProps/ctrlProp217.xml"/><Relationship Id="rId42" Type="http://schemas.openxmlformats.org/officeDocument/2006/relationships/ctrlProp" Target="../ctrlProps/ctrlProp225.xml"/><Relationship Id="rId47" Type="http://schemas.openxmlformats.org/officeDocument/2006/relationships/ctrlProp" Target="../ctrlProps/ctrlProp230.xml"/><Relationship Id="rId50" Type="http://schemas.openxmlformats.org/officeDocument/2006/relationships/ctrlProp" Target="../ctrlProps/ctrlProp233.xml"/><Relationship Id="rId7" Type="http://schemas.openxmlformats.org/officeDocument/2006/relationships/ctrlProp" Target="../ctrlProps/ctrlProp190.xml"/><Relationship Id="rId2" Type="http://schemas.openxmlformats.org/officeDocument/2006/relationships/drawing" Target="../drawings/drawing8.xml"/><Relationship Id="rId16" Type="http://schemas.openxmlformats.org/officeDocument/2006/relationships/ctrlProp" Target="../ctrlProps/ctrlProp199.xml"/><Relationship Id="rId29" Type="http://schemas.openxmlformats.org/officeDocument/2006/relationships/ctrlProp" Target="../ctrlProps/ctrlProp212.xml"/><Relationship Id="rId11" Type="http://schemas.openxmlformats.org/officeDocument/2006/relationships/ctrlProp" Target="../ctrlProps/ctrlProp194.xml"/><Relationship Id="rId24" Type="http://schemas.openxmlformats.org/officeDocument/2006/relationships/ctrlProp" Target="../ctrlProps/ctrlProp207.xml"/><Relationship Id="rId32" Type="http://schemas.openxmlformats.org/officeDocument/2006/relationships/ctrlProp" Target="../ctrlProps/ctrlProp215.xml"/><Relationship Id="rId37" Type="http://schemas.openxmlformats.org/officeDocument/2006/relationships/ctrlProp" Target="../ctrlProps/ctrlProp220.xml"/><Relationship Id="rId40" Type="http://schemas.openxmlformats.org/officeDocument/2006/relationships/ctrlProp" Target="../ctrlProps/ctrlProp223.xml"/><Relationship Id="rId45" Type="http://schemas.openxmlformats.org/officeDocument/2006/relationships/ctrlProp" Target="../ctrlProps/ctrlProp228.xml"/><Relationship Id="rId5" Type="http://schemas.openxmlformats.org/officeDocument/2006/relationships/ctrlProp" Target="../ctrlProps/ctrlProp188.xml"/><Relationship Id="rId15" Type="http://schemas.openxmlformats.org/officeDocument/2006/relationships/ctrlProp" Target="../ctrlProps/ctrlProp198.xml"/><Relationship Id="rId23" Type="http://schemas.openxmlformats.org/officeDocument/2006/relationships/ctrlProp" Target="../ctrlProps/ctrlProp206.xml"/><Relationship Id="rId28" Type="http://schemas.openxmlformats.org/officeDocument/2006/relationships/ctrlProp" Target="../ctrlProps/ctrlProp211.xml"/><Relationship Id="rId36" Type="http://schemas.openxmlformats.org/officeDocument/2006/relationships/ctrlProp" Target="../ctrlProps/ctrlProp219.xml"/><Relationship Id="rId49" Type="http://schemas.openxmlformats.org/officeDocument/2006/relationships/ctrlProp" Target="../ctrlProps/ctrlProp232.xml"/><Relationship Id="rId10" Type="http://schemas.openxmlformats.org/officeDocument/2006/relationships/ctrlProp" Target="../ctrlProps/ctrlProp193.xml"/><Relationship Id="rId19" Type="http://schemas.openxmlformats.org/officeDocument/2006/relationships/ctrlProp" Target="../ctrlProps/ctrlProp202.xml"/><Relationship Id="rId31" Type="http://schemas.openxmlformats.org/officeDocument/2006/relationships/ctrlProp" Target="../ctrlProps/ctrlProp214.xml"/><Relationship Id="rId44" Type="http://schemas.openxmlformats.org/officeDocument/2006/relationships/ctrlProp" Target="../ctrlProps/ctrlProp227.xml"/><Relationship Id="rId52" Type="http://schemas.openxmlformats.org/officeDocument/2006/relationships/ctrlProp" Target="../ctrlProps/ctrlProp235.xml"/><Relationship Id="rId4" Type="http://schemas.openxmlformats.org/officeDocument/2006/relationships/ctrlProp" Target="../ctrlProps/ctrlProp187.xml"/><Relationship Id="rId9" Type="http://schemas.openxmlformats.org/officeDocument/2006/relationships/ctrlProp" Target="../ctrlProps/ctrlProp192.xml"/><Relationship Id="rId14" Type="http://schemas.openxmlformats.org/officeDocument/2006/relationships/ctrlProp" Target="../ctrlProps/ctrlProp197.xml"/><Relationship Id="rId22" Type="http://schemas.openxmlformats.org/officeDocument/2006/relationships/ctrlProp" Target="../ctrlProps/ctrlProp205.xml"/><Relationship Id="rId27" Type="http://schemas.openxmlformats.org/officeDocument/2006/relationships/ctrlProp" Target="../ctrlProps/ctrlProp210.xml"/><Relationship Id="rId30" Type="http://schemas.openxmlformats.org/officeDocument/2006/relationships/ctrlProp" Target="../ctrlProps/ctrlProp213.xml"/><Relationship Id="rId35" Type="http://schemas.openxmlformats.org/officeDocument/2006/relationships/ctrlProp" Target="../ctrlProps/ctrlProp218.xml"/><Relationship Id="rId43" Type="http://schemas.openxmlformats.org/officeDocument/2006/relationships/ctrlProp" Target="../ctrlProps/ctrlProp226.xml"/><Relationship Id="rId48" Type="http://schemas.openxmlformats.org/officeDocument/2006/relationships/ctrlProp" Target="../ctrlProps/ctrlProp231.xml"/><Relationship Id="rId8" Type="http://schemas.openxmlformats.org/officeDocument/2006/relationships/ctrlProp" Target="../ctrlProps/ctrlProp191.xml"/><Relationship Id="rId51" Type="http://schemas.openxmlformats.org/officeDocument/2006/relationships/ctrlProp" Target="../ctrlProps/ctrlProp234.xml"/><Relationship Id="rId3" Type="http://schemas.openxmlformats.org/officeDocument/2006/relationships/vmlDrawing" Target="../drawings/vmlDrawing5.vml"/><Relationship Id="rId12" Type="http://schemas.openxmlformats.org/officeDocument/2006/relationships/ctrlProp" Target="../ctrlProps/ctrlProp195.xml"/><Relationship Id="rId17" Type="http://schemas.openxmlformats.org/officeDocument/2006/relationships/ctrlProp" Target="../ctrlProps/ctrlProp200.xml"/><Relationship Id="rId25" Type="http://schemas.openxmlformats.org/officeDocument/2006/relationships/ctrlProp" Target="../ctrlProps/ctrlProp208.xml"/><Relationship Id="rId33" Type="http://schemas.openxmlformats.org/officeDocument/2006/relationships/ctrlProp" Target="../ctrlProps/ctrlProp216.xml"/><Relationship Id="rId38" Type="http://schemas.openxmlformats.org/officeDocument/2006/relationships/ctrlProp" Target="../ctrlProps/ctrlProp221.xml"/><Relationship Id="rId46" Type="http://schemas.openxmlformats.org/officeDocument/2006/relationships/ctrlProp" Target="../ctrlProps/ctrlProp229.xml"/><Relationship Id="rId20" Type="http://schemas.openxmlformats.org/officeDocument/2006/relationships/ctrlProp" Target="../ctrlProps/ctrlProp203.xml"/><Relationship Id="rId41" Type="http://schemas.openxmlformats.org/officeDocument/2006/relationships/ctrlProp" Target="../ctrlProps/ctrlProp224.xml"/><Relationship Id="rId1" Type="http://schemas.openxmlformats.org/officeDocument/2006/relationships/printerSettings" Target="../printerSettings/printerSettings8.bin"/><Relationship Id="rId6" Type="http://schemas.openxmlformats.org/officeDocument/2006/relationships/ctrlProp" Target="../ctrlProps/ctrlProp189.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245.xml"/><Relationship Id="rId18" Type="http://schemas.openxmlformats.org/officeDocument/2006/relationships/ctrlProp" Target="../ctrlProps/ctrlProp250.xml"/><Relationship Id="rId26" Type="http://schemas.openxmlformats.org/officeDocument/2006/relationships/ctrlProp" Target="../ctrlProps/ctrlProp258.xml"/><Relationship Id="rId39" Type="http://schemas.openxmlformats.org/officeDocument/2006/relationships/ctrlProp" Target="../ctrlProps/ctrlProp271.xml"/><Relationship Id="rId21" Type="http://schemas.openxmlformats.org/officeDocument/2006/relationships/ctrlProp" Target="../ctrlProps/ctrlProp253.xml"/><Relationship Id="rId34" Type="http://schemas.openxmlformats.org/officeDocument/2006/relationships/ctrlProp" Target="../ctrlProps/ctrlProp266.xml"/><Relationship Id="rId42" Type="http://schemas.openxmlformats.org/officeDocument/2006/relationships/ctrlProp" Target="../ctrlProps/ctrlProp274.xml"/><Relationship Id="rId47" Type="http://schemas.openxmlformats.org/officeDocument/2006/relationships/ctrlProp" Target="../ctrlProps/ctrlProp279.xml"/><Relationship Id="rId50" Type="http://schemas.openxmlformats.org/officeDocument/2006/relationships/ctrlProp" Target="../ctrlProps/ctrlProp282.xml"/><Relationship Id="rId7" Type="http://schemas.openxmlformats.org/officeDocument/2006/relationships/ctrlProp" Target="../ctrlProps/ctrlProp239.xml"/><Relationship Id="rId2" Type="http://schemas.openxmlformats.org/officeDocument/2006/relationships/drawing" Target="../drawings/drawing9.xml"/><Relationship Id="rId16" Type="http://schemas.openxmlformats.org/officeDocument/2006/relationships/ctrlProp" Target="../ctrlProps/ctrlProp248.xml"/><Relationship Id="rId29" Type="http://schemas.openxmlformats.org/officeDocument/2006/relationships/ctrlProp" Target="../ctrlProps/ctrlProp261.xml"/><Relationship Id="rId11" Type="http://schemas.openxmlformats.org/officeDocument/2006/relationships/ctrlProp" Target="../ctrlProps/ctrlProp243.xml"/><Relationship Id="rId24" Type="http://schemas.openxmlformats.org/officeDocument/2006/relationships/ctrlProp" Target="../ctrlProps/ctrlProp256.xml"/><Relationship Id="rId32" Type="http://schemas.openxmlformats.org/officeDocument/2006/relationships/ctrlProp" Target="../ctrlProps/ctrlProp264.xml"/><Relationship Id="rId37" Type="http://schemas.openxmlformats.org/officeDocument/2006/relationships/ctrlProp" Target="../ctrlProps/ctrlProp269.xml"/><Relationship Id="rId40" Type="http://schemas.openxmlformats.org/officeDocument/2006/relationships/ctrlProp" Target="../ctrlProps/ctrlProp272.xml"/><Relationship Id="rId45" Type="http://schemas.openxmlformats.org/officeDocument/2006/relationships/ctrlProp" Target="../ctrlProps/ctrlProp277.xml"/><Relationship Id="rId5" Type="http://schemas.openxmlformats.org/officeDocument/2006/relationships/ctrlProp" Target="../ctrlProps/ctrlProp237.xml"/><Relationship Id="rId15" Type="http://schemas.openxmlformats.org/officeDocument/2006/relationships/ctrlProp" Target="../ctrlProps/ctrlProp247.xml"/><Relationship Id="rId23" Type="http://schemas.openxmlformats.org/officeDocument/2006/relationships/ctrlProp" Target="../ctrlProps/ctrlProp255.xml"/><Relationship Id="rId28" Type="http://schemas.openxmlformats.org/officeDocument/2006/relationships/ctrlProp" Target="../ctrlProps/ctrlProp260.xml"/><Relationship Id="rId36" Type="http://schemas.openxmlformats.org/officeDocument/2006/relationships/ctrlProp" Target="../ctrlProps/ctrlProp268.xml"/><Relationship Id="rId49" Type="http://schemas.openxmlformats.org/officeDocument/2006/relationships/ctrlProp" Target="../ctrlProps/ctrlProp281.xml"/><Relationship Id="rId10" Type="http://schemas.openxmlformats.org/officeDocument/2006/relationships/ctrlProp" Target="../ctrlProps/ctrlProp242.xml"/><Relationship Id="rId19" Type="http://schemas.openxmlformats.org/officeDocument/2006/relationships/ctrlProp" Target="../ctrlProps/ctrlProp251.xml"/><Relationship Id="rId31" Type="http://schemas.openxmlformats.org/officeDocument/2006/relationships/ctrlProp" Target="../ctrlProps/ctrlProp263.xml"/><Relationship Id="rId44" Type="http://schemas.openxmlformats.org/officeDocument/2006/relationships/ctrlProp" Target="../ctrlProps/ctrlProp276.xml"/><Relationship Id="rId52" Type="http://schemas.openxmlformats.org/officeDocument/2006/relationships/ctrlProp" Target="../ctrlProps/ctrlProp284.xml"/><Relationship Id="rId4" Type="http://schemas.openxmlformats.org/officeDocument/2006/relationships/ctrlProp" Target="../ctrlProps/ctrlProp236.xml"/><Relationship Id="rId9" Type="http://schemas.openxmlformats.org/officeDocument/2006/relationships/ctrlProp" Target="../ctrlProps/ctrlProp241.xml"/><Relationship Id="rId14" Type="http://schemas.openxmlformats.org/officeDocument/2006/relationships/ctrlProp" Target="../ctrlProps/ctrlProp246.xml"/><Relationship Id="rId22" Type="http://schemas.openxmlformats.org/officeDocument/2006/relationships/ctrlProp" Target="../ctrlProps/ctrlProp254.xml"/><Relationship Id="rId27" Type="http://schemas.openxmlformats.org/officeDocument/2006/relationships/ctrlProp" Target="../ctrlProps/ctrlProp259.xml"/><Relationship Id="rId30" Type="http://schemas.openxmlformats.org/officeDocument/2006/relationships/ctrlProp" Target="../ctrlProps/ctrlProp262.xml"/><Relationship Id="rId35" Type="http://schemas.openxmlformats.org/officeDocument/2006/relationships/ctrlProp" Target="../ctrlProps/ctrlProp267.xml"/><Relationship Id="rId43" Type="http://schemas.openxmlformats.org/officeDocument/2006/relationships/ctrlProp" Target="../ctrlProps/ctrlProp275.xml"/><Relationship Id="rId48" Type="http://schemas.openxmlformats.org/officeDocument/2006/relationships/ctrlProp" Target="../ctrlProps/ctrlProp280.xml"/><Relationship Id="rId8" Type="http://schemas.openxmlformats.org/officeDocument/2006/relationships/ctrlProp" Target="../ctrlProps/ctrlProp240.xml"/><Relationship Id="rId51" Type="http://schemas.openxmlformats.org/officeDocument/2006/relationships/ctrlProp" Target="../ctrlProps/ctrlProp283.xml"/><Relationship Id="rId3" Type="http://schemas.openxmlformats.org/officeDocument/2006/relationships/vmlDrawing" Target="../drawings/vmlDrawing6.vml"/><Relationship Id="rId12" Type="http://schemas.openxmlformats.org/officeDocument/2006/relationships/ctrlProp" Target="../ctrlProps/ctrlProp244.xml"/><Relationship Id="rId17" Type="http://schemas.openxmlformats.org/officeDocument/2006/relationships/ctrlProp" Target="../ctrlProps/ctrlProp249.xml"/><Relationship Id="rId25" Type="http://schemas.openxmlformats.org/officeDocument/2006/relationships/ctrlProp" Target="../ctrlProps/ctrlProp257.xml"/><Relationship Id="rId33" Type="http://schemas.openxmlformats.org/officeDocument/2006/relationships/ctrlProp" Target="../ctrlProps/ctrlProp265.xml"/><Relationship Id="rId38" Type="http://schemas.openxmlformats.org/officeDocument/2006/relationships/ctrlProp" Target="../ctrlProps/ctrlProp270.xml"/><Relationship Id="rId46" Type="http://schemas.openxmlformats.org/officeDocument/2006/relationships/ctrlProp" Target="../ctrlProps/ctrlProp278.xml"/><Relationship Id="rId20" Type="http://schemas.openxmlformats.org/officeDocument/2006/relationships/ctrlProp" Target="../ctrlProps/ctrlProp252.xml"/><Relationship Id="rId41" Type="http://schemas.openxmlformats.org/officeDocument/2006/relationships/ctrlProp" Target="../ctrlProps/ctrlProp273.xml"/><Relationship Id="rId1" Type="http://schemas.openxmlformats.org/officeDocument/2006/relationships/printerSettings" Target="../printerSettings/printerSettings9.bin"/><Relationship Id="rId6" Type="http://schemas.openxmlformats.org/officeDocument/2006/relationships/ctrlProp" Target="../ctrlProps/ctrlProp23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E7737-66A1-4475-B87E-547006A6E8F7}">
  <sheetPr codeName="Tabelle1"/>
  <dimension ref="A1:Z63"/>
  <sheetViews>
    <sheetView showGridLines="0" tabSelected="1" workbookViewId="0">
      <selection activeCell="F14" sqref="F14:N14"/>
    </sheetView>
  </sheetViews>
  <sheetFormatPr baseColWidth="10" defaultColWidth="0" defaultRowHeight="14.25" zeroHeight="1"/>
  <cols>
    <col min="1" max="1" width="1.7109375" style="4" customWidth="1"/>
    <col min="2" max="2" width="8" style="4" customWidth="1"/>
    <col min="3" max="17" width="5.7109375" style="4" customWidth="1"/>
    <col min="18" max="18" width="1.7109375" style="4" customWidth="1"/>
    <col min="19" max="21" width="11.42578125" style="4" hidden="1" customWidth="1"/>
    <col min="22" max="22" width="8.85546875" style="4" customWidth="1"/>
    <col min="23" max="23" width="13.5703125" style="4" customWidth="1"/>
    <col min="24" max="24" width="4" style="4" customWidth="1"/>
    <col min="25" max="16384" width="11.42578125" style="4" hidden="1"/>
  </cols>
  <sheetData>
    <row r="1" spans="2:26">
      <c r="Z1" s="69" t="s">
        <v>22649</v>
      </c>
    </row>
    <row r="2" spans="2:26" ht="14.25" customHeight="1">
      <c r="D2" s="394" t="str">
        <f>VLOOKUP(1782,Sprachindex!$A:$Z,Erhebungsbogen!$Y$20,FALSE)</f>
        <v>PREFA HWS ERHEBUNGSBOGEN</v>
      </c>
      <c r="E2" s="395"/>
      <c r="F2" s="395"/>
      <c r="G2" s="395"/>
      <c r="H2" s="395"/>
      <c r="I2" s="395"/>
      <c r="J2" s="395"/>
      <c r="K2" s="395"/>
      <c r="L2" s="395"/>
      <c r="M2" s="395"/>
      <c r="N2" s="395"/>
      <c r="O2" s="395"/>
      <c r="P2" s="395"/>
      <c r="Q2" s="395"/>
    </row>
    <row r="3" spans="2:26" ht="14.25" customHeight="1">
      <c r="D3" s="395"/>
      <c r="E3" s="395"/>
      <c r="F3" s="395"/>
      <c r="G3" s="395"/>
      <c r="H3" s="395"/>
      <c r="I3" s="395"/>
      <c r="J3" s="395"/>
      <c r="K3" s="395"/>
      <c r="L3" s="395"/>
      <c r="M3" s="395"/>
      <c r="N3" s="395"/>
      <c r="O3" s="395"/>
      <c r="P3" s="395"/>
      <c r="Q3" s="395"/>
    </row>
    <row r="4" spans="2:26" ht="14.25" customHeight="1">
      <c r="D4" s="395"/>
      <c r="E4" s="395"/>
      <c r="F4" s="395"/>
      <c r="G4" s="395"/>
      <c r="H4" s="395"/>
      <c r="I4" s="395"/>
      <c r="J4" s="395"/>
      <c r="K4" s="395"/>
      <c r="L4" s="395"/>
      <c r="M4" s="395"/>
      <c r="N4" s="395"/>
      <c r="O4" s="395"/>
      <c r="P4" s="395"/>
      <c r="Q4" s="395"/>
    </row>
    <row r="5" spans="2:26" ht="14.25" customHeight="1">
      <c r="D5" s="6" t="str">
        <f>VLOOKUP(1427,Sprachindex!$A:$Z,Erhebungsbogen!$Y$20,FALSE)</f>
        <v>Projektdaten:</v>
      </c>
      <c r="E5" s="7"/>
      <c r="F5" s="7"/>
      <c r="G5" s="7"/>
      <c r="H5" s="7"/>
      <c r="I5" s="358" t="str">
        <f>IF('HWS Partner'!C79&gt;0,"HWS Partner Sonderrabatt","  ")</f>
        <v xml:space="preserve">  </v>
      </c>
      <c r="J5" s="358"/>
      <c r="K5" s="358"/>
      <c r="L5" s="358"/>
      <c r="M5" s="358"/>
      <c r="N5" s="358"/>
      <c r="O5" s="7"/>
      <c r="P5" s="7"/>
      <c r="Q5" s="7"/>
    </row>
    <row r="6" spans="2:26" ht="14.25" customHeight="1">
      <c r="D6" s="6"/>
    </row>
    <row r="7" spans="2:26" ht="3" customHeight="1"/>
    <row r="8" spans="2:26" ht="15">
      <c r="B8" s="363" t="str">
        <f>VLOOKUP(622,Sprachindex!$A:$Z,Erhebungsbogen!$Y$20,FALSE)</f>
        <v>Name:</v>
      </c>
      <c r="C8" s="363"/>
      <c r="D8" s="363"/>
      <c r="E8" s="363"/>
      <c r="F8" s="367"/>
      <c r="G8" s="367"/>
      <c r="H8" s="367"/>
      <c r="I8" s="367"/>
      <c r="J8" s="367"/>
      <c r="K8" s="367"/>
      <c r="L8" s="367"/>
      <c r="M8" s="367"/>
      <c r="N8" s="367"/>
    </row>
    <row r="9" spans="2:26" ht="3" customHeight="1">
      <c r="B9" s="5"/>
    </row>
    <row r="10" spans="2:26" ht="15">
      <c r="B10" s="363" t="str">
        <f>VLOOKUP(884,Sprachindex!$A:$Z,Erhebungsbogen!$Y$20,FALSE)</f>
        <v>Straße:</v>
      </c>
      <c r="C10" s="363"/>
      <c r="D10" s="363"/>
      <c r="E10" s="363"/>
      <c r="F10" s="367"/>
      <c r="G10" s="367"/>
      <c r="H10" s="367"/>
      <c r="I10" s="367"/>
      <c r="J10" s="367"/>
      <c r="K10" s="367"/>
      <c r="L10" s="367"/>
      <c r="M10" s="367"/>
      <c r="N10" s="367"/>
    </row>
    <row r="11" spans="2:26" ht="3" customHeight="1">
      <c r="B11" s="5"/>
    </row>
    <row r="12" spans="2:26" ht="15">
      <c r="B12" s="363" t="str">
        <f>VLOOKUP(641,Sprachindex!$A:$Z,Erhebungsbogen!$Y$20,FALSE)</f>
        <v>Ort:</v>
      </c>
      <c r="C12" s="363"/>
      <c r="D12" s="363"/>
      <c r="E12" s="363"/>
      <c r="F12" s="367"/>
      <c r="G12" s="367"/>
      <c r="H12" s="367"/>
      <c r="I12" s="367"/>
      <c r="J12" s="367"/>
      <c r="K12" s="367"/>
      <c r="L12" s="367"/>
      <c r="M12" s="367"/>
      <c r="N12" s="367"/>
    </row>
    <row r="13" spans="2:26" ht="3" customHeight="1">
      <c r="B13" s="5"/>
    </row>
    <row r="14" spans="2:26" ht="15">
      <c r="B14" s="363" t="str">
        <f>VLOOKUP(901,Sprachindex!$A:$Z,Erhebungsbogen!$Y$20,FALSE)</f>
        <v>Telefon:</v>
      </c>
      <c r="C14" s="363"/>
      <c r="D14" s="363"/>
      <c r="E14" s="363"/>
      <c r="F14" s="368"/>
      <c r="G14" s="368"/>
      <c r="H14" s="368"/>
      <c r="I14" s="368"/>
      <c r="J14" s="368"/>
      <c r="K14" s="368"/>
      <c r="L14" s="368"/>
      <c r="M14" s="368"/>
      <c r="N14" s="368"/>
    </row>
    <row r="15" spans="2:26" ht="3" customHeight="1">
      <c r="B15" s="5"/>
    </row>
    <row r="16" spans="2:26" ht="15">
      <c r="B16" s="363" t="str">
        <f>VLOOKUP(1698,Sprachindex!$A:$Z,Erhebungsbogen!$Y$20,FALSE)</f>
        <v>eMail:</v>
      </c>
      <c r="C16" s="363"/>
      <c r="D16" s="363"/>
      <c r="E16" s="363"/>
      <c r="F16" s="366"/>
      <c r="G16" s="367"/>
      <c r="H16" s="367"/>
      <c r="I16" s="367"/>
      <c r="J16" s="367"/>
      <c r="K16" s="367"/>
      <c r="L16" s="367"/>
      <c r="M16" s="367"/>
      <c r="N16" s="367"/>
    </row>
    <row r="17" spans="2:25" ht="3" customHeight="1">
      <c r="B17" s="5"/>
    </row>
    <row r="18" spans="2:25" ht="15">
      <c r="B18" s="363" t="str">
        <f>VLOOKUP(203,Sprachindex!$A:$Z,Erhebungsbogen!$Y$20,FALSE)</f>
        <v>Bauvorhaben:</v>
      </c>
      <c r="C18" s="363"/>
      <c r="D18" s="363"/>
      <c r="E18" s="363"/>
      <c r="F18" s="367"/>
      <c r="G18" s="367"/>
      <c r="H18" s="367"/>
      <c r="I18" s="367"/>
      <c r="J18" s="367"/>
      <c r="K18" s="367"/>
      <c r="L18" s="367"/>
      <c r="M18" s="367"/>
      <c r="N18" s="367"/>
    </row>
    <row r="19" spans="2:25" ht="15" customHeight="1" thickBot="1"/>
    <row r="20" spans="2:25" ht="15" customHeight="1">
      <c r="B20" s="8" t="str">
        <f>VLOOKUP(1834,Sprachindex!$A:$Z,Erhebungsbogen!$Y$20,FALSE)</f>
        <v>Stauhöhe (BHW) [mm]:</v>
      </c>
      <c r="C20" s="9"/>
      <c r="D20" s="9"/>
      <c r="E20" s="9"/>
      <c r="F20" s="9"/>
      <c r="G20" s="9"/>
      <c r="H20" s="381" t="str">
        <f>VLOOKUP(1767,Sprachindex!$A:$Z,Erhebungsbogen!$Y$20,FALSE)</f>
        <v>Montage</v>
      </c>
      <c r="I20" s="382"/>
      <c r="J20" s="382"/>
      <c r="K20" s="383"/>
      <c r="L20" s="381" t="str">
        <f>VLOOKUP(1608,Sprachindex!$A:$Z,Erhebungsbogen!$Y$20,FALSE) &amp; " " &amp; VLOOKUP(1811,Sprachindex!$A:$Z,Erhebungsbogen!$Y$20,FALSE)</f>
        <v>Abdeckung Seitenteile</v>
      </c>
      <c r="M20" s="382"/>
      <c r="N20" s="382"/>
      <c r="O20" s="382"/>
      <c r="P20" s="382"/>
      <c r="Q20" s="383"/>
      <c r="V20" s="364" t="s">
        <v>10401</v>
      </c>
      <c r="W20" s="365"/>
      <c r="X20" s="284">
        <v>15</v>
      </c>
      <c r="Y20" s="282">
        <f>X20+1</f>
        <v>16</v>
      </c>
    </row>
    <row r="21" spans="2:25" ht="15" customHeight="1">
      <c r="B21" s="11"/>
      <c r="D21" s="396"/>
      <c r="E21" s="396"/>
      <c r="H21" s="11"/>
      <c r="K21" s="12"/>
      <c r="Q21" s="12"/>
      <c r="V21" s="70"/>
      <c r="W21" s="71" t="s">
        <v>22122</v>
      </c>
    </row>
    <row r="22" spans="2:25" ht="15" customHeight="1">
      <c r="B22" s="11"/>
      <c r="H22" s="11"/>
      <c r="K22" s="12"/>
      <c r="N22" s="4" t="str">
        <f>VLOOKUP(1405,Sprachindex!$A:$Z,Erhebungsbogen!$Y$20,FALSE) &amp; " (V)"</f>
        <v>gerade (V)</v>
      </c>
      <c r="Q22" s="12"/>
      <c r="V22" s="70"/>
      <c r="W22" s="71" t="s">
        <v>22123</v>
      </c>
    </row>
    <row r="23" spans="2:25" ht="15" customHeight="1">
      <c r="B23" s="13" t="str">
        <f>VLOOKUP(1754,Sprachindex!$A:$Z,Erhebungsbogen!$Y$20,FALSE)</f>
        <v>Lichteweite [mm]:</v>
      </c>
      <c r="H23" s="11"/>
      <c r="K23" s="12"/>
      <c r="Q23" s="12"/>
      <c r="V23" s="70"/>
      <c r="W23" s="71" t="s">
        <v>22124</v>
      </c>
    </row>
    <row r="24" spans="2:25" ht="15" customHeight="1">
      <c r="B24" s="11"/>
      <c r="D24" s="396"/>
      <c r="E24" s="396"/>
      <c r="H24" s="11"/>
      <c r="K24" s="12"/>
      <c r="N24" s="397" t="str">
        <f>VLOOKUP(1022,Sprachindex!$A:$Z,Erhebungsbogen!$Y$20,FALSE)&amp; " (VO)"</f>
        <v>Winkel (VO)</v>
      </c>
      <c r="O24" s="397"/>
      <c r="P24" s="397"/>
      <c r="Q24" s="12"/>
      <c r="V24" s="70"/>
      <c r="W24" s="71" t="s">
        <v>22125</v>
      </c>
    </row>
    <row r="25" spans="2:25" ht="15" customHeight="1">
      <c r="B25" s="11"/>
      <c r="H25" s="11"/>
      <c r="K25" s="12"/>
      <c r="N25" s="397"/>
      <c r="O25" s="397"/>
      <c r="P25" s="397"/>
      <c r="Q25" s="12"/>
      <c r="V25" s="70"/>
      <c r="W25" s="71" t="s">
        <v>22126</v>
      </c>
    </row>
    <row r="26" spans="2:25" ht="15" customHeight="1">
      <c r="B26" s="391" t="str">
        <f>VLOOKUP(1754,Sprachindex!$A:$Z,Erhebungsbogen!$Y$20,FALSE)</f>
        <v>Lichteweite [mm]:</v>
      </c>
      <c r="C26" s="392"/>
      <c r="D26" s="392"/>
      <c r="E26" s="392"/>
      <c r="F26" s="392"/>
      <c r="G26" s="393"/>
      <c r="H26" s="11"/>
      <c r="I26" s="369" t="str">
        <f>VLOOKUP(1867,Sprachindex!$A:$Z,Erhebungsbogen!$Y$20,FALSE)</f>
        <v>Vor der Leibung</v>
      </c>
      <c r="J26" s="369"/>
      <c r="K26" s="370"/>
      <c r="N26" s="397" t="str">
        <f>VLOOKUP(1742,Sprachindex!$A:$Z,Erhebungsbogen!$Y$20,FALSE)</f>
        <v>keine</v>
      </c>
      <c r="O26" s="397"/>
      <c r="P26" s="397"/>
      <c r="Q26" s="12"/>
      <c r="S26" s="282">
        <v>1</v>
      </c>
      <c r="T26" s="4" t="s">
        <v>21813</v>
      </c>
      <c r="V26" s="72"/>
      <c r="W26" s="79" t="s">
        <v>22127</v>
      </c>
    </row>
    <row r="27" spans="2:25" ht="15" customHeight="1" thickBot="1">
      <c r="B27" s="11"/>
      <c r="H27" s="15"/>
      <c r="I27" s="371"/>
      <c r="J27" s="371"/>
      <c r="K27" s="372"/>
      <c r="L27" s="16"/>
      <c r="M27" s="16"/>
      <c r="N27" s="398"/>
      <c r="O27" s="398"/>
      <c r="P27" s="398"/>
      <c r="Q27" s="17"/>
      <c r="S27" s="282">
        <v>1</v>
      </c>
      <c r="T27" s="4" t="s">
        <v>22604</v>
      </c>
      <c r="V27" s="72"/>
      <c r="W27" s="71" t="s">
        <v>22128</v>
      </c>
    </row>
    <row r="28" spans="2:25" ht="15" customHeight="1">
      <c r="B28" s="11"/>
      <c r="H28" s="19"/>
      <c r="I28" s="9"/>
      <c r="J28" s="9"/>
      <c r="K28" s="10"/>
      <c r="L28" s="381" t="str">
        <f>VLOOKUP(2106,Sprachindex!$A:$Z,Erhebungsbogen!$Y$20,FALSE)</f>
        <v>Spannstück</v>
      </c>
      <c r="M28" s="382"/>
      <c r="N28" s="382"/>
      <c r="O28" s="382"/>
      <c r="P28" s="382"/>
      <c r="Q28" s="383"/>
      <c r="S28" s="282">
        <v>1</v>
      </c>
      <c r="T28" s="4" t="s">
        <v>21816</v>
      </c>
      <c r="V28" s="72"/>
      <c r="W28" s="71" t="s">
        <v>22129</v>
      </c>
    </row>
    <row r="29" spans="2:25" ht="15" customHeight="1">
      <c r="B29" s="11"/>
      <c r="H29" s="11"/>
      <c r="K29" s="12"/>
      <c r="N29" s="378" t="str">
        <f>VLOOKUP(2108,Sprachindex!$A:$Z,Erhebungsbogen!$Y$20,FALSE)</f>
        <v>Sterngriff</v>
      </c>
      <c r="O29" s="378"/>
      <c r="P29" s="378"/>
      <c r="Q29" s="379"/>
      <c r="V29" s="72"/>
      <c r="W29" s="71" t="s">
        <v>22130</v>
      </c>
    </row>
    <row r="30" spans="2:25" ht="15" customHeight="1">
      <c r="B30" s="11"/>
      <c r="H30" s="11"/>
      <c r="K30" s="12"/>
      <c r="N30" s="378"/>
      <c r="O30" s="378"/>
      <c r="P30" s="378"/>
      <c r="Q30" s="379"/>
      <c r="V30" s="72"/>
      <c r="W30" s="71" t="s">
        <v>22131</v>
      </c>
    </row>
    <row r="31" spans="2:25" ht="15" customHeight="1">
      <c r="B31" s="13" t="str">
        <f>VLOOKUP(598,Sprachindex!$A:$Z,Erhebungsbogen!$Y$20,FALSE)</f>
        <v>Menge</v>
      </c>
      <c r="H31" s="11"/>
      <c r="K31" s="12"/>
      <c r="Q31" s="12"/>
      <c r="V31" s="73"/>
      <c r="W31" s="80" t="s">
        <v>22132</v>
      </c>
    </row>
    <row r="32" spans="2:25" ht="15" customHeight="1">
      <c r="B32" s="11"/>
      <c r="D32" s="396">
        <v>1</v>
      </c>
      <c r="E32" s="396"/>
      <c r="F32" s="4" t="str">
        <f>VLOOKUP(1600,Sprachindex!$A:$Z,Erhebungsbogen!$Y$20,FALSE)</f>
        <v>[Stk]</v>
      </c>
      <c r="H32" s="11"/>
      <c r="K32" s="12"/>
      <c r="N32" s="397" t="str">
        <f>VLOOKUP(2107,Sprachindex!$A:$Z,Erhebungsbogen!$Y$20,FALSE)</f>
        <v>6-Kantschraube</v>
      </c>
      <c r="O32" s="397"/>
      <c r="P32" s="397"/>
      <c r="Q32" s="399"/>
      <c r="V32" s="73"/>
      <c r="W32" s="74" t="s">
        <v>22133</v>
      </c>
    </row>
    <row r="33" spans="2:24" ht="15" customHeight="1">
      <c r="B33" s="11"/>
      <c r="H33" s="11"/>
      <c r="I33" s="369" t="str">
        <f>VLOOKUP(1739,Sprachindex!$A:$Z,Erhebungsbogen!$Y$20,FALSE)</f>
        <v>In der Leibung</v>
      </c>
      <c r="J33" s="369"/>
      <c r="K33" s="370"/>
      <c r="L33" s="18"/>
      <c r="N33" s="397"/>
      <c r="O33" s="397"/>
      <c r="P33" s="397"/>
      <c r="Q33" s="399"/>
      <c r="V33" s="73"/>
      <c r="W33" s="74" t="s">
        <v>22134</v>
      </c>
    </row>
    <row r="34" spans="2:24" ht="15" customHeight="1" thickBot="1">
      <c r="B34" s="13" t="str">
        <f>VLOOKUP(1646,Sprachindex!$A:$Z,Erhebungsbogen!$Y$20,FALSE)</f>
        <v>Beschichtung</v>
      </c>
      <c r="H34" s="15"/>
      <c r="I34" s="371"/>
      <c r="J34" s="371"/>
      <c r="K34" s="372"/>
      <c r="L34" s="16"/>
      <c r="M34" s="16"/>
      <c r="N34" s="16"/>
      <c r="O34" s="16"/>
      <c r="P34" s="16"/>
      <c r="Q34" s="17"/>
      <c r="S34" s="282" t="b">
        <v>0</v>
      </c>
      <c r="V34" s="75"/>
      <c r="W34" s="76" t="s">
        <v>22135</v>
      </c>
    </row>
    <row r="35" spans="2:24" ht="15">
      <c r="B35" s="11"/>
      <c r="C35" s="4" t="str">
        <f>VLOOKUP(498,Sprachindex!$A:$Z,Erhebungsbogen!$Y$20,FALSE)</f>
        <v>ja</v>
      </c>
      <c r="H35" s="11"/>
      <c r="K35" s="12"/>
      <c r="L35" s="381" t="str">
        <f>VLOOKUP(2109,Sprachindex!$A:$Z,Erhebungsbogen!$Y$20,FALSE)</f>
        <v>Lagerung</v>
      </c>
      <c r="M35" s="382"/>
      <c r="N35" s="382"/>
      <c r="O35" s="382"/>
      <c r="P35" s="382"/>
      <c r="Q35" s="383"/>
      <c r="S35" s="282">
        <f>IF(S34,2,1)</f>
        <v>1</v>
      </c>
      <c r="T35" s="4" t="s">
        <v>21814</v>
      </c>
      <c r="V35" s="75"/>
      <c r="W35" s="76" t="s">
        <v>22136</v>
      </c>
    </row>
    <row r="36" spans="2:24" ht="14.25" customHeight="1">
      <c r="B36" s="11"/>
      <c r="C36" s="14" t="str">
        <f>VLOOKUP(385,Sprachindex!$A:$Z,Erhebungsbogen!$Y$20,FALSE)</f>
        <v>Farbe:</v>
      </c>
      <c r="D36" s="367"/>
      <c r="E36" s="367"/>
      <c r="F36" s="367"/>
      <c r="G36" s="367"/>
      <c r="H36" s="11"/>
      <c r="K36" s="12"/>
      <c r="N36" s="378" t="str">
        <f>VLOOKUP(1724,Sprachindex!$A:$Z,Erhebungsbogen!$Y$20,FALSE)</f>
        <v>Halterung für Dammbalken</v>
      </c>
      <c r="O36" s="378"/>
      <c r="P36" s="378"/>
      <c r="Q36" s="379"/>
      <c r="W36" s="283">
        <v>1</v>
      </c>
      <c r="X36" s="285" t="s">
        <v>22294</v>
      </c>
    </row>
    <row r="37" spans="2:24" ht="15.75" thickBot="1">
      <c r="B37" s="11"/>
      <c r="H37" s="11"/>
      <c r="K37" s="12"/>
      <c r="N37" s="378"/>
      <c r="O37" s="378"/>
      <c r="P37" s="378"/>
      <c r="Q37" s="379"/>
      <c r="W37" s="283"/>
      <c r="X37" s="139"/>
    </row>
    <row r="38" spans="2:24" ht="15" customHeight="1">
      <c r="B38" s="11"/>
      <c r="C38" s="4" t="str">
        <f>VLOOKUP(1608,Sprachindex!$A:$Z,Erhebungsbogen!$Y$20,FALSE)</f>
        <v>Abdeckung</v>
      </c>
      <c r="H38" s="11"/>
      <c r="K38" s="12"/>
      <c r="N38" s="378"/>
      <c r="O38" s="378"/>
      <c r="P38" s="378"/>
      <c r="Q38" s="379"/>
      <c r="R38" s="19"/>
      <c r="S38" s="282" t="b">
        <v>0</v>
      </c>
      <c r="T38" s="4" t="s">
        <v>22295</v>
      </c>
      <c r="V38" s="376" t="str">
        <f>VLOOKUP(1657,Sprachindex!$A:$Z,Erhebungsbogen!$Y$20,FALSE)</f>
        <v>Bodenhülsendeckel</v>
      </c>
      <c r="W38" s="377"/>
    </row>
    <row r="39" spans="2:24">
      <c r="B39" s="11"/>
      <c r="C39" s="4" t="str">
        <f>VLOOKUP(1811,Sprachindex!$A:$Z,Erhebungsbogen!$Y$20,FALSE)</f>
        <v>Seitenteile</v>
      </c>
      <c r="H39" s="11"/>
      <c r="K39" s="12"/>
      <c r="Q39" s="12"/>
      <c r="R39" s="11"/>
      <c r="S39" s="282" t="b">
        <v>0</v>
      </c>
      <c r="T39" s="4" t="s">
        <v>22296</v>
      </c>
      <c r="V39" s="374" t="str">
        <f>VLOOKUP(1617,Sprachindex!$A:$Z,Erhebungsbogen!$Y$20,FALSE)</f>
        <v>Aluminium</v>
      </c>
      <c r="W39" s="375"/>
    </row>
    <row r="40" spans="2:24">
      <c r="B40" s="11"/>
      <c r="C40" s="4" t="str">
        <f>VLOOKUP(1659,Sprachindex!$A:$Z,Erhebungsbogen!$Y$20,FALSE) &amp; " (≤ 3 m)"</f>
        <v>Dammbalken (≤ 3 m)</v>
      </c>
      <c r="H40" s="11"/>
      <c r="K40" s="12"/>
      <c r="N40" s="378" t="str">
        <f>VLOOKUP(1751,Sprachindex!$A:$Z,Erhebungsbogen!$Y$20,FALSE)</f>
        <v>Lagerabdeckung</v>
      </c>
      <c r="O40" s="378"/>
      <c r="P40" s="378"/>
      <c r="Q40" s="379"/>
      <c r="R40" s="11"/>
      <c r="S40" s="282" t="b">
        <v>0</v>
      </c>
      <c r="T40" s="4" t="s">
        <v>22297</v>
      </c>
      <c r="V40" s="330"/>
      <c r="W40" s="331"/>
    </row>
    <row r="41" spans="2:24" ht="15" customHeight="1">
      <c r="B41" s="11"/>
      <c r="C41" s="369" t="str">
        <f>VLOOKUP(1751,Sprachindex!$A:$Z,Erhebungsbogen!$Y$20,FALSE)</f>
        <v>Lagerabdeckung</v>
      </c>
      <c r="D41" s="369"/>
      <c r="E41" s="369"/>
      <c r="F41" s="369"/>
      <c r="G41" s="370"/>
      <c r="H41" s="11"/>
      <c r="I41" s="369" t="str">
        <f>VLOOKUP(1658,Sprachindex!$A:$Z,Erhebungsbogen!$Y$20,FALSE)</f>
        <v>Bündig</v>
      </c>
      <c r="J41" s="369"/>
      <c r="K41" s="370"/>
      <c r="N41" s="378"/>
      <c r="O41" s="378"/>
      <c r="P41" s="378"/>
      <c r="Q41" s="379"/>
      <c r="R41" s="11"/>
      <c r="S41" s="282" t="b">
        <v>0</v>
      </c>
      <c r="T41" s="4" t="s">
        <v>22298</v>
      </c>
      <c r="V41" s="374" t="str">
        <f>IF(OR(Y20=2,Y20=16),VLOOKUP(1696,Sprachindex!$A:$Z,Erhebungsbogen!$Y$20,FALSE) &amp; " (befahrbar)",VLOOKUP(1696,Sprachindex!$A:$Z,Erhebungsbogen!$Y$20,FALSE))</f>
        <v>Edelstahl (befahrbar)</v>
      </c>
      <c r="W41" s="375"/>
    </row>
    <row r="42" spans="2:24" ht="15.75" customHeight="1" thickBot="1">
      <c r="B42" s="15"/>
      <c r="C42" s="371"/>
      <c r="D42" s="371"/>
      <c r="E42" s="371"/>
      <c r="F42" s="371"/>
      <c r="G42" s="372"/>
      <c r="H42" s="15"/>
      <c r="I42" s="371"/>
      <c r="J42" s="371"/>
      <c r="K42" s="372"/>
      <c r="L42" s="16"/>
      <c r="M42" s="16"/>
      <c r="N42" s="16"/>
      <c r="O42" s="16"/>
      <c r="P42" s="16"/>
      <c r="Q42" s="17"/>
      <c r="R42" s="15"/>
      <c r="S42" s="282" t="b">
        <v>1</v>
      </c>
      <c r="T42" s="4" t="s">
        <v>21818</v>
      </c>
      <c r="V42" s="16"/>
      <c r="W42" s="17"/>
      <c r="X42" s="284">
        <v>1</v>
      </c>
    </row>
    <row r="43" spans="2:24" ht="14.25" customHeight="1">
      <c r="B43" s="20"/>
      <c r="C43" s="21"/>
      <c r="D43" s="21"/>
      <c r="E43" s="21"/>
      <c r="F43" s="21"/>
      <c r="G43" s="21"/>
      <c r="H43" s="21"/>
      <c r="I43" s="21"/>
      <c r="J43" s="21"/>
      <c r="L43" s="11"/>
      <c r="Q43" s="12"/>
      <c r="S43" s="282" t="b">
        <v>0</v>
      </c>
      <c r="T43" s="4" t="s">
        <v>21820</v>
      </c>
    </row>
    <row r="44" spans="2:24" ht="14.25" customHeight="1">
      <c r="B44" s="390" t="str">
        <f>VLOOKUP(2111,Sprachindex!$A:$Z,Erhebungsbogen!$Y$20,FALSE)</f>
        <v>Der Untergrund für das System sollte eben sein, um eine optimale Anpassung der Bodendichtung gewährleisten zu können. Weiters ist bei Pflasterstein auf eine adäquate Fundamentierung und Befestigung zu achten, um eine Unterspülung zu vermeiden. Bevor das PREFA Hochwasser-Dammbalkensystem montiert wird, muss zunächst geklärt werden, ob das Bauwerk in statischer Hinsicht für die Montage geeignet ist.</v>
      </c>
      <c r="C44" s="390"/>
      <c r="D44" s="390"/>
      <c r="E44" s="390"/>
      <c r="F44" s="390"/>
      <c r="G44" s="390"/>
      <c r="H44" s="390"/>
      <c r="I44" s="390"/>
      <c r="J44" s="390"/>
      <c r="L44" s="11"/>
      <c r="N44" s="4" t="str">
        <f>VLOOKUP(1666,Sprachindex!$A:$Z,Erhebungsbogen!$Y$20,FALSE)</f>
        <v>Dammbalkenhaken</v>
      </c>
      <c r="Q44" s="12"/>
      <c r="S44" s="282" t="b">
        <v>0</v>
      </c>
      <c r="T44" s="4" t="s">
        <v>22605</v>
      </c>
    </row>
    <row r="45" spans="2:24" ht="15" thickBot="1">
      <c r="B45" s="390"/>
      <c r="C45" s="390"/>
      <c r="D45" s="390"/>
      <c r="E45" s="390"/>
      <c r="F45" s="390"/>
      <c r="G45" s="390"/>
      <c r="H45" s="390"/>
      <c r="I45" s="390"/>
      <c r="J45" s="390"/>
      <c r="L45" s="15"/>
      <c r="M45" s="16"/>
      <c r="N45" s="16"/>
      <c r="O45" s="16"/>
      <c r="P45" s="16"/>
      <c r="Q45" s="17"/>
      <c r="S45" s="282" t="b">
        <v>0</v>
      </c>
      <c r="T45" s="4" t="s">
        <v>21815</v>
      </c>
    </row>
    <row r="46" spans="2:24">
      <c r="B46" s="390"/>
      <c r="C46" s="390"/>
      <c r="D46" s="390"/>
      <c r="E46" s="390"/>
      <c r="F46" s="390"/>
      <c r="G46" s="390"/>
      <c r="H46" s="390"/>
      <c r="I46" s="390"/>
      <c r="J46" s="390"/>
      <c r="L46" s="11"/>
      <c r="N46" s="4" t="str">
        <f>VLOOKUP(1675,Sprachindex!$A:$Z,Erhebungsbogen!$Y$20,FALSE)</f>
        <v>Dauerbodendichtung:</v>
      </c>
      <c r="Q46" s="12"/>
    </row>
    <row r="47" spans="2:24" ht="15" customHeight="1">
      <c r="B47" s="390"/>
      <c r="C47" s="390"/>
      <c r="D47" s="390"/>
      <c r="E47" s="390"/>
      <c r="F47" s="390"/>
      <c r="G47" s="390"/>
      <c r="H47" s="390"/>
      <c r="I47" s="390"/>
      <c r="J47" s="390"/>
      <c r="L47" s="384" t="str">
        <f>VLOOKUP(2110,Sprachindex!$A:$P,Erhebungsbogen!$Y$20,FALSE)</f>
        <v>(erforderlich bei dauerhaftem Aufbau)</v>
      </c>
      <c r="M47" s="385"/>
      <c r="N47" s="385"/>
      <c r="O47" s="385"/>
      <c r="P47" s="385"/>
      <c r="Q47" s="386"/>
    </row>
    <row r="48" spans="2:24" ht="15" customHeight="1" thickBot="1">
      <c r="B48" s="390"/>
      <c r="C48" s="390"/>
      <c r="D48" s="390"/>
      <c r="E48" s="390"/>
      <c r="F48" s="390"/>
      <c r="G48" s="390"/>
      <c r="H48" s="390"/>
      <c r="I48" s="390"/>
      <c r="J48" s="390"/>
      <c r="L48" s="387"/>
      <c r="M48" s="388"/>
      <c r="N48" s="388"/>
      <c r="O48" s="388"/>
      <c r="P48" s="388"/>
      <c r="Q48" s="389"/>
    </row>
    <row r="49" spans="1:24">
      <c r="B49" s="390"/>
      <c r="C49" s="390"/>
      <c r="D49" s="390"/>
      <c r="E49" s="390"/>
      <c r="F49" s="390"/>
      <c r="G49" s="390"/>
      <c r="H49" s="390"/>
      <c r="I49" s="390"/>
      <c r="J49" s="390"/>
    </row>
    <row r="50" spans="1:24">
      <c r="B50" s="390"/>
      <c r="C50" s="390"/>
      <c r="D50" s="390"/>
      <c r="E50" s="390"/>
      <c r="F50" s="390"/>
      <c r="G50" s="390"/>
      <c r="H50" s="390"/>
      <c r="I50" s="390"/>
      <c r="J50" s="390"/>
    </row>
    <row r="51" spans="1:24" ht="15">
      <c r="B51" s="390"/>
      <c r="C51" s="390"/>
      <c r="D51" s="390"/>
      <c r="E51" s="390"/>
      <c r="F51" s="390"/>
      <c r="G51" s="390"/>
      <c r="H51" s="390"/>
      <c r="I51" s="390"/>
      <c r="J51" s="390"/>
      <c r="P51" s="373" t="str">
        <f>VLOOKUP(1429,Sprachindex!$A:$Z,Erhebungsbogen!$Y$20,FALSE)</f>
        <v>Bearbeiter:</v>
      </c>
      <c r="Q51" s="373"/>
      <c r="R51" s="373"/>
      <c r="S51" s="373"/>
    </row>
    <row r="52" spans="1:24">
      <c r="B52" s="390"/>
      <c r="C52" s="390"/>
      <c r="D52" s="390"/>
      <c r="E52" s="390"/>
      <c r="F52" s="390"/>
      <c r="G52" s="390"/>
      <c r="H52" s="390"/>
      <c r="I52" s="390"/>
      <c r="J52" s="390"/>
      <c r="P52" s="367"/>
      <c r="Q52" s="367"/>
      <c r="R52" s="367"/>
      <c r="S52" s="367"/>
      <c r="T52" s="367"/>
      <c r="U52" s="367"/>
      <c r="V52" s="367"/>
      <c r="W52" s="367"/>
    </row>
    <row r="53" spans="1:24">
      <c r="B53" s="390" t="str">
        <f>VLOOKUP(2112,Sprachindex!$A:$Z,Erhebungsbogen!$Y$20,FALSE)</f>
        <v>Alle PREFA Hochwasserschutzprodukte sind bei unseren PREFA Partnern erhältlich.</v>
      </c>
      <c r="C53" s="390"/>
      <c r="D53" s="390"/>
      <c r="E53" s="390"/>
      <c r="F53" s="390"/>
      <c r="G53" s="390"/>
      <c r="H53" s="390"/>
      <c r="I53" s="390"/>
      <c r="J53" s="390"/>
      <c r="K53" s="390"/>
      <c r="L53" s="390"/>
      <c r="M53" s="390"/>
      <c r="N53" s="390"/>
      <c r="O53" s="390"/>
      <c r="P53" s="390"/>
      <c r="Q53" s="390"/>
    </row>
    <row r="54" spans="1:24">
      <c r="B54" s="390"/>
      <c r="C54" s="390"/>
      <c r="D54" s="390"/>
      <c r="E54" s="390"/>
      <c r="F54" s="390"/>
      <c r="G54" s="390"/>
      <c r="H54" s="390"/>
      <c r="I54" s="390"/>
      <c r="J54" s="390"/>
      <c r="K54" s="390"/>
      <c r="L54" s="390"/>
      <c r="M54" s="390"/>
      <c r="N54" s="390"/>
      <c r="O54" s="390"/>
      <c r="P54" s="390"/>
      <c r="Q54" s="390"/>
    </row>
    <row r="55" spans="1:24">
      <c r="B55" s="81" t="str">
        <f>VLOOKUP(2113,Sprachindex!$A:$Z,Erhebungsbogen!$Y$20,FALSE)</f>
        <v>Anfragen bitte an: hochwasserschutz@prefa.com</v>
      </c>
      <c r="C55" s="23"/>
      <c r="D55" s="23"/>
      <c r="E55" s="23"/>
      <c r="F55" s="23"/>
      <c r="G55" s="23"/>
      <c r="H55" s="23"/>
      <c r="I55" s="23"/>
      <c r="J55" s="23"/>
    </row>
    <row r="56" spans="1:24">
      <c r="B56" s="23"/>
      <c r="C56" s="23"/>
      <c r="D56" s="23"/>
      <c r="E56" s="23"/>
      <c r="F56" s="23"/>
      <c r="G56" s="23"/>
      <c r="H56" s="23"/>
      <c r="I56" s="23"/>
      <c r="J56" s="23"/>
    </row>
    <row r="57" spans="1:24">
      <c r="B57" s="22"/>
      <c r="C57" s="22"/>
      <c r="D57" s="22"/>
      <c r="E57" s="22"/>
      <c r="F57" s="22"/>
      <c r="G57" s="22"/>
      <c r="H57" s="22"/>
      <c r="I57" s="22"/>
      <c r="J57" s="22"/>
    </row>
    <row r="58" spans="1:24" ht="15">
      <c r="B58" s="24" t="str">
        <f>VLOOKUP(2115,Sprachindex!$A:$Z,Erhebungsbogen!$Y$20,FALSE)</f>
        <v>NOTIZEN:</v>
      </c>
      <c r="C58" s="23"/>
      <c r="D58" s="23"/>
      <c r="E58" s="23"/>
      <c r="F58" s="23"/>
      <c r="G58" s="23"/>
      <c r="H58" s="23"/>
      <c r="I58" s="23"/>
      <c r="J58" s="23"/>
    </row>
    <row r="59" spans="1:24">
      <c r="B59" s="23"/>
      <c r="C59" s="23"/>
      <c r="D59" s="380"/>
      <c r="E59" s="380"/>
      <c r="F59" s="380"/>
      <c r="G59" s="380"/>
      <c r="H59" s="380"/>
      <c r="I59" s="380"/>
      <c r="J59" s="380"/>
      <c r="K59" s="380"/>
      <c r="L59" s="380"/>
      <c r="M59" s="380"/>
      <c r="N59" s="380"/>
      <c r="O59" s="380"/>
      <c r="P59" s="380"/>
      <c r="Q59" s="380"/>
    </row>
    <row r="60" spans="1:24" ht="3" customHeight="1">
      <c r="B60" s="23"/>
      <c r="C60" s="23"/>
      <c r="D60" s="23"/>
      <c r="E60" s="23"/>
      <c r="F60" s="23"/>
      <c r="G60" s="23"/>
      <c r="H60" s="23"/>
      <c r="I60" s="23"/>
      <c r="J60" s="23"/>
    </row>
    <row r="61" spans="1:24">
      <c r="D61" s="380"/>
      <c r="E61" s="380"/>
      <c r="F61" s="380"/>
      <c r="G61" s="380"/>
      <c r="H61" s="380"/>
      <c r="I61" s="380"/>
      <c r="J61" s="380"/>
      <c r="K61" s="380"/>
      <c r="L61" s="380"/>
      <c r="M61" s="380"/>
      <c r="N61" s="380"/>
      <c r="O61" s="380"/>
      <c r="P61" s="380"/>
      <c r="Q61" s="380"/>
    </row>
    <row r="62" spans="1:24" ht="15">
      <c r="Q62" s="25"/>
    </row>
    <row r="63" spans="1:24">
      <c r="A63" s="289"/>
      <c r="B63" s="362" t="s">
        <v>22603</v>
      </c>
      <c r="C63" s="362"/>
      <c r="D63" s="362"/>
      <c r="E63" s="362" t="str" cm="1">
        <f t="array" aca="1" ref="E63" ca="1">MID(CELL("Dateiname"),FIND("[",CELL("Dateiname"))+1,FIND("]",CELL("Dateiname"))-FIND("[",CELL("Dateiname"))-1)</f>
        <v>02110307_CH-de_Vorlage_Erhebungsbogen Hochwasserschutz_PREFA_2024-4.xlsx</v>
      </c>
      <c r="F63" s="362"/>
      <c r="G63" s="362"/>
      <c r="H63" s="362"/>
      <c r="I63" s="362"/>
      <c r="J63" s="362"/>
      <c r="K63" s="362"/>
      <c r="L63" s="362"/>
      <c r="M63" s="362"/>
      <c r="N63" s="362"/>
      <c r="O63" s="362"/>
      <c r="P63" s="362"/>
      <c r="Q63" s="361" t="str">
        <f>VLOOKUP(1865,Sprachindex!$A:$Z,Erhebungsbogen!$Y$20,FALSE)</f>
        <v>Version:</v>
      </c>
      <c r="R63" s="361"/>
      <c r="S63" s="361"/>
      <c r="T63" s="361"/>
      <c r="U63" s="361"/>
      <c r="V63" s="361"/>
      <c r="W63" s="359">
        <v>45398</v>
      </c>
      <c r="X63" s="360"/>
    </row>
  </sheetData>
  <sheetProtection sheet="1" objects="1" selectLockedCells="1"/>
  <mergeCells count="48">
    <mergeCell ref="D2:Q4"/>
    <mergeCell ref="D21:E21"/>
    <mergeCell ref="D32:E32"/>
    <mergeCell ref="D36:G36"/>
    <mergeCell ref="L28:Q28"/>
    <mergeCell ref="L35:Q35"/>
    <mergeCell ref="N26:P27"/>
    <mergeCell ref="N29:Q30"/>
    <mergeCell ref="N32:Q33"/>
    <mergeCell ref="N36:Q38"/>
    <mergeCell ref="D24:E24"/>
    <mergeCell ref="F8:N8"/>
    <mergeCell ref="F12:N12"/>
    <mergeCell ref="B8:E8"/>
    <mergeCell ref="N24:P25"/>
    <mergeCell ref="B10:E10"/>
    <mergeCell ref="D61:Q61"/>
    <mergeCell ref="F10:N10"/>
    <mergeCell ref="B18:E18"/>
    <mergeCell ref="B16:E16"/>
    <mergeCell ref="B14:E14"/>
    <mergeCell ref="L20:Q20"/>
    <mergeCell ref="H20:K20"/>
    <mergeCell ref="L47:Q48"/>
    <mergeCell ref="B44:J52"/>
    <mergeCell ref="B53:Q54"/>
    <mergeCell ref="B26:G26"/>
    <mergeCell ref="D59:Q59"/>
    <mergeCell ref="I33:K34"/>
    <mergeCell ref="I26:K27"/>
    <mergeCell ref="I41:K42"/>
    <mergeCell ref="P52:W52"/>
    <mergeCell ref="I5:N5"/>
    <mergeCell ref="W63:X63"/>
    <mergeCell ref="Q63:V63"/>
    <mergeCell ref="E63:P63"/>
    <mergeCell ref="B12:E12"/>
    <mergeCell ref="B63:D63"/>
    <mergeCell ref="V20:W20"/>
    <mergeCell ref="F16:N16"/>
    <mergeCell ref="F18:N18"/>
    <mergeCell ref="F14:N14"/>
    <mergeCell ref="C41:G42"/>
    <mergeCell ref="P51:S51"/>
    <mergeCell ref="V39:W39"/>
    <mergeCell ref="V41:W41"/>
    <mergeCell ref="V38:W38"/>
    <mergeCell ref="N40:Q41"/>
  </mergeCells>
  <conditionalFormatting sqref="C36">
    <cfRule type="expression" dxfId="624" priority="6">
      <formula>$S$35=FALSE</formula>
    </cfRule>
  </conditionalFormatting>
  <conditionalFormatting sqref="D21:E21">
    <cfRule type="cellIs" dxfId="623" priority="10" operator="equal">
      <formula>0</formula>
    </cfRule>
  </conditionalFormatting>
  <conditionalFormatting sqref="D24:E24">
    <cfRule type="cellIs" dxfId="622" priority="9" operator="equal">
      <formula>0</formula>
    </cfRule>
  </conditionalFormatting>
  <conditionalFormatting sqref="D32:E32">
    <cfRule type="cellIs" dxfId="621" priority="8" operator="equal">
      <formula>0</formula>
    </cfRule>
  </conditionalFormatting>
  <conditionalFormatting sqref="D36:G36">
    <cfRule type="expression" dxfId="620" priority="7">
      <formula>AND($S$35=TRUE,D36=0)</formula>
    </cfRule>
  </conditionalFormatting>
  <conditionalFormatting sqref="F8:N8 F10:N10 F12:N12 F14:N14 F16:N16 F18:N18 D59:Q59 D61:Q61">
    <cfRule type="cellIs" dxfId="619" priority="16" operator="equal">
      <formula>0</formula>
    </cfRule>
  </conditionalFormatting>
  <conditionalFormatting sqref="P52">
    <cfRule type="cellIs" dxfId="618" priority="1" operator="equal">
      <formula>0</formula>
    </cfRule>
  </conditionalFormatting>
  <dataValidations disablePrompts="1" count="1">
    <dataValidation type="whole" operator="greaterThan" allowBlank="1" showInputMessage="1" showErrorMessage="1" errorTitle="Falsche Eingabe" error="Bitte nur ganze Zahlen eingeben!" sqref="D32:E32" xr:uid="{D04DADD1-3D7C-45D2-AC84-F2B4DB8433EF}">
      <formula1>0</formula1>
    </dataValidation>
  </dataValidations>
  <pageMargins left="0.29527559055118113" right="0.19685039370078741" top="0.19685039370078741" bottom="0.19685039370078741" header="0.31496062992125984" footer="0.31496062992125984"/>
  <pageSetup paperSize="9" orientation="portrait" r:id="rId1"/>
  <drawing r:id="rId2"/>
  <legacyDrawing r:id="rId3"/>
  <oleObjects>
    <mc:AlternateContent xmlns:mc="http://schemas.openxmlformats.org/markup-compatibility/2006">
      <mc:Choice Requires="x14">
        <oleObject progId="CorelDraw.Graphic.17" shapeId="1034" r:id="rId4">
          <objectPr defaultSize="0" autoPict="0" r:id="rId5">
            <anchor moveWithCells="1">
              <from>
                <xdr:col>11</xdr:col>
                <xdr:colOff>190500</xdr:colOff>
                <xdr:row>23</xdr:row>
                <xdr:rowOff>19050</xdr:rowOff>
              </from>
              <to>
                <xdr:col>12</xdr:col>
                <xdr:colOff>133350</xdr:colOff>
                <xdr:row>24</xdr:row>
                <xdr:rowOff>180975</xdr:rowOff>
              </to>
            </anchor>
          </objectPr>
        </oleObject>
      </mc:Choice>
      <mc:Fallback>
        <oleObject progId="CorelDraw.Graphic.17" shapeId="1034" r:id="rId4"/>
      </mc:Fallback>
    </mc:AlternateContent>
    <mc:AlternateContent xmlns:mc="http://schemas.openxmlformats.org/markup-compatibility/2006">
      <mc:Choice Requires="x14">
        <oleObject progId="CorelDraw.Graphic.17" shapeId="1035" r:id="rId6">
          <objectPr defaultSize="0" autoPict="0" r:id="rId7">
            <anchor moveWithCells="1">
              <from>
                <xdr:col>11</xdr:col>
                <xdr:colOff>190500</xdr:colOff>
                <xdr:row>20</xdr:row>
                <xdr:rowOff>0</xdr:rowOff>
              </from>
              <to>
                <xdr:col>12</xdr:col>
                <xdr:colOff>133350</xdr:colOff>
                <xdr:row>22</xdr:row>
                <xdr:rowOff>142875</xdr:rowOff>
              </to>
            </anchor>
          </objectPr>
        </oleObject>
      </mc:Choice>
      <mc:Fallback>
        <oleObject progId="CorelDraw.Graphic.17" shapeId="1035" r:id="rId6"/>
      </mc:Fallback>
    </mc:AlternateContent>
    <mc:AlternateContent xmlns:mc="http://schemas.openxmlformats.org/markup-compatibility/2006">
      <mc:Choice Requires="x14">
        <oleObject progId="CorelDraw.Graphic.17" shapeId="1036" r:id="rId8">
          <objectPr defaultSize="0" autoPict="0" r:id="rId9">
            <anchor moveWithCells="1">
              <from>
                <xdr:col>11</xdr:col>
                <xdr:colOff>190500</xdr:colOff>
                <xdr:row>28</xdr:row>
                <xdr:rowOff>0</xdr:rowOff>
              </from>
              <to>
                <xdr:col>12</xdr:col>
                <xdr:colOff>133350</xdr:colOff>
                <xdr:row>29</xdr:row>
                <xdr:rowOff>171450</xdr:rowOff>
              </to>
            </anchor>
          </objectPr>
        </oleObject>
      </mc:Choice>
      <mc:Fallback>
        <oleObject progId="CorelDraw.Graphic.17" shapeId="1036" r:id="rId8"/>
      </mc:Fallback>
    </mc:AlternateContent>
    <mc:AlternateContent xmlns:mc="http://schemas.openxmlformats.org/markup-compatibility/2006">
      <mc:Choice Requires="x14">
        <oleObject progId="CorelDraw.Graphic.17" shapeId="1038" r:id="rId10">
          <objectPr defaultSize="0" autoPict="0" r:id="rId11">
            <anchor moveWithCells="1">
              <from>
                <xdr:col>11</xdr:col>
                <xdr:colOff>190500</xdr:colOff>
                <xdr:row>35</xdr:row>
                <xdr:rowOff>9525</xdr:rowOff>
              </from>
              <to>
                <xdr:col>12</xdr:col>
                <xdr:colOff>161925</xdr:colOff>
                <xdr:row>37</xdr:row>
                <xdr:rowOff>161925</xdr:rowOff>
              </to>
            </anchor>
          </objectPr>
        </oleObject>
      </mc:Choice>
      <mc:Fallback>
        <oleObject progId="CorelDraw.Graphic.17" shapeId="1038" r:id="rId10"/>
      </mc:Fallback>
    </mc:AlternateContent>
    <mc:AlternateContent xmlns:mc="http://schemas.openxmlformats.org/markup-compatibility/2006">
      <mc:Choice Requires="x14">
        <oleObject progId="CorelDraw.Graphic.17" shapeId="1039" r:id="rId12">
          <objectPr defaultSize="0" autoPict="0" r:id="rId13">
            <anchor moveWithCells="1">
              <from>
                <xdr:col>11</xdr:col>
                <xdr:colOff>190500</xdr:colOff>
                <xdr:row>39</xdr:row>
                <xdr:rowOff>38100</xdr:rowOff>
              </from>
              <to>
                <xdr:col>12</xdr:col>
                <xdr:colOff>161925</xdr:colOff>
                <xdr:row>40</xdr:row>
                <xdr:rowOff>161925</xdr:rowOff>
              </to>
            </anchor>
          </objectPr>
        </oleObject>
      </mc:Choice>
      <mc:Fallback>
        <oleObject progId="CorelDraw.Graphic.17" shapeId="1039" r:id="rId12"/>
      </mc:Fallback>
    </mc:AlternateContent>
  </oleObjects>
  <mc:AlternateContent xmlns:mc="http://schemas.openxmlformats.org/markup-compatibility/2006">
    <mc:Choice Requires="x14">
      <controls>
        <mc:AlternateContent xmlns:mc="http://schemas.openxmlformats.org/markup-compatibility/2006">
          <mc:Choice Requires="x14">
            <control shapeId="1026" r:id="rId14" name="Check Box 2">
              <controlPr defaultSize="0" autoFill="0" autoLine="0" autoPict="0">
                <anchor moveWithCells="1">
                  <from>
                    <xdr:col>1</xdr:col>
                    <xdr:colOff>304800</xdr:colOff>
                    <xdr:row>34</xdr:row>
                    <xdr:rowOff>0</xdr:rowOff>
                  </from>
                  <to>
                    <xdr:col>3</xdr:col>
                    <xdr:colOff>95250</xdr:colOff>
                    <xdr:row>34</xdr:row>
                    <xdr:rowOff>180975</xdr:rowOff>
                  </to>
                </anchor>
              </controlPr>
            </control>
          </mc:Choice>
        </mc:AlternateContent>
        <mc:AlternateContent xmlns:mc="http://schemas.openxmlformats.org/markup-compatibility/2006">
          <mc:Choice Requires="x14">
            <control shapeId="1027" r:id="rId15" name="Check Box 3">
              <controlPr defaultSize="0" autoFill="0" autoLine="0" autoPict="0">
                <anchor moveWithCells="1">
                  <from>
                    <xdr:col>1</xdr:col>
                    <xdr:colOff>304800</xdr:colOff>
                    <xdr:row>37</xdr:row>
                    <xdr:rowOff>0</xdr:rowOff>
                  </from>
                  <to>
                    <xdr:col>4</xdr:col>
                    <xdr:colOff>0</xdr:colOff>
                    <xdr:row>37</xdr:row>
                    <xdr:rowOff>180975</xdr:rowOff>
                  </to>
                </anchor>
              </controlPr>
            </control>
          </mc:Choice>
        </mc:AlternateContent>
        <mc:AlternateContent xmlns:mc="http://schemas.openxmlformats.org/markup-compatibility/2006">
          <mc:Choice Requires="x14">
            <control shapeId="1028" r:id="rId16" name="Check Box 4">
              <controlPr defaultSize="0" autoFill="0" autoLine="0" autoPict="0">
                <anchor moveWithCells="1">
                  <from>
                    <xdr:col>1</xdr:col>
                    <xdr:colOff>304800</xdr:colOff>
                    <xdr:row>38</xdr:row>
                    <xdr:rowOff>0</xdr:rowOff>
                  </from>
                  <to>
                    <xdr:col>4</xdr:col>
                    <xdr:colOff>0</xdr:colOff>
                    <xdr:row>39</xdr:row>
                    <xdr:rowOff>0</xdr:rowOff>
                  </to>
                </anchor>
              </controlPr>
            </control>
          </mc:Choice>
        </mc:AlternateContent>
        <mc:AlternateContent xmlns:mc="http://schemas.openxmlformats.org/markup-compatibility/2006">
          <mc:Choice Requires="x14">
            <control shapeId="1029" r:id="rId17" name="Check Box 5">
              <controlPr defaultSize="0" autoFill="0" autoLine="0" autoPict="0">
                <anchor moveWithCells="1">
                  <from>
                    <xdr:col>1</xdr:col>
                    <xdr:colOff>304800</xdr:colOff>
                    <xdr:row>39</xdr:row>
                    <xdr:rowOff>0</xdr:rowOff>
                  </from>
                  <to>
                    <xdr:col>6</xdr:col>
                    <xdr:colOff>0</xdr:colOff>
                    <xdr:row>40</xdr:row>
                    <xdr:rowOff>0</xdr:rowOff>
                  </to>
                </anchor>
              </controlPr>
            </control>
          </mc:Choice>
        </mc:AlternateContent>
        <mc:AlternateContent xmlns:mc="http://schemas.openxmlformats.org/markup-compatibility/2006">
          <mc:Choice Requires="x14">
            <control shapeId="1030" r:id="rId18" name="Check Box 6">
              <controlPr defaultSize="0" autoFill="0" autoLine="0" autoPict="0">
                <anchor moveWithCells="1">
                  <from>
                    <xdr:col>1</xdr:col>
                    <xdr:colOff>304800</xdr:colOff>
                    <xdr:row>40</xdr:row>
                    <xdr:rowOff>0</xdr:rowOff>
                  </from>
                  <to>
                    <xdr:col>5</xdr:col>
                    <xdr:colOff>0</xdr:colOff>
                    <xdr:row>40</xdr:row>
                    <xdr:rowOff>180975</xdr:rowOff>
                  </to>
                </anchor>
              </controlPr>
            </control>
          </mc:Choice>
        </mc:AlternateContent>
        <mc:AlternateContent xmlns:mc="http://schemas.openxmlformats.org/markup-compatibility/2006">
          <mc:Choice Requires="x14">
            <control shapeId="1031" r:id="rId19" name="Option Button 7">
              <controlPr defaultSize="0" autoFill="0" autoLine="0" autoPict="0">
                <anchor moveWithCells="1">
                  <from>
                    <xdr:col>7</xdr:col>
                    <xdr:colOff>190500</xdr:colOff>
                    <xdr:row>25</xdr:row>
                    <xdr:rowOff>0</xdr:rowOff>
                  </from>
                  <to>
                    <xdr:col>11</xdr:col>
                    <xdr:colOff>0</xdr:colOff>
                    <xdr:row>25</xdr:row>
                    <xdr:rowOff>190500</xdr:rowOff>
                  </to>
                </anchor>
              </controlPr>
            </control>
          </mc:Choice>
        </mc:AlternateContent>
        <mc:AlternateContent xmlns:mc="http://schemas.openxmlformats.org/markup-compatibility/2006">
          <mc:Choice Requires="x14">
            <control shapeId="1032" r:id="rId20" name="Option Button 8">
              <controlPr defaultSize="0" autoFill="0" autoLine="0" autoPict="0">
                <anchor moveWithCells="1">
                  <from>
                    <xdr:col>7</xdr:col>
                    <xdr:colOff>190500</xdr:colOff>
                    <xdr:row>32</xdr:row>
                    <xdr:rowOff>9525</xdr:rowOff>
                  </from>
                  <to>
                    <xdr:col>11</xdr:col>
                    <xdr:colOff>0</xdr:colOff>
                    <xdr:row>33</xdr:row>
                    <xdr:rowOff>9525</xdr:rowOff>
                  </to>
                </anchor>
              </controlPr>
            </control>
          </mc:Choice>
        </mc:AlternateContent>
        <mc:AlternateContent xmlns:mc="http://schemas.openxmlformats.org/markup-compatibility/2006">
          <mc:Choice Requires="x14">
            <control shapeId="1033" r:id="rId21" name="Option Button 9">
              <controlPr defaultSize="0" autoFill="0" autoLine="0" autoPict="0">
                <anchor moveWithCells="1">
                  <from>
                    <xdr:col>7</xdr:col>
                    <xdr:colOff>190500</xdr:colOff>
                    <xdr:row>40</xdr:row>
                    <xdr:rowOff>0</xdr:rowOff>
                  </from>
                  <to>
                    <xdr:col>11</xdr:col>
                    <xdr:colOff>0</xdr:colOff>
                    <xdr:row>41</xdr:row>
                    <xdr:rowOff>0</xdr:rowOff>
                  </to>
                </anchor>
              </controlPr>
            </control>
          </mc:Choice>
        </mc:AlternateContent>
        <mc:AlternateContent xmlns:mc="http://schemas.openxmlformats.org/markup-compatibility/2006">
          <mc:Choice Requires="x14">
            <control shapeId="1044" r:id="rId22" name="Group Box 20">
              <controlPr defaultSize="0" print="0" autoFill="0" autoPict="0">
                <anchor moveWithCells="1">
                  <from>
                    <xdr:col>6</xdr:col>
                    <xdr:colOff>381000</xdr:colOff>
                    <xdr:row>19</xdr:row>
                    <xdr:rowOff>0</xdr:rowOff>
                  </from>
                  <to>
                    <xdr:col>10</xdr:col>
                    <xdr:colOff>381000</xdr:colOff>
                    <xdr:row>41</xdr:row>
                    <xdr:rowOff>180975</xdr:rowOff>
                  </to>
                </anchor>
              </controlPr>
            </control>
          </mc:Choice>
        </mc:AlternateContent>
        <mc:AlternateContent xmlns:mc="http://schemas.openxmlformats.org/markup-compatibility/2006">
          <mc:Choice Requires="x14">
            <control shapeId="1045" r:id="rId23" name="Group Box 21">
              <controlPr defaultSize="0" print="0" autoFill="0" autoPict="0">
                <anchor moveWithCells="1">
                  <from>
                    <xdr:col>11</xdr:col>
                    <xdr:colOff>0</xdr:colOff>
                    <xdr:row>19</xdr:row>
                    <xdr:rowOff>0</xdr:rowOff>
                  </from>
                  <to>
                    <xdr:col>17</xdr:col>
                    <xdr:colOff>0</xdr:colOff>
                    <xdr:row>27</xdr:row>
                    <xdr:rowOff>0</xdr:rowOff>
                  </to>
                </anchor>
              </controlPr>
            </control>
          </mc:Choice>
        </mc:AlternateContent>
        <mc:AlternateContent xmlns:mc="http://schemas.openxmlformats.org/markup-compatibility/2006">
          <mc:Choice Requires="x14">
            <control shapeId="1046" r:id="rId24" name="Option Button 22">
              <controlPr defaultSize="0" autoFill="0" autoLine="0" autoPict="0">
                <anchor moveWithCells="1">
                  <from>
                    <xdr:col>12</xdr:col>
                    <xdr:colOff>161925</xdr:colOff>
                    <xdr:row>25</xdr:row>
                    <xdr:rowOff>104775</xdr:rowOff>
                  </from>
                  <to>
                    <xdr:col>15</xdr:col>
                    <xdr:colOff>0</xdr:colOff>
                    <xdr:row>26</xdr:row>
                    <xdr:rowOff>95250</xdr:rowOff>
                  </to>
                </anchor>
              </controlPr>
            </control>
          </mc:Choice>
        </mc:AlternateContent>
        <mc:AlternateContent xmlns:mc="http://schemas.openxmlformats.org/markup-compatibility/2006">
          <mc:Choice Requires="x14">
            <control shapeId="1047" r:id="rId25" name="Option Button 23">
              <controlPr defaultSize="0" autoFill="0" autoLine="0" autoPict="0">
                <anchor moveWithCells="1">
                  <from>
                    <xdr:col>12</xdr:col>
                    <xdr:colOff>161925</xdr:colOff>
                    <xdr:row>21</xdr:row>
                    <xdr:rowOff>19050</xdr:rowOff>
                  </from>
                  <to>
                    <xdr:col>15</xdr:col>
                    <xdr:colOff>0</xdr:colOff>
                    <xdr:row>22</xdr:row>
                    <xdr:rowOff>9525</xdr:rowOff>
                  </to>
                </anchor>
              </controlPr>
            </control>
          </mc:Choice>
        </mc:AlternateContent>
        <mc:AlternateContent xmlns:mc="http://schemas.openxmlformats.org/markup-compatibility/2006">
          <mc:Choice Requires="x14">
            <control shapeId="1048" r:id="rId26" name="Option Button 24">
              <controlPr defaultSize="0" autoFill="0" autoLine="0" autoPict="0">
                <anchor moveWithCells="1">
                  <from>
                    <xdr:col>12</xdr:col>
                    <xdr:colOff>161925</xdr:colOff>
                    <xdr:row>23</xdr:row>
                    <xdr:rowOff>76200</xdr:rowOff>
                  </from>
                  <to>
                    <xdr:col>14</xdr:col>
                    <xdr:colOff>161925</xdr:colOff>
                    <xdr:row>24</xdr:row>
                    <xdr:rowOff>57150</xdr:rowOff>
                  </to>
                </anchor>
              </controlPr>
            </control>
          </mc:Choice>
        </mc:AlternateContent>
        <mc:AlternateContent xmlns:mc="http://schemas.openxmlformats.org/markup-compatibility/2006">
          <mc:Choice Requires="x14">
            <control shapeId="1049" r:id="rId27" name="Group Box 25">
              <controlPr defaultSize="0" print="0" autoFill="0" autoPict="0">
                <anchor moveWithCells="1">
                  <from>
                    <xdr:col>11</xdr:col>
                    <xdr:colOff>0</xdr:colOff>
                    <xdr:row>27</xdr:row>
                    <xdr:rowOff>0</xdr:rowOff>
                  </from>
                  <to>
                    <xdr:col>17</xdr:col>
                    <xdr:colOff>0</xdr:colOff>
                    <xdr:row>34</xdr:row>
                    <xdr:rowOff>0</xdr:rowOff>
                  </to>
                </anchor>
              </controlPr>
            </control>
          </mc:Choice>
        </mc:AlternateContent>
        <mc:AlternateContent xmlns:mc="http://schemas.openxmlformats.org/markup-compatibility/2006">
          <mc:Choice Requires="x14">
            <control shapeId="1050" r:id="rId28" name="Option Button 26">
              <controlPr defaultSize="0" autoFill="0" autoLine="0" autoPict="0">
                <anchor moveWithCells="1">
                  <from>
                    <xdr:col>12</xdr:col>
                    <xdr:colOff>161925</xdr:colOff>
                    <xdr:row>28</xdr:row>
                    <xdr:rowOff>0</xdr:rowOff>
                  </from>
                  <to>
                    <xdr:col>15</xdr:col>
                    <xdr:colOff>0</xdr:colOff>
                    <xdr:row>29</xdr:row>
                    <xdr:rowOff>171450</xdr:rowOff>
                  </to>
                </anchor>
              </controlPr>
            </control>
          </mc:Choice>
        </mc:AlternateContent>
        <mc:AlternateContent xmlns:mc="http://schemas.openxmlformats.org/markup-compatibility/2006">
          <mc:Choice Requires="x14">
            <control shapeId="1051" r:id="rId29" name="Option Button 27">
              <controlPr defaultSize="0" autoFill="0" autoLine="0" autoPict="0">
                <anchor moveWithCells="1">
                  <from>
                    <xdr:col>12</xdr:col>
                    <xdr:colOff>161925</xdr:colOff>
                    <xdr:row>30</xdr:row>
                    <xdr:rowOff>190500</xdr:rowOff>
                  </from>
                  <to>
                    <xdr:col>15</xdr:col>
                    <xdr:colOff>161925</xdr:colOff>
                    <xdr:row>32</xdr:row>
                    <xdr:rowOff>180975</xdr:rowOff>
                  </to>
                </anchor>
              </controlPr>
            </control>
          </mc:Choice>
        </mc:AlternateContent>
        <mc:AlternateContent xmlns:mc="http://schemas.openxmlformats.org/markup-compatibility/2006">
          <mc:Choice Requires="x14">
            <control shapeId="1056" r:id="rId30" name="Check Box 32">
              <controlPr defaultSize="0" autoFill="0" autoLine="0" autoPict="0">
                <anchor moveWithCells="1">
                  <from>
                    <xdr:col>12</xdr:col>
                    <xdr:colOff>171450</xdr:colOff>
                    <xdr:row>43</xdr:row>
                    <xdr:rowOff>0</xdr:rowOff>
                  </from>
                  <to>
                    <xdr:col>16</xdr:col>
                    <xdr:colOff>152400</xdr:colOff>
                    <xdr:row>44</xdr:row>
                    <xdr:rowOff>0</xdr:rowOff>
                  </to>
                </anchor>
              </controlPr>
            </control>
          </mc:Choice>
        </mc:AlternateContent>
        <mc:AlternateContent xmlns:mc="http://schemas.openxmlformats.org/markup-compatibility/2006">
          <mc:Choice Requires="x14">
            <control shapeId="1061" r:id="rId31" name="Check Box 37">
              <controlPr defaultSize="0" autoFill="0" autoLine="0" autoPict="0">
                <anchor moveWithCells="1">
                  <from>
                    <xdr:col>12</xdr:col>
                    <xdr:colOff>171450</xdr:colOff>
                    <xdr:row>35</xdr:row>
                    <xdr:rowOff>0</xdr:rowOff>
                  </from>
                  <to>
                    <xdr:col>17</xdr:col>
                    <xdr:colOff>0</xdr:colOff>
                    <xdr:row>37</xdr:row>
                    <xdr:rowOff>161925</xdr:rowOff>
                  </to>
                </anchor>
              </controlPr>
            </control>
          </mc:Choice>
        </mc:AlternateContent>
        <mc:AlternateContent xmlns:mc="http://schemas.openxmlformats.org/markup-compatibility/2006">
          <mc:Choice Requires="x14">
            <control shapeId="1063" r:id="rId32" name="Check Box 39">
              <controlPr defaultSize="0" autoFill="0" autoLine="0" autoPict="0">
                <anchor moveWithCells="1">
                  <from>
                    <xdr:col>12</xdr:col>
                    <xdr:colOff>171450</xdr:colOff>
                    <xdr:row>39</xdr:row>
                    <xdr:rowOff>0</xdr:rowOff>
                  </from>
                  <to>
                    <xdr:col>16</xdr:col>
                    <xdr:colOff>152400</xdr:colOff>
                    <xdr:row>40</xdr:row>
                    <xdr:rowOff>180975</xdr:rowOff>
                  </to>
                </anchor>
              </controlPr>
            </control>
          </mc:Choice>
        </mc:AlternateContent>
        <mc:AlternateContent xmlns:mc="http://schemas.openxmlformats.org/markup-compatibility/2006">
          <mc:Choice Requires="x14">
            <control shapeId="1064" r:id="rId33" name="Check Box 40">
              <controlPr defaultSize="0" autoFill="0" autoLine="0" autoPict="0">
                <anchor moveWithCells="1">
                  <from>
                    <xdr:col>12</xdr:col>
                    <xdr:colOff>171450</xdr:colOff>
                    <xdr:row>45</xdr:row>
                    <xdr:rowOff>0</xdr:rowOff>
                  </from>
                  <to>
                    <xdr:col>16</xdr:col>
                    <xdr:colOff>152400</xdr:colOff>
                    <xdr:row>46</xdr:row>
                    <xdr:rowOff>0</xdr:rowOff>
                  </to>
                </anchor>
              </controlPr>
            </control>
          </mc:Choice>
        </mc:AlternateContent>
        <mc:AlternateContent xmlns:mc="http://schemas.openxmlformats.org/markup-compatibility/2006">
          <mc:Choice Requires="x14">
            <control shapeId="1065" r:id="rId34" name="Group Box 41">
              <controlPr defaultSize="0" print="0" autoFill="0" autoPict="0">
                <anchor moveWithCells="1">
                  <from>
                    <xdr:col>21</xdr:col>
                    <xdr:colOff>0</xdr:colOff>
                    <xdr:row>20</xdr:row>
                    <xdr:rowOff>0</xdr:rowOff>
                  </from>
                  <to>
                    <xdr:col>23</xdr:col>
                    <xdr:colOff>0</xdr:colOff>
                    <xdr:row>35</xdr:row>
                    <xdr:rowOff>0</xdr:rowOff>
                  </to>
                </anchor>
              </controlPr>
            </control>
          </mc:Choice>
        </mc:AlternateContent>
        <mc:AlternateContent xmlns:mc="http://schemas.openxmlformats.org/markup-compatibility/2006">
          <mc:Choice Requires="x14">
            <control shapeId="1066" r:id="rId35" name="Option Button 42">
              <controlPr defaultSize="0" autoFill="0" autoLine="0" autoPict="0">
                <anchor moveWithCells="1">
                  <from>
                    <xdr:col>21</xdr:col>
                    <xdr:colOff>57150</xdr:colOff>
                    <xdr:row>21</xdr:row>
                    <xdr:rowOff>9525</xdr:rowOff>
                  </from>
                  <to>
                    <xdr:col>22</xdr:col>
                    <xdr:colOff>876300</xdr:colOff>
                    <xdr:row>21</xdr:row>
                    <xdr:rowOff>180975</xdr:rowOff>
                  </to>
                </anchor>
              </controlPr>
            </control>
          </mc:Choice>
        </mc:AlternateContent>
        <mc:AlternateContent xmlns:mc="http://schemas.openxmlformats.org/markup-compatibility/2006">
          <mc:Choice Requires="x14">
            <control shapeId="1067" r:id="rId36" name="Option Button 43">
              <controlPr defaultSize="0" autoFill="0" autoLine="0" autoPict="0">
                <anchor moveWithCells="1">
                  <from>
                    <xdr:col>21</xdr:col>
                    <xdr:colOff>57150</xdr:colOff>
                    <xdr:row>22</xdr:row>
                    <xdr:rowOff>9525</xdr:rowOff>
                  </from>
                  <to>
                    <xdr:col>22</xdr:col>
                    <xdr:colOff>876300</xdr:colOff>
                    <xdr:row>22</xdr:row>
                    <xdr:rowOff>180975</xdr:rowOff>
                  </to>
                </anchor>
              </controlPr>
            </control>
          </mc:Choice>
        </mc:AlternateContent>
        <mc:AlternateContent xmlns:mc="http://schemas.openxmlformats.org/markup-compatibility/2006">
          <mc:Choice Requires="x14">
            <control shapeId="1068" r:id="rId37" name="Option Button 44">
              <controlPr defaultSize="0" autoFill="0" autoLine="0" autoPict="0">
                <anchor moveWithCells="1">
                  <from>
                    <xdr:col>21</xdr:col>
                    <xdr:colOff>57150</xdr:colOff>
                    <xdr:row>23</xdr:row>
                    <xdr:rowOff>9525</xdr:rowOff>
                  </from>
                  <to>
                    <xdr:col>22</xdr:col>
                    <xdr:colOff>876300</xdr:colOff>
                    <xdr:row>23</xdr:row>
                    <xdr:rowOff>180975</xdr:rowOff>
                  </to>
                </anchor>
              </controlPr>
            </control>
          </mc:Choice>
        </mc:AlternateContent>
        <mc:AlternateContent xmlns:mc="http://schemas.openxmlformats.org/markup-compatibility/2006">
          <mc:Choice Requires="x14">
            <control shapeId="1069" r:id="rId38" name="Option Button 45">
              <controlPr defaultSize="0" autoFill="0" autoLine="0" autoPict="0">
                <anchor moveWithCells="1">
                  <from>
                    <xdr:col>21</xdr:col>
                    <xdr:colOff>57150</xdr:colOff>
                    <xdr:row>24</xdr:row>
                    <xdr:rowOff>9525</xdr:rowOff>
                  </from>
                  <to>
                    <xdr:col>22</xdr:col>
                    <xdr:colOff>876300</xdr:colOff>
                    <xdr:row>24</xdr:row>
                    <xdr:rowOff>180975</xdr:rowOff>
                  </to>
                </anchor>
              </controlPr>
            </control>
          </mc:Choice>
        </mc:AlternateContent>
        <mc:AlternateContent xmlns:mc="http://schemas.openxmlformats.org/markup-compatibility/2006">
          <mc:Choice Requires="x14">
            <control shapeId="1070" r:id="rId39" name="Option Button 46">
              <controlPr defaultSize="0" autoFill="0" autoLine="0" autoPict="0">
                <anchor moveWithCells="1">
                  <from>
                    <xdr:col>21</xdr:col>
                    <xdr:colOff>57150</xdr:colOff>
                    <xdr:row>25</xdr:row>
                    <xdr:rowOff>9525</xdr:rowOff>
                  </from>
                  <to>
                    <xdr:col>22</xdr:col>
                    <xdr:colOff>876300</xdr:colOff>
                    <xdr:row>25</xdr:row>
                    <xdr:rowOff>180975</xdr:rowOff>
                  </to>
                </anchor>
              </controlPr>
            </control>
          </mc:Choice>
        </mc:AlternateContent>
        <mc:AlternateContent xmlns:mc="http://schemas.openxmlformats.org/markup-compatibility/2006">
          <mc:Choice Requires="x14">
            <control shapeId="1071" r:id="rId40" name="Option Button 47">
              <controlPr defaultSize="0" autoFill="0" autoLine="0" autoPict="0">
                <anchor moveWithCells="1">
                  <from>
                    <xdr:col>21</xdr:col>
                    <xdr:colOff>57150</xdr:colOff>
                    <xdr:row>26</xdr:row>
                    <xdr:rowOff>9525</xdr:rowOff>
                  </from>
                  <to>
                    <xdr:col>22</xdr:col>
                    <xdr:colOff>876300</xdr:colOff>
                    <xdr:row>26</xdr:row>
                    <xdr:rowOff>180975</xdr:rowOff>
                  </to>
                </anchor>
              </controlPr>
            </control>
          </mc:Choice>
        </mc:AlternateContent>
        <mc:AlternateContent xmlns:mc="http://schemas.openxmlformats.org/markup-compatibility/2006">
          <mc:Choice Requires="x14">
            <control shapeId="1072" r:id="rId41" name="Option Button 48">
              <controlPr defaultSize="0" autoFill="0" autoLine="0" autoPict="0">
                <anchor moveWithCells="1">
                  <from>
                    <xdr:col>21</xdr:col>
                    <xdr:colOff>57150</xdr:colOff>
                    <xdr:row>27</xdr:row>
                    <xdr:rowOff>9525</xdr:rowOff>
                  </from>
                  <to>
                    <xdr:col>22</xdr:col>
                    <xdr:colOff>876300</xdr:colOff>
                    <xdr:row>27</xdr:row>
                    <xdr:rowOff>180975</xdr:rowOff>
                  </to>
                </anchor>
              </controlPr>
            </control>
          </mc:Choice>
        </mc:AlternateContent>
        <mc:AlternateContent xmlns:mc="http://schemas.openxmlformats.org/markup-compatibility/2006">
          <mc:Choice Requires="x14">
            <control shapeId="1073" r:id="rId42" name="Option Button 49">
              <controlPr defaultSize="0" autoFill="0" autoLine="0" autoPict="0">
                <anchor moveWithCells="1">
                  <from>
                    <xdr:col>21</xdr:col>
                    <xdr:colOff>57150</xdr:colOff>
                    <xdr:row>28</xdr:row>
                    <xdr:rowOff>9525</xdr:rowOff>
                  </from>
                  <to>
                    <xdr:col>22</xdr:col>
                    <xdr:colOff>876300</xdr:colOff>
                    <xdr:row>28</xdr:row>
                    <xdr:rowOff>180975</xdr:rowOff>
                  </to>
                </anchor>
              </controlPr>
            </control>
          </mc:Choice>
        </mc:AlternateContent>
        <mc:AlternateContent xmlns:mc="http://schemas.openxmlformats.org/markup-compatibility/2006">
          <mc:Choice Requires="x14">
            <control shapeId="1074" r:id="rId43" name="Option Button 50">
              <controlPr defaultSize="0" autoFill="0" autoLine="0" autoPict="0">
                <anchor moveWithCells="1">
                  <from>
                    <xdr:col>21</xdr:col>
                    <xdr:colOff>57150</xdr:colOff>
                    <xdr:row>29</xdr:row>
                    <xdr:rowOff>9525</xdr:rowOff>
                  </from>
                  <to>
                    <xdr:col>22</xdr:col>
                    <xdr:colOff>876300</xdr:colOff>
                    <xdr:row>29</xdr:row>
                    <xdr:rowOff>180975</xdr:rowOff>
                  </to>
                </anchor>
              </controlPr>
            </control>
          </mc:Choice>
        </mc:AlternateContent>
        <mc:AlternateContent xmlns:mc="http://schemas.openxmlformats.org/markup-compatibility/2006">
          <mc:Choice Requires="x14">
            <control shapeId="1075" r:id="rId44" name="Option Button 51">
              <controlPr defaultSize="0" autoFill="0" autoLine="0" autoPict="0">
                <anchor moveWithCells="1">
                  <from>
                    <xdr:col>21</xdr:col>
                    <xdr:colOff>57150</xdr:colOff>
                    <xdr:row>30</xdr:row>
                    <xdr:rowOff>9525</xdr:rowOff>
                  </from>
                  <to>
                    <xdr:col>22</xdr:col>
                    <xdr:colOff>876300</xdr:colOff>
                    <xdr:row>30</xdr:row>
                    <xdr:rowOff>180975</xdr:rowOff>
                  </to>
                </anchor>
              </controlPr>
            </control>
          </mc:Choice>
        </mc:AlternateContent>
        <mc:AlternateContent xmlns:mc="http://schemas.openxmlformats.org/markup-compatibility/2006">
          <mc:Choice Requires="x14">
            <control shapeId="1076" r:id="rId45" name="Option Button 52">
              <controlPr defaultSize="0" autoFill="0" autoLine="0" autoPict="0">
                <anchor moveWithCells="1">
                  <from>
                    <xdr:col>21</xdr:col>
                    <xdr:colOff>57150</xdr:colOff>
                    <xdr:row>31</xdr:row>
                    <xdr:rowOff>9525</xdr:rowOff>
                  </from>
                  <to>
                    <xdr:col>22</xdr:col>
                    <xdr:colOff>876300</xdr:colOff>
                    <xdr:row>31</xdr:row>
                    <xdr:rowOff>180975</xdr:rowOff>
                  </to>
                </anchor>
              </controlPr>
            </control>
          </mc:Choice>
        </mc:AlternateContent>
        <mc:AlternateContent xmlns:mc="http://schemas.openxmlformats.org/markup-compatibility/2006">
          <mc:Choice Requires="x14">
            <control shapeId="1077" r:id="rId46" name="Option Button 53">
              <controlPr defaultSize="0" autoFill="0" autoLine="0" autoPict="0">
                <anchor moveWithCells="1">
                  <from>
                    <xdr:col>21</xdr:col>
                    <xdr:colOff>57150</xdr:colOff>
                    <xdr:row>32</xdr:row>
                    <xdr:rowOff>9525</xdr:rowOff>
                  </from>
                  <to>
                    <xdr:col>22</xdr:col>
                    <xdr:colOff>876300</xdr:colOff>
                    <xdr:row>32</xdr:row>
                    <xdr:rowOff>180975</xdr:rowOff>
                  </to>
                </anchor>
              </controlPr>
            </control>
          </mc:Choice>
        </mc:AlternateContent>
        <mc:AlternateContent xmlns:mc="http://schemas.openxmlformats.org/markup-compatibility/2006">
          <mc:Choice Requires="x14">
            <control shapeId="1078" r:id="rId47" name="Option Button 54">
              <controlPr defaultSize="0" autoFill="0" autoLine="0" autoPict="0">
                <anchor moveWithCells="1">
                  <from>
                    <xdr:col>21</xdr:col>
                    <xdr:colOff>57150</xdr:colOff>
                    <xdr:row>33</xdr:row>
                    <xdr:rowOff>9525</xdr:rowOff>
                  </from>
                  <to>
                    <xdr:col>22</xdr:col>
                    <xdr:colOff>876300</xdr:colOff>
                    <xdr:row>33</xdr:row>
                    <xdr:rowOff>180975</xdr:rowOff>
                  </to>
                </anchor>
              </controlPr>
            </control>
          </mc:Choice>
        </mc:AlternateContent>
        <mc:AlternateContent xmlns:mc="http://schemas.openxmlformats.org/markup-compatibility/2006">
          <mc:Choice Requires="x14">
            <control shapeId="1082" r:id="rId48" name="Option Button 58">
              <controlPr defaultSize="0" autoFill="0" autoLine="0" autoPict="0">
                <anchor moveWithCells="1">
                  <from>
                    <xdr:col>21</xdr:col>
                    <xdr:colOff>57150</xdr:colOff>
                    <xdr:row>34</xdr:row>
                    <xdr:rowOff>9525</xdr:rowOff>
                  </from>
                  <to>
                    <xdr:col>22</xdr:col>
                    <xdr:colOff>876300</xdr:colOff>
                    <xdr:row>34</xdr:row>
                    <xdr:rowOff>180975</xdr:rowOff>
                  </to>
                </anchor>
              </controlPr>
            </control>
          </mc:Choice>
        </mc:AlternateContent>
        <mc:AlternateContent xmlns:mc="http://schemas.openxmlformats.org/markup-compatibility/2006">
          <mc:Choice Requires="x14">
            <control shapeId="1083" r:id="rId49" name="Option Button 59">
              <controlPr defaultSize="0" autoFill="0" autoLine="0" autoPict="0">
                <anchor moveWithCells="1">
                  <from>
                    <xdr:col>21</xdr:col>
                    <xdr:colOff>57150</xdr:colOff>
                    <xdr:row>20</xdr:row>
                    <xdr:rowOff>9525</xdr:rowOff>
                  </from>
                  <to>
                    <xdr:col>22</xdr:col>
                    <xdr:colOff>876300</xdr:colOff>
                    <xdr:row>20</xdr:row>
                    <xdr:rowOff>180975</xdr:rowOff>
                  </to>
                </anchor>
              </controlPr>
            </control>
          </mc:Choice>
        </mc:AlternateContent>
        <mc:AlternateContent xmlns:mc="http://schemas.openxmlformats.org/markup-compatibility/2006">
          <mc:Choice Requires="x14">
            <control shapeId="1084" r:id="rId50" name="Group Box 60">
              <controlPr defaultSize="0" print="0" autoFill="0" autoPict="0">
                <anchor moveWithCells="1">
                  <from>
                    <xdr:col>17</xdr:col>
                    <xdr:colOff>0</xdr:colOff>
                    <xdr:row>37</xdr:row>
                    <xdr:rowOff>0</xdr:rowOff>
                  </from>
                  <to>
                    <xdr:col>23</xdr:col>
                    <xdr:colOff>0</xdr:colOff>
                    <xdr:row>42</xdr:row>
                    <xdr:rowOff>0</xdr:rowOff>
                  </to>
                </anchor>
              </controlPr>
            </control>
          </mc:Choice>
        </mc:AlternateContent>
        <mc:AlternateContent xmlns:mc="http://schemas.openxmlformats.org/markup-compatibility/2006">
          <mc:Choice Requires="x14">
            <control shapeId="1085" r:id="rId51" name="Option Button 61">
              <controlPr defaultSize="0" autoFill="0" autoLine="0" autoPict="0">
                <anchor moveWithCells="1">
                  <from>
                    <xdr:col>17</xdr:col>
                    <xdr:colOff>9525</xdr:colOff>
                    <xdr:row>37</xdr:row>
                    <xdr:rowOff>171450</xdr:rowOff>
                  </from>
                  <to>
                    <xdr:col>22</xdr:col>
                    <xdr:colOff>180975</xdr:colOff>
                    <xdr:row>39</xdr:row>
                    <xdr:rowOff>47625</xdr:rowOff>
                  </to>
                </anchor>
              </controlPr>
            </control>
          </mc:Choice>
        </mc:AlternateContent>
        <mc:AlternateContent xmlns:mc="http://schemas.openxmlformats.org/markup-compatibility/2006">
          <mc:Choice Requires="x14">
            <control shapeId="1086" r:id="rId52" name="Option Button 62">
              <controlPr defaultSize="0" autoFill="0" autoLine="0" autoPict="0">
                <anchor moveWithCells="1">
                  <from>
                    <xdr:col>17</xdr:col>
                    <xdr:colOff>9525</xdr:colOff>
                    <xdr:row>39</xdr:row>
                    <xdr:rowOff>161925</xdr:rowOff>
                  </from>
                  <to>
                    <xdr:col>22</xdr:col>
                    <xdr:colOff>180975</xdr:colOff>
                    <xdr:row>41</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35101-B51E-4CB0-8C64-A73D9115C631}">
  <sheetPr codeName="Tabelle5">
    <pageSetUpPr fitToPage="1"/>
  </sheetPr>
  <dimension ref="A1:CF191"/>
  <sheetViews>
    <sheetView showGridLines="0" workbookViewId="0">
      <selection activeCell="V18" sqref="V18"/>
    </sheetView>
  </sheetViews>
  <sheetFormatPr baseColWidth="10" defaultColWidth="0" defaultRowHeight="12.75" zeroHeight="1"/>
  <cols>
    <col min="1" max="1" width="1.7109375" style="55" customWidth="1"/>
    <col min="2" max="5" width="7.7109375" style="55" customWidth="1"/>
    <col min="6" max="6" width="9.7109375" style="55" customWidth="1"/>
    <col min="7" max="13" width="5.7109375" style="55" customWidth="1"/>
    <col min="14" max="17" width="5.5703125" style="55" customWidth="1"/>
    <col min="18" max="20" width="5.7109375" style="55" customWidth="1"/>
    <col min="21" max="21" width="13.28515625" style="55" customWidth="1"/>
    <col min="22" max="22" width="13.5703125" style="55" customWidth="1"/>
    <col min="23" max="24" width="5.7109375" style="55" customWidth="1"/>
    <col min="25" max="25" width="9.7109375" style="55" customWidth="1"/>
    <col min="26" max="26" width="7.42578125" style="55" hidden="1" customWidth="1"/>
    <col min="27" max="27" width="18.7109375" style="55" hidden="1" customWidth="1"/>
    <col min="28" max="28" width="18.5703125" style="55" hidden="1" customWidth="1"/>
    <col min="29" max="29" width="38.7109375" style="55" hidden="1" customWidth="1"/>
    <col min="30" max="32" width="18.5703125" style="55" hidden="1" customWidth="1"/>
    <col min="33" max="34" width="5.7109375" style="55" hidden="1" customWidth="1"/>
    <col min="35" max="35" width="13.28515625" style="55" hidden="1" customWidth="1"/>
    <col min="36" max="78" width="5.7109375" style="55" hidden="1" customWidth="1"/>
    <col min="79" max="16384" width="11.42578125" style="55" hidden="1"/>
  </cols>
  <sheetData>
    <row r="1" spans="3:43" s="21" customFormat="1" ht="14.25" customHeight="1">
      <c r="J1" s="519" t="str">
        <f>VLOOKUP(2121,Sprachindex!$A:$Z,Erhebungsbogen!$Y$20,FALSE)</f>
        <v>Stückliste</v>
      </c>
      <c r="K1" s="519"/>
      <c r="L1" s="519"/>
      <c r="M1" s="519"/>
      <c r="N1" s="519"/>
      <c r="O1" s="519"/>
      <c r="P1" s="519"/>
      <c r="Q1" s="519"/>
      <c r="R1" s="519"/>
      <c r="S1" s="519"/>
      <c r="T1" s="519"/>
      <c r="U1" s="519"/>
      <c r="V1" s="519"/>
    </row>
    <row r="2" spans="3:43" s="21" customFormat="1" ht="14.25" customHeight="1">
      <c r="J2" s="519"/>
      <c r="K2" s="519"/>
      <c r="L2" s="519"/>
      <c r="M2" s="519"/>
      <c r="N2" s="519"/>
      <c r="O2" s="519"/>
      <c r="P2" s="519"/>
      <c r="Q2" s="519"/>
      <c r="R2" s="519"/>
      <c r="S2" s="519"/>
      <c r="T2" s="519"/>
      <c r="U2" s="519"/>
      <c r="V2" s="519"/>
    </row>
    <row r="3" spans="3:43" s="21" customFormat="1" ht="14.25" customHeight="1">
      <c r="J3" s="519"/>
      <c r="K3" s="519"/>
      <c r="L3" s="519"/>
      <c r="M3" s="519"/>
      <c r="N3" s="519"/>
      <c r="O3" s="519"/>
      <c r="P3" s="519"/>
      <c r="Q3" s="519"/>
      <c r="R3" s="519"/>
      <c r="S3" s="519"/>
      <c r="T3" s="519"/>
      <c r="U3" s="519"/>
      <c r="V3" s="519"/>
    </row>
    <row r="4" spans="3:43" s="21" customFormat="1" ht="14.25" customHeight="1">
      <c r="V4" s="53" t="str">
        <f>VLOOKUP(1741,Sprachindex!$A:$Z,Erhebungsbogen!$Y$20,FALSE) &amp; " 1"</f>
        <v>KALKULATION 1</v>
      </c>
      <c r="Y4" s="53"/>
      <c r="Z4" s="53"/>
      <c r="AA4" s="53"/>
      <c r="AB4" s="53"/>
      <c r="AC4" s="53">
        <f>IF(V181&lt;1000,10,14)</f>
        <v>10</v>
      </c>
      <c r="AD4" s="53"/>
      <c r="AE4" s="53"/>
      <c r="AF4" s="53"/>
      <c r="AH4" s="53"/>
      <c r="AI4" s="54"/>
      <c r="AJ4" s="54"/>
      <c r="AK4" s="54"/>
      <c r="AL4" s="54"/>
      <c r="AM4" s="54"/>
      <c r="AN4" s="54"/>
      <c r="AO4" s="54"/>
      <c r="AP4" s="54"/>
      <c r="AQ4" s="54"/>
    </row>
    <row r="5" spans="3:43">
      <c r="C5" s="21"/>
      <c r="D5" s="48" t="str">
        <f>VLOOKUP(393,Sprachindex!$A:$Z,Erhebungsbogen!$Y$20,FALSE)</f>
        <v>Firma / Besteller:</v>
      </c>
      <c r="E5" s="21"/>
      <c r="F5" s="21"/>
      <c r="G5" s="21"/>
      <c r="H5" s="21"/>
      <c r="I5" s="21"/>
      <c r="T5" s="56" t="str">
        <f>VLOOKUP(1429,Sprachindex!$A:$Z,Erhebungsbogen!$Y$20,FALSE)</f>
        <v>Bearbeiter:</v>
      </c>
      <c r="U5" s="521">
        <f>Kalk1!U43</f>
        <v>0</v>
      </c>
      <c r="V5" s="521"/>
      <c r="AC5" s="55">
        <f>IF('HWS Partner'!C79&gt;=1,4,0)</f>
        <v>0</v>
      </c>
      <c r="AG5" s="21"/>
    </row>
    <row r="6" spans="3:43">
      <c r="C6" s="40" t="str">
        <f>VLOOKUP(622,Sprachindex!$A:$Z,Erhebungsbogen!$Y$20,FALSE)</f>
        <v>Name:</v>
      </c>
      <c r="D6" s="513">
        <f>Kalk1!D5</f>
        <v>0</v>
      </c>
      <c r="E6" s="513"/>
      <c r="F6" s="513"/>
      <c r="G6" s="513"/>
      <c r="H6" s="513"/>
      <c r="I6" s="513"/>
      <c r="S6" s="520" t="s">
        <v>18593</v>
      </c>
      <c r="T6" s="520"/>
      <c r="U6" s="520"/>
      <c r="V6" s="520"/>
      <c r="Y6" s="77"/>
      <c r="Z6" s="77"/>
      <c r="AA6" s="77"/>
      <c r="AB6" s="77"/>
      <c r="AC6" s="77"/>
      <c r="AD6" s="77"/>
      <c r="AE6" s="77"/>
      <c r="AF6" s="77"/>
      <c r="AG6" s="21"/>
      <c r="AH6" s="77"/>
    </row>
    <row r="7" spans="3:43" ht="1.5" customHeight="1">
      <c r="C7" s="40"/>
      <c r="D7" s="21"/>
      <c r="E7" s="21"/>
      <c r="F7" s="21"/>
      <c r="G7" s="21"/>
      <c r="H7" s="21"/>
      <c r="I7" s="21"/>
    </row>
    <row r="8" spans="3:43">
      <c r="C8" s="40" t="str">
        <f>VLOOKUP(884,Sprachindex!$A:$Z,Erhebungsbogen!$Y$20,FALSE)</f>
        <v>Straße:</v>
      </c>
      <c r="D8" s="513">
        <f>Kalk1!D7</f>
        <v>0</v>
      </c>
      <c r="E8" s="513"/>
      <c r="F8" s="513"/>
      <c r="G8" s="513"/>
      <c r="H8" s="513"/>
      <c r="I8" s="513"/>
      <c r="T8" s="57" t="s">
        <v>4485</v>
      </c>
      <c r="U8" s="520" t="str">
        <f>IF(Kalk1!K9&gt;"",Kalk1!K9,"")</f>
        <v/>
      </c>
      <c r="V8" s="520"/>
      <c r="Y8" s="57"/>
      <c r="Z8" s="57"/>
      <c r="AA8" s="57"/>
      <c r="AB8" s="57"/>
      <c r="AC8" s="57"/>
      <c r="AD8" s="57"/>
      <c r="AE8" s="57"/>
      <c r="AF8" s="57"/>
      <c r="AG8" s="57"/>
      <c r="AH8" s="57"/>
    </row>
    <row r="9" spans="3:43" ht="1.5" customHeight="1">
      <c r="C9" s="40"/>
      <c r="D9" s="21"/>
      <c r="E9" s="21"/>
      <c r="F9" s="21"/>
      <c r="G9" s="21"/>
      <c r="H9" s="21"/>
      <c r="I9" s="21"/>
      <c r="S9" s="56"/>
    </row>
    <row r="10" spans="3:43">
      <c r="C10" s="40" t="str">
        <f>VLOOKUP(641,Sprachindex!$A:$Z,Erhebungsbogen!$Y$20,FALSE)</f>
        <v>Ort:</v>
      </c>
      <c r="D10" s="513">
        <f>Kalk1!D9</f>
        <v>0</v>
      </c>
      <c r="E10" s="513"/>
      <c r="F10" s="513"/>
      <c r="G10" s="513"/>
      <c r="H10" s="513"/>
      <c r="I10" s="513"/>
      <c r="S10" s="56" t="str">
        <f>IF(Kalk1!AA11,"x","")</f>
        <v/>
      </c>
      <c r="T10" s="55" t="s">
        <v>18111</v>
      </c>
    </row>
    <row r="11" spans="3:43" ht="1.5" customHeight="1">
      <c r="C11" s="40"/>
      <c r="D11" s="21"/>
      <c r="E11" s="21"/>
      <c r="F11" s="21"/>
      <c r="G11" s="21"/>
      <c r="H11" s="21"/>
      <c r="I11" s="21"/>
      <c r="S11" s="56"/>
    </row>
    <row r="12" spans="3:43">
      <c r="C12" s="40" t="str">
        <f>VLOOKUP(901,Sprachindex!$A:$Z,Erhebungsbogen!$Y$20,FALSE)</f>
        <v>Telefon:</v>
      </c>
      <c r="D12" s="513">
        <f>Kalk1!D11</f>
        <v>0</v>
      </c>
      <c r="E12" s="513"/>
      <c r="F12" s="513"/>
      <c r="G12" s="513"/>
      <c r="H12" s="513"/>
      <c r="I12" s="513"/>
      <c r="S12" s="56" t="str">
        <f>IF(Kalk1!AA13,"x","")</f>
        <v/>
      </c>
      <c r="T12" s="55" t="s">
        <v>21823</v>
      </c>
    </row>
    <row r="13" spans="3:43" ht="1.5" customHeight="1">
      <c r="C13" s="40"/>
      <c r="D13" s="21"/>
      <c r="E13" s="21"/>
      <c r="F13" s="21"/>
      <c r="G13" s="21"/>
      <c r="H13" s="21"/>
      <c r="I13" s="21"/>
      <c r="S13" s="56"/>
    </row>
    <row r="14" spans="3:43">
      <c r="C14" s="40" t="str">
        <f>VLOOKUP(1698,Sprachindex!$A:$Z,Erhebungsbogen!$Y$20,FALSE)</f>
        <v>eMail:</v>
      </c>
      <c r="D14" s="513">
        <f>Kalk1!D13</f>
        <v>0</v>
      </c>
      <c r="E14" s="513"/>
      <c r="F14" s="513"/>
      <c r="G14" s="513"/>
      <c r="H14" s="513"/>
      <c r="I14" s="513"/>
      <c r="S14" s="56" t="str">
        <f>IF(Kalk1!AA15,"x","")</f>
        <v/>
      </c>
      <c r="T14" s="55" t="s">
        <v>18752</v>
      </c>
      <c r="X14" s="90" t="s">
        <v>20247</v>
      </c>
    </row>
    <row r="15" spans="3:43" ht="1.5" customHeight="1">
      <c r="C15" s="40"/>
      <c r="D15" s="21"/>
      <c r="E15" s="21"/>
      <c r="F15" s="21"/>
      <c r="G15" s="21"/>
      <c r="H15" s="21"/>
      <c r="I15" s="21"/>
      <c r="S15" s="56"/>
      <c r="AJ15" s="55" t="b">
        <v>1</v>
      </c>
    </row>
    <row r="16" spans="3:43">
      <c r="C16" s="40" t="str">
        <f>VLOOKUP(203,Sprachindex!$A:$Z,Erhebungsbogen!$Y$20,FALSE)</f>
        <v>Bauvorhaben:</v>
      </c>
      <c r="D16" s="513">
        <f>Kalk1!D15</f>
        <v>0</v>
      </c>
      <c r="E16" s="513"/>
      <c r="F16" s="513"/>
      <c r="G16" s="513"/>
      <c r="H16" s="513"/>
      <c r="I16" s="513"/>
      <c r="S16" s="56" t="str">
        <f>IF(Kalk1!AA16,"x","")</f>
        <v/>
      </c>
      <c r="T16" s="55" t="s">
        <v>19831</v>
      </c>
      <c r="Y16" s="55" t="str">
        <f>VLOOKUP(1705,Sprachindex!$A:$Z,Erhebungsbogen!$Y$20,FALSE)</f>
        <v>exkl. MwSt.</v>
      </c>
      <c r="AB16" s="262">
        <v>1</v>
      </c>
      <c r="AC16" s="55" t="s">
        <v>20247</v>
      </c>
    </row>
    <row r="17" spans="2:43">
      <c r="C17" s="40" t="str">
        <f>VLOOKUP(660,Sprachindex!$A:$Z,Erhebungsbogen!$Y$20,FALSE)</f>
        <v>Pos.</v>
      </c>
      <c r="D17" s="513">
        <f>Kalk1!D16</f>
        <v>0</v>
      </c>
      <c r="E17" s="513"/>
      <c r="F17" s="513"/>
      <c r="G17" s="513"/>
      <c r="H17" s="513"/>
      <c r="I17" s="513"/>
      <c r="Y17" s="55" t="str">
        <f>VLOOKUP(1740,Sprachindex!$A:$Z,Erhebungsbogen!$Y$20,FALSE)</f>
        <v>inkl. MwSt.</v>
      </c>
      <c r="AB17" s="262">
        <f>IF(AND(Kalk1!AA5=2,OR(Kalk1!AA11,Kalk1!AA13,Kalk1!AA15,Kalk1!AA16)),2,1)</f>
        <v>1</v>
      </c>
      <c r="AC17" s="55" t="s">
        <v>18593</v>
      </c>
    </row>
    <row r="18" spans="2:43">
      <c r="U18" s="56" t="str">
        <f>VLOOKUP(286,Sprachindex!$A:$Z,Erhebungsbogen!$Y$20,FALSE)</f>
        <v>Datum:</v>
      </c>
      <c r="V18" s="264">
        <f ca="1">TODAY()</f>
        <v>45408</v>
      </c>
      <c r="X18" s="265">
        <f>SUM(AC4:AC5)</f>
        <v>10</v>
      </c>
      <c r="Y18" s="55" t="str">
        <f>VLOOKUP(1790,Sprachindex!$A:$Z,Erhebungsbogen!$Y$20,FALSE)</f>
        <v>Rabatt</v>
      </c>
      <c r="AB18" s="263">
        <f>SUM(Z21:Z180)</f>
        <v>0</v>
      </c>
      <c r="AC18" s="55" t="s">
        <v>22191</v>
      </c>
    </row>
    <row r="19" spans="2:43" ht="13.5" thickBot="1">
      <c r="X19" s="314">
        <f>IF(X18&gt;0,X18*-1,X18)</f>
        <v>-10</v>
      </c>
      <c r="AB19" s="262">
        <f>SUM(V21:V180)</f>
        <v>0</v>
      </c>
      <c r="AC19" s="55" t="s">
        <v>22192</v>
      </c>
    </row>
    <row r="20" spans="2:43" ht="38.25" customHeight="1" thickBot="1">
      <c r="B20" s="61" t="str">
        <f>VLOOKUP(1839,Sprachindex!$A:$Z,Erhebungsbogen!$Y$20,FALSE)</f>
        <v>Stück</v>
      </c>
      <c r="C20" s="58" t="str">
        <f>VLOOKUP(552,Sprachindex!$A:$Z,Erhebungsbogen!$Y$20,FALSE)</f>
        <v>Länge</v>
      </c>
      <c r="D20" s="58" t="str">
        <f>VLOOKUP(1716,Sprachindex!$A:$Z,Erhebungsbogen!$Y$20,FALSE)</f>
        <v>Gesamt Länge</v>
      </c>
      <c r="E20" s="58" t="str">
        <f>VLOOKUP(332,Sprachindex!$A:$Z,Erhebungsbogen!$Y$20,FALSE)</f>
        <v>Einheit</v>
      </c>
      <c r="F20" s="59" t="str">
        <f>VLOOKUP(177,Sprachindex!$A:$Z,Erhebungsbogen!$Y$20,FALSE)</f>
        <v>Artikel-Nr.</v>
      </c>
      <c r="G20" s="518" t="str">
        <f>VLOOKUP(234,Sprachindex!$A:$Z,Erhebungsbogen!$Y$20,FALSE)</f>
        <v>Bezeichnung</v>
      </c>
      <c r="H20" s="518"/>
      <c r="I20" s="518"/>
      <c r="J20" s="518"/>
      <c r="K20" s="518"/>
      <c r="L20" s="518"/>
      <c r="M20" s="518"/>
      <c r="N20" s="518"/>
      <c r="O20" s="518"/>
      <c r="P20" s="518"/>
      <c r="Q20" s="518"/>
      <c r="R20" s="518"/>
      <c r="S20" s="518"/>
      <c r="T20" s="518"/>
      <c r="U20" s="58" t="str">
        <f>VLOOKUP(1788,Sprachindex!$A:$Z,Erhebungsbogen!$Y$20,FALSE)</f>
        <v>Preis pro lfm od. Stk</v>
      </c>
      <c r="V20" s="58" t="str">
        <f>VLOOKUP(1787,Sprachindex!$A:$Z,Erhebungsbogen!$Y$20,FALSE)</f>
        <v>Preis exkl.MwSt</v>
      </c>
      <c r="W20" s="85"/>
      <c r="X20" s="85"/>
      <c r="Y20" s="85"/>
      <c r="Z20" s="85"/>
      <c r="AA20" s="85"/>
      <c r="AB20" s="85"/>
      <c r="AC20" s="85"/>
      <c r="AD20" s="85"/>
      <c r="AE20" s="85"/>
      <c r="AF20" s="85"/>
      <c r="AG20" s="65" t="s">
        <v>22078</v>
      </c>
    </row>
    <row r="21" spans="2:43" ht="24.95" customHeight="1">
      <c r="B21" s="92">
        <f>IF(AG21=1,AL21,0)*Kalk1!$H$37</f>
        <v>0</v>
      </c>
      <c r="C21" s="60">
        <v>750</v>
      </c>
      <c r="D21" s="60"/>
      <c r="E21" s="60" t="str">
        <f>VLOOKUP(1600,Sprachindex!$A:$Z,Erhebungsbogen!$Y$20,FALSE)</f>
        <v>[Stk]</v>
      </c>
      <c r="F21" s="60" t="s">
        <v>21961</v>
      </c>
      <c r="G21" s="514" t="str">
        <f>VLOOKUP(1592,Sprachindex!$A:$Z,Erhebungsbogen!$Y$20,FALSE) &amp; IF(AND(Kalk1!$AA$5=2,Kalk1!AA11),", " &amp; VLOOKUP(1645,Sprachindex!$A:$Z,Erhebungsbogen!$Y$20,FALSE) &amp; " " &amp; $U$8,", "&amp; VLOOKUP(1648,Sprachindex!$A:$Z,Erhebungsbogen!$Y$20,FALSE))</f>
        <v>Abdeckung V 25, entgratet, blank</v>
      </c>
      <c r="H21" s="514"/>
      <c r="I21" s="514"/>
      <c r="J21" s="514"/>
      <c r="K21" s="514"/>
      <c r="L21" s="514"/>
      <c r="M21" s="514"/>
      <c r="N21" s="514"/>
      <c r="O21" s="514"/>
      <c r="P21" s="514"/>
      <c r="Q21" s="514"/>
      <c r="R21" s="514"/>
      <c r="S21" s="514"/>
      <c r="T21" s="514"/>
      <c r="U21" s="353">
        <f>IF(AND(Kalk1!$AA$5=2,Kalk1!AA11),VLOOKUP(F21,Preisliste!C:G,5,FALSE),VLOOKUP(F21,Preisliste!C:G,4,FALSE))</f>
        <v>28.9</v>
      </c>
      <c r="V21" s="353">
        <f>U21*B21</f>
        <v>0</v>
      </c>
      <c r="W21" s="86"/>
      <c r="X21" s="86"/>
      <c r="Y21" s="86"/>
      <c r="Z21" s="143">
        <f>IF(AND(Kalk1!$AA$5=2,Kalk1!$AA$11),(VLOOKUP(F21,Preisliste!C:G,5,FALSE)-VLOOKUP(F21,Preisliste!C:G,4,FALSE))*B21,0)</f>
        <v>0</v>
      </c>
      <c r="AB21" s="86"/>
      <c r="AC21" s="86"/>
      <c r="AD21" s="86"/>
      <c r="AE21" s="86"/>
      <c r="AF21" s="86"/>
      <c r="AG21" s="55">
        <f>IF(AND(AH21&gt;0,AL21&gt;0,AP21&gt;0,AND(Kalk1!$H$28&gt;0,Kalk1!$H$29&gt;Kalk1!$B$1)),1,0)</f>
        <v>0</v>
      </c>
      <c r="AH21" s="66">
        <f>IF(Kalk1!$AA$19=1,1,0)</f>
        <v>0</v>
      </c>
      <c r="AI21" s="55">
        <v>25</v>
      </c>
      <c r="AK21" s="55" t="s">
        <v>22079</v>
      </c>
      <c r="AL21" s="66">
        <f>IF(AND(Kalk1!$AA$18=2,Kalk1!$AF$18=2),2,IF(OR(Kalk1!$AA$18=2,Kalk1!$AF$18=2),1,0))</f>
        <v>0</v>
      </c>
      <c r="AM21" s="55" t="s">
        <v>22094</v>
      </c>
      <c r="AO21" s="55" t="s">
        <v>22079</v>
      </c>
      <c r="AP21" s="66">
        <f>IF(Kalk1!$AI$51=AQ21,1,0)</f>
        <v>1</v>
      </c>
      <c r="AQ21" s="55">
        <v>750</v>
      </c>
    </row>
    <row r="22" spans="2:43" ht="24.95" customHeight="1">
      <c r="B22" s="93">
        <f>IF(AG22=1,AL22,0)*Kalk1!$H$37</f>
        <v>0</v>
      </c>
      <c r="C22" s="60">
        <v>1350</v>
      </c>
      <c r="D22" s="60"/>
      <c r="E22" s="60" t="str">
        <f>VLOOKUP(1600,Sprachindex!$A:$Z,Erhebungsbogen!$Y$20,FALSE)</f>
        <v>[Stk]</v>
      </c>
      <c r="F22" s="60" t="s">
        <v>21962</v>
      </c>
      <c r="G22" s="514" t="str">
        <f>VLOOKUP(1592,Sprachindex!$A:$Z,Erhebungsbogen!$Y$20,FALSE) &amp; IF(AND(Kalk1!$AA$5=2,Kalk1!AA11),", " &amp; VLOOKUP(1645,Sprachindex!$A:$Z,Erhebungsbogen!$Y$20,FALSE) &amp; " " &amp; $U$8,", "&amp; VLOOKUP(1648,Sprachindex!$A:$Z,Erhebungsbogen!$Y$20,FALSE))</f>
        <v>Abdeckung V 25, entgratet, blank</v>
      </c>
      <c r="H22" s="514"/>
      <c r="I22" s="514"/>
      <c r="J22" s="514"/>
      <c r="K22" s="514"/>
      <c r="L22" s="514"/>
      <c r="M22" s="514"/>
      <c r="N22" s="514"/>
      <c r="O22" s="514"/>
      <c r="P22" s="514"/>
      <c r="Q22" s="514"/>
      <c r="R22" s="514"/>
      <c r="S22" s="514"/>
      <c r="T22" s="514"/>
      <c r="U22" s="352">
        <f>IF(AND(Kalk1!$AA$5=2,Kalk1!$AA$11),VLOOKUP(F22,Preisliste!C:G,5,FALSE),VLOOKUP(F22,Preisliste!C:G,4,FALSE))</f>
        <v>33.799999999999997</v>
      </c>
      <c r="V22" s="352">
        <f>U22*B22</f>
        <v>0</v>
      </c>
      <c r="W22" s="86"/>
      <c r="X22" s="86"/>
      <c r="Y22" s="86"/>
      <c r="Z22" s="143">
        <f>IF(AND(Kalk1!$AA$5=2,Kalk1!$AA$11),(VLOOKUP(F22,Preisliste!C:G,5,FALSE)-VLOOKUP(F22,Preisliste!C:G,4,FALSE))*B22,0)</f>
        <v>0</v>
      </c>
      <c r="AB22" s="86"/>
      <c r="AC22" s="86"/>
      <c r="AD22" s="86"/>
      <c r="AE22" s="86"/>
      <c r="AF22" s="86"/>
      <c r="AG22" s="55">
        <f>IF(AND(AH22&gt;0,AL22&gt;0,AP22=1),1,0)</f>
        <v>0</v>
      </c>
      <c r="AH22" s="66">
        <f>IF(Kalk1!$AA$19=1,1,0)</f>
        <v>0</v>
      </c>
      <c r="AI22" s="55">
        <v>25</v>
      </c>
      <c r="AK22" s="55" t="s">
        <v>22079</v>
      </c>
      <c r="AL22" s="66">
        <f>IF(AND(Kalk1!$AA$18=2,Kalk1!$AF$18=2),2,IF(OR(Kalk1!$AA$18=2,Kalk1!$AF$18=2),1,0))</f>
        <v>0</v>
      </c>
      <c r="AM22" s="55" t="s">
        <v>22094</v>
      </c>
      <c r="AO22" s="55" t="s">
        <v>22079</v>
      </c>
      <c r="AP22" s="66">
        <f>IF(Kalk1!$AI$51=AQ22,1,0)</f>
        <v>0</v>
      </c>
      <c r="AQ22" s="55">
        <v>1350</v>
      </c>
    </row>
    <row r="23" spans="2:43" ht="24.95" customHeight="1">
      <c r="B23" s="93">
        <f>IF(AG23=1,AL23,0)*Kalk1!$H$37</f>
        <v>0</v>
      </c>
      <c r="C23" s="60">
        <v>1750</v>
      </c>
      <c r="D23" s="60"/>
      <c r="E23" s="60" t="str">
        <f>VLOOKUP(1600,Sprachindex!$A:$Z,Erhebungsbogen!$Y$20,FALSE)</f>
        <v>[Stk]</v>
      </c>
      <c r="F23" s="60" t="s">
        <v>21986</v>
      </c>
      <c r="G23" s="514" t="str">
        <f>VLOOKUP(1592,Sprachindex!$A:$Z,Erhebungsbogen!$Y$20,FALSE) &amp; IF(AND(Kalk1!$AA$5=2,Kalk1!AA11),", " &amp; VLOOKUP(1645,Sprachindex!$A:$Z,Erhebungsbogen!$Y$20,FALSE) &amp; " " &amp; $U$8,", "&amp; VLOOKUP(1648,Sprachindex!$A:$Z,Erhebungsbogen!$Y$20,FALSE))</f>
        <v>Abdeckung V 25, entgratet, blank</v>
      </c>
      <c r="H23" s="514"/>
      <c r="I23" s="514"/>
      <c r="J23" s="514"/>
      <c r="K23" s="514"/>
      <c r="L23" s="514"/>
      <c r="M23" s="514"/>
      <c r="N23" s="514"/>
      <c r="O23" s="514"/>
      <c r="P23" s="514"/>
      <c r="Q23" s="514"/>
      <c r="R23" s="514"/>
      <c r="S23" s="514"/>
      <c r="T23" s="514"/>
      <c r="U23" s="352">
        <f>IF(AND(Kalk1!$AA$5=2,Kalk1!$AA$11),VLOOKUP(F23,Preisliste!C:G,5,FALSE),VLOOKUP(F23,Preisliste!C:G,4,FALSE))</f>
        <v>45.4</v>
      </c>
      <c r="V23" s="352">
        <f t="shared" ref="V23:V47" si="0">U23*B23</f>
        <v>0</v>
      </c>
      <c r="W23" s="86"/>
      <c r="X23" s="86"/>
      <c r="Y23" s="86"/>
      <c r="Z23" s="143">
        <f>IF(AND(Kalk1!$AA$5=2,Kalk1!$AA$11),(VLOOKUP(F23,Preisliste!C:G,5,FALSE)-VLOOKUP(F23,Preisliste!C:G,4,FALSE))*B23,0)</f>
        <v>0</v>
      </c>
      <c r="AB23" s="86"/>
      <c r="AC23" s="86"/>
      <c r="AD23" s="86"/>
      <c r="AE23" s="86"/>
      <c r="AF23" s="86"/>
      <c r="AG23" s="55">
        <f t="shared" ref="AG23:AG44" si="1">IF(AND(AH23&gt;0,AL23&gt;0,AP23=1),1,0)</f>
        <v>0</v>
      </c>
      <c r="AH23" s="66">
        <f>IF(Kalk1!$AA$19=1,1,0)</f>
        <v>0</v>
      </c>
      <c r="AI23" s="55">
        <v>25</v>
      </c>
      <c r="AK23" s="55" t="s">
        <v>22079</v>
      </c>
      <c r="AL23" s="66">
        <f>IF(AND(Kalk1!$AA$18=2,Kalk1!$AF$18=2),2,IF(OR(Kalk1!$AA$18=2,Kalk1!$AF$18=2),1,0))</f>
        <v>0</v>
      </c>
      <c r="AM23" s="55" t="s">
        <v>22094</v>
      </c>
      <c r="AO23" s="55" t="s">
        <v>22079</v>
      </c>
      <c r="AP23" s="66">
        <f>IF(Kalk1!$AI$51=AQ23,1,0)</f>
        <v>0</v>
      </c>
      <c r="AQ23" s="55">
        <v>1750</v>
      </c>
    </row>
    <row r="24" spans="2:43" ht="24.95" customHeight="1">
      <c r="B24" s="93">
        <f>IF(AG24=1,AL24,0)*Kalk1!$H$37</f>
        <v>0</v>
      </c>
      <c r="C24" s="60">
        <v>2150</v>
      </c>
      <c r="D24" s="60"/>
      <c r="E24" s="60" t="str">
        <f>VLOOKUP(1600,Sprachindex!$A:$Z,Erhebungsbogen!$Y$20,FALSE)</f>
        <v>[Stk]</v>
      </c>
      <c r="F24" s="60" t="s">
        <v>21987</v>
      </c>
      <c r="G24" s="514" t="str">
        <f>VLOOKUP(1592,Sprachindex!$A:$Z,Erhebungsbogen!$Y$20,FALSE) &amp; IF(AND(Kalk1!$AA$5=2,Kalk1!AA11),", " &amp; VLOOKUP(1645,Sprachindex!$A:$Z,Erhebungsbogen!$Y$20,FALSE) &amp; " " &amp; $U$8,", "&amp; VLOOKUP(1648,Sprachindex!$A:$Z,Erhebungsbogen!$Y$20,FALSE))</f>
        <v>Abdeckung V 25, entgratet, blank</v>
      </c>
      <c r="H24" s="514"/>
      <c r="I24" s="514"/>
      <c r="J24" s="514"/>
      <c r="K24" s="514"/>
      <c r="L24" s="514"/>
      <c r="M24" s="514"/>
      <c r="N24" s="514"/>
      <c r="O24" s="514"/>
      <c r="P24" s="514"/>
      <c r="Q24" s="514"/>
      <c r="R24" s="514"/>
      <c r="S24" s="514"/>
      <c r="T24" s="514"/>
      <c r="U24" s="352">
        <f>IF(AND(Kalk1!$AA$5=2,Kalk1!$AA$11),VLOOKUP(F24,Preisliste!C:G,5,FALSE),VLOOKUP(F24,Preisliste!C:G,4,FALSE))</f>
        <v>57.9</v>
      </c>
      <c r="V24" s="352">
        <f t="shared" si="0"/>
        <v>0</v>
      </c>
      <c r="W24" s="86"/>
      <c r="Y24" s="86"/>
      <c r="Z24" s="143">
        <f>IF(AND(Kalk1!$AA$5=2,Kalk1!$AA$11),(VLOOKUP(F24,Preisliste!C:G,5,FALSE)-VLOOKUP(F24,Preisliste!C:G,4,FALSE))*B24,0)</f>
        <v>0</v>
      </c>
      <c r="AB24" s="86"/>
      <c r="AC24" s="86"/>
      <c r="AD24" s="86"/>
      <c r="AE24" s="86"/>
      <c r="AF24" s="86"/>
      <c r="AG24" s="55">
        <f t="shared" si="1"/>
        <v>0</v>
      </c>
      <c r="AH24" s="66">
        <f>IF(Kalk1!$AA$19=1,1,0)</f>
        <v>0</v>
      </c>
      <c r="AI24" s="55">
        <v>25</v>
      </c>
      <c r="AK24" s="55" t="s">
        <v>22079</v>
      </c>
      <c r="AL24" s="66">
        <f>IF(AND(Kalk1!$AA$18=2,Kalk1!$AF$18=2),2,IF(OR(Kalk1!$AA$18=2,Kalk1!$AF$18=2),1,0))</f>
        <v>0</v>
      </c>
      <c r="AM24" s="55" t="s">
        <v>22094</v>
      </c>
      <c r="AO24" s="55" t="s">
        <v>22079</v>
      </c>
      <c r="AP24" s="66">
        <f>IF(Kalk1!$AI$51=AQ24,1,0)</f>
        <v>0</v>
      </c>
      <c r="AQ24" s="55">
        <v>2150</v>
      </c>
    </row>
    <row r="25" spans="2:43" ht="24.95" customHeight="1">
      <c r="B25" s="93">
        <f>IF(AG25=1,AL25,0)*Kalk1!$H$37</f>
        <v>0</v>
      </c>
      <c r="C25" s="60">
        <v>750</v>
      </c>
      <c r="D25" s="60"/>
      <c r="E25" s="60" t="str">
        <f>VLOOKUP(1600,Sprachindex!$A:$Z,Erhebungsbogen!$Y$20,FALSE)</f>
        <v>[Stk]</v>
      </c>
      <c r="F25" s="60" t="s">
        <v>21963</v>
      </c>
      <c r="G25" s="514" t="str">
        <f>VLOOKUP(1610,Sprachindex!$A:$Z,Erhebungsbogen!$Y$20,FALSE) &amp; IF(AND(Kalk1!$AA$5=2,Kalk1!AA11),", " &amp; VLOOKUP(1645,Sprachindex!$A:$Z,Erhebungsbogen!$Y$20,FALSE) &amp; " " &amp; $U$8,", "&amp; VLOOKUP(1648,Sprachindex!$A:$Z,Erhebungsbogen!$Y$20,FALSE))</f>
        <v>Abdeckung V 50, gebohrt und entgratet, blank</v>
      </c>
      <c r="H25" s="514"/>
      <c r="I25" s="514"/>
      <c r="J25" s="514"/>
      <c r="K25" s="514"/>
      <c r="L25" s="514"/>
      <c r="M25" s="514"/>
      <c r="N25" s="514"/>
      <c r="O25" s="514"/>
      <c r="P25" s="514"/>
      <c r="Q25" s="514"/>
      <c r="R25" s="514"/>
      <c r="S25" s="514"/>
      <c r="T25" s="514"/>
      <c r="U25" s="352">
        <f>IF(AND(Kalk1!$AA$5=2,Kalk1!$AA$11),VLOOKUP(F25,Preisliste!C:G,5,FALSE),VLOOKUP(F25,Preisliste!C:G,4,FALSE))</f>
        <v>27.8</v>
      </c>
      <c r="V25" s="352">
        <f t="shared" si="0"/>
        <v>0</v>
      </c>
      <c r="W25" s="86"/>
      <c r="X25" s="86"/>
      <c r="Y25" s="86"/>
      <c r="Z25" s="143">
        <f>IF(AND(Kalk1!$AA$5=2,Kalk1!$AA$11),(VLOOKUP(F25,Preisliste!C:G,5,FALSE)-VLOOKUP(F25,Preisliste!C:G,4,FALSE))*B25,0)</f>
        <v>0</v>
      </c>
      <c r="AB25" s="86"/>
      <c r="AC25" s="86"/>
      <c r="AD25" s="86"/>
      <c r="AE25" s="86"/>
      <c r="AF25" s="86"/>
      <c r="AG25" s="55">
        <f t="shared" si="1"/>
        <v>0</v>
      </c>
      <c r="AH25" s="66">
        <f>IF(OR(Kalk1!$AA$19=2,Kalk1!$AA$19=3),1,0)</f>
        <v>1</v>
      </c>
      <c r="AI25" s="55">
        <v>50</v>
      </c>
      <c r="AK25" s="55" t="s">
        <v>22079</v>
      </c>
      <c r="AL25" s="66">
        <f>IF(AND(Kalk1!$AA$18=2,Kalk1!$AF$18=2),2,IF(OR(Kalk1!$AA$18=2,Kalk1!$AF$18=2),1,0))</f>
        <v>0</v>
      </c>
      <c r="AM25" s="55" t="s">
        <v>22094</v>
      </c>
      <c r="AO25" s="55" t="s">
        <v>22079</v>
      </c>
      <c r="AP25" s="66">
        <f>IF(Kalk1!$AI$51=AQ25,1,0)</f>
        <v>1</v>
      </c>
      <c r="AQ25" s="55">
        <v>750</v>
      </c>
    </row>
    <row r="26" spans="2:43" ht="24.95" customHeight="1">
      <c r="B26" s="93">
        <f>IF(AG26=1,AL26,0)*Kalk1!$H$37</f>
        <v>0</v>
      </c>
      <c r="C26" s="60">
        <v>1350</v>
      </c>
      <c r="D26" s="60"/>
      <c r="E26" s="60" t="str">
        <f>VLOOKUP(1600,Sprachindex!$A:$Z,Erhebungsbogen!$Y$20,FALSE)</f>
        <v>[Stk]</v>
      </c>
      <c r="F26" s="60" t="s">
        <v>21964</v>
      </c>
      <c r="G26" s="514" t="str">
        <f>VLOOKUP(1610,Sprachindex!$A:$Z,Erhebungsbogen!$Y$20,FALSE) &amp; IF(AND(Kalk1!$AA$5=2,Kalk1!AA11),", " &amp; VLOOKUP(1645,Sprachindex!$A:$Z,Erhebungsbogen!$Y$20,FALSE) &amp; " " &amp; $U$8,", "&amp; VLOOKUP(1648,Sprachindex!$A:$Z,Erhebungsbogen!$Y$20,FALSE))</f>
        <v>Abdeckung V 50, gebohrt und entgratet, blank</v>
      </c>
      <c r="H26" s="514"/>
      <c r="I26" s="514"/>
      <c r="J26" s="514"/>
      <c r="K26" s="514"/>
      <c r="L26" s="514"/>
      <c r="M26" s="514"/>
      <c r="N26" s="514"/>
      <c r="O26" s="514"/>
      <c r="P26" s="514"/>
      <c r="Q26" s="514"/>
      <c r="R26" s="514"/>
      <c r="S26" s="514"/>
      <c r="T26" s="514"/>
      <c r="U26" s="352">
        <f>IF(AND(Kalk1!$AA$5=2,Kalk1!$AA$11),VLOOKUP(F26,Preisliste!C:G,5,FALSE),VLOOKUP(F26,Preisliste!C:G,4,FALSE))</f>
        <v>33.65</v>
      </c>
      <c r="V26" s="352">
        <f t="shared" si="0"/>
        <v>0</v>
      </c>
      <c r="W26" s="86"/>
      <c r="X26" s="86"/>
      <c r="Y26" s="86"/>
      <c r="Z26" s="143">
        <f>IF(AND(Kalk1!$AA$5=2,Kalk1!$AA$11),(VLOOKUP(F26,Preisliste!C:G,5,FALSE)-VLOOKUP(F26,Preisliste!C:G,4,FALSE))*B26,0)</f>
        <v>0</v>
      </c>
      <c r="AB26" s="86"/>
      <c r="AC26" s="86"/>
      <c r="AD26" s="86"/>
      <c r="AE26" s="86"/>
      <c r="AF26" s="86"/>
      <c r="AG26" s="55">
        <f t="shared" si="1"/>
        <v>0</v>
      </c>
      <c r="AH26" s="66">
        <f>IF(OR(Kalk1!$AA$19=2,Kalk1!$AA$19=3),1,0)</f>
        <v>1</v>
      </c>
      <c r="AI26" s="55">
        <v>50</v>
      </c>
      <c r="AK26" s="55" t="s">
        <v>22079</v>
      </c>
      <c r="AL26" s="66">
        <f>IF(AND(Kalk1!$AA$18=2,Kalk1!$AF$18=2),2,IF(OR(Kalk1!$AA$18=2,Kalk1!$AF$18=2),1,0))</f>
        <v>0</v>
      </c>
      <c r="AM26" s="55" t="s">
        <v>22094</v>
      </c>
      <c r="AO26" s="55" t="s">
        <v>22079</v>
      </c>
      <c r="AP26" s="66">
        <f>IF(Kalk1!$AI$51=AQ26,1,0)</f>
        <v>0</v>
      </c>
      <c r="AQ26" s="55">
        <v>1350</v>
      </c>
    </row>
    <row r="27" spans="2:43" ht="24.95" customHeight="1">
      <c r="B27" s="93">
        <f>IF(AG27=1,AL27,0)*Kalk1!$H$37</f>
        <v>0</v>
      </c>
      <c r="C27" s="60">
        <v>1750</v>
      </c>
      <c r="D27" s="60"/>
      <c r="E27" s="60" t="str">
        <f>VLOOKUP(1600,Sprachindex!$A:$Z,Erhebungsbogen!$Y$20,FALSE)</f>
        <v>[Stk]</v>
      </c>
      <c r="F27" s="60" t="s">
        <v>21965</v>
      </c>
      <c r="G27" s="514" t="str">
        <f>VLOOKUP(1610,Sprachindex!$A:$Z,Erhebungsbogen!$Y$20,FALSE) &amp; IF(AND(Kalk1!$AA$5=2,Kalk1!AA11),", " &amp; VLOOKUP(1645,Sprachindex!$A:$Z,Erhebungsbogen!$Y$20,FALSE) &amp; " " &amp; $U$8,", "&amp; VLOOKUP(1648,Sprachindex!$A:$Z,Erhebungsbogen!$Y$20,FALSE))</f>
        <v>Abdeckung V 50, gebohrt und entgratet, blank</v>
      </c>
      <c r="H27" s="514"/>
      <c r="I27" s="514"/>
      <c r="J27" s="514"/>
      <c r="K27" s="514"/>
      <c r="L27" s="514"/>
      <c r="M27" s="514"/>
      <c r="N27" s="514"/>
      <c r="O27" s="514"/>
      <c r="P27" s="514"/>
      <c r="Q27" s="514"/>
      <c r="R27" s="514"/>
      <c r="S27" s="514"/>
      <c r="T27" s="514"/>
      <c r="U27" s="352">
        <f>IF(AND(Kalk1!$AA$5=2,Kalk1!$AA$11),VLOOKUP(F27,Preisliste!C:G,5,FALSE),VLOOKUP(F27,Preisliste!C:G,4,FALSE))</f>
        <v>37.5</v>
      </c>
      <c r="V27" s="352">
        <f t="shared" si="0"/>
        <v>0</v>
      </c>
      <c r="W27" s="86"/>
      <c r="X27" s="86"/>
      <c r="Y27" s="86"/>
      <c r="Z27" s="143">
        <f>IF(AND(Kalk1!$AA$5=2,Kalk1!$AA$11),(VLOOKUP(F27,Preisliste!C:G,5,FALSE)-VLOOKUP(F27,Preisliste!C:G,4,FALSE))*B27,0)</f>
        <v>0</v>
      </c>
      <c r="AB27" s="86"/>
      <c r="AC27" s="86"/>
      <c r="AD27" s="86"/>
      <c r="AE27" s="86"/>
      <c r="AF27" s="86"/>
      <c r="AG27" s="55">
        <f t="shared" si="1"/>
        <v>0</v>
      </c>
      <c r="AH27" s="66">
        <f>IF(OR(Kalk1!$AA$19=2,Kalk1!$AA$19=3),1,0)</f>
        <v>1</v>
      </c>
      <c r="AI27" s="55">
        <v>50</v>
      </c>
      <c r="AK27" s="55" t="s">
        <v>22079</v>
      </c>
      <c r="AL27" s="66">
        <f>IF(AND(Kalk1!$AA$18=2,Kalk1!$AF$18=2),2,IF(OR(Kalk1!$AA$18=2,Kalk1!$AF$18=2),1,0))</f>
        <v>0</v>
      </c>
      <c r="AM27" s="55" t="s">
        <v>22094</v>
      </c>
      <c r="AO27" s="55" t="s">
        <v>22079</v>
      </c>
      <c r="AP27" s="66">
        <f>IF(Kalk1!$AI$51=AQ27,1,0)</f>
        <v>0</v>
      </c>
      <c r="AQ27" s="55">
        <v>1750</v>
      </c>
    </row>
    <row r="28" spans="2:43" ht="24.95" customHeight="1">
      <c r="B28" s="93">
        <f>IF(AG28=1,AL28,0)*Kalk1!$H$37</f>
        <v>0</v>
      </c>
      <c r="C28" s="60">
        <v>2150</v>
      </c>
      <c r="D28" s="60"/>
      <c r="E28" s="60" t="str">
        <f>VLOOKUP(1600,Sprachindex!$A:$Z,Erhebungsbogen!$Y$20,FALSE)</f>
        <v>[Stk]</v>
      </c>
      <c r="F28" s="60" t="s">
        <v>21966</v>
      </c>
      <c r="G28" s="514" t="str">
        <f>VLOOKUP(1610,Sprachindex!$A:$Z,Erhebungsbogen!$Y$20,FALSE) &amp; IF(AND(Kalk1!$AA$5=2,Kalk1!AA11),", " &amp; VLOOKUP(1645,Sprachindex!$A:$Z,Erhebungsbogen!$Y$20,FALSE) &amp; " " &amp; $U$8,", "&amp; VLOOKUP(1648,Sprachindex!$A:$Z,Erhebungsbogen!$Y$20,FALSE))</f>
        <v>Abdeckung V 50, gebohrt und entgratet, blank</v>
      </c>
      <c r="H28" s="514"/>
      <c r="I28" s="514"/>
      <c r="J28" s="514"/>
      <c r="K28" s="514"/>
      <c r="L28" s="514"/>
      <c r="M28" s="514"/>
      <c r="N28" s="514"/>
      <c r="O28" s="514"/>
      <c r="P28" s="514"/>
      <c r="Q28" s="514"/>
      <c r="R28" s="514"/>
      <c r="S28" s="514"/>
      <c r="T28" s="514"/>
      <c r="U28" s="352">
        <f>IF(AND(Kalk1!$AA$5=2,Kalk1!$AA$11),VLOOKUP(F28,Preisliste!C:G,5,FALSE),VLOOKUP(F28,Preisliste!C:G,4,FALSE))</f>
        <v>41.4</v>
      </c>
      <c r="V28" s="352">
        <f t="shared" si="0"/>
        <v>0</v>
      </c>
      <c r="W28" s="86"/>
      <c r="X28" s="86"/>
      <c r="Y28" s="86"/>
      <c r="Z28" s="143">
        <f>IF(AND(Kalk1!$AA$5=2,Kalk1!$AA$11),(VLOOKUP(F28,Preisliste!C:G,5,FALSE)-VLOOKUP(F28,Preisliste!C:G,4,FALSE))*B28,0)</f>
        <v>0</v>
      </c>
      <c r="AB28" s="86"/>
      <c r="AC28" s="86"/>
      <c r="AD28" s="86"/>
      <c r="AE28" s="86"/>
      <c r="AF28" s="86"/>
      <c r="AG28" s="55">
        <f t="shared" si="1"/>
        <v>0</v>
      </c>
      <c r="AH28" s="66">
        <f>IF(OR(Kalk1!$AA$19=2,Kalk1!$AA$19=3),1,0)</f>
        <v>1</v>
      </c>
      <c r="AI28" s="55">
        <v>50</v>
      </c>
      <c r="AK28" s="55" t="s">
        <v>22079</v>
      </c>
      <c r="AL28" s="66">
        <f>IF(AND(Kalk1!$AA$18=2,Kalk1!$AF$18=2),2,IF(OR(Kalk1!$AA$18=2,Kalk1!$AF$18=2),1,0))</f>
        <v>0</v>
      </c>
      <c r="AM28" s="55" t="s">
        <v>22094</v>
      </c>
      <c r="AO28" s="55" t="s">
        <v>22079</v>
      </c>
      <c r="AP28" s="66">
        <f>IF(Kalk1!$AI$51=AQ28,1,0)</f>
        <v>0</v>
      </c>
      <c r="AQ28" s="55">
        <v>2150</v>
      </c>
    </row>
    <row r="29" spans="2:43" ht="24.95" customHeight="1">
      <c r="B29" s="93">
        <f>IF(AG29=1,AL29,0)*Kalk1!$H$37</f>
        <v>0</v>
      </c>
      <c r="C29" s="60">
        <v>750</v>
      </c>
      <c r="D29" s="60"/>
      <c r="E29" s="60" t="str">
        <f>VLOOKUP(1600,Sprachindex!$A:$Z,Erhebungsbogen!$Y$20,FALSE)</f>
        <v>[Stk]</v>
      </c>
      <c r="F29" s="60" t="s">
        <v>21967</v>
      </c>
      <c r="G29" s="514" t="str">
        <f>VLOOKUP(1611,Sprachindex!$A:$Z,Erhebungsbogen!$Y$20,FALSE) &amp; IF(AND(Kalk1!$AA$5=2,Kalk1!AA11),", " &amp; VLOOKUP(1645,Sprachindex!$A:$Z,Erhebungsbogen!$Y$20,FALSE) &amp; " " &amp; $U$8,", "&amp; VLOOKUP(1648,Sprachindex!$A:$Z,Erhebungsbogen!$Y$20,FALSE))</f>
        <v>Abdeckung V 80, gebohrt und entgratet, blank</v>
      </c>
      <c r="H29" s="514"/>
      <c r="I29" s="514"/>
      <c r="J29" s="514"/>
      <c r="K29" s="514"/>
      <c r="L29" s="514"/>
      <c r="M29" s="514"/>
      <c r="N29" s="514"/>
      <c r="O29" s="514"/>
      <c r="P29" s="514"/>
      <c r="Q29" s="514"/>
      <c r="R29" s="514"/>
      <c r="S29" s="514"/>
      <c r="T29" s="514"/>
      <c r="U29" s="352">
        <f>IF(AND(Kalk1!$AA$5=2,Kalk1!$AA$11),VLOOKUP(F29,Preisliste!C:G,5,FALSE),VLOOKUP(F29,Preisliste!C:G,4,FALSE))</f>
        <v>34.950000000000003</v>
      </c>
      <c r="V29" s="352">
        <f t="shared" si="0"/>
        <v>0</v>
      </c>
      <c r="W29" s="86"/>
      <c r="X29" s="86"/>
      <c r="Y29" s="86"/>
      <c r="Z29" s="143">
        <f>IF(AND(Kalk1!$AA$5=2,Kalk1!$AA$11),(VLOOKUP(F29,Preisliste!C:G,5,FALSE)-VLOOKUP(F29,Preisliste!C:G,4,FALSE))*B29,0)</f>
        <v>0</v>
      </c>
      <c r="AB29" s="86"/>
      <c r="AC29" s="86"/>
      <c r="AD29" s="86"/>
      <c r="AE29" s="86"/>
      <c r="AF29" s="86"/>
      <c r="AG29" s="55">
        <f t="shared" si="1"/>
        <v>0</v>
      </c>
      <c r="AH29" s="66">
        <f>IF(Kalk1!$AA$19=4,1,0)</f>
        <v>0</v>
      </c>
      <c r="AI29" s="55">
        <v>80</v>
      </c>
      <c r="AK29" s="55" t="s">
        <v>22079</v>
      </c>
      <c r="AL29" s="66">
        <f>IF(AND(Kalk1!$AA$18=2,Kalk1!$AF$18=2),2,IF(OR(Kalk1!$AA$18=2,Kalk1!$AF$18=2),1,0))</f>
        <v>0</v>
      </c>
      <c r="AM29" s="55" t="s">
        <v>22094</v>
      </c>
      <c r="AO29" s="55" t="s">
        <v>22079</v>
      </c>
      <c r="AP29" s="66">
        <f>IF(Kalk1!$AI$51=AQ29,1,0)</f>
        <v>1</v>
      </c>
      <c r="AQ29" s="55">
        <v>750</v>
      </c>
    </row>
    <row r="30" spans="2:43" ht="24.95" customHeight="1">
      <c r="B30" s="93">
        <f>IF(AG30=1,AL30,0)*Kalk1!$H$37</f>
        <v>0</v>
      </c>
      <c r="C30" s="60">
        <v>1350</v>
      </c>
      <c r="D30" s="60"/>
      <c r="E30" s="60" t="str">
        <f>VLOOKUP(1600,Sprachindex!$A:$Z,Erhebungsbogen!$Y$20,FALSE)</f>
        <v>[Stk]</v>
      </c>
      <c r="F30" s="60" t="s">
        <v>21968</v>
      </c>
      <c r="G30" s="514" t="str">
        <f>VLOOKUP(1611,Sprachindex!$A:$Z,Erhebungsbogen!$Y$20,FALSE) &amp; IF(AND(Kalk1!$AA$5=2,Kalk1!AA11),", " &amp; VLOOKUP(1645,Sprachindex!$A:$Z,Erhebungsbogen!$Y$20,FALSE) &amp; " " &amp; $U$8,", "&amp; VLOOKUP(1648,Sprachindex!$A:$Z,Erhebungsbogen!$Y$20,FALSE))</f>
        <v>Abdeckung V 80, gebohrt und entgratet, blank</v>
      </c>
      <c r="H30" s="514"/>
      <c r="I30" s="514"/>
      <c r="J30" s="514"/>
      <c r="K30" s="514"/>
      <c r="L30" s="514"/>
      <c r="M30" s="514"/>
      <c r="N30" s="514"/>
      <c r="O30" s="514"/>
      <c r="P30" s="514"/>
      <c r="Q30" s="514"/>
      <c r="R30" s="514"/>
      <c r="S30" s="514"/>
      <c r="T30" s="514"/>
      <c r="U30" s="352">
        <f>IF(AND(Kalk1!$AA$5=2,Kalk1!$AA$11),VLOOKUP(F30,Preisliste!C:G,5,FALSE),VLOOKUP(F30,Preisliste!C:G,4,FALSE))</f>
        <v>46.4</v>
      </c>
      <c r="V30" s="352">
        <f t="shared" si="0"/>
        <v>0</v>
      </c>
      <c r="W30" s="86"/>
      <c r="X30" s="86"/>
      <c r="Y30" s="86"/>
      <c r="Z30" s="143">
        <f>IF(AND(Kalk1!$AA$5=2,Kalk1!$AA$11),(VLOOKUP(F30,Preisliste!C:G,5,FALSE)-VLOOKUP(F30,Preisliste!C:G,4,FALSE))*B30,0)</f>
        <v>0</v>
      </c>
      <c r="AB30" s="86"/>
      <c r="AC30" s="86"/>
      <c r="AD30" s="86"/>
      <c r="AE30" s="86"/>
      <c r="AF30" s="86"/>
      <c r="AG30" s="55">
        <f t="shared" si="1"/>
        <v>0</v>
      </c>
      <c r="AH30" s="66">
        <f>IF(Kalk1!$AA$19=4,1,0)</f>
        <v>0</v>
      </c>
      <c r="AI30" s="55">
        <v>80</v>
      </c>
      <c r="AK30" s="55" t="s">
        <v>22079</v>
      </c>
      <c r="AL30" s="66">
        <f>IF(AND(Kalk1!$AA$18=2,Kalk1!$AF$18=2),2,IF(OR(Kalk1!$AA$18=2,Kalk1!$AF$18=2),1,0))</f>
        <v>0</v>
      </c>
      <c r="AM30" s="55" t="s">
        <v>22094</v>
      </c>
      <c r="AO30" s="55" t="s">
        <v>22079</v>
      </c>
      <c r="AP30" s="66">
        <f>IF(Kalk1!$AI$51=AQ30,1,0)</f>
        <v>0</v>
      </c>
      <c r="AQ30" s="55">
        <v>1350</v>
      </c>
    </row>
    <row r="31" spans="2:43" ht="24.95" customHeight="1">
      <c r="B31" s="93">
        <f>IF(AG31=1,AL31,0)*Kalk1!$H$37</f>
        <v>0</v>
      </c>
      <c r="C31" s="60">
        <v>1750</v>
      </c>
      <c r="D31" s="60"/>
      <c r="E31" s="60" t="str">
        <f>VLOOKUP(1600,Sprachindex!$A:$Z,Erhebungsbogen!$Y$20,FALSE)</f>
        <v>[Stk]</v>
      </c>
      <c r="F31" s="60" t="s">
        <v>21969</v>
      </c>
      <c r="G31" s="514" t="str">
        <f>VLOOKUP(1611,Sprachindex!$A:$Z,Erhebungsbogen!$Y$20,FALSE) &amp; IF(AND(Kalk1!$AA$5=2,Kalk1!AA11),", " &amp; VLOOKUP(1645,Sprachindex!$A:$Z,Erhebungsbogen!$Y$20,FALSE) &amp; " " &amp; $U$8,", "&amp; VLOOKUP(1648,Sprachindex!$A:$Z,Erhebungsbogen!$Y$20,FALSE))</f>
        <v>Abdeckung V 80, gebohrt und entgratet, blank</v>
      </c>
      <c r="H31" s="514"/>
      <c r="I31" s="514"/>
      <c r="J31" s="514"/>
      <c r="K31" s="514"/>
      <c r="L31" s="514"/>
      <c r="M31" s="514"/>
      <c r="N31" s="514"/>
      <c r="O31" s="514"/>
      <c r="P31" s="514"/>
      <c r="Q31" s="514"/>
      <c r="R31" s="514"/>
      <c r="S31" s="514"/>
      <c r="T31" s="514"/>
      <c r="U31" s="352">
        <f>IF(AND(Kalk1!$AA$5=2,Kalk1!$AA$11),VLOOKUP(F31,Preisliste!C:G,5,FALSE),VLOOKUP(F31,Preisliste!C:G,4,FALSE))</f>
        <v>54.05</v>
      </c>
      <c r="V31" s="352">
        <f t="shared" si="0"/>
        <v>0</v>
      </c>
      <c r="W31" s="86"/>
      <c r="X31" s="86"/>
      <c r="Y31" s="86"/>
      <c r="Z31" s="143">
        <f>IF(AND(Kalk1!$AA$5=2,Kalk1!$AA$11),(VLOOKUP(F31,Preisliste!C:G,5,FALSE)-VLOOKUP(F31,Preisliste!C:G,4,FALSE))*B31,0)</f>
        <v>0</v>
      </c>
      <c r="AB31" s="86"/>
      <c r="AC31" s="86"/>
      <c r="AD31" s="86"/>
      <c r="AE31" s="86"/>
      <c r="AF31" s="86"/>
      <c r="AG31" s="55">
        <f t="shared" si="1"/>
        <v>0</v>
      </c>
      <c r="AH31" s="66">
        <f>IF(Kalk1!$AA$19=4,1,0)</f>
        <v>0</v>
      </c>
      <c r="AI31" s="55">
        <v>80</v>
      </c>
      <c r="AK31" s="55" t="s">
        <v>22079</v>
      </c>
      <c r="AL31" s="66">
        <f>IF(AND(Kalk1!$AA$18=2,Kalk1!$AF$18=2),2,IF(OR(Kalk1!$AA$18=2,Kalk1!$AF$18=2),1,0))</f>
        <v>0</v>
      </c>
      <c r="AM31" s="55" t="s">
        <v>22094</v>
      </c>
      <c r="AO31" s="55" t="s">
        <v>22079</v>
      </c>
      <c r="AP31" s="66">
        <f>IF(Kalk1!$AI$51=AQ31,1,0)</f>
        <v>0</v>
      </c>
      <c r="AQ31" s="55">
        <v>1750</v>
      </c>
    </row>
    <row r="32" spans="2:43" ht="24.95" customHeight="1">
      <c r="B32" s="93">
        <f>IF(AG32=1,AL32,0)*Kalk1!$H$37</f>
        <v>0</v>
      </c>
      <c r="C32" s="60">
        <v>2150</v>
      </c>
      <c r="D32" s="60"/>
      <c r="E32" s="60" t="str">
        <f>VLOOKUP(1600,Sprachindex!$A:$Z,Erhebungsbogen!$Y$20,FALSE)</f>
        <v>[Stk]</v>
      </c>
      <c r="F32" s="60" t="s">
        <v>21970</v>
      </c>
      <c r="G32" s="514" t="str">
        <f>VLOOKUP(1611,Sprachindex!$A:$Z,Erhebungsbogen!$Y$20,FALSE) &amp; IF(AND(Kalk1!$AA$5=2,Kalk1!AA11),", " &amp; VLOOKUP(1645,Sprachindex!$A:$Z,Erhebungsbogen!$Y$20,FALSE) &amp; " " &amp; $U$8,", "&amp; VLOOKUP(1648,Sprachindex!$A:$Z,Erhebungsbogen!$Y$20,FALSE))</f>
        <v>Abdeckung V 80, gebohrt und entgratet, blank</v>
      </c>
      <c r="H32" s="514"/>
      <c r="I32" s="514"/>
      <c r="J32" s="514"/>
      <c r="K32" s="514"/>
      <c r="L32" s="514"/>
      <c r="M32" s="514"/>
      <c r="N32" s="514"/>
      <c r="O32" s="514"/>
      <c r="P32" s="514"/>
      <c r="Q32" s="514"/>
      <c r="R32" s="514"/>
      <c r="S32" s="514"/>
      <c r="T32" s="514"/>
      <c r="U32" s="352">
        <f>IF(AND(Kalk1!$AA$5=2,Kalk1!$AA$11),VLOOKUP(F32,Preisliste!C:G,5,FALSE),VLOOKUP(F32,Preisliste!C:G,4,FALSE))</f>
        <v>61.65</v>
      </c>
      <c r="V32" s="352">
        <f t="shared" si="0"/>
        <v>0</v>
      </c>
      <c r="W32" s="86"/>
      <c r="X32" s="86"/>
      <c r="Y32" s="86"/>
      <c r="Z32" s="143">
        <f>IF(AND(Kalk1!$AA$5=2,Kalk1!$AA$11),(VLOOKUP(F32,Preisliste!C:G,5,FALSE)-VLOOKUP(F32,Preisliste!C:G,4,FALSE))*B32,0)</f>
        <v>0</v>
      </c>
      <c r="AB32" s="86"/>
      <c r="AC32" s="86"/>
      <c r="AD32" s="86"/>
      <c r="AE32" s="86"/>
      <c r="AF32" s="86"/>
      <c r="AG32" s="55">
        <f t="shared" si="1"/>
        <v>0</v>
      </c>
      <c r="AH32" s="66">
        <f>IF(Kalk1!$AA$19=4,1,0)</f>
        <v>0</v>
      </c>
      <c r="AI32" s="55">
        <v>80</v>
      </c>
      <c r="AK32" s="55" t="s">
        <v>22079</v>
      </c>
      <c r="AL32" s="66">
        <f>IF(AND(Kalk1!$AA$18=2,Kalk1!$AF$18=2),2,IF(OR(Kalk1!$AA$18=2,Kalk1!$AF$18=2),1,0))</f>
        <v>0</v>
      </c>
      <c r="AM32" s="55" t="s">
        <v>22094</v>
      </c>
      <c r="AO32" s="55" t="s">
        <v>22079</v>
      </c>
      <c r="AP32" s="66">
        <f>IF(Kalk1!$AI$51=AQ32,1,0)</f>
        <v>0</v>
      </c>
      <c r="AQ32" s="55">
        <v>2150</v>
      </c>
    </row>
    <row r="33" spans="2:54" ht="24.95" customHeight="1">
      <c r="B33" s="93">
        <f>IF(AG33=1,AL33,0)*Kalk1!$H$37</f>
        <v>0</v>
      </c>
      <c r="C33" s="60">
        <v>750</v>
      </c>
      <c r="D33" s="60"/>
      <c r="E33" s="60" t="str">
        <f>VLOOKUP(1600,Sprachindex!$A:$Z,Erhebungsbogen!$Y$20,FALSE)</f>
        <v>[Stk]</v>
      </c>
      <c r="F33" s="60" t="s">
        <v>21951</v>
      </c>
      <c r="G33" s="514" t="str">
        <f>VLOOKUP(1593,Sprachindex!$A:$Z,Erhebungsbogen!$Y$20,FALSE) &amp; IF(AND(Kalk1!$AA$5=2,Kalk1!AA11),", " &amp; VLOOKUP(1645,Sprachindex!$A:$Z,Erhebungsbogen!$Y$20,FALSE) &amp; " " &amp; $U$8,", "&amp; VLOOKUP(1648,Sprachindex!$A:$Z,Erhebungsbogen!$Y$20,FALSE))</f>
        <v>Abdeckung VO 25, entgratet, blank</v>
      </c>
      <c r="H33" s="514"/>
      <c r="I33" s="514"/>
      <c r="J33" s="514"/>
      <c r="K33" s="514"/>
      <c r="L33" s="514"/>
      <c r="M33" s="514"/>
      <c r="N33" s="514"/>
      <c r="O33" s="514"/>
      <c r="P33" s="514"/>
      <c r="Q33" s="514"/>
      <c r="R33" s="514"/>
      <c r="S33" s="514"/>
      <c r="T33" s="514"/>
      <c r="U33" s="352">
        <f>IF(AND(Kalk1!$AA$5=2,Kalk1!$AA$11),VLOOKUP(F33,Preisliste!C:G,5,FALSE),VLOOKUP(F33,Preisliste!C:G,4,FALSE))</f>
        <v>103.1</v>
      </c>
      <c r="V33" s="352">
        <f t="shared" si="0"/>
        <v>0</v>
      </c>
      <c r="W33" s="86"/>
      <c r="X33" s="86"/>
      <c r="Y33" s="86"/>
      <c r="Z33" s="143">
        <f>IF(AND(Kalk1!$AA$5=2,Kalk1!$AA$11),(VLOOKUP(F33,Preisliste!C:G,5,FALSE)-VLOOKUP(F33,Preisliste!C:G,4,FALSE))*B33,0)</f>
        <v>0</v>
      </c>
      <c r="AB33" s="86"/>
      <c r="AC33" s="86"/>
      <c r="AD33" s="86"/>
      <c r="AE33" s="86"/>
      <c r="AF33" s="86"/>
      <c r="AG33" s="55">
        <f t="shared" si="1"/>
        <v>0</v>
      </c>
      <c r="AH33" s="66">
        <f>IF(Kalk1!$AA$19=1,1,0)</f>
        <v>0</v>
      </c>
      <c r="AI33" s="55">
        <v>25</v>
      </c>
      <c r="AK33" s="55" t="s">
        <v>22079</v>
      </c>
      <c r="AL33" s="66">
        <f>IF(AND(Kalk1!$AA$18=3,Kalk1!$AF$18=3),2,IF(OR(Kalk1!$AA$18=3,Kalk1!$AF$18=3),1,0))</f>
        <v>0</v>
      </c>
      <c r="AM33" s="55" t="s">
        <v>22095</v>
      </c>
      <c r="AO33" s="55" t="s">
        <v>22079</v>
      </c>
      <c r="AP33" s="66">
        <f>IF(Kalk1!$AI$51=AQ33,1,0)</f>
        <v>1</v>
      </c>
      <c r="AQ33" s="55">
        <v>750</v>
      </c>
    </row>
    <row r="34" spans="2:54" ht="24.95" customHeight="1">
      <c r="B34" s="93">
        <f>IF(AG34=1,AL34,0)*Kalk1!$H$37</f>
        <v>0</v>
      </c>
      <c r="C34" s="60">
        <v>1350</v>
      </c>
      <c r="D34" s="60"/>
      <c r="E34" s="60" t="str">
        <f>VLOOKUP(1600,Sprachindex!$A:$Z,Erhebungsbogen!$Y$20,FALSE)</f>
        <v>[Stk]</v>
      </c>
      <c r="F34" s="60" t="s">
        <v>21952</v>
      </c>
      <c r="G34" s="514" t="str">
        <f>VLOOKUP(1593,Sprachindex!$A:$Z,Erhebungsbogen!$Y$20,FALSE) &amp; IF(AND(Kalk1!$AA$5=2,Kalk1!AA11),", " &amp; VLOOKUP(1645,Sprachindex!$A:$Z,Erhebungsbogen!$Y$20,FALSE) &amp; " " &amp; $U$8,", "&amp; VLOOKUP(1648,Sprachindex!$A:$Z,Erhebungsbogen!$Y$20,FALSE))</f>
        <v>Abdeckung VO 25, entgratet, blank</v>
      </c>
      <c r="H34" s="514"/>
      <c r="I34" s="514"/>
      <c r="J34" s="514"/>
      <c r="K34" s="514"/>
      <c r="L34" s="514"/>
      <c r="M34" s="514"/>
      <c r="N34" s="514"/>
      <c r="O34" s="514"/>
      <c r="P34" s="514"/>
      <c r="Q34" s="514"/>
      <c r="R34" s="514"/>
      <c r="S34" s="514"/>
      <c r="T34" s="514"/>
      <c r="U34" s="352">
        <f>IF(AND(Kalk1!$AA$5=2,Kalk1!$AA$11),VLOOKUP(F34,Preisliste!C:G,5,FALSE),VLOOKUP(F34,Preisliste!C:G,4,FALSE))</f>
        <v>108</v>
      </c>
      <c r="V34" s="352">
        <f t="shared" si="0"/>
        <v>0</v>
      </c>
      <c r="W34" s="86"/>
      <c r="X34" s="86"/>
      <c r="Y34" s="86"/>
      <c r="Z34" s="143">
        <f>IF(AND(Kalk1!$AA$5=2,Kalk1!$AA$11),(VLOOKUP(F34,Preisliste!C:G,5,FALSE)-VLOOKUP(F34,Preisliste!C:G,4,FALSE))*B34,0)</f>
        <v>0</v>
      </c>
      <c r="AB34" s="86"/>
      <c r="AC34" s="86"/>
      <c r="AD34" s="86"/>
      <c r="AE34" s="86"/>
      <c r="AF34" s="86"/>
      <c r="AG34" s="55">
        <f t="shared" si="1"/>
        <v>0</v>
      </c>
      <c r="AH34" s="66">
        <f>IF(Kalk1!$AA$19=1,1,0)</f>
        <v>0</v>
      </c>
      <c r="AI34" s="55">
        <v>25</v>
      </c>
      <c r="AK34" s="55" t="s">
        <v>22079</v>
      </c>
      <c r="AL34" s="66">
        <f>IF(AND(Kalk1!$AA$18=3,Kalk1!$AF$18=3),2,IF(OR(Kalk1!$AA$18=3,Kalk1!$AF$18=3),1,0))</f>
        <v>0</v>
      </c>
      <c r="AM34" s="55" t="s">
        <v>22095</v>
      </c>
      <c r="AO34" s="55" t="s">
        <v>22079</v>
      </c>
      <c r="AP34" s="66">
        <f>IF(Kalk1!$AI$51=AQ34,1,0)</f>
        <v>0</v>
      </c>
      <c r="AQ34" s="55">
        <v>1350</v>
      </c>
    </row>
    <row r="35" spans="2:54" ht="24.95" customHeight="1">
      <c r="B35" s="93">
        <f>IF(AG35=1,AL35,0)*Kalk1!$H$37</f>
        <v>0</v>
      </c>
      <c r="C35" s="60">
        <v>1750</v>
      </c>
      <c r="D35" s="60"/>
      <c r="E35" s="60" t="str">
        <f>VLOOKUP(1600,Sprachindex!$A:$Z,Erhebungsbogen!$Y$20,FALSE)</f>
        <v>[Stk]</v>
      </c>
      <c r="F35" s="60" t="s">
        <v>21988</v>
      </c>
      <c r="G35" s="514" t="str">
        <f>VLOOKUP(1593,Sprachindex!$A:$Z,Erhebungsbogen!$Y$20,FALSE) &amp; IF(AND(Kalk1!$AA$5=2,Kalk1!AA11),", " &amp; VLOOKUP(1645,Sprachindex!$A:$Z,Erhebungsbogen!$Y$20,FALSE) &amp; " " &amp; $U$8,", "&amp; VLOOKUP(1648,Sprachindex!$A:$Z,Erhebungsbogen!$Y$20,FALSE))</f>
        <v>Abdeckung VO 25, entgratet, blank</v>
      </c>
      <c r="H35" s="514"/>
      <c r="I35" s="514"/>
      <c r="J35" s="514"/>
      <c r="K35" s="514"/>
      <c r="L35" s="514"/>
      <c r="M35" s="514"/>
      <c r="N35" s="514"/>
      <c r="O35" s="514"/>
      <c r="P35" s="514"/>
      <c r="Q35" s="514"/>
      <c r="R35" s="514"/>
      <c r="S35" s="514"/>
      <c r="T35" s="514"/>
      <c r="U35" s="352">
        <f>IF(AND(Kalk1!$AA$5=2,Kalk1!$AA$11),VLOOKUP(F35,Preisliste!C:G,5,FALSE),VLOOKUP(F35,Preisliste!C:G,4,FALSE))</f>
        <v>113.85</v>
      </c>
      <c r="V35" s="352">
        <f t="shared" si="0"/>
        <v>0</v>
      </c>
      <c r="W35" s="86"/>
      <c r="X35" s="86"/>
      <c r="Y35" s="86"/>
      <c r="Z35" s="143">
        <f>IF(AND(Kalk1!$AA$5=2,Kalk1!$AA$11),(VLOOKUP(F35,Preisliste!C:G,5,FALSE)-VLOOKUP(F35,Preisliste!C:G,4,FALSE))*B35,0)</f>
        <v>0</v>
      </c>
      <c r="AB35" s="86"/>
      <c r="AC35" s="86"/>
      <c r="AD35" s="86"/>
      <c r="AE35" s="86"/>
      <c r="AF35" s="86"/>
      <c r="AG35" s="55">
        <f t="shared" si="1"/>
        <v>0</v>
      </c>
      <c r="AH35" s="66">
        <f>IF(Kalk1!$AA$19=1,1,0)</f>
        <v>0</v>
      </c>
      <c r="AI35" s="55">
        <v>25</v>
      </c>
      <c r="AK35" s="55" t="s">
        <v>22079</v>
      </c>
      <c r="AL35" s="66">
        <f>IF(AND(Kalk1!$AA$18=3,Kalk1!$AF$18=3),2,IF(OR(Kalk1!$AA$18=3,Kalk1!$AF$18=3),1,0))</f>
        <v>0</v>
      </c>
      <c r="AM35" s="55" t="s">
        <v>22095</v>
      </c>
      <c r="AO35" s="55" t="s">
        <v>22079</v>
      </c>
      <c r="AP35" s="66">
        <f>IF(Kalk1!$AI$51=AQ35,1,0)</f>
        <v>0</v>
      </c>
      <c r="AQ35" s="55">
        <v>1750</v>
      </c>
    </row>
    <row r="36" spans="2:54" ht="24.95" customHeight="1">
      <c r="B36" s="93">
        <f>IF(AG36=1,AL36,0)*Kalk1!$H$37</f>
        <v>0</v>
      </c>
      <c r="C36" s="60">
        <v>2150</v>
      </c>
      <c r="D36" s="60"/>
      <c r="E36" s="60" t="str">
        <f>VLOOKUP(1600,Sprachindex!$A:$Z,Erhebungsbogen!$Y$20,FALSE)</f>
        <v>[Stk]</v>
      </c>
      <c r="F36" s="60" t="s">
        <v>22642</v>
      </c>
      <c r="G36" s="514" t="str">
        <f>VLOOKUP(1593,Sprachindex!$A:$Z,Erhebungsbogen!$Y$20,FALSE) &amp; IF(AND(Kalk1!$AA$5=2,Kalk1!AA11),", " &amp; VLOOKUP(1645,Sprachindex!$A:$Z,Erhebungsbogen!$Y$20,FALSE) &amp; " " &amp; $U$8,", "&amp; VLOOKUP(1648,Sprachindex!$A:$Z,Erhebungsbogen!$Y$20,FALSE))</f>
        <v>Abdeckung VO 25, entgratet, blank</v>
      </c>
      <c r="H36" s="514"/>
      <c r="I36" s="514"/>
      <c r="J36" s="514"/>
      <c r="K36" s="514"/>
      <c r="L36" s="514"/>
      <c r="M36" s="514"/>
      <c r="N36" s="514"/>
      <c r="O36" s="514"/>
      <c r="P36" s="514"/>
      <c r="Q36" s="514"/>
      <c r="R36" s="514"/>
      <c r="S36" s="514"/>
      <c r="T36" s="514"/>
      <c r="U36" s="352">
        <f>IF(AND(Kalk1!$AA$5=2,Kalk1!$AA$11),VLOOKUP(F36,Preisliste!C:G,5,FALSE),VLOOKUP(F36,Preisliste!C:G,4,FALSE))</f>
        <v>119.8</v>
      </c>
      <c r="V36" s="352">
        <f t="shared" si="0"/>
        <v>0</v>
      </c>
      <c r="W36" s="86"/>
      <c r="X36" s="86"/>
      <c r="Y36" s="86"/>
      <c r="Z36" s="143">
        <f>IF(AND(Kalk1!$AA$5=2,Kalk1!$AA$11),(VLOOKUP(F36,Preisliste!C:G,5,FALSE)-VLOOKUP(F36,Preisliste!C:G,4,FALSE))*B36,0)</f>
        <v>0</v>
      </c>
      <c r="AB36" s="86"/>
      <c r="AC36" s="86"/>
      <c r="AD36" s="86"/>
      <c r="AE36" s="86"/>
      <c r="AF36" s="86"/>
      <c r="AG36" s="55">
        <f t="shared" si="1"/>
        <v>0</v>
      </c>
      <c r="AH36" s="66">
        <f>IF(Kalk1!$AA$19=1,1,0)</f>
        <v>0</v>
      </c>
      <c r="AI36" s="55">
        <v>25</v>
      </c>
      <c r="AK36" s="55" t="s">
        <v>22079</v>
      </c>
      <c r="AL36" s="66">
        <f>IF(AND(Kalk1!$AA$18=3,Kalk1!$AF$18=3),2,IF(OR(Kalk1!$AA$18=3,Kalk1!$AF$18=3),1,0))</f>
        <v>0</v>
      </c>
      <c r="AM36" s="55" t="s">
        <v>22095</v>
      </c>
      <c r="AO36" s="55" t="s">
        <v>22079</v>
      </c>
      <c r="AP36" s="66">
        <f>IF(Kalk1!$AI$51=AQ36,1,0)</f>
        <v>0</v>
      </c>
      <c r="AQ36" s="55">
        <v>2150</v>
      </c>
    </row>
    <row r="37" spans="2:54" ht="24.95" customHeight="1">
      <c r="B37" s="93">
        <f>IF(AG37=1,AL37,0)*Kalk1!$H$37</f>
        <v>0</v>
      </c>
      <c r="C37" s="60">
        <v>750</v>
      </c>
      <c r="D37" s="60"/>
      <c r="E37" s="60" t="str">
        <f>VLOOKUP(1600,Sprachindex!$A:$Z,Erhebungsbogen!$Y$20,FALSE)</f>
        <v>[Stk]</v>
      </c>
      <c r="F37" s="60" t="s">
        <v>21953</v>
      </c>
      <c r="G37" s="514" t="str">
        <f>VLOOKUP(1613,Sprachindex!$A:$Z,Erhebungsbogen!$Y$20,FALSE) &amp; IF(AND(Kalk1!$AA$5=2,Kalk1!AA11),", " &amp; VLOOKUP(1645,Sprachindex!$A:$Z,Erhebungsbogen!$Y$20,FALSE) &amp; " " &amp; $U$8,", "&amp; VLOOKUP(1648,Sprachindex!$A:$Z,Erhebungsbogen!$Y$20,FALSE))</f>
        <v>Abdeckung VO 50, gebohrt und entgratet, blank</v>
      </c>
      <c r="H37" s="514"/>
      <c r="I37" s="514"/>
      <c r="J37" s="514"/>
      <c r="K37" s="514"/>
      <c r="L37" s="514"/>
      <c r="M37" s="514"/>
      <c r="N37" s="514"/>
      <c r="O37" s="514"/>
      <c r="P37" s="514"/>
      <c r="Q37" s="514"/>
      <c r="R37" s="514"/>
      <c r="S37" s="514"/>
      <c r="T37" s="514"/>
      <c r="U37" s="352">
        <f>IF(AND(Kalk1!$AA$5=2,Kalk1!$AA$11),VLOOKUP(F37,Preisliste!C:G,5,FALSE),VLOOKUP(F37,Preisliste!C:G,4,FALSE))</f>
        <v>109.25</v>
      </c>
      <c r="V37" s="352">
        <f t="shared" si="0"/>
        <v>0</v>
      </c>
      <c r="W37" s="86"/>
      <c r="X37" s="86"/>
      <c r="Y37" s="86"/>
      <c r="Z37" s="143">
        <f>IF(AND(Kalk1!$AA$5=2,Kalk1!$AA$11),(VLOOKUP(F37,Preisliste!C:G,5,FALSE)-VLOOKUP(F37,Preisliste!C:G,4,FALSE))*B37,0)</f>
        <v>0</v>
      </c>
      <c r="AB37" s="86"/>
      <c r="AC37" s="86"/>
      <c r="AD37" s="86"/>
      <c r="AE37" s="86"/>
      <c r="AF37" s="86"/>
      <c r="AG37" s="55">
        <f t="shared" si="1"/>
        <v>0</v>
      </c>
      <c r="AH37" s="66">
        <f>IF(OR(Kalk1!$AA$19=2,Kalk1!$AA$19=3),1,0)</f>
        <v>1</v>
      </c>
      <c r="AI37" s="55">
        <v>50</v>
      </c>
      <c r="AK37" s="55" t="s">
        <v>22079</v>
      </c>
      <c r="AL37" s="66">
        <f>IF(AND(Kalk1!$AA$18=3,Kalk1!$AF$18=3),2,IF(OR(Kalk1!$AA$18=3,Kalk1!$AF$18=3),1,0))</f>
        <v>0</v>
      </c>
      <c r="AM37" s="55" t="s">
        <v>22095</v>
      </c>
      <c r="AO37" s="55" t="s">
        <v>22079</v>
      </c>
      <c r="AP37" s="66">
        <f>IF(Kalk1!$AI$51=AQ37,1,0)</f>
        <v>1</v>
      </c>
      <c r="AQ37" s="55">
        <v>750</v>
      </c>
    </row>
    <row r="38" spans="2:54" ht="24.95" customHeight="1">
      <c r="B38" s="93">
        <f>IF(AG38=1,AL38,0)*Kalk1!$H$37</f>
        <v>0</v>
      </c>
      <c r="C38" s="60">
        <v>1350</v>
      </c>
      <c r="D38" s="60"/>
      <c r="E38" s="60" t="str">
        <f>VLOOKUP(1600,Sprachindex!$A:$Z,Erhebungsbogen!$Y$20,FALSE)</f>
        <v>[Stk]</v>
      </c>
      <c r="F38" s="60" t="s">
        <v>21954</v>
      </c>
      <c r="G38" s="514" t="str">
        <f>VLOOKUP(1613,Sprachindex!$A:$Z,Erhebungsbogen!$Y$20,FALSE) &amp; IF(AND(Kalk1!$AA$5=2,Kalk1!AA11),", " &amp; VLOOKUP(1645,Sprachindex!$A:$Z,Erhebungsbogen!$Y$20,FALSE) &amp; " " &amp; $U$8,", "&amp; VLOOKUP(1648,Sprachindex!$A:$Z,Erhebungsbogen!$Y$20,FALSE))</f>
        <v>Abdeckung VO 50, gebohrt und entgratet, blank</v>
      </c>
      <c r="H38" s="514"/>
      <c r="I38" s="514"/>
      <c r="J38" s="514"/>
      <c r="K38" s="514"/>
      <c r="L38" s="514"/>
      <c r="M38" s="514"/>
      <c r="N38" s="514"/>
      <c r="O38" s="514"/>
      <c r="P38" s="514"/>
      <c r="Q38" s="514"/>
      <c r="R38" s="514"/>
      <c r="S38" s="514"/>
      <c r="T38" s="514"/>
      <c r="U38" s="352">
        <f>IF(AND(Kalk1!$AA$5=2,Kalk1!$AA$11),VLOOKUP(F38,Preisliste!C:G,5,FALSE),VLOOKUP(F38,Preisliste!C:G,4,FALSE))</f>
        <v>115.25</v>
      </c>
      <c r="V38" s="352">
        <f t="shared" si="0"/>
        <v>0</v>
      </c>
      <c r="W38" s="86"/>
      <c r="X38" s="86"/>
      <c r="Y38" s="86"/>
      <c r="Z38" s="143">
        <f>IF(AND(Kalk1!$AA$5=2,Kalk1!$AA$11),(VLOOKUP(F38,Preisliste!C:G,5,FALSE)-VLOOKUP(F38,Preisliste!C:G,4,FALSE))*B38,0)</f>
        <v>0</v>
      </c>
      <c r="AB38" s="86"/>
      <c r="AC38" s="86"/>
      <c r="AD38" s="86"/>
      <c r="AE38" s="86"/>
      <c r="AF38" s="86"/>
      <c r="AG38" s="55">
        <f t="shared" si="1"/>
        <v>0</v>
      </c>
      <c r="AH38" s="66">
        <f>IF(OR(Kalk1!$AA$19=2,Kalk1!$AA$19=3),1,0)</f>
        <v>1</v>
      </c>
      <c r="AI38" s="55">
        <v>50</v>
      </c>
      <c r="AK38" s="55" t="s">
        <v>22079</v>
      </c>
      <c r="AL38" s="66">
        <f>IF(AND(Kalk1!$AA$18=3,Kalk1!$AF$18=3),2,IF(OR(Kalk1!$AA$18=3,Kalk1!$AF$18=3),1,0))</f>
        <v>0</v>
      </c>
      <c r="AM38" s="55" t="s">
        <v>22095</v>
      </c>
      <c r="AO38" s="55" t="s">
        <v>22079</v>
      </c>
      <c r="AP38" s="66">
        <f>IF(Kalk1!$AI$51=AQ38,1,0)</f>
        <v>0</v>
      </c>
      <c r="AQ38" s="55">
        <v>1350</v>
      </c>
    </row>
    <row r="39" spans="2:54" ht="24.95" customHeight="1">
      <c r="B39" s="93">
        <f>IF(AG39=1,AL39,0)*Kalk1!$H$37</f>
        <v>0</v>
      </c>
      <c r="C39" s="60">
        <v>1750</v>
      </c>
      <c r="D39" s="60"/>
      <c r="E39" s="60" t="str">
        <f>VLOOKUP(1600,Sprachindex!$A:$Z,Erhebungsbogen!$Y$20,FALSE)</f>
        <v>[Stk]</v>
      </c>
      <c r="F39" s="60" t="s">
        <v>21955</v>
      </c>
      <c r="G39" s="514" t="str">
        <f>VLOOKUP(1613,Sprachindex!$A:$Z,Erhebungsbogen!$Y$20,FALSE) &amp; IF(AND(Kalk1!$AA$5=2,Kalk1!AA11),", " &amp; VLOOKUP(1645,Sprachindex!$A:$Z,Erhebungsbogen!$Y$20,FALSE) &amp; " " &amp; $U$8,", "&amp; VLOOKUP(1648,Sprachindex!$A:$Z,Erhebungsbogen!$Y$20,FALSE))</f>
        <v>Abdeckung VO 50, gebohrt und entgratet, blank</v>
      </c>
      <c r="H39" s="514"/>
      <c r="I39" s="514"/>
      <c r="J39" s="514"/>
      <c r="K39" s="514"/>
      <c r="L39" s="514"/>
      <c r="M39" s="514"/>
      <c r="N39" s="514"/>
      <c r="O39" s="514"/>
      <c r="P39" s="514"/>
      <c r="Q39" s="514"/>
      <c r="R39" s="514"/>
      <c r="S39" s="514"/>
      <c r="T39" s="514"/>
      <c r="U39" s="352">
        <f>IF(AND(Kalk1!$AA$5=2,Kalk1!$AA$11),VLOOKUP(F39,Preisliste!C:G,5,FALSE),VLOOKUP(F39,Preisliste!C:G,4,FALSE))</f>
        <v>118.9</v>
      </c>
      <c r="V39" s="352">
        <f t="shared" si="0"/>
        <v>0</v>
      </c>
      <c r="W39" s="86"/>
      <c r="X39" s="86"/>
      <c r="Y39" s="86"/>
      <c r="Z39" s="143">
        <f>IF(AND(Kalk1!$AA$5=2,Kalk1!$AA$11),(VLOOKUP(F39,Preisliste!C:G,5,FALSE)-VLOOKUP(F39,Preisliste!C:G,4,FALSE))*B39,0)</f>
        <v>0</v>
      </c>
      <c r="AB39" s="86"/>
      <c r="AC39" s="86"/>
      <c r="AD39" s="86"/>
      <c r="AE39" s="86"/>
      <c r="AF39" s="86"/>
      <c r="AG39" s="55">
        <f t="shared" si="1"/>
        <v>0</v>
      </c>
      <c r="AH39" s="66">
        <f>IF(OR(Kalk1!$AA$19=2,Kalk1!$AA$19=3),1,0)</f>
        <v>1</v>
      </c>
      <c r="AI39" s="55">
        <v>50</v>
      </c>
      <c r="AK39" s="55" t="s">
        <v>22079</v>
      </c>
      <c r="AL39" s="66">
        <f>IF(AND(Kalk1!$AA$18=3,Kalk1!$AF$18=3),2,IF(OR(Kalk1!$AA$18=3,Kalk1!$AF$18=3),1,0))</f>
        <v>0</v>
      </c>
      <c r="AM39" s="55" t="s">
        <v>22095</v>
      </c>
      <c r="AO39" s="55" t="s">
        <v>22079</v>
      </c>
      <c r="AP39" s="66">
        <f>IF(Kalk1!$AI$51=AQ39,1,0)</f>
        <v>0</v>
      </c>
      <c r="AQ39" s="55">
        <v>1750</v>
      </c>
    </row>
    <row r="40" spans="2:54" ht="24.95" customHeight="1">
      <c r="B40" s="93">
        <f>IF(AG40=1,AL40,0)*Kalk1!$H$37</f>
        <v>0</v>
      </c>
      <c r="C40" s="60">
        <v>2150</v>
      </c>
      <c r="D40" s="60"/>
      <c r="E40" s="60" t="str">
        <f>VLOOKUP(1600,Sprachindex!$A:$Z,Erhebungsbogen!$Y$20,FALSE)</f>
        <v>[Stk]</v>
      </c>
      <c r="F40" s="60" t="s">
        <v>21956</v>
      </c>
      <c r="G40" s="514" t="str">
        <f>VLOOKUP(1613,Sprachindex!$A:$Z,Erhebungsbogen!$Y$20,FALSE) &amp; IF(AND(Kalk1!$AA$5=2,Kalk1!AA11),", " &amp; VLOOKUP(1645,Sprachindex!$A:$Z,Erhebungsbogen!$Y$20,FALSE) &amp; " " &amp; $U$8,", "&amp; VLOOKUP(1648,Sprachindex!$A:$Z,Erhebungsbogen!$Y$20,FALSE))</f>
        <v>Abdeckung VO 50, gebohrt und entgratet, blank</v>
      </c>
      <c r="H40" s="514"/>
      <c r="I40" s="514"/>
      <c r="J40" s="514"/>
      <c r="K40" s="514"/>
      <c r="L40" s="514"/>
      <c r="M40" s="514"/>
      <c r="N40" s="514"/>
      <c r="O40" s="514"/>
      <c r="P40" s="514"/>
      <c r="Q40" s="514"/>
      <c r="R40" s="514"/>
      <c r="S40" s="514"/>
      <c r="T40" s="514"/>
      <c r="U40" s="352">
        <f>IF(AND(Kalk1!$AA$5=2,Kalk1!$AA$11),VLOOKUP(F40,Preisliste!C:G,5,FALSE),VLOOKUP(F40,Preisliste!C:G,4,FALSE))</f>
        <v>122.75</v>
      </c>
      <c r="V40" s="352">
        <f t="shared" si="0"/>
        <v>0</v>
      </c>
      <c r="W40" s="86"/>
      <c r="X40" s="86"/>
      <c r="Y40" s="86"/>
      <c r="Z40" s="143">
        <f>IF(AND(Kalk1!$AA$5=2,Kalk1!$AA$11),(VLOOKUP(F40,Preisliste!C:G,5,FALSE)-VLOOKUP(F40,Preisliste!C:G,4,FALSE))*B40,0)</f>
        <v>0</v>
      </c>
      <c r="AB40" s="86"/>
      <c r="AC40" s="86"/>
      <c r="AD40" s="86"/>
      <c r="AE40" s="86"/>
      <c r="AF40" s="86"/>
      <c r="AG40" s="55">
        <f t="shared" si="1"/>
        <v>0</v>
      </c>
      <c r="AH40" s="66">
        <f>IF(OR(Kalk1!$AA$19=2,Kalk1!$AA$19=3),1,0)</f>
        <v>1</v>
      </c>
      <c r="AI40" s="55">
        <v>50</v>
      </c>
      <c r="AK40" s="55" t="s">
        <v>22079</v>
      </c>
      <c r="AL40" s="66">
        <f>IF(AND(Kalk1!$AA$18=3,Kalk1!$AF$18=3),2,IF(OR(Kalk1!$AA$18=3,Kalk1!$AF$18=3),1,0))</f>
        <v>0</v>
      </c>
      <c r="AM40" s="55" t="s">
        <v>22095</v>
      </c>
      <c r="AO40" s="55" t="s">
        <v>22079</v>
      </c>
      <c r="AP40" s="66">
        <f>IF(Kalk1!$AI$51=AQ40,1,0)</f>
        <v>0</v>
      </c>
      <c r="AQ40" s="55">
        <v>2150</v>
      </c>
    </row>
    <row r="41" spans="2:54" ht="24.95" customHeight="1">
      <c r="B41" s="93">
        <f>IF(AG41=1,AL41,0)*Kalk1!$H$37</f>
        <v>0</v>
      </c>
      <c r="C41" s="60">
        <v>750</v>
      </c>
      <c r="D41" s="60"/>
      <c r="E41" s="60" t="str">
        <f>VLOOKUP(1600,Sprachindex!$A:$Z,Erhebungsbogen!$Y$20,FALSE)</f>
        <v>[Stk]</v>
      </c>
      <c r="F41" s="60" t="s">
        <v>21957</v>
      </c>
      <c r="G41" s="514" t="str">
        <f>VLOOKUP(1614,Sprachindex!$A:$Z,Erhebungsbogen!$Y$20,FALSE) &amp; IF(AND(Kalk1!$AA$5=2,Kalk1!AA11),", " &amp; VLOOKUP(1645,Sprachindex!$A:$Z,Erhebungsbogen!$Y$20,FALSE) &amp; " " &amp; $U$8,", "&amp; VLOOKUP(1648,Sprachindex!$A:$Z,Erhebungsbogen!$Y$20,FALSE))</f>
        <v>Abdeckung VO 80, gebohrt und entgratet, blank</v>
      </c>
      <c r="H41" s="514"/>
      <c r="I41" s="514"/>
      <c r="J41" s="514"/>
      <c r="K41" s="514"/>
      <c r="L41" s="514"/>
      <c r="M41" s="514"/>
      <c r="N41" s="514"/>
      <c r="O41" s="514"/>
      <c r="P41" s="514"/>
      <c r="Q41" s="514"/>
      <c r="R41" s="514"/>
      <c r="S41" s="514"/>
      <c r="T41" s="514"/>
      <c r="U41" s="352">
        <f>IF(AND(Kalk1!$AA$5=2,Kalk1!$AA$11),VLOOKUP(F41,Preisliste!C:G,5,FALSE),VLOOKUP(F41,Preisliste!C:G,4,FALSE))</f>
        <v>116.35</v>
      </c>
      <c r="V41" s="352">
        <f t="shared" si="0"/>
        <v>0</v>
      </c>
      <c r="W41" s="86"/>
      <c r="X41" s="86"/>
      <c r="Y41" s="86"/>
      <c r="Z41" s="143">
        <f>IF(AND(Kalk1!$AA$5=2,Kalk1!$AA$11),(VLOOKUP(F41,Preisliste!C:G,5,FALSE)-VLOOKUP(F41,Preisliste!C:G,4,FALSE))*B41,0)</f>
        <v>0</v>
      </c>
      <c r="AB41" s="86"/>
      <c r="AC41" s="86"/>
      <c r="AD41" s="86"/>
      <c r="AE41" s="86"/>
      <c r="AF41" s="86"/>
      <c r="AG41" s="55">
        <f t="shared" si="1"/>
        <v>0</v>
      </c>
      <c r="AH41" s="66">
        <f>IF(Kalk1!$AA$19=4,1,0)</f>
        <v>0</v>
      </c>
      <c r="AI41" s="55">
        <v>80</v>
      </c>
      <c r="AK41" s="55" t="s">
        <v>22079</v>
      </c>
      <c r="AL41" s="66">
        <f>IF(AND(Kalk1!$AA$18=3,Kalk1!$AF$18=3),2,IF(OR(Kalk1!$AA$18=3,Kalk1!$AF$18=3),1,0))</f>
        <v>0</v>
      </c>
      <c r="AM41" s="55" t="s">
        <v>22095</v>
      </c>
      <c r="AO41" s="55" t="s">
        <v>22079</v>
      </c>
      <c r="AP41" s="66">
        <f>IF(Kalk1!$AI$51=AQ41,1,0)</f>
        <v>1</v>
      </c>
      <c r="AQ41" s="55">
        <v>750</v>
      </c>
    </row>
    <row r="42" spans="2:54" ht="24.95" customHeight="1">
      <c r="B42" s="93">
        <f>IF(AG42=1,AL42,0)*Kalk1!$H$37</f>
        <v>0</v>
      </c>
      <c r="C42" s="60">
        <v>1350</v>
      </c>
      <c r="D42" s="60"/>
      <c r="E42" s="60" t="str">
        <f>VLOOKUP(1600,Sprachindex!$A:$Z,Erhebungsbogen!$Y$20,FALSE)</f>
        <v>[Stk]</v>
      </c>
      <c r="F42" s="60" t="s">
        <v>21958</v>
      </c>
      <c r="G42" s="514" t="str">
        <f>VLOOKUP(1614,Sprachindex!$A:$Z,Erhebungsbogen!$Y$20,FALSE) &amp; IF(AND(Kalk1!$AA$5=2,Kalk1!AA11),", " &amp; VLOOKUP(1645,Sprachindex!$A:$Z,Erhebungsbogen!$Y$20,FALSE) &amp; " " &amp; $U$8,", "&amp; VLOOKUP(1648,Sprachindex!$A:$Z,Erhebungsbogen!$Y$20,FALSE))</f>
        <v>Abdeckung VO 80, gebohrt und entgratet, blank</v>
      </c>
      <c r="H42" s="514"/>
      <c r="I42" s="514"/>
      <c r="J42" s="514"/>
      <c r="K42" s="514"/>
      <c r="L42" s="514"/>
      <c r="M42" s="514"/>
      <c r="N42" s="514"/>
      <c r="O42" s="514"/>
      <c r="P42" s="514"/>
      <c r="Q42" s="514"/>
      <c r="R42" s="514"/>
      <c r="S42" s="514"/>
      <c r="T42" s="514"/>
      <c r="U42" s="352">
        <f>IF(AND(Kalk1!$AA$5=2,Kalk1!$AA$11),VLOOKUP(F42,Preisliste!C:G,5,FALSE),VLOOKUP(F42,Preisliste!C:G,4,FALSE))</f>
        <v>127.7</v>
      </c>
      <c r="V42" s="352">
        <f t="shared" si="0"/>
        <v>0</v>
      </c>
      <c r="W42" s="86"/>
      <c r="X42" s="86"/>
      <c r="Y42" s="86"/>
      <c r="Z42" s="143">
        <f>IF(AND(Kalk1!$AA$5=2,Kalk1!$AA$11),(VLOOKUP(F42,Preisliste!C:G,5,FALSE)-VLOOKUP(F42,Preisliste!C:G,4,FALSE))*B42,0)</f>
        <v>0</v>
      </c>
      <c r="AB42" s="86"/>
      <c r="AC42" s="86"/>
      <c r="AD42" s="86"/>
      <c r="AE42" s="86"/>
      <c r="AF42" s="86"/>
      <c r="AG42" s="55">
        <f t="shared" si="1"/>
        <v>0</v>
      </c>
      <c r="AH42" s="66">
        <f>IF(Kalk1!$AA$19=4,1,0)</f>
        <v>0</v>
      </c>
      <c r="AI42" s="55">
        <v>80</v>
      </c>
      <c r="AK42" s="55" t="s">
        <v>22079</v>
      </c>
      <c r="AL42" s="66">
        <f>IF(AND(Kalk1!$AA$18=3,Kalk1!$AF$18=3),2,IF(OR(Kalk1!$AA$18=3,Kalk1!$AF$18=3),1,0))</f>
        <v>0</v>
      </c>
      <c r="AM42" s="55" t="s">
        <v>22095</v>
      </c>
      <c r="AO42" s="55" t="s">
        <v>22079</v>
      </c>
      <c r="AP42" s="66">
        <f>IF(Kalk1!$AI$51=AQ42,1,0)</f>
        <v>0</v>
      </c>
      <c r="AQ42" s="55">
        <v>1350</v>
      </c>
    </row>
    <row r="43" spans="2:54" ht="24.95" customHeight="1">
      <c r="B43" s="93">
        <f>IF(AG43=1,AL43,0)*Kalk1!$H$37</f>
        <v>0</v>
      </c>
      <c r="C43" s="60">
        <v>1750</v>
      </c>
      <c r="D43" s="60"/>
      <c r="E43" s="60" t="str">
        <f>VLOOKUP(1600,Sprachindex!$A:$Z,Erhebungsbogen!$Y$20,FALSE)</f>
        <v>[Stk]</v>
      </c>
      <c r="F43" s="60" t="s">
        <v>21959</v>
      </c>
      <c r="G43" s="514" t="str">
        <f>VLOOKUP(1614,Sprachindex!$A:$Z,Erhebungsbogen!$Y$20,FALSE) &amp; IF(AND(Kalk1!$AA$5=2,Kalk1!AA11),", " &amp; VLOOKUP(1645,Sprachindex!$A:$Z,Erhebungsbogen!$Y$20,FALSE) &amp; " " &amp; $U$8,", "&amp; VLOOKUP(1648,Sprachindex!$A:$Z,Erhebungsbogen!$Y$20,FALSE))</f>
        <v>Abdeckung VO 80, gebohrt und entgratet, blank</v>
      </c>
      <c r="H43" s="514"/>
      <c r="I43" s="514"/>
      <c r="J43" s="514"/>
      <c r="K43" s="514"/>
      <c r="L43" s="514"/>
      <c r="M43" s="514"/>
      <c r="N43" s="514"/>
      <c r="O43" s="514"/>
      <c r="P43" s="514"/>
      <c r="Q43" s="514"/>
      <c r="R43" s="514"/>
      <c r="S43" s="514"/>
      <c r="T43" s="514"/>
      <c r="U43" s="352">
        <f>IF(AND(Kalk1!$AA$5=2,Kalk1!$AA$11),VLOOKUP(F43,Preisliste!C:G,5,FALSE),VLOOKUP(F43,Preisliste!C:G,4,FALSE))</f>
        <v>135.44999999999999</v>
      </c>
      <c r="V43" s="352">
        <f t="shared" si="0"/>
        <v>0</v>
      </c>
      <c r="W43" s="86"/>
      <c r="X43" s="86"/>
      <c r="Y43" s="86"/>
      <c r="Z43" s="143">
        <f>IF(AND(Kalk1!$AA$5=2,Kalk1!$AA$11),(VLOOKUP(F43,Preisliste!C:G,5,FALSE)-VLOOKUP(F43,Preisliste!C:G,4,FALSE))*B43,0)</f>
        <v>0</v>
      </c>
      <c r="AB43" s="86"/>
      <c r="AC43" s="86"/>
      <c r="AD43" s="86"/>
      <c r="AE43" s="86"/>
      <c r="AF43" s="86"/>
      <c r="AG43" s="55">
        <f t="shared" si="1"/>
        <v>0</v>
      </c>
      <c r="AH43" s="66">
        <f>IF(Kalk1!$AA$19=4,1,0)</f>
        <v>0</v>
      </c>
      <c r="AI43" s="55">
        <v>80</v>
      </c>
      <c r="AK43" s="55" t="s">
        <v>22079</v>
      </c>
      <c r="AL43" s="66">
        <f>IF(AND(Kalk1!$AA$18=3,Kalk1!$AF$18=3),2,IF(OR(Kalk1!$AA$18=3,Kalk1!$AF$18=3),1,0))</f>
        <v>0</v>
      </c>
      <c r="AM43" s="55" t="s">
        <v>22095</v>
      </c>
      <c r="AO43" s="55" t="s">
        <v>22079</v>
      </c>
      <c r="AP43" s="66">
        <f>IF(Kalk1!$AI$51=AQ43,1,0)</f>
        <v>0</v>
      </c>
      <c r="AQ43" s="55">
        <v>1750</v>
      </c>
    </row>
    <row r="44" spans="2:54" ht="24.95" customHeight="1">
      <c r="B44" s="93">
        <f>IF(AG44=1,AL44,0)*Kalk1!$H$37</f>
        <v>0</v>
      </c>
      <c r="C44" s="60">
        <v>2150</v>
      </c>
      <c r="D44" s="60"/>
      <c r="E44" s="60" t="str">
        <f>VLOOKUP(1600,Sprachindex!$A:$Z,Erhebungsbogen!$Y$20,FALSE)</f>
        <v>[Stk]</v>
      </c>
      <c r="F44" s="60" t="s">
        <v>21960</v>
      </c>
      <c r="G44" s="514" t="str">
        <f>VLOOKUP(1614,Sprachindex!$A:$Z,Erhebungsbogen!$Y$20,FALSE) &amp; IF(AND(Kalk1!$AA$5=2,Kalk1!AA11),", " &amp; VLOOKUP(1645,Sprachindex!$A:$Z,Erhebungsbogen!$Y$20,FALSE) &amp; " " &amp; $U$8,", "&amp; VLOOKUP(1648,Sprachindex!$A:$Z,Erhebungsbogen!$Y$20,FALSE))</f>
        <v>Abdeckung VO 80, gebohrt und entgratet, blank</v>
      </c>
      <c r="H44" s="514"/>
      <c r="I44" s="514"/>
      <c r="J44" s="514"/>
      <c r="K44" s="514"/>
      <c r="L44" s="514"/>
      <c r="M44" s="514"/>
      <c r="N44" s="514"/>
      <c r="O44" s="514"/>
      <c r="P44" s="514"/>
      <c r="Q44" s="514"/>
      <c r="R44" s="514"/>
      <c r="S44" s="514"/>
      <c r="T44" s="514"/>
      <c r="U44" s="352">
        <f>IF(AND(Kalk1!$AA$5=2,Kalk1!$AA$11),VLOOKUP(F44,Preisliste!C:G,5,FALSE),VLOOKUP(F44,Preisliste!C:G,4,FALSE))</f>
        <v>143.05000000000001</v>
      </c>
      <c r="V44" s="352">
        <f t="shared" si="0"/>
        <v>0</v>
      </c>
      <c r="W44" s="86"/>
      <c r="X44" s="86"/>
      <c r="Y44" s="86"/>
      <c r="Z44" s="143">
        <f>IF(AND(Kalk1!$AA$5=2,Kalk1!$AA$11),(VLOOKUP(F44,Preisliste!C:G,5,FALSE)-VLOOKUP(F44,Preisliste!C:G,4,FALSE))*B44,0)</f>
        <v>0</v>
      </c>
      <c r="AB44" s="86"/>
      <c r="AC44" s="86"/>
      <c r="AD44" s="86"/>
      <c r="AE44" s="86"/>
      <c r="AF44" s="86"/>
      <c r="AG44" s="55">
        <f t="shared" si="1"/>
        <v>0</v>
      </c>
      <c r="AH44" s="66">
        <f>IF(Kalk1!$AA$19=4,1,0)</f>
        <v>0</v>
      </c>
      <c r="AI44" s="55">
        <v>80</v>
      </c>
      <c r="AK44" s="55" t="s">
        <v>22079</v>
      </c>
      <c r="AL44" s="66">
        <f>IF(AND(Kalk1!$AA$18=3,Kalk1!$AF$18=3),2,IF(OR(Kalk1!$AA$18=3,Kalk1!$AF$18=3),1,0))</f>
        <v>0</v>
      </c>
      <c r="AM44" s="55" t="s">
        <v>22095</v>
      </c>
      <c r="AO44" s="55" t="s">
        <v>22079</v>
      </c>
      <c r="AP44" s="66">
        <f>IF(Kalk1!$AI$51=AQ44,1,0)</f>
        <v>0</v>
      </c>
      <c r="AQ44" s="55">
        <v>2150</v>
      </c>
    </row>
    <row r="45" spans="2:54" ht="24.95" customHeight="1">
      <c r="B45" s="93">
        <f>IF(AG45=1,AL45,0)</f>
        <v>0</v>
      </c>
      <c r="C45" s="60"/>
      <c r="D45" s="60"/>
      <c r="E45" s="60" t="str">
        <f>VLOOKUP(1600,Sprachindex!$A:$Z,Erhebungsbogen!$Y$20,FALSE)</f>
        <v>[Stk]</v>
      </c>
      <c r="F45" s="60" t="s">
        <v>25459</v>
      </c>
      <c r="G45" s="514" t="str">
        <f>VLOOKUP(1625,Sprachindex!$A:$Z,Erhebungsbogen!$Y$20,FALSE) &amp; " (2 " &amp; VLOOKUP(1837,Sprachindex!$A:$Z,Erhebungsbogen!$Y$20,FALSE) &amp; ")"</f>
        <v>Aufpreis Ausfräsung Seitenteile für Dammbalken (2 Stk)</v>
      </c>
      <c r="H45" s="514"/>
      <c r="I45" s="514"/>
      <c r="J45" s="514"/>
      <c r="K45" s="514"/>
      <c r="L45" s="514"/>
      <c r="M45" s="514"/>
      <c r="N45" s="514"/>
      <c r="O45" s="514"/>
      <c r="P45" s="514"/>
      <c r="Q45" s="514"/>
      <c r="R45" s="514"/>
      <c r="S45" s="514"/>
      <c r="T45" s="514"/>
      <c r="U45" s="352">
        <f>Preisliste!F26</f>
        <v>0</v>
      </c>
      <c r="V45" s="352">
        <f t="shared" si="0"/>
        <v>0</v>
      </c>
      <c r="W45" s="86"/>
      <c r="X45" s="86"/>
      <c r="Y45" s="86"/>
      <c r="Z45" s="86"/>
      <c r="AA45" s="86"/>
      <c r="AB45" s="86"/>
      <c r="AC45" s="86"/>
      <c r="AD45" s="86"/>
      <c r="AE45" s="86"/>
      <c r="AF45" s="86"/>
      <c r="AG45" s="55">
        <f>IF(Kalk1!$AA$23,1,0)</f>
        <v>0</v>
      </c>
      <c r="AK45" s="55" t="s">
        <v>22100</v>
      </c>
      <c r="AL45" s="66">
        <f>Kalk1!$X$24*Kalk1!$H$37</f>
        <v>0</v>
      </c>
      <c r="AM45" s="55" t="s">
        <v>20872</v>
      </c>
    </row>
    <row r="46" spans="2:54" ht="24.95" customHeight="1">
      <c r="B46" s="93">
        <f t="shared" ref="B46:B51" si="2">IF(AG46=1,AL46,0)</f>
        <v>0</v>
      </c>
      <c r="C46" s="60"/>
      <c r="D46" s="60"/>
      <c r="E46" s="60" t="str">
        <f>VLOOKUP(1600,Sprachindex!$A:$Z,Erhebungsbogen!$Y$20,FALSE)</f>
        <v>[Stk]</v>
      </c>
      <c r="F46" s="60" t="s">
        <v>25460</v>
      </c>
      <c r="G46" s="514" t="str">
        <f>VLOOKUP(1626,Sprachindex!$A:$Z,Erhebungsbogen!$Y$20,FALSE) &amp; " + " &amp; VLOOKUP(1608,Sprachindex!$A:$Z,Erhebungsbogen!$Y$20,FALSE) &amp; " (2 " &amp; VLOOKUP(1837,Sprachindex!$A:$Z,Erhebungsbogen!$Y$20,FALSE) &amp; ")"</f>
        <v>Aufpreis Längenänderung Seitenteile + Abdeckung (2 Stk)</v>
      </c>
      <c r="H46" s="515"/>
      <c r="I46" s="515"/>
      <c r="J46" s="515"/>
      <c r="K46" s="515"/>
      <c r="L46" s="515"/>
      <c r="M46" s="515"/>
      <c r="N46" s="515"/>
      <c r="O46" s="515"/>
      <c r="P46" s="515"/>
      <c r="Q46" s="515"/>
      <c r="R46" s="515"/>
      <c r="S46" s="515"/>
      <c r="T46" s="516"/>
      <c r="U46" s="352">
        <f>Preisliste!F27</f>
        <v>0</v>
      </c>
      <c r="V46" s="352">
        <f t="shared" si="0"/>
        <v>0</v>
      </c>
      <c r="W46" s="86"/>
      <c r="X46" s="86"/>
      <c r="Y46" s="86"/>
      <c r="Z46" s="86"/>
      <c r="AA46" s="86"/>
      <c r="AB46" s="86"/>
      <c r="AC46" s="86"/>
      <c r="AD46" s="86"/>
      <c r="AE46" s="86"/>
      <c r="AF46" s="86"/>
      <c r="AG46" s="55">
        <f>IF(Kalk1!$AA$22,1,0)</f>
        <v>0</v>
      </c>
      <c r="AK46" s="55" t="s">
        <v>22100</v>
      </c>
      <c r="AL46" s="66">
        <f>Kalk1!$Q$25*Kalk1!$H$37</f>
        <v>0</v>
      </c>
      <c r="AM46" s="55" t="s">
        <v>20872</v>
      </c>
    </row>
    <row r="47" spans="2:54" ht="24.95" customHeight="1">
      <c r="B47" s="93">
        <f t="shared" si="2"/>
        <v>0</v>
      </c>
      <c r="C47" s="60"/>
      <c r="D47" s="60"/>
      <c r="E47" s="60" t="str">
        <f>VLOOKUP(1594,Sprachindex!$A:$Z,Erhebungsbogen!$Y$20,FALSE)</f>
        <v>[EH]</v>
      </c>
      <c r="F47" s="60" t="s">
        <v>25458</v>
      </c>
      <c r="G47" s="514" t="str">
        <f>VLOOKUP(1627,Sprachindex!$A:$Z,Erhebungsbogen!$Y$20,FALSE)</f>
        <v>Aufpreis Planungsstunde</v>
      </c>
      <c r="H47" s="514"/>
      <c r="I47" s="514"/>
      <c r="J47" s="514"/>
      <c r="K47" s="514"/>
      <c r="L47" s="514"/>
      <c r="M47" s="514"/>
      <c r="N47" s="514"/>
      <c r="O47" s="514"/>
      <c r="P47" s="514"/>
      <c r="Q47" s="514"/>
      <c r="R47" s="514"/>
      <c r="S47" s="514"/>
      <c r="T47" s="514"/>
      <c r="U47" s="352">
        <f>Preisliste!F28</f>
        <v>0</v>
      </c>
      <c r="V47" s="352">
        <f t="shared" si="0"/>
        <v>0</v>
      </c>
      <c r="W47" s="86"/>
      <c r="X47" s="86"/>
      <c r="Y47" s="86"/>
      <c r="Z47" s="86"/>
      <c r="AA47" s="86"/>
      <c r="AB47" s="86"/>
      <c r="AC47" s="86"/>
      <c r="AD47" s="86"/>
      <c r="AE47" s="86"/>
      <c r="AF47" s="86"/>
      <c r="AG47" s="55">
        <f>IF(Kalk1!$AA$24,1,0)</f>
        <v>0</v>
      </c>
      <c r="AK47" s="55" t="s">
        <v>22100</v>
      </c>
      <c r="AL47" s="66">
        <f>Kalk1!$X$25*Kalk1!$H$37</f>
        <v>0</v>
      </c>
      <c r="AM47" s="55" t="s">
        <v>22102</v>
      </c>
      <c r="BA47" s="56" t="s">
        <v>7662</v>
      </c>
      <c r="BB47" s="55" t="s">
        <v>22113</v>
      </c>
    </row>
    <row r="48" spans="2:54" ht="24.95" customHeight="1">
      <c r="B48" s="93">
        <f t="shared" ref="B48" si="3">IF(AG48=1,AL48,0)</f>
        <v>0</v>
      </c>
      <c r="C48" s="60"/>
      <c r="D48" s="60"/>
      <c r="E48" s="60" t="str">
        <f>VLOOKUP(1594,Sprachindex!$A:$Z,Erhebungsbogen!$Y$20,FALSE)</f>
        <v>[EH]</v>
      </c>
      <c r="F48" s="60" t="s">
        <v>25461</v>
      </c>
      <c r="G48" s="514" t="str">
        <f>VLOOKUP(2259,Sprachindex!$A:$Z,Erhebungsbogen!$Y$20,FALSE)</f>
        <v>Ausfräsungen Dammbalken</v>
      </c>
      <c r="H48" s="514"/>
      <c r="I48" s="514"/>
      <c r="J48" s="514"/>
      <c r="K48" s="514"/>
      <c r="L48" s="514"/>
      <c r="M48" s="514"/>
      <c r="N48" s="514"/>
      <c r="O48" s="514"/>
      <c r="P48" s="514"/>
      <c r="Q48" s="514"/>
      <c r="R48" s="514"/>
      <c r="S48" s="514"/>
      <c r="T48" s="514"/>
      <c r="U48" s="352">
        <f>Preisliste!F161</f>
        <v>80</v>
      </c>
      <c r="V48" s="352">
        <f t="shared" ref="V48" si="4">U48*B48</f>
        <v>0</v>
      </c>
      <c r="W48" s="86"/>
      <c r="X48" s="86"/>
      <c r="Y48" s="86"/>
      <c r="Z48" s="86"/>
      <c r="AA48" s="86"/>
      <c r="AB48" s="86"/>
      <c r="AC48" s="86"/>
      <c r="AD48" s="86"/>
      <c r="AE48" s="86"/>
      <c r="AF48" s="86"/>
      <c r="AG48" s="55">
        <f>IF(Kalk1!$AA$21,1,0)</f>
        <v>0</v>
      </c>
      <c r="AK48" s="55" t="s">
        <v>22100</v>
      </c>
      <c r="AL48" s="66">
        <f>Kalk1!$Q$24*Kalk1!$H$37</f>
        <v>0</v>
      </c>
      <c r="AM48" s="55" t="s">
        <v>22102</v>
      </c>
      <c r="BA48" s="56" t="s">
        <v>7662</v>
      </c>
      <c r="BB48" s="55" t="s">
        <v>22113</v>
      </c>
    </row>
    <row r="49" spans="2:84" ht="24.95" customHeight="1">
      <c r="B49" s="94">
        <f t="shared" ref="B49:B50" si="5">IF(AG49=1,AL49,0)</f>
        <v>0</v>
      </c>
      <c r="C49" s="60"/>
      <c r="D49" s="60">
        <f t="shared" ref="D49:D50" si="6">B49</f>
        <v>0</v>
      </c>
      <c r="E49" s="60" t="str">
        <f>VLOOKUP(1596,Sprachindex!$A:$Z,Erhebungsbogen!$Y$20,FALSE)</f>
        <v>[lfm]</v>
      </c>
      <c r="F49" s="60" t="s">
        <v>21943</v>
      </c>
      <c r="G49" s="514" t="str">
        <f>VLOOKUP(1649,Sprachindex!$A:$Z,Erhebungsbogen!$Y$20,FALSE) &amp; " [" &amp; VLOOKUP(992,Sprachindex!$A:$Z,Erhebungsbogen!$Y$20,FALSE) &amp; " =1 "&amp; VLOOKUP(1512,Sprachindex!$A:$Z,Erhebungsbogen!$Y$20,FALSE) &amp; "]"</f>
        <v>Bodendichtung 25 [VPE =1 lfm]</v>
      </c>
      <c r="H49" s="514"/>
      <c r="I49" s="514"/>
      <c r="J49" s="514"/>
      <c r="K49" s="514"/>
      <c r="L49" s="514"/>
      <c r="M49" s="514"/>
      <c r="N49" s="514"/>
      <c r="O49" s="514"/>
      <c r="P49" s="514"/>
      <c r="Q49" s="514"/>
      <c r="R49" s="514"/>
      <c r="S49" s="514"/>
      <c r="T49" s="514"/>
      <c r="U49" s="352">
        <f>VLOOKUP(F49,Preisliste!C:F,4,FALSE)</f>
        <v>29.7</v>
      </c>
      <c r="V49" s="352">
        <f>U49*D49</f>
        <v>0</v>
      </c>
      <c r="W49" s="86"/>
      <c r="X49" s="86"/>
      <c r="Y49" s="86"/>
      <c r="Z49" s="86"/>
      <c r="AA49" s="86"/>
      <c r="AB49" s="86"/>
      <c r="AC49" s="86"/>
      <c r="AD49" s="86"/>
      <c r="AE49" s="86"/>
      <c r="AF49" s="86"/>
      <c r="AG49" s="55">
        <f>IF(AND(Kalk1!$AA$19=1,Kalk1!$AA$29=FALSE,AND(Kalk1!H28&gt;0,Kalk1!H29&gt;Kalk1!B1)),1,0)</f>
        <v>0</v>
      </c>
      <c r="AK49" s="55" t="s">
        <v>22100</v>
      </c>
      <c r="AL49" s="66">
        <f>Kalk1!$AH$45</f>
        <v>0</v>
      </c>
      <c r="AM49" s="55" t="s">
        <v>17115</v>
      </c>
      <c r="BA49" s="56" t="s">
        <v>22111</v>
      </c>
      <c r="BB49" s="55" t="s">
        <v>22112</v>
      </c>
    </row>
    <row r="50" spans="2:84" ht="24.95" customHeight="1">
      <c r="B50" s="94">
        <f t="shared" si="5"/>
        <v>0</v>
      </c>
      <c r="C50" s="60"/>
      <c r="D50" s="60">
        <f t="shared" si="6"/>
        <v>0</v>
      </c>
      <c r="E50" s="60" t="str">
        <f>VLOOKUP(1596,Sprachindex!$A:$Z,Erhebungsbogen!$Y$20,FALSE)</f>
        <v>[lfm]</v>
      </c>
      <c r="F50" s="60" t="s">
        <v>21944</v>
      </c>
      <c r="G50" s="514" t="str">
        <f>VLOOKUP(1650,Sprachindex!$A:$Z,Erhebungsbogen!$Y$20,FALSE) &amp; " [" &amp; VLOOKUP(992,Sprachindex!$A:$Z,Erhebungsbogen!$Y$20,FALSE) &amp; " =1 "&amp; VLOOKUP(1512,Sprachindex!$A:$Z,Erhebungsbogen!$Y$20,FALSE) &amp; "]"</f>
        <v>Bodendichtung 50 [VPE =1 lfm]</v>
      </c>
      <c r="H50" s="514"/>
      <c r="I50" s="514"/>
      <c r="J50" s="514"/>
      <c r="K50" s="514"/>
      <c r="L50" s="514"/>
      <c r="M50" s="514"/>
      <c r="N50" s="514"/>
      <c r="O50" s="514"/>
      <c r="P50" s="514"/>
      <c r="Q50" s="514"/>
      <c r="R50" s="514"/>
      <c r="S50" s="514"/>
      <c r="T50" s="514"/>
      <c r="U50" s="352">
        <f>VLOOKUP(F50,Preisliste!C:F,4,FALSE)</f>
        <v>29.7</v>
      </c>
      <c r="V50" s="352">
        <f t="shared" ref="V50:V51" si="7">U50*D50</f>
        <v>0</v>
      </c>
      <c r="W50" s="86"/>
      <c r="X50" s="86"/>
      <c r="Y50" s="86"/>
      <c r="Z50" s="86"/>
      <c r="AA50" s="86"/>
      <c r="AB50" s="86"/>
      <c r="AC50" s="86"/>
      <c r="AD50" s="86"/>
      <c r="AE50" s="86"/>
      <c r="AF50" s="86"/>
      <c r="AG50" s="244">
        <f>IF(AND(OR(Kalk1!$AA$19=2,Kalk1!$AA$19=3),Kalk1!$AA$29=FALSE,AND(Kalk1!H28&gt;0,Kalk1!H29&gt;0)),1,0)</f>
        <v>0</v>
      </c>
      <c r="AK50" s="55" t="s">
        <v>22100</v>
      </c>
      <c r="AL50" s="66">
        <f>Kalk1!$AH$45</f>
        <v>0</v>
      </c>
      <c r="AM50" s="55" t="s">
        <v>17115</v>
      </c>
    </row>
    <row r="51" spans="2:84" ht="24.95" customHeight="1">
      <c r="B51" s="94">
        <f t="shared" si="2"/>
        <v>0</v>
      </c>
      <c r="C51" s="60"/>
      <c r="D51" s="60">
        <f>B51</f>
        <v>0</v>
      </c>
      <c r="E51" s="60" t="str">
        <f>VLOOKUP(1596,Sprachindex!$A:$Z,Erhebungsbogen!$Y$20,FALSE)</f>
        <v>[lfm]</v>
      </c>
      <c r="F51" s="60" t="s">
        <v>21945</v>
      </c>
      <c r="G51" s="514" t="str">
        <f>VLOOKUP(1651,Sprachindex!$A:$Z,Erhebungsbogen!$Y$20,FALSE) &amp; " [" &amp; VLOOKUP(992,Sprachindex!$A:$Z,Erhebungsbogen!$Y$20,FALSE) &amp; " =1 "&amp; VLOOKUP(1512,Sprachindex!$A:$Z,Erhebungsbogen!$Y$20,FALSE) &amp; "]"</f>
        <v>Bodendichtung 80 [VPE =1 lfm]</v>
      </c>
      <c r="H51" s="514"/>
      <c r="I51" s="514"/>
      <c r="J51" s="514"/>
      <c r="K51" s="514"/>
      <c r="L51" s="514"/>
      <c r="M51" s="514"/>
      <c r="N51" s="514"/>
      <c r="O51" s="514"/>
      <c r="P51" s="514"/>
      <c r="Q51" s="514"/>
      <c r="R51" s="514"/>
      <c r="S51" s="514"/>
      <c r="T51" s="514"/>
      <c r="U51" s="352">
        <f>VLOOKUP(F51,Preisliste!C:F,4,FALSE)</f>
        <v>47.9</v>
      </c>
      <c r="V51" s="352">
        <f t="shared" si="7"/>
        <v>0</v>
      </c>
      <c r="W51" s="86"/>
      <c r="X51" s="86"/>
      <c r="Y51" s="86"/>
      <c r="Z51" s="86"/>
      <c r="AA51" s="86"/>
      <c r="AB51" s="86"/>
      <c r="AC51" s="86"/>
      <c r="AD51" s="86"/>
      <c r="AE51" s="86"/>
      <c r="AF51" s="86"/>
      <c r="AG51" s="55">
        <f>IF(AND(Kalk1!$AA$19=4,Kalk1!$AA$29=FALSE,AND(Kalk1!H28&gt;0,Kalk1!H29&gt;Kalk1!B1)),1,0)</f>
        <v>0</v>
      </c>
      <c r="AK51" s="55" t="s">
        <v>22100</v>
      </c>
      <c r="AL51" s="66">
        <f>Kalk1!$AH$45</f>
        <v>0</v>
      </c>
      <c r="AM51" s="55" t="s">
        <v>17115</v>
      </c>
    </row>
    <row r="52" spans="2:84" ht="24.95" customHeight="1">
      <c r="B52" s="93">
        <f>IF(AG52=1,CE52,0)</f>
        <v>0</v>
      </c>
      <c r="C52" s="60"/>
      <c r="D52" s="60"/>
      <c r="E52" s="60" t="str">
        <f>VLOOKUP(1600,Sprachindex!$A:$Z,Erhebungsbogen!$Y$20,FALSE)</f>
        <v>[Stk]</v>
      </c>
      <c r="F52" s="60" t="s">
        <v>21934</v>
      </c>
      <c r="G52" s="514" t="str">
        <f>VLOOKUP(1653,Sprachindex!$A:$Z,Erhebungsbogen!$Y$20,FALSE)</f>
        <v>Bodenhülse 50/80 Aluminium beschichtet inkl. Deckel mit Dichtung</v>
      </c>
      <c r="H52" s="514"/>
      <c r="I52" s="514"/>
      <c r="J52" s="514"/>
      <c r="K52" s="514"/>
      <c r="L52" s="514"/>
      <c r="M52" s="514"/>
      <c r="N52" s="514"/>
      <c r="O52" s="514"/>
      <c r="P52" s="514"/>
      <c r="Q52" s="514"/>
      <c r="R52" s="514"/>
      <c r="S52" s="514"/>
      <c r="T52" s="514"/>
      <c r="U52" s="352">
        <f>VLOOKUP(F52,Preisliste!C:F,4,FALSE)</f>
        <v>439.95</v>
      </c>
      <c r="V52" s="352">
        <f t="shared" ref="V52:V55" si="8">U52*B52</f>
        <v>0</v>
      </c>
      <c r="W52" s="86"/>
      <c r="X52" s="86"/>
      <c r="Y52" s="86"/>
      <c r="Z52" s="86"/>
      <c r="AA52" s="86"/>
      <c r="AB52" s="86"/>
      <c r="AC52" s="86"/>
      <c r="AD52" s="86"/>
      <c r="AE52" s="86"/>
      <c r="AF52" s="86"/>
      <c r="AG52" s="55">
        <f>IF(AND(BS52=1,CE52&gt;0),1,0)</f>
        <v>0</v>
      </c>
      <c r="AH52" s="55">
        <f>(Kalk1!$H$35-1)*Kalk1!$H$37</f>
        <v>0</v>
      </c>
      <c r="AI52" s="55" t="s">
        <v>22103</v>
      </c>
      <c r="AL52" s="55">
        <f>(Kalk1!$H$35-1)*Kalk1!$H$37</f>
        <v>0</v>
      </c>
      <c r="AM52" s="55" t="s">
        <v>22114</v>
      </c>
      <c r="AP52" s="55">
        <f>IF(OR(Kalk1!$AA$19=2,Kalk1!$AA$19=3),1,0)</f>
        <v>1</v>
      </c>
      <c r="AQ52" s="55">
        <v>50</v>
      </c>
      <c r="AT52" s="55">
        <f>IF(Kalk1!$AA$19=4,1,0)</f>
        <v>0</v>
      </c>
      <c r="AU52" s="55">
        <v>80</v>
      </c>
      <c r="AX52" s="55">
        <f>IF(AND(AP52=1,Kalk1!$O$20&gt;0),Kalk1!$O$20,0)</f>
        <v>0</v>
      </c>
      <c r="AY52" s="55" t="s">
        <v>22110</v>
      </c>
      <c r="BB52" s="55">
        <f>IF(AND(AP52=1,Kalk1!$O$21&gt;0),Kalk1!$O$21,0)</f>
        <v>0</v>
      </c>
      <c r="BC52" s="55" t="s">
        <v>22080</v>
      </c>
      <c r="BG52" s="55">
        <f>IF(AND(AT52=1,Kalk1!$AA$20=2),'STK1'!AL52,0)</f>
        <v>0</v>
      </c>
      <c r="BH52" s="55" t="s">
        <v>22105</v>
      </c>
      <c r="BK52" s="55">
        <f>IF(AND(AT52=1,BG52=0,Kalk1!$O$20&gt;0),Kalk1!$O$20,0)</f>
        <v>0</v>
      </c>
      <c r="BL52" s="55" t="s">
        <v>22109</v>
      </c>
      <c r="BO52" s="55">
        <f>IF(AND(AT52=1,BG52=0,Kalk1!$O$21&gt;0),Kalk1!$O$21,0)</f>
        <v>0</v>
      </c>
      <c r="BP52" s="55" t="s">
        <v>22108</v>
      </c>
      <c r="BS52" s="55">
        <f>IF(Kalk1!$AA$17=1,1,0)</f>
        <v>1</v>
      </c>
      <c r="BT52" s="55" t="s">
        <v>22082</v>
      </c>
      <c r="BX52" s="55">
        <f>IF(AP52=1,AH52-BB52,0)</f>
        <v>0</v>
      </c>
      <c r="BY52" s="55" t="s">
        <v>22106</v>
      </c>
      <c r="CA52" s="55">
        <f>IF(AND(AT52=1,BG52=0),AL52-BK52-BO52,0)</f>
        <v>0</v>
      </c>
      <c r="CB52" s="55" t="s">
        <v>22107</v>
      </c>
      <c r="CD52" s="55" t="s">
        <v>22100</v>
      </c>
      <c r="CE52" s="55">
        <f>IF(CA52&lt;0,0,BX52+CA52)</f>
        <v>0</v>
      </c>
      <c r="CF52" s="55" t="s">
        <v>20872</v>
      </c>
    </row>
    <row r="53" spans="2:84" ht="24.95" customHeight="1">
      <c r="B53" s="93">
        <f>IF(AG53=1,CE53,0)</f>
        <v>0</v>
      </c>
      <c r="C53" s="60"/>
      <c r="D53" s="60"/>
      <c r="E53" s="60" t="str">
        <f>VLOOKUP(1600,Sprachindex!$A:$Z,Erhebungsbogen!$Y$20,FALSE)</f>
        <v>[Stk]</v>
      </c>
      <c r="F53" s="60" t="s">
        <v>21935</v>
      </c>
      <c r="G53" s="514" t="str">
        <f>VLOOKUP(1654,Sprachindex!$A:$Z,Erhebungsbogen!$Y$20,FALSE)</f>
        <v>Bodenhülse 50/80 Edelstahl beschichtet inkl. Deckel mit Dichtung</v>
      </c>
      <c r="H53" s="514"/>
      <c r="I53" s="514"/>
      <c r="J53" s="514"/>
      <c r="K53" s="514"/>
      <c r="L53" s="514"/>
      <c r="M53" s="514"/>
      <c r="N53" s="514"/>
      <c r="O53" s="514"/>
      <c r="P53" s="514"/>
      <c r="Q53" s="514"/>
      <c r="R53" s="514"/>
      <c r="S53" s="514"/>
      <c r="T53" s="514"/>
      <c r="U53" s="352">
        <f>VLOOKUP(F53,Preisliste!C:F,4,FALSE)</f>
        <v>767.55</v>
      </c>
      <c r="V53" s="352">
        <f t="shared" si="8"/>
        <v>0</v>
      </c>
      <c r="W53" s="86"/>
      <c r="X53" s="86"/>
      <c r="Y53" s="86"/>
      <c r="Z53" s="86"/>
      <c r="AA53" s="86"/>
      <c r="AB53" s="86"/>
      <c r="AC53" s="86"/>
      <c r="AD53" s="86"/>
      <c r="AE53" s="86"/>
      <c r="AF53" s="86"/>
      <c r="AG53" s="55">
        <f t="shared" ref="AG53:AG55" si="9">IF(AND(BS53=1,CE53&gt;0),1,0)</f>
        <v>0</v>
      </c>
      <c r="AH53" s="55">
        <f>(Kalk1!$H$35-1)*Kalk1!$H$37</f>
        <v>0</v>
      </c>
      <c r="AI53" s="55" t="s">
        <v>22103</v>
      </c>
      <c r="AL53" s="55">
        <f>(Kalk1!$H$35-1)*Kalk1!$H$37</f>
        <v>0</v>
      </c>
      <c r="AM53" s="55" t="s">
        <v>22114</v>
      </c>
      <c r="AP53" s="55">
        <f>IF(OR(Kalk1!$AA$19=2,Kalk1!$AA$19=3),1,0)</f>
        <v>1</v>
      </c>
      <c r="AQ53" s="55">
        <v>50</v>
      </c>
      <c r="AT53" s="55">
        <f>IF(Kalk1!$AA$19=4,1,0)</f>
        <v>0</v>
      </c>
      <c r="AU53" s="55">
        <v>80</v>
      </c>
      <c r="AX53" s="55">
        <f>IF(AND(AP53=1,Kalk1!$O$20&gt;0),Kalk1!$O$20,0)</f>
        <v>0</v>
      </c>
      <c r="AY53" s="55" t="s">
        <v>22110</v>
      </c>
      <c r="BB53" s="55">
        <f>IF(AND(AP53=1,Kalk1!$O$21&gt;0),Kalk1!$O$21,0)</f>
        <v>0</v>
      </c>
      <c r="BC53" s="55" t="s">
        <v>22080</v>
      </c>
      <c r="BG53" s="55">
        <f>IF(AND(AT53=1,Kalk1!$AA$20=2),'STK1'!AL53,0)</f>
        <v>0</v>
      </c>
      <c r="BH53" s="55" t="s">
        <v>22105</v>
      </c>
      <c r="BK53" s="55">
        <f>IF(AND(AT53=1,BG53=0,Kalk1!$O$20&gt;0),Kalk1!$O$20,0)</f>
        <v>0</v>
      </c>
      <c r="BL53" s="55" t="s">
        <v>22109</v>
      </c>
      <c r="BO53" s="55">
        <f>IF(AND(AT53=1,BG53=0,Kalk1!$O$21&gt;0),Kalk1!$O$21,0)</f>
        <v>0</v>
      </c>
      <c r="BP53" s="55" t="s">
        <v>22108</v>
      </c>
      <c r="BS53" s="55">
        <f>IF(Kalk1!$AA$17=2,1,0)</f>
        <v>0</v>
      </c>
      <c r="BT53" s="55" t="s">
        <v>22104</v>
      </c>
      <c r="BX53" s="55">
        <f>IF(AP53=1,AH53-AX53-BB53,0)</f>
        <v>0</v>
      </c>
      <c r="BY53" s="55" t="s">
        <v>22106</v>
      </c>
      <c r="CA53" s="55">
        <f>IF(AND(AT53=1,BG53=0),AL53-BK53-BO53,0)</f>
        <v>0</v>
      </c>
      <c r="CB53" s="55" t="s">
        <v>22107</v>
      </c>
      <c r="CD53" s="55" t="s">
        <v>22100</v>
      </c>
      <c r="CE53" s="55">
        <f>IF(CA53&lt;0,0,BX53+CA53)</f>
        <v>0</v>
      </c>
      <c r="CF53" s="55" t="s">
        <v>20872</v>
      </c>
    </row>
    <row r="54" spans="2:84" ht="24.95" customHeight="1">
      <c r="B54" s="93">
        <f>IF(AG54=1,CE54,0)</f>
        <v>0</v>
      </c>
      <c r="C54" s="60"/>
      <c r="D54" s="60"/>
      <c r="E54" s="60" t="str">
        <f>VLOOKUP(1600,Sprachindex!$A:$Z,Erhebungsbogen!$Y$20,FALSE)</f>
        <v>[Stk]</v>
      </c>
      <c r="F54" s="60" t="s">
        <v>21936</v>
      </c>
      <c r="G54" s="514" t="str">
        <f>VLOOKUP(2122,Sprachindex!$A:$Z,Erhebungsbogen!$Y$20,FALSE)</f>
        <v>Bodenhülse (GROSS) 50 Vario und 80 beschichtet inkl. Aluminiumdeckel und Dichtung</v>
      </c>
      <c r="H54" s="514"/>
      <c r="I54" s="514"/>
      <c r="J54" s="514"/>
      <c r="K54" s="514"/>
      <c r="L54" s="514"/>
      <c r="M54" s="514"/>
      <c r="N54" s="514"/>
      <c r="O54" s="514"/>
      <c r="P54" s="514"/>
      <c r="Q54" s="514"/>
      <c r="R54" s="514"/>
      <c r="S54" s="514"/>
      <c r="T54" s="514"/>
      <c r="U54" s="352">
        <f>VLOOKUP(F54,Preisliste!C:F,4,FALSE)</f>
        <v>850.8</v>
      </c>
      <c r="V54" s="352">
        <f t="shared" si="8"/>
        <v>0</v>
      </c>
      <c r="W54" s="86"/>
      <c r="X54" s="86"/>
      <c r="Y54" s="86"/>
      <c r="Z54" s="86"/>
      <c r="AA54" s="86"/>
      <c r="AB54" s="86"/>
      <c r="AC54" s="86"/>
      <c r="AD54" s="86"/>
      <c r="AE54" s="86"/>
      <c r="AF54" s="86"/>
      <c r="AG54" s="55">
        <f t="shared" si="9"/>
        <v>0</v>
      </c>
      <c r="AH54" s="55">
        <f>(Kalk1!$H$35-1)*Kalk1!$H$37</f>
        <v>0</v>
      </c>
      <c r="AI54" s="55" t="s">
        <v>22103</v>
      </c>
      <c r="AL54" s="55">
        <f>(Kalk1!$H$35-1)*Kalk1!$H$37</f>
        <v>0</v>
      </c>
      <c r="AM54" s="55" t="s">
        <v>22114</v>
      </c>
      <c r="AP54" s="55">
        <f>IF(OR(Kalk1!$AA$19=2,Kalk1!$AA$19=3),1,0)</f>
        <v>1</v>
      </c>
      <c r="AQ54" s="55">
        <v>50</v>
      </c>
      <c r="AT54" s="55">
        <f>IF(Kalk1!$AA$19=4,1,0)</f>
        <v>0</v>
      </c>
      <c r="AU54" s="55">
        <v>80</v>
      </c>
      <c r="BB54" s="55">
        <f>IF(AND(AP54=1,Kalk1!$O$21&gt;0),Kalk1!$O$21,0)</f>
        <v>0</v>
      </c>
      <c r="BC54" s="55" t="s">
        <v>22080</v>
      </c>
      <c r="BG54" s="55">
        <f>IF(AND(AT54=1,Kalk1!$AA$20=2),'STK1'!AL54,0)</f>
        <v>0</v>
      </c>
      <c r="BH54" s="55" t="s">
        <v>22105</v>
      </c>
      <c r="BK54" s="55">
        <f>IF(AND(AT54=1,BG54=0,Kalk1!$O$20&gt;0),Kalk1!$O$20,0)</f>
        <v>0</v>
      </c>
      <c r="BL54" s="55" t="s">
        <v>22109</v>
      </c>
      <c r="BO54" s="55">
        <f>IF(AND(AT54=1,BG54=0,Kalk1!$O$21&gt;0),Kalk1!$O$21,0)</f>
        <v>0</v>
      </c>
      <c r="BP54" s="55" t="s">
        <v>22108</v>
      </c>
      <c r="BS54" s="55">
        <f>IF(Kalk1!$AA$17=1,1,0)</f>
        <v>1</v>
      </c>
      <c r="BT54" s="55" t="s">
        <v>22082</v>
      </c>
      <c r="BX54" s="55">
        <f>AX54+BB54</f>
        <v>0</v>
      </c>
      <c r="BY54" s="55" t="s">
        <v>22106</v>
      </c>
      <c r="CA54" s="55">
        <f>BG54+BK54+BO54</f>
        <v>0</v>
      </c>
      <c r="CB54" s="55" t="s">
        <v>22107</v>
      </c>
      <c r="CD54" s="55" t="s">
        <v>22100</v>
      </c>
      <c r="CE54" s="55">
        <f>BX54+CA54</f>
        <v>0</v>
      </c>
      <c r="CF54" s="55" t="s">
        <v>20872</v>
      </c>
    </row>
    <row r="55" spans="2:84" ht="24.95" customHeight="1">
      <c r="B55" s="93">
        <f>IF(AG55=1,CE55,0)</f>
        <v>0</v>
      </c>
      <c r="C55" s="60"/>
      <c r="D55" s="60"/>
      <c r="E55" s="60" t="str">
        <f>VLOOKUP(1600,Sprachindex!$A:$Z,Erhebungsbogen!$Y$20,FALSE)</f>
        <v>[Stk]</v>
      </c>
      <c r="F55" s="60" t="s">
        <v>21937</v>
      </c>
      <c r="G55" s="514" t="str">
        <f>VLOOKUP(2123,Sprachindex!$A:$Z,Erhebungsbogen!$Y$20,FALSE)</f>
        <v>Bodenhülse (GROSS) 50 Vario und 80 beschichtet inkl. Edelstahldeckel und Dichtung</v>
      </c>
      <c r="H55" s="514"/>
      <c r="I55" s="514"/>
      <c r="J55" s="514"/>
      <c r="K55" s="514"/>
      <c r="L55" s="514"/>
      <c r="M55" s="514"/>
      <c r="N55" s="514"/>
      <c r="O55" s="514"/>
      <c r="P55" s="514"/>
      <c r="Q55" s="514"/>
      <c r="R55" s="514"/>
      <c r="S55" s="514"/>
      <c r="T55" s="514"/>
      <c r="U55" s="352">
        <f>VLOOKUP(F55,Preisliste!C:F,4,FALSE)</f>
        <v>1090.3</v>
      </c>
      <c r="V55" s="352">
        <f t="shared" si="8"/>
        <v>0</v>
      </c>
      <c r="W55" s="86"/>
      <c r="X55" s="86"/>
      <c r="Y55" s="86"/>
      <c r="Z55" s="86"/>
      <c r="AA55" s="86"/>
      <c r="AB55" s="86"/>
      <c r="AC55" s="86"/>
      <c r="AD55" s="86"/>
      <c r="AE55" s="86"/>
      <c r="AF55" s="86"/>
      <c r="AG55" s="55">
        <f t="shared" si="9"/>
        <v>0</v>
      </c>
      <c r="AH55" s="55">
        <f>(Kalk1!$H$35-1)*Kalk1!$H$37</f>
        <v>0</v>
      </c>
      <c r="AI55" s="55" t="s">
        <v>22103</v>
      </c>
      <c r="AL55" s="55">
        <f>(Kalk1!$H$35-1)*Kalk1!$H$37</f>
        <v>0</v>
      </c>
      <c r="AM55" s="55" t="s">
        <v>22114</v>
      </c>
      <c r="AP55" s="55">
        <f>IF(OR(Kalk1!$AA$19=2,Kalk1!$AA$19=3),1,0)</f>
        <v>1</v>
      </c>
      <c r="AQ55" s="55">
        <v>50</v>
      </c>
      <c r="AT55" s="55">
        <f>IF(Kalk1!$AA$19=4,1,0)</f>
        <v>0</v>
      </c>
      <c r="AU55" s="55">
        <v>80</v>
      </c>
      <c r="AX55" s="55">
        <f>IF(AND(AP55=1,Kalk1!$O$20&gt;0),Kalk1!$O$20,0)</f>
        <v>0</v>
      </c>
      <c r="AY55" s="55" t="s">
        <v>22110</v>
      </c>
      <c r="BB55" s="55">
        <f>IF(AND(AP55=1,Kalk1!$O$21&gt;0),Kalk1!$O$21,0)</f>
        <v>0</v>
      </c>
      <c r="BC55" s="55" t="s">
        <v>22080</v>
      </c>
      <c r="BG55" s="55">
        <f>IF(AND(AT55=1,Kalk1!$AA$20=2),'STK1'!AL55,0)</f>
        <v>0</v>
      </c>
      <c r="BH55" s="55" t="s">
        <v>22105</v>
      </c>
      <c r="BK55" s="55">
        <f>IF(AND(AT55=1,BG55=0,Kalk1!$O$20&gt;0),Kalk1!$O$20,0)</f>
        <v>0</v>
      </c>
      <c r="BL55" s="55" t="s">
        <v>22109</v>
      </c>
      <c r="BO55" s="55">
        <f>IF(AND(AT55=1,BG55=0,Kalk1!$O$21&gt;0),Kalk1!$O$21,0)</f>
        <v>0</v>
      </c>
      <c r="BP55" s="55" t="s">
        <v>22108</v>
      </c>
      <c r="BS55" s="55">
        <f>IF(Kalk1!$AA$17=2,1,0)</f>
        <v>0</v>
      </c>
      <c r="BT55" s="55" t="s">
        <v>22104</v>
      </c>
      <c r="BX55" s="55">
        <f>AX55+BB55</f>
        <v>0</v>
      </c>
      <c r="BY55" s="55" t="s">
        <v>22106</v>
      </c>
      <c r="CA55" s="55">
        <f>BG55+BK55+BO55</f>
        <v>0</v>
      </c>
      <c r="CB55" s="55" t="s">
        <v>22107</v>
      </c>
      <c r="CD55" s="55" t="s">
        <v>22100</v>
      </c>
      <c r="CE55" s="55">
        <f>BX55+CA55</f>
        <v>0</v>
      </c>
      <c r="CF55" s="55" t="s">
        <v>20872</v>
      </c>
    </row>
    <row r="56" spans="2:84" ht="24.95" customHeight="1">
      <c r="B56" s="93">
        <f>IF(AG56=1,AH56*AL56,0)</f>
        <v>0</v>
      </c>
      <c r="C56" s="138">
        <f>IF(AG56=1,AT56,0)</f>
        <v>0</v>
      </c>
      <c r="D56" s="60">
        <f t="shared" ref="D56:D57" si="10">B56*C56/1000</f>
        <v>0</v>
      </c>
      <c r="E56" s="60" t="str">
        <f>VLOOKUP(1598,Sprachindex!$A:$Z,Erhebungsbogen!$Y$20,FALSE)</f>
        <v>[mm]</v>
      </c>
      <c r="F56" s="60" t="s">
        <v>21877</v>
      </c>
      <c r="G56" s="514" t="str">
        <f>VLOOKUP(1660,Sprachindex!$A:$Z,Erhebungsbogen!$Y$20,FALSE) &amp; IF(AND(Kalk1!$AA$5=2,Kalk1!$AA$15),", " &amp; VLOOKUP(1645,Sprachindex!$A:$Z,Erhebungsbogen!$Y$20,FALSE) &amp; " " &amp; $U$8,", "&amp; VLOOKUP(1648,Sprachindex!$A:$Z,Erhebungsbogen!$Y$20,FALSE)) &amp; " (" &amp; ROUNDUP(C56/1000*Preisliste!I36,2) &amp; " " &amp; VLOOKUP(1744,Sprachindex!$A:$Z,Erhebungsbogen!$Y$20,FALSE) &amp; ")"</f>
        <v>Dammbalken 25/200 exkl. Dichtung, gesägt und entgratet, blank (0 kg/Stk)</v>
      </c>
      <c r="H56" s="514"/>
      <c r="I56" s="514"/>
      <c r="J56" s="514"/>
      <c r="K56" s="514"/>
      <c r="L56" s="514"/>
      <c r="M56" s="514"/>
      <c r="N56" s="514"/>
      <c r="O56" s="514"/>
      <c r="P56" s="514"/>
      <c r="Q56" s="514"/>
      <c r="R56" s="514"/>
      <c r="S56" s="514"/>
      <c r="T56" s="514"/>
      <c r="U56" s="352">
        <f>IF(AND(Kalk1!$AA$5=2,Kalk1!$AA$15),VLOOKUP(F56,Preisliste!C:G,5,FALSE),VLOOKUP(F56,Preisliste!C:G,4,FALSE))</f>
        <v>104.55</v>
      </c>
      <c r="V56" s="352">
        <f t="shared" ref="V56:V57" si="11">U56*D56</f>
        <v>0</v>
      </c>
      <c r="W56" s="86"/>
      <c r="X56" s="86"/>
      <c r="Y56" s="86"/>
      <c r="Z56" s="143">
        <f>IF(AND(Kalk1!$AA$5=2,Kalk1!$AA$15),(VLOOKUP(F56,Preisliste!C:G,5,FALSE)-VLOOKUP(F56,Preisliste!C:G,4,FALSE))*D56/1000,0)</f>
        <v>0</v>
      </c>
      <c r="AA56" s="86"/>
      <c r="AB56" s="86"/>
      <c r="AC56" s="86"/>
      <c r="AD56" s="86"/>
      <c r="AE56" s="86"/>
      <c r="AF56" s="86"/>
      <c r="AG56" s="55">
        <f>IF(Kalk1!$AA$19=1,1,0)</f>
        <v>0</v>
      </c>
      <c r="AH56" s="66">
        <f>Kalk1!$H$35*Kalk1!$H$37</f>
        <v>1</v>
      </c>
      <c r="AI56" s="55" t="s">
        <v>22081</v>
      </c>
      <c r="AK56" s="55" t="s">
        <v>22079</v>
      </c>
      <c r="AL56" s="66">
        <f>Kalk1!$AH$40</f>
        <v>0</v>
      </c>
      <c r="AM56" s="55" t="s">
        <v>22096</v>
      </c>
      <c r="AT56" s="66">
        <f>Kalk1!$AH$38</f>
        <v>0</v>
      </c>
      <c r="AU56" s="55" t="s">
        <v>21845</v>
      </c>
    </row>
    <row r="57" spans="2:84" ht="24.95" customHeight="1">
      <c r="B57" s="93">
        <f t="shared" ref="B57:B58" si="12">IF(AG57=1,AH57*AL57,0)</f>
        <v>0</v>
      </c>
      <c r="C57" s="138">
        <f>IF(AG57=1,AT57,0)</f>
        <v>0</v>
      </c>
      <c r="D57" s="60">
        <f t="shared" si="10"/>
        <v>0</v>
      </c>
      <c r="E57" s="60" t="str">
        <f>VLOOKUP(1598,Sprachindex!$A:$Z,Erhebungsbogen!$Y$20,FALSE)</f>
        <v>[mm]</v>
      </c>
      <c r="F57" s="60" t="s">
        <v>21878</v>
      </c>
      <c r="G57" s="514" t="str">
        <f>VLOOKUP(1661,Sprachindex!$A:$Z,Erhebungsbogen!$Y$20,FALSE) &amp; IF(AND(Kalk1!$AA$5=2,Kalk1!$AA$15),", " &amp; VLOOKUP(1645,Sprachindex!$A:$Z,Erhebungsbogen!$Y$20,FALSE) &amp; " " &amp; $U$8,", "&amp; VLOOKUP(1648,Sprachindex!$A:$Z,Erhebungsbogen!$Y$20,FALSE)) &amp; " (" &amp; ROUNDUP(C57/1000*Preisliste!I37,2) &amp; " " &amp; VLOOKUP(1744,Sprachindex!$A:$Z,Erhebungsbogen!$Y$20,FALSE) &amp; ")"</f>
        <v>Dammbalken 50/150 exkl. Dichtung, gesägt und entgratet, blank (0 kg/Stk)</v>
      </c>
      <c r="H57" s="514"/>
      <c r="I57" s="514"/>
      <c r="J57" s="514"/>
      <c r="K57" s="514"/>
      <c r="L57" s="514"/>
      <c r="M57" s="514"/>
      <c r="N57" s="514"/>
      <c r="O57" s="514"/>
      <c r="P57" s="514"/>
      <c r="Q57" s="514"/>
      <c r="R57" s="514"/>
      <c r="S57" s="514"/>
      <c r="T57" s="514"/>
      <c r="U57" s="352">
        <f>IF(AND(Kalk1!$AA$5=2,Kalk1!$AA$15),VLOOKUP(F57,Preisliste!C:G,5,FALSE),VLOOKUP(F57,Preisliste!C:G,4,FALSE))</f>
        <v>138.30000000000001</v>
      </c>
      <c r="V57" s="352">
        <f t="shared" si="11"/>
        <v>0</v>
      </c>
      <c r="W57" s="86"/>
      <c r="X57" s="86"/>
      <c r="Y57" s="86"/>
      <c r="Z57" s="143">
        <f>IF(AND(Kalk1!$AA$5=2,Kalk1!$AA$15),(VLOOKUP(F57,Preisliste!C:G,5,FALSE)-VLOOKUP(F57,Preisliste!C:G,4,FALSE))*D57/1000,0)</f>
        <v>0</v>
      </c>
      <c r="AA57" s="86"/>
      <c r="AB57" s="86"/>
      <c r="AC57" s="86"/>
      <c r="AD57" s="86"/>
      <c r="AE57" s="86"/>
      <c r="AF57" s="86"/>
      <c r="AG57" s="244">
        <f>IF(AND(Kalk1!$AA$19=2,AND(Kalk1!H28&gt;0,Kalk1!H29&gt;0)),1,0)</f>
        <v>0</v>
      </c>
      <c r="AH57" s="66">
        <f>Kalk1!$H$35*Kalk1!$H$37</f>
        <v>1</v>
      </c>
      <c r="AI57" s="55" t="s">
        <v>22081</v>
      </c>
      <c r="AK57" s="55" t="s">
        <v>22079</v>
      </c>
      <c r="AL57" s="66">
        <f>Kalk1!$AH$40</f>
        <v>0</v>
      </c>
      <c r="AM57" s="55" t="s">
        <v>22096</v>
      </c>
      <c r="AT57" s="66">
        <f>Kalk1!$AH$38</f>
        <v>0</v>
      </c>
      <c r="AU57" s="55" t="s">
        <v>21845</v>
      </c>
    </row>
    <row r="58" spans="2:84" ht="24.95" customHeight="1">
      <c r="B58" s="93">
        <f t="shared" si="12"/>
        <v>0</v>
      </c>
      <c r="C58" s="138">
        <f>IF(AG58=1,AT58,0)</f>
        <v>0</v>
      </c>
      <c r="D58" s="60">
        <f>B58*C58/1000</f>
        <v>0</v>
      </c>
      <c r="E58" s="60" t="str">
        <f>VLOOKUP(1598,Sprachindex!$A:$Z,Erhebungsbogen!$Y$20,FALSE)</f>
        <v>[mm]</v>
      </c>
      <c r="F58" s="60" t="s">
        <v>21879</v>
      </c>
      <c r="G58" s="514" t="str">
        <f>VLOOKUP(1662,Sprachindex!$A:$Z,Erhebungsbogen!$Y$20,FALSE) &amp; IF(AND(Kalk1!$AA$5=2,Kalk1!$AA$15),", " &amp; VLOOKUP(1645,Sprachindex!$A:$Z,Erhebungsbogen!$Y$20,FALSE) &amp; " " &amp; $U$8,", "&amp; VLOOKUP(1648,Sprachindex!$A:$Z,Erhebungsbogen!$Y$20,FALSE)) &amp; " (" &amp; ROUNDUP(C58/1000*Preisliste!I38,2) &amp; " " &amp; VLOOKUP(1744,Sprachindex!$A:$Z,Erhebungsbogen!$Y$20,FALSE) &amp; ")"</f>
        <v>Dammbalken 50/200 exkl. Dichtung, gesägt und entgratet, blank (0 kg/Stk)</v>
      </c>
      <c r="H58" s="514"/>
      <c r="I58" s="514"/>
      <c r="J58" s="514"/>
      <c r="K58" s="514"/>
      <c r="L58" s="514"/>
      <c r="M58" s="514"/>
      <c r="N58" s="514"/>
      <c r="O58" s="514"/>
      <c r="P58" s="514"/>
      <c r="Q58" s="514"/>
      <c r="R58" s="514"/>
      <c r="S58" s="514"/>
      <c r="T58" s="514"/>
      <c r="U58" s="352">
        <f>IF(AND(Kalk1!$AA$5=2,Kalk1!$AA$15),VLOOKUP(F58,Preisliste!C:G,5,FALSE),VLOOKUP(F58,Preisliste!C:G,4,FALSE))</f>
        <v>132.1</v>
      </c>
      <c r="V58" s="352">
        <f>U58*D58</f>
        <v>0</v>
      </c>
      <c r="W58" s="86"/>
      <c r="X58" s="86"/>
      <c r="Y58" s="86"/>
      <c r="Z58" s="143">
        <f>IF(AND(Kalk1!$AA$5=2,Kalk1!$AA$15),(VLOOKUP(F58,Preisliste!C:G,5,FALSE)-VLOOKUP(F58,Preisliste!C:G,4,FALSE))*D58/1000,0)</f>
        <v>0</v>
      </c>
      <c r="AA58" s="86"/>
      <c r="AB58" s="86"/>
      <c r="AC58" s="86"/>
      <c r="AD58" s="86"/>
      <c r="AE58" s="86"/>
      <c r="AF58" s="86"/>
      <c r="AG58" s="55">
        <f>IF(Kalk1!$AA$19=3,1,0)</f>
        <v>1</v>
      </c>
      <c r="AH58" s="66">
        <f>Kalk1!$H$35*Kalk1!$H$37</f>
        <v>1</v>
      </c>
      <c r="AI58" s="55" t="s">
        <v>22081</v>
      </c>
      <c r="AK58" s="55" t="s">
        <v>22079</v>
      </c>
      <c r="AL58" s="66">
        <f>Kalk1!$AH$40</f>
        <v>0</v>
      </c>
      <c r="AM58" s="55" t="s">
        <v>22096</v>
      </c>
      <c r="AT58" s="66">
        <f>Kalk1!$AH$38</f>
        <v>0</v>
      </c>
      <c r="AU58" s="55" t="s">
        <v>21845</v>
      </c>
    </row>
    <row r="59" spans="2:84" ht="24.95" customHeight="1">
      <c r="B59" s="93">
        <f>IF(AG59=1,AH59*AL59,0)</f>
        <v>0</v>
      </c>
      <c r="C59" s="138">
        <f>IF(AG59=1,AT59,0)</f>
        <v>0</v>
      </c>
      <c r="D59" s="60">
        <f>B59*C59/1000</f>
        <v>0</v>
      </c>
      <c r="E59" s="60" t="str">
        <f>VLOOKUP(1598,Sprachindex!$A:$Z,Erhebungsbogen!$Y$20,FALSE)</f>
        <v>[mm]</v>
      </c>
      <c r="F59" s="60" t="s">
        <v>21880</v>
      </c>
      <c r="G59" s="514" t="str">
        <f>VLOOKUP(1663,Sprachindex!$A:$Z,Erhebungsbogen!$Y$20,FALSE) &amp; IF(AND(Kalk1!$AA$5=2,Kalk1!$AA$15),", " &amp; VLOOKUP(1645,Sprachindex!$A:$Z,Erhebungsbogen!$Y$20,FALSE) &amp; " " &amp; $U$8,", "&amp; VLOOKUP(1648,Sprachindex!$A:$Z,Erhebungsbogen!$Y$20,FALSE)) &amp; " (" &amp; ROUNDUP(C59/1000*Preisliste!I39,2) &amp; " " &amp; VLOOKUP(1744,Sprachindex!$A:$Z,Erhebungsbogen!$Y$20,FALSE) &amp; ")"</f>
        <v>Dammbalken 80/200 exkl. Dichtung, gesägt und entgratet, blank (0 kg/Stk)</v>
      </c>
      <c r="H59" s="514"/>
      <c r="I59" s="514"/>
      <c r="J59" s="514"/>
      <c r="K59" s="514"/>
      <c r="L59" s="514"/>
      <c r="M59" s="514"/>
      <c r="N59" s="514"/>
      <c r="O59" s="514"/>
      <c r="P59" s="514"/>
      <c r="Q59" s="514"/>
      <c r="R59" s="514"/>
      <c r="S59" s="514"/>
      <c r="T59" s="514"/>
      <c r="U59" s="352">
        <f>IF(AND(Kalk1!$AA$5=2,Kalk1!$AA$15),VLOOKUP(F59,Preisliste!C:G,5,FALSE),VLOOKUP(F59,Preisliste!C:G,4,FALSE))</f>
        <v>203.05</v>
      </c>
      <c r="V59" s="352">
        <f>U59*D59</f>
        <v>0</v>
      </c>
      <c r="W59" s="86"/>
      <c r="X59" s="86"/>
      <c r="Y59" s="86"/>
      <c r="Z59" s="143">
        <f>IF(AND(Kalk1!$AA$5=2,Kalk1!$AA$15),(VLOOKUP(F59,Preisliste!C:G,5,FALSE)-VLOOKUP(F59,Preisliste!C:G,4,FALSE))*D59/1000,0)</f>
        <v>0</v>
      </c>
      <c r="AA59" s="86"/>
      <c r="AB59" s="86"/>
      <c r="AC59" s="86"/>
      <c r="AD59" s="86"/>
      <c r="AE59" s="86"/>
      <c r="AF59" s="86"/>
      <c r="AG59" s="55">
        <f>IF(Kalk1!$AA$19=4,1,0)</f>
        <v>0</v>
      </c>
      <c r="AH59" s="66">
        <f>Kalk1!$H$35*Kalk1!$H$37</f>
        <v>1</v>
      </c>
      <c r="AI59" s="55" t="s">
        <v>22081</v>
      </c>
      <c r="AK59" s="55" t="s">
        <v>22079</v>
      </c>
      <c r="AL59" s="66">
        <f>Kalk1!$AH$40</f>
        <v>0</v>
      </c>
      <c r="AM59" s="55" t="s">
        <v>22096</v>
      </c>
      <c r="AT59" s="66">
        <f>Kalk1!$AH$38</f>
        <v>0</v>
      </c>
      <c r="AU59" s="55" t="s">
        <v>21845</v>
      </c>
    </row>
    <row r="60" spans="2:84" ht="24.95" customHeight="1">
      <c r="B60" s="94">
        <f>IF(AG60=1,AL60,0)</f>
        <v>0</v>
      </c>
      <c r="C60" s="60"/>
      <c r="D60" s="60">
        <f>B60</f>
        <v>0</v>
      </c>
      <c r="E60" s="60" t="str">
        <f>VLOOKUP(1601,Sprachindex!$A:$Z,Erhebungsbogen!$Y$20,FALSE)</f>
        <v>[VPE]</v>
      </c>
      <c r="F60" s="60" t="s">
        <v>21947</v>
      </c>
      <c r="G60" s="514" t="str">
        <f>VLOOKUP(1664,Sprachindex!$A:$Z,Erhebungsbogen!$Y$20,FALSE) &amp; " [" &amp; VLOOKUP(992,Sprachindex!$A:$Z,Erhebungsbogen!$Y$20,FALSE) &amp; " =25 "&amp; VLOOKUP(1512,Sprachindex!$A:$Z,Erhebungsbogen!$Y$20,FALSE) &amp; "]"</f>
        <v>Dammbalkendichtung (25) [VPE =25 lfm]</v>
      </c>
      <c r="H60" s="514"/>
      <c r="I60" s="514"/>
      <c r="J60" s="514"/>
      <c r="K60" s="514"/>
      <c r="L60" s="514"/>
      <c r="M60" s="514"/>
      <c r="N60" s="514"/>
      <c r="O60" s="514"/>
      <c r="P60" s="514"/>
      <c r="Q60" s="514"/>
      <c r="R60" s="514"/>
      <c r="S60" s="514"/>
      <c r="T60" s="514"/>
      <c r="U60" s="352">
        <f>VLOOKUP(F60,Preisliste!C:F,4,FALSE)</f>
        <v>72.599999999999994</v>
      </c>
      <c r="V60" s="352">
        <f t="shared" ref="V60:V61" si="13">U60*D60</f>
        <v>0</v>
      </c>
      <c r="W60" s="86"/>
      <c r="X60" s="86"/>
      <c r="Y60" s="86"/>
      <c r="Z60" s="86"/>
      <c r="AA60" s="86"/>
      <c r="AB60" s="86"/>
      <c r="AC60" s="86"/>
      <c r="AD60" s="86"/>
      <c r="AE60" s="86"/>
      <c r="AF60" s="86"/>
      <c r="AG60" s="55">
        <f>IF(Kalk1!$AA$19=1,1,0)</f>
        <v>0</v>
      </c>
      <c r="AK60" s="55" t="s">
        <v>22100</v>
      </c>
      <c r="AL60" s="66">
        <f>Kalk1!$AH$43</f>
        <v>0</v>
      </c>
      <c r="AM60" s="55" t="s">
        <v>12148</v>
      </c>
    </row>
    <row r="61" spans="2:84" ht="24.95" customHeight="1">
      <c r="B61" s="94">
        <f>IF(AG61=1,AL61,0)</f>
        <v>0</v>
      </c>
      <c r="C61" s="60"/>
      <c r="D61" s="60">
        <f>B61</f>
        <v>0</v>
      </c>
      <c r="E61" s="60" t="str">
        <f>VLOOKUP(1601,Sprachindex!$A:$Z,Erhebungsbogen!$Y$20,FALSE)</f>
        <v>[VPE]</v>
      </c>
      <c r="F61" s="60" t="s">
        <v>21946</v>
      </c>
      <c r="G61" s="514" t="str">
        <f>VLOOKUP(1665,Sprachindex!$A:$Z,Erhebungsbogen!$Y$20,FALSE) &amp; " [" &amp; VLOOKUP(992,Sprachindex!$A:$Z,Erhebungsbogen!$Y$20,FALSE) &amp; " =25 "&amp; VLOOKUP(1512,Sprachindex!$A:$Z,Erhebungsbogen!$Y$20,FALSE) &amp; "]"</f>
        <v>Dammbalkendichtung (50+80) [VPE =25 lfm]</v>
      </c>
      <c r="H61" s="514"/>
      <c r="I61" s="514"/>
      <c r="J61" s="514"/>
      <c r="K61" s="514"/>
      <c r="L61" s="514"/>
      <c r="M61" s="514"/>
      <c r="N61" s="514"/>
      <c r="O61" s="514"/>
      <c r="P61" s="514"/>
      <c r="Q61" s="514"/>
      <c r="R61" s="514"/>
      <c r="S61" s="514"/>
      <c r="T61" s="514"/>
      <c r="U61" s="352">
        <f>VLOOKUP(F61,Preisliste!C:F,4,FALSE)</f>
        <v>73.45</v>
      </c>
      <c r="V61" s="352">
        <f t="shared" si="13"/>
        <v>0</v>
      </c>
      <c r="W61" s="86"/>
      <c r="X61" s="86"/>
      <c r="Y61" s="86"/>
      <c r="Z61" s="86"/>
      <c r="AA61" s="86"/>
      <c r="AB61" s="86"/>
      <c r="AC61" s="86"/>
      <c r="AD61" s="86"/>
      <c r="AE61" s="86"/>
      <c r="AF61" s="86"/>
      <c r="AG61" s="55">
        <f>IF(AND(OR(Kalk1!$AA$19=2,Kalk1!$AA$19=3,Kalk1!$AA$19=4),AND(Kalk1!H28&gt;0,Kalk1!H29&gt;0)),1,0)</f>
        <v>0</v>
      </c>
      <c r="AK61" s="55" t="s">
        <v>22100</v>
      </c>
      <c r="AL61" s="55">
        <f>Kalk1!$AH$43</f>
        <v>0</v>
      </c>
      <c r="AM61" s="55" t="s">
        <v>12148</v>
      </c>
    </row>
    <row r="62" spans="2:84" ht="24.95" customHeight="1">
      <c r="B62" s="93">
        <v>1</v>
      </c>
      <c r="C62" s="60"/>
      <c r="D62" s="60"/>
      <c r="E62" s="60" t="str">
        <f>VLOOKUP(1600,Sprachindex!$A:$Z,Erhebungsbogen!$Y$20,FALSE)</f>
        <v>[Stk]</v>
      </c>
      <c r="F62" s="60" t="s">
        <v>21977</v>
      </c>
      <c r="G62" s="514" t="str">
        <f>VLOOKUP(1666,Sprachindex!$A:$Z,Erhebungsbogen!$Y$20,FALSE)</f>
        <v>Dammbalkenhaken</v>
      </c>
      <c r="H62" s="514"/>
      <c r="I62" s="514"/>
      <c r="J62" s="514"/>
      <c r="K62" s="514"/>
      <c r="L62" s="514"/>
      <c r="M62" s="514"/>
      <c r="N62" s="514"/>
      <c r="O62" s="514"/>
      <c r="P62" s="514"/>
      <c r="Q62" s="514"/>
      <c r="R62" s="514"/>
      <c r="S62" s="514"/>
      <c r="T62" s="514"/>
      <c r="U62" s="352">
        <f>VLOOKUP(F62,Preisliste!C:F,4,FALSE)</f>
        <v>0</v>
      </c>
      <c r="V62" s="352">
        <f t="shared" ref="V62" si="14">U62*B62</f>
        <v>0</v>
      </c>
      <c r="W62" s="86"/>
      <c r="X62" s="86"/>
      <c r="Y62" s="86"/>
      <c r="Z62" s="86"/>
      <c r="AA62" s="86"/>
      <c r="AB62" s="86"/>
      <c r="AC62" s="86"/>
      <c r="AD62" s="86"/>
      <c r="AE62" s="86"/>
      <c r="AF62" s="86"/>
    </row>
    <row r="63" spans="2:84" ht="24.95" customHeight="1">
      <c r="B63" s="94">
        <f t="shared" ref="B63:B65" si="15">IF(AG63=1,AL63,0)</f>
        <v>0</v>
      </c>
      <c r="C63" s="60"/>
      <c r="D63" s="60">
        <f t="shared" ref="D63:D67" si="16">B63</f>
        <v>0</v>
      </c>
      <c r="E63" s="60" t="str">
        <f>VLOOKUP(1596,Sprachindex!$A:$Z,Erhebungsbogen!$Y$20,FALSE)</f>
        <v>[lfm]</v>
      </c>
      <c r="F63" s="60" t="s">
        <v>21974</v>
      </c>
      <c r="G63" s="514" t="str">
        <f>VLOOKUP(1672,Sprachindex!$A:$Z,Erhebungsbogen!$Y$20,FALSE) &amp; " [" &amp; VLOOKUP(992,Sprachindex!$A:$Z,Erhebungsbogen!$Y$20,FALSE) &amp; " =1 "&amp; VLOOKUP(1512,Sprachindex!$A:$Z,Erhebungsbogen!$Y$20,FALSE) &amp; "]"</f>
        <v>Dauerbodendichtung 25 [VPE =1 lfm]</v>
      </c>
      <c r="H63" s="514"/>
      <c r="I63" s="514"/>
      <c r="J63" s="514"/>
      <c r="K63" s="514"/>
      <c r="L63" s="514"/>
      <c r="M63" s="514"/>
      <c r="N63" s="514"/>
      <c r="O63" s="514"/>
      <c r="P63" s="514"/>
      <c r="Q63" s="514"/>
      <c r="R63" s="514"/>
      <c r="S63" s="514"/>
      <c r="T63" s="514"/>
      <c r="U63" s="352">
        <f>VLOOKUP(F63,Preisliste!C:F,4,FALSE)</f>
        <v>38.1</v>
      </c>
      <c r="V63" s="352">
        <f t="shared" ref="V63:V65" si="17">U63*D63</f>
        <v>0</v>
      </c>
      <c r="W63" s="86"/>
      <c r="X63" s="86"/>
      <c r="Y63" s="86"/>
      <c r="Z63" s="86"/>
      <c r="AA63" s="86"/>
      <c r="AB63" s="86"/>
      <c r="AC63" s="86"/>
      <c r="AD63" s="86"/>
      <c r="AE63" s="86"/>
      <c r="AF63" s="86"/>
      <c r="AG63" s="55">
        <f>IF(AND(Kalk1!$AA$19=1,Kalk1!$AA$29),1,0)</f>
        <v>0</v>
      </c>
      <c r="AK63" s="55" t="s">
        <v>22100</v>
      </c>
      <c r="AL63" s="66">
        <f>Kalk1!$AH$45</f>
        <v>0</v>
      </c>
      <c r="AM63" s="55" t="s">
        <v>17115</v>
      </c>
    </row>
    <row r="64" spans="2:84" ht="24.95" customHeight="1">
      <c r="B64" s="94">
        <f t="shared" si="15"/>
        <v>0</v>
      </c>
      <c r="C64" s="60"/>
      <c r="D64" s="60">
        <f t="shared" si="16"/>
        <v>0</v>
      </c>
      <c r="E64" s="60" t="str">
        <f>VLOOKUP(1596,Sprachindex!$A:$Z,Erhebungsbogen!$Y$20,FALSE)</f>
        <v>[lfm]</v>
      </c>
      <c r="F64" s="60" t="s">
        <v>21949</v>
      </c>
      <c r="G64" s="514" t="str">
        <f>VLOOKUP(1673,Sprachindex!$A:$Z,Erhebungsbogen!$Y$20,FALSE) &amp; " [" &amp; VLOOKUP(992,Sprachindex!$A:$Z,Erhebungsbogen!$Y$20,FALSE) &amp; " =1 "&amp; VLOOKUP(1512,Sprachindex!$A:$Z,Erhebungsbogen!$Y$20,FALSE) &amp; "]"</f>
        <v>Dauerbodendichtung 50 [VPE =1 lfm]</v>
      </c>
      <c r="H64" s="514"/>
      <c r="I64" s="514"/>
      <c r="J64" s="514"/>
      <c r="K64" s="514"/>
      <c r="L64" s="514"/>
      <c r="M64" s="514"/>
      <c r="N64" s="514"/>
      <c r="O64" s="514"/>
      <c r="P64" s="514"/>
      <c r="Q64" s="514"/>
      <c r="R64" s="514"/>
      <c r="S64" s="514"/>
      <c r="T64" s="514"/>
      <c r="U64" s="352">
        <f>VLOOKUP(F64,Preisliste!C:F,4,FALSE)</f>
        <v>58.65</v>
      </c>
      <c r="V64" s="352">
        <f t="shared" si="17"/>
        <v>0</v>
      </c>
      <c r="W64" s="86"/>
      <c r="X64" s="86"/>
      <c r="Y64" s="86"/>
      <c r="Z64" s="86"/>
      <c r="AA64" s="86"/>
      <c r="AB64" s="86"/>
      <c r="AC64" s="86"/>
      <c r="AD64" s="86"/>
      <c r="AE64" s="86"/>
      <c r="AF64" s="86"/>
      <c r="AG64" s="55">
        <f>IF(AND(OR(Kalk1!$AA$19=2,Kalk1!$AA$19=3),Kalk1!$AA$29),1,0)</f>
        <v>0</v>
      </c>
      <c r="AK64" s="55" t="s">
        <v>22100</v>
      </c>
      <c r="AL64" s="66">
        <f>Kalk1!$AH$45</f>
        <v>0</v>
      </c>
      <c r="AM64" s="55" t="s">
        <v>17115</v>
      </c>
    </row>
    <row r="65" spans="2:53" ht="24.95" customHeight="1">
      <c r="B65" s="94">
        <f t="shared" si="15"/>
        <v>0</v>
      </c>
      <c r="C65" s="60"/>
      <c r="D65" s="60">
        <f t="shared" si="16"/>
        <v>0</v>
      </c>
      <c r="E65" s="60" t="str">
        <f>VLOOKUP(1596,Sprachindex!$A:$Z,Erhebungsbogen!$Y$20,FALSE)</f>
        <v>[lfm]</v>
      </c>
      <c r="F65" s="60" t="s">
        <v>21950</v>
      </c>
      <c r="G65" s="514" t="str">
        <f>VLOOKUP(1674,Sprachindex!$A:$Z,Erhebungsbogen!$Y$20,FALSE) &amp; " [" &amp; VLOOKUP(992,Sprachindex!$A:$Z,Erhebungsbogen!$Y$20,FALSE) &amp; " =1 "&amp; VLOOKUP(1512,Sprachindex!$A:$Z,Erhebungsbogen!$Y$20,FALSE) &amp; "]"</f>
        <v>Dauerbodendichtung 80 [VPE =1 lfm]</v>
      </c>
      <c r="H65" s="514"/>
      <c r="I65" s="514"/>
      <c r="J65" s="514"/>
      <c r="K65" s="514"/>
      <c r="L65" s="514"/>
      <c r="M65" s="514"/>
      <c r="N65" s="514"/>
      <c r="O65" s="514"/>
      <c r="P65" s="514"/>
      <c r="Q65" s="514"/>
      <c r="R65" s="514"/>
      <c r="S65" s="514"/>
      <c r="T65" s="514"/>
      <c r="U65" s="352">
        <f>VLOOKUP(F65,Preisliste!C:F,4,FALSE)</f>
        <v>99.05</v>
      </c>
      <c r="V65" s="352">
        <f t="shared" si="17"/>
        <v>0</v>
      </c>
      <c r="W65" s="86"/>
      <c r="X65" s="86"/>
      <c r="Y65" s="86"/>
      <c r="Z65" s="86"/>
      <c r="AA65" s="86"/>
      <c r="AB65" s="86"/>
      <c r="AC65" s="86"/>
      <c r="AD65" s="86"/>
      <c r="AE65" s="86"/>
      <c r="AF65" s="86"/>
      <c r="AG65" s="55">
        <f>IF(AND(Kalk1!$AA$19=4,Kalk1!$AA$29),1,0)</f>
        <v>0</v>
      </c>
      <c r="AK65" s="55" t="s">
        <v>22100</v>
      </c>
      <c r="AL65" s="66">
        <f>Kalk1!$AH$45</f>
        <v>0</v>
      </c>
      <c r="AM65" s="55" t="s">
        <v>17115</v>
      </c>
    </row>
    <row r="66" spans="2:53" ht="24.95" customHeight="1">
      <c r="B66" s="93">
        <f>IF(AND(AG66&gt;0,AL66&gt;0),AL66,0)</f>
        <v>0</v>
      </c>
      <c r="C66" s="60"/>
      <c r="D66" s="60">
        <f t="shared" si="16"/>
        <v>0</v>
      </c>
      <c r="E66" s="60" t="str">
        <f>VLOOKUP(1600,Sprachindex!$A:$Z,Erhebungsbogen!$Y$20,FALSE)</f>
        <v>[Stk]</v>
      </c>
      <c r="F66" s="60" t="s">
        <v>21978</v>
      </c>
      <c r="G66" s="514" t="str">
        <f>VLOOKUP(1681,Sprachindex!$A:$Z,Erhebungsbogen!$Y$20,FALSE)</f>
        <v>Dichtungsroller 25/50</v>
      </c>
      <c r="H66" s="515"/>
      <c r="I66" s="515"/>
      <c r="J66" s="515"/>
      <c r="K66" s="515"/>
      <c r="L66" s="515"/>
      <c r="M66" s="515"/>
      <c r="N66" s="515"/>
      <c r="O66" s="515"/>
      <c r="P66" s="515"/>
      <c r="Q66" s="515"/>
      <c r="R66" s="515"/>
      <c r="S66" s="515"/>
      <c r="T66" s="516"/>
      <c r="U66" s="352">
        <f>VLOOKUP(F66,Preisliste!C:F,4,FALSE)</f>
        <v>49.75</v>
      </c>
      <c r="V66" s="352">
        <f t="shared" ref="V66:V129" si="18">U66*B66</f>
        <v>0</v>
      </c>
      <c r="W66" s="86"/>
      <c r="X66" s="86"/>
      <c r="Y66" s="86"/>
      <c r="Z66" s="86"/>
      <c r="AA66" s="86"/>
      <c r="AB66" s="86"/>
      <c r="AC66" s="86"/>
      <c r="AD66" s="86"/>
      <c r="AE66" s="86"/>
      <c r="AF66" s="86"/>
      <c r="AG66" s="55">
        <f>IF(AND(Kalk1!$AA$33,Kalk1!$Q$36&gt;0),1,0)</f>
        <v>0</v>
      </c>
      <c r="AK66" s="55" t="s">
        <v>22100</v>
      </c>
      <c r="AL66" s="66">
        <f>Kalk1!Q36*Kalk1!$H$37</f>
        <v>0</v>
      </c>
      <c r="AM66" s="55" t="s">
        <v>20872</v>
      </c>
    </row>
    <row r="67" spans="2:53" ht="24.95" customHeight="1">
      <c r="B67" s="93">
        <f>IF(AND(AG67&gt;0,AL67&gt;0),AL67,0)</f>
        <v>0</v>
      </c>
      <c r="C67" s="60"/>
      <c r="D67" s="60">
        <f t="shared" si="16"/>
        <v>0</v>
      </c>
      <c r="E67" s="60" t="str">
        <f>VLOOKUP(1600,Sprachindex!$A:$Z,Erhebungsbogen!$Y$20,FALSE)</f>
        <v>[Stk]</v>
      </c>
      <c r="F67" s="60" t="s">
        <v>21979</v>
      </c>
      <c r="G67" s="514" t="str">
        <f>VLOOKUP(1682,Sprachindex!$A:$Z,Erhebungsbogen!$Y$20,FALSE)</f>
        <v>Dichtungsroller 80</v>
      </c>
      <c r="H67" s="515"/>
      <c r="I67" s="515"/>
      <c r="J67" s="515"/>
      <c r="K67" s="515"/>
      <c r="L67" s="515"/>
      <c r="M67" s="515"/>
      <c r="N67" s="515"/>
      <c r="O67" s="515"/>
      <c r="P67" s="515"/>
      <c r="Q67" s="515"/>
      <c r="R67" s="515"/>
      <c r="S67" s="515"/>
      <c r="T67" s="516"/>
      <c r="U67" s="352">
        <f>VLOOKUP(F67,Preisliste!C:F,4,FALSE)</f>
        <v>49.75</v>
      </c>
      <c r="V67" s="352">
        <f t="shared" si="18"/>
        <v>0</v>
      </c>
      <c r="W67" s="86"/>
      <c r="X67" s="86"/>
      <c r="Y67" s="86"/>
      <c r="Z67" s="86"/>
      <c r="AA67" s="86"/>
      <c r="AB67" s="86"/>
      <c r="AC67" s="86"/>
      <c r="AD67" s="86"/>
      <c r="AE67" s="86"/>
      <c r="AF67" s="86"/>
      <c r="AG67" s="55">
        <f>IF(AND(Kalk1!$AA$34,Kalk1!$Q$37&gt;0),1,0)</f>
        <v>0</v>
      </c>
      <c r="AK67" s="55" t="s">
        <v>22100</v>
      </c>
      <c r="AL67" s="66">
        <f>Kalk1!Q37*Kalk1!$H$37</f>
        <v>0</v>
      </c>
      <c r="AM67" s="55" t="s">
        <v>20872</v>
      </c>
    </row>
    <row r="68" spans="2:53" ht="24.95" customHeight="1">
      <c r="B68" s="93">
        <f>IF(AG68=1,AZ68,0)</f>
        <v>0</v>
      </c>
      <c r="C68" s="60">
        <v>750</v>
      </c>
      <c r="D68" s="60"/>
      <c r="E68" s="60" t="str">
        <f>VLOOKUP(1600,Sprachindex!$A:$Z,Erhebungsbogen!$Y$20,FALSE)</f>
        <v>[Stk]</v>
      </c>
      <c r="F68" s="60" t="s">
        <v>21884</v>
      </c>
      <c r="G68" s="514" t="str">
        <f>VLOOKUP(2124,Sprachindex!$A:$Z,Erhebungsbogen!$Y$20,FALSE) &amp; IF(AND(Kalk1!$AA$5=2,Kalk1!$AA$13),", " &amp; VLOOKUP(1645,Sprachindex!$A:$Z,Erhebungsbogen!$Y$20,FALSE) &amp; " " &amp; $U$8,", "&amp; VLOOKUP(1648,Sprachindex!$A:$Z,Erhebungsbogen!$Y$20,FALSE))</f>
        <v>Grundprofil 25 (H-Profil v.d.L.) exkl. Dichtung, gebohrt und entgratet, blank</v>
      </c>
      <c r="H68" s="514"/>
      <c r="I68" s="514"/>
      <c r="J68" s="514"/>
      <c r="K68" s="514"/>
      <c r="L68" s="514"/>
      <c r="M68" s="514"/>
      <c r="N68" s="514"/>
      <c r="O68" s="514"/>
      <c r="P68" s="514"/>
      <c r="Q68" s="514"/>
      <c r="R68" s="514"/>
      <c r="S68" s="514"/>
      <c r="T68" s="514"/>
      <c r="U68" s="352">
        <f>IF(AND(Kalk1!$AA$5=2,Kalk1!$AA$13),VLOOKUP(F68,Preisliste!C:G,5,FALSE),VLOOKUP(F68,Preisliste!C:G,4,FALSE))</f>
        <v>95</v>
      </c>
      <c r="V68" s="352">
        <f t="shared" si="18"/>
        <v>0</v>
      </c>
      <c r="W68" s="86"/>
      <c r="X68" s="86"/>
      <c r="Y68" s="86"/>
      <c r="Z68" s="143">
        <f>IF(AND(Kalk1!$AA$5=2,Kalk1!$AA$13),(VLOOKUP(F68,Preisliste!C:G,5,FALSE)-VLOOKUP(F68,Preisliste!C:G,4,FALSE))*B68,0)</f>
        <v>0</v>
      </c>
      <c r="AA68" s="86"/>
      <c r="AB68" s="86"/>
      <c r="AC68" s="86"/>
      <c r="AD68" s="86"/>
      <c r="AE68" s="86"/>
      <c r="AF68" s="86"/>
      <c r="AG68" s="55">
        <f>IF(AND(AH68=1,AL68=1,AP68=1,AND(Kalk1!H28&gt;0,Kalk1!H29&gt;Kalk1!B1)),1,0)</f>
        <v>0</v>
      </c>
      <c r="AH68" s="66">
        <f>IF(Kalk1!$AA$19=1,1,0)</f>
        <v>0</v>
      </c>
      <c r="AI68" s="55">
        <v>25</v>
      </c>
      <c r="AK68" s="55" t="s">
        <v>22079</v>
      </c>
      <c r="AL68" s="66">
        <f>IF(OR(Kalk1!$AA$7=1,Kalk1!$AA$9=1),1,0)</f>
        <v>1</v>
      </c>
      <c r="AM68" s="55" t="s">
        <v>22083</v>
      </c>
      <c r="AO68" s="55" t="s">
        <v>22079</v>
      </c>
      <c r="AP68" s="66">
        <f>IF(Kalk1!$AI$51=AQ68,1,0)</f>
        <v>1</v>
      </c>
      <c r="AQ68" s="55">
        <v>750</v>
      </c>
      <c r="AU68" s="66">
        <f>IF(Kalk1!$AA$7=1,1,0)</f>
        <v>1</v>
      </c>
      <c r="AV68" s="55" t="s">
        <v>19882</v>
      </c>
      <c r="AW68" s="66">
        <f>IF(Kalk1!$AA$9=1,1,0)</f>
        <v>1</v>
      </c>
      <c r="AX68" s="55" t="s">
        <v>20310</v>
      </c>
      <c r="AY68" s="55" t="s">
        <v>22100</v>
      </c>
      <c r="AZ68" s="66">
        <f>(AU68+AW68)*Kalk1!$H$37</f>
        <v>2</v>
      </c>
      <c r="BA68" s="55" t="s">
        <v>22101</v>
      </c>
    </row>
    <row r="69" spans="2:53" ht="24.95" customHeight="1">
      <c r="B69" s="93">
        <f t="shared" ref="B69:B82" si="19">IF(AG69=1,AZ69,0)</f>
        <v>0</v>
      </c>
      <c r="C69" s="60">
        <v>1350</v>
      </c>
      <c r="D69" s="60"/>
      <c r="E69" s="60" t="str">
        <f>VLOOKUP(1600,Sprachindex!$A:$Z,Erhebungsbogen!$Y$20,FALSE)</f>
        <v>[Stk]</v>
      </c>
      <c r="F69" s="60" t="s">
        <v>21885</v>
      </c>
      <c r="G69" s="514" t="str">
        <f>VLOOKUP(2124,Sprachindex!$A:$Z,Erhebungsbogen!$Y$20,FALSE) &amp; IF(AND(Kalk1!$AA$5=2,Kalk1!$AA$13),", " &amp; VLOOKUP(1645,Sprachindex!$A:$Z,Erhebungsbogen!$Y$20,FALSE) &amp; " " &amp; $U$8,", "&amp; VLOOKUP(1648,Sprachindex!$A:$Z,Erhebungsbogen!$Y$20,FALSE))</f>
        <v>Grundprofil 25 (H-Profil v.d.L.) exkl. Dichtung, gebohrt und entgratet, blank</v>
      </c>
      <c r="H69" s="514"/>
      <c r="I69" s="514"/>
      <c r="J69" s="514"/>
      <c r="K69" s="514"/>
      <c r="L69" s="514"/>
      <c r="M69" s="514"/>
      <c r="N69" s="514"/>
      <c r="O69" s="514"/>
      <c r="P69" s="514"/>
      <c r="Q69" s="514"/>
      <c r="R69" s="514"/>
      <c r="S69" s="514"/>
      <c r="T69" s="514"/>
      <c r="U69" s="352">
        <f>IF(AND(Kalk1!$AA$5=2,Kalk1!$AA$13),VLOOKUP(F69,Preisliste!C:G,5,FALSE),VLOOKUP(F69,Preisliste!C:G,4,FALSE))</f>
        <v>149.85</v>
      </c>
      <c r="V69" s="352">
        <f t="shared" si="18"/>
        <v>0</v>
      </c>
      <c r="W69" s="86"/>
      <c r="X69" s="86"/>
      <c r="Y69" s="86"/>
      <c r="Z69" s="143">
        <f>IF(AND(Kalk1!$AA$5=2,Kalk1!$AA$13),(VLOOKUP(F69,Preisliste!C:G,5,FALSE)-VLOOKUP(F69,Preisliste!C:G,4,FALSE))*B69,0)</f>
        <v>0</v>
      </c>
      <c r="AA69" s="86"/>
      <c r="AB69" s="86"/>
      <c r="AC69" s="86"/>
      <c r="AD69" s="86"/>
      <c r="AE69" s="86"/>
      <c r="AF69" s="86"/>
      <c r="AG69" s="55">
        <f t="shared" ref="AG69:AG72" si="20">IF(AND(AH69=1,AL69=1,AP69=1),1,0)</f>
        <v>0</v>
      </c>
      <c r="AH69" s="66">
        <f>IF(Kalk1!$AA$19=1,1,0)</f>
        <v>0</v>
      </c>
      <c r="AI69" s="55">
        <v>25</v>
      </c>
      <c r="AK69" s="55" t="s">
        <v>22079</v>
      </c>
      <c r="AL69" s="66">
        <f>IF(OR(Kalk1!$AA$7=1,Kalk1!$AA$9=1),1,0)</f>
        <v>1</v>
      </c>
      <c r="AM69" s="55" t="s">
        <v>22083</v>
      </c>
      <c r="AO69" s="55" t="s">
        <v>22079</v>
      </c>
      <c r="AP69" s="66">
        <f>IF(Kalk1!$AI$51=AQ69,1,0)</f>
        <v>0</v>
      </c>
      <c r="AQ69" s="55">
        <v>1350</v>
      </c>
      <c r="AU69" s="66">
        <f>IF(Kalk1!$AA$7=1,1,0)</f>
        <v>1</v>
      </c>
      <c r="AV69" s="55" t="s">
        <v>19882</v>
      </c>
      <c r="AW69" s="66">
        <f>IF(Kalk1!$AA$9=1,1,0)</f>
        <v>1</v>
      </c>
      <c r="AX69" s="55" t="s">
        <v>20310</v>
      </c>
      <c r="AY69" s="55" t="s">
        <v>22100</v>
      </c>
      <c r="AZ69" s="66">
        <f>(AU69+AW69)*Kalk1!$H$37</f>
        <v>2</v>
      </c>
      <c r="BA69" s="55" t="s">
        <v>22101</v>
      </c>
    </row>
    <row r="70" spans="2:53" ht="24.95" customHeight="1">
      <c r="B70" s="93">
        <f t="shared" si="19"/>
        <v>0</v>
      </c>
      <c r="C70" s="60">
        <v>1750</v>
      </c>
      <c r="D70" s="60"/>
      <c r="E70" s="60" t="str">
        <f>VLOOKUP(1600,Sprachindex!$A:$Z,Erhebungsbogen!$Y$20,FALSE)</f>
        <v>[Stk]</v>
      </c>
      <c r="F70" s="60" t="s">
        <v>21984</v>
      </c>
      <c r="G70" s="514" t="str">
        <f>VLOOKUP(2124,Sprachindex!$A:$Z,Erhebungsbogen!$Y$20,FALSE) &amp; IF(AND(Kalk1!$AA$5=2,Kalk1!$AA$13),", " &amp; VLOOKUP(1645,Sprachindex!$A:$Z,Erhebungsbogen!$Y$20,FALSE) &amp; " " &amp; $U$8,", "&amp; VLOOKUP(1648,Sprachindex!$A:$Z,Erhebungsbogen!$Y$20,FALSE))</f>
        <v>Grundprofil 25 (H-Profil v.d.L.) exkl. Dichtung, gebohrt und entgratet, blank</v>
      </c>
      <c r="H70" s="514"/>
      <c r="I70" s="514"/>
      <c r="J70" s="514"/>
      <c r="K70" s="514"/>
      <c r="L70" s="514"/>
      <c r="M70" s="514"/>
      <c r="N70" s="514"/>
      <c r="O70" s="514"/>
      <c r="P70" s="514"/>
      <c r="Q70" s="514"/>
      <c r="R70" s="514"/>
      <c r="S70" s="514"/>
      <c r="T70" s="514"/>
      <c r="U70" s="352">
        <f>IF(AND(Kalk1!$AA$5=2,Kalk1!$AA$13),VLOOKUP(F70,Preisliste!C:G,5,FALSE),VLOOKUP(F70,Preisliste!C:G,4,FALSE))</f>
        <v>186.4</v>
      </c>
      <c r="V70" s="352">
        <f t="shared" si="18"/>
        <v>0</v>
      </c>
      <c r="W70" s="86"/>
      <c r="X70" s="86"/>
      <c r="Y70" s="86"/>
      <c r="Z70" s="143">
        <f>IF(AND(Kalk1!$AA$5=2,Kalk1!$AA$13),(VLOOKUP(F70,Preisliste!C:G,5,FALSE)-VLOOKUP(F70,Preisliste!C:G,4,FALSE))*B70,0)</f>
        <v>0</v>
      </c>
      <c r="AA70" s="86"/>
      <c r="AB70" s="86"/>
      <c r="AC70" s="86"/>
      <c r="AD70" s="86"/>
      <c r="AE70" s="86"/>
      <c r="AF70" s="86"/>
      <c r="AG70" s="55">
        <f t="shared" si="20"/>
        <v>0</v>
      </c>
      <c r="AH70" s="66">
        <f>IF(Kalk1!$AA$19=1,1,0)</f>
        <v>0</v>
      </c>
      <c r="AI70" s="55">
        <v>25</v>
      </c>
      <c r="AK70" s="55" t="s">
        <v>22079</v>
      </c>
      <c r="AL70" s="66">
        <f>IF(OR(Kalk1!$AA$7=1,Kalk1!$AA$9=1),1,0)</f>
        <v>1</v>
      </c>
      <c r="AM70" s="55" t="s">
        <v>22083</v>
      </c>
      <c r="AO70" s="55" t="s">
        <v>22079</v>
      </c>
      <c r="AP70" s="66">
        <f>IF(Kalk1!$AI$51=AQ70,1,0)</f>
        <v>0</v>
      </c>
      <c r="AQ70" s="55">
        <v>1750</v>
      </c>
      <c r="AU70" s="66">
        <f>IF(Kalk1!$AA$7=1,1,0)</f>
        <v>1</v>
      </c>
      <c r="AV70" s="55" t="s">
        <v>19882</v>
      </c>
      <c r="AW70" s="66">
        <f>IF(Kalk1!$AA$9=1,1,0)</f>
        <v>1</v>
      </c>
      <c r="AX70" s="55" t="s">
        <v>20310</v>
      </c>
      <c r="AY70" s="55" t="s">
        <v>22100</v>
      </c>
      <c r="AZ70" s="66">
        <f>(AU70+AW70)*Kalk1!$H$37</f>
        <v>2</v>
      </c>
      <c r="BA70" s="55" t="s">
        <v>22101</v>
      </c>
    </row>
    <row r="71" spans="2:53" ht="24.95" customHeight="1">
      <c r="B71" s="93">
        <f t="shared" si="19"/>
        <v>0</v>
      </c>
      <c r="C71" s="60">
        <v>2150</v>
      </c>
      <c r="D71" s="60"/>
      <c r="E71" s="60" t="str">
        <f>VLOOKUP(1600,Sprachindex!$A:$Z,Erhebungsbogen!$Y$20,FALSE)</f>
        <v>[Stk]</v>
      </c>
      <c r="F71" s="60" t="s">
        <v>21985</v>
      </c>
      <c r="G71" s="514" t="str">
        <f>VLOOKUP(2124,Sprachindex!$A:$Z,Erhebungsbogen!$Y$20,FALSE) &amp; IF(AND(Kalk1!$AA$5=2,Kalk1!$AA$13),", " &amp; VLOOKUP(1645,Sprachindex!$A:$Z,Erhebungsbogen!$Y$20,FALSE) &amp; " " &amp; $U$8,", "&amp; VLOOKUP(1648,Sprachindex!$A:$Z,Erhebungsbogen!$Y$20,FALSE))</f>
        <v>Grundprofil 25 (H-Profil v.d.L.) exkl. Dichtung, gebohrt und entgratet, blank</v>
      </c>
      <c r="H71" s="514"/>
      <c r="I71" s="514"/>
      <c r="J71" s="514"/>
      <c r="K71" s="514"/>
      <c r="L71" s="514"/>
      <c r="M71" s="514"/>
      <c r="N71" s="514"/>
      <c r="O71" s="514"/>
      <c r="P71" s="514"/>
      <c r="Q71" s="514"/>
      <c r="R71" s="514"/>
      <c r="S71" s="514"/>
      <c r="T71" s="514"/>
      <c r="U71" s="352">
        <f>IF(AND(Kalk1!$AA$5=2,Kalk1!$AA$13),VLOOKUP(F71,Preisliste!C:G,5,FALSE),VLOOKUP(F71,Preisliste!C:G,4,FALSE))</f>
        <v>222.9</v>
      </c>
      <c r="V71" s="352">
        <f t="shared" si="18"/>
        <v>0</v>
      </c>
      <c r="W71" s="86"/>
      <c r="X71" s="86"/>
      <c r="Y71" s="86"/>
      <c r="Z71" s="143">
        <f>IF(AND(Kalk1!$AA$5=2,Kalk1!$AA$13),(VLOOKUP(F71,Preisliste!C:G,5,FALSE)-VLOOKUP(F71,Preisliste!C:G,4,FALSE))*B71,0)</f>
        <v>0</v>
      </c>
      <c r="AA71" s="86"/>
      <c r="AB71" s="86"/>
      <c r="AC71" s="86"/>
      <c r="AD71" s="86"/>
      <c r="AE71" s="86"/>
      <c r="AF71" s="86"/>
      <c r="AG71" s="55">
        <f t="shared" si="20"/>
        <v>0</v>
      </c>
      <c r="AH71" s="66">
        <f>IF(Kalk1!$AA$19=1,1,0)</f>
        <v>0</v>
      </c>
      <c r="AI71" s="55">
        <v>25</v>
      </c>
      <c r="AK71" s="55" t="s">
        <v>22079</v>
      </c>
      <c r="AL71" s="66">
        <f>IF(OR(Kalk1!$AA$7=1,Kalk1!$AA$9=1),1,0)</f>
        <v>1</v>
      </c>
      <c r="AM71" s="55" t="s">
        <v>22083</v>
      </c>
      <c r="AO71" s="55" t="s">
        <v>22079</v>
      </c>
      <c r="AP71" s="66">
        <f>IF(Kalk1!$AI$51=AQ71,1,0)</f>
        <v>0</v>
      </c>
      <c r="AQ71" s="55">
        <v>2150</v>
      </c>
      <c r="AU71" s="66">
        <f>IF(Kalk1!$AA$7=1,1,0)</f>
        <v>1</v>
      </c>
      <c r="AV71" s="55" t="s">
        <v>19882</v>
      </c>
      <c r="AW71" s="66">
        <f>IF(Kalk1!$AA$9=1,1,0)</f>
        <v>1</v>
      </c>
      <c r="AX71" s="55" t="s">
        <v>20310</v>
      </c>
      <c r="AY71" s="55" t="s">
        <v>22100</v>
      </c>
      <c r="AZ71" s="66">
        <f>(AU71+AW71)*Kalk1!$H$37</f>
        <v>2</v>
      </c>
      <c r="BA71" s="55" t="s">
        <v>22101</v>
      </c>
    </row>
    <row r="72" spans="2:53" ht="24.95" customHeight="1">
      <c r="B72" s="93">
        <f t="shared" si="19"/>
        <v>0</v>
      </c>
      <c r="C72" s="60">
        <f>IF(AG72=1,AS72,0)</f>
        <v>0</v>
      </c>
      <c r="D72" s="60"/>
      <c r="E72" s="60" t="str">
        <f>VLOOKUP(1600,Sprachindex!$A:$Z,Erhebungsbogen!$Y$20,FALSE)</f>
        <v>[Stk]</v>
      </c>
      <c r="F72" s="60" t="s">
        <v>21883</v>
      </c>
      <c r="G72" s="514" t="str">
        <f>VLOOKUP(2125,Sprachindex!$A:$Z,Erhebungsbogen!$Y$20,FALSE)</f>
        <v>Grundprofil 25 (H-Profil v.d.L.) Sonderlänge exkl. Dichtung, (Stangenware)</v>
      </c>
      <c r="H72" s="514"/>
      <c r="I72" s="514"/>
      <c r="J72" s="514"/>
      <c r="K72" s="514"/>
      <c r="L72" s="514"/>
      <c r="M72" s="514"/>
      <c r="N72" s="514"/>
      <c r="O72" s="514"/>
      <c r="P72" s="514"/>
      <c r="Q72" s="514"/>
      <c r="R72" s="514"/>
      <c r="S72" s="514"/>
      <c r="T72" s="514"/>
      <c r="U72" s="352">
        <f>VLOOKUP(F72,Preisliste!C:G,4,FALSE)</f>
        <v>72</v>
      </c>
      <c r="V72" s="352">
        <f>U72*C72*B72/1000</f>
        <v>0</v>
      </c>
      <c r="W72" s="86"/>
      <c r="X72" s="86"/>
      <c r="Y72" s="86"/>
      <c r="Z72" s="143">
        <f>IF(AND(Kalk1!$AA$5=2,Kalk1!$AA$13),(VLOOKUP(F72,Preisliste!C:G,5,FALSE)-VLOOKUP(F72,Preisliste!C:G,4,FALSE))*B72,0)</f>
        <v>0</v>
      </c>
      <c r="AA72" s="86"/>
      <c r="AB72" s="86"/>
      <c r="AC72" s="86"/>
      <c r="AD72" s="86"/>
      <c r="AE72" s="86"/>
      <c r="AF72" s="86"/>
      <c r="AG72" s="55">
        <f t="shared" si="20"/>
        <v>0</v>
      </c>
      <c r="AH72" s="66">
        <f>IF(Kalk1!$AA$19=1,1,0)</f>
        <v>0</v>
      </c>
      <c r="AI72" s="55">
        <v>25</v>
      </c>
      <c r="AK72" s="55" t="s">
        <v>22079</v>
      </c>
      <c r="AL72" s="66">
        <f>IF(OR(Kalk1!$AA$7=1,Kalk1!$AA$9=1),1,0)</f>
        <v>1</v>
      </c>
      <c r="AM72" s="55" t="s">
        <v>22083</v>
      </c>
      <c r="AO72" s="55" t="s">
        <v>22079</v>
      </c>
      <c r="AP72" s="66">
        <f>IF(Kalk1!$AH$52&gt;AQ72,1,0)</f>
        <v>0</v>
      </c>
      <c r="AQ72" s="55">
        <v>2150</v>
      </c>
      <c r="AR72" s="55" t="s">
        <v>22084</v>
      </c>
      <c r="AS72" s="66">
        <f>Kalk1!$AH$52</f>
        <v>0</v>
      </c>
      <c r="AU72" s="66">
        <f>IF(Kalk1!$AA$7=1,1,0)</f>
        <v>1</v>
      </c>
      <c r="AV72" s="55" t="s">
        <v>19882</v>
      </c>
      <c r="AW72" s="66">
        <f>IF(Kalk1!$AA$9=1,1,0)</f>
        <v>1</v>
      </c>
      <c r="AX72" s="55" t="s">
        <v>20310</v>
      </c>
      <c r="AY72" s="55" t="s">
        <v>22100</v>
      </c>
      <c r="AZ72" s="66">
        <f>(AU72+AW72)*Kalk1!$H$37</f>
        <v>2</v>
      </c>
      <c r="BA72" s="55" t="s">
        <v>22101</v>
      </c>
    </row>
    <row r="73" spans="2:53" ht="24.95" customHeight="1">
      <c r="B73" s="93">
        <f t="shared" si="19"/>
        <v>0</v>
      </c>
      <c r="C73" s="60">
        <v>750</v>
      </c>
      <c r="D73" s="60"/>
      <c r="E73" s="60" t="str">
        <f>VLOOKUP(1600,Sprachindex!$A:$Z,Erhebungsbogen!$Y$20,FALSE)</f>
        <v>[Stk]</v>
      </c>
      <c r="F73" s="60" t="s">
        <v>21896</v>
      </c>
      <c r="G73" s="514" t="str">
        <f>VLOOKUP(1717,Sprachindex!$A:$Z,Erhebungsbogen!$Y$20,FALSE) &amp; IF(AND(Kalk1!$AA$5=2,Kalk1!$AA$13),", " &amp; VLOOKUP(1645,Sprachindex!$A:$Z,Erhebungsbogen!$Y$20,FALSE) &amp; " " &amp; $U$8,", "&amp; VLOOKUP(1648,Sprachindex!$A:$Z,Erhebungsbogen!$Y$20,FALSE))</f>
        <v>Grundprofil 50 (H-Profil v.d.L.) exkl. Dichtung, gebohrt und entgratet, blank</v>
      </c>
      <c r="H73" s="514"/>
      <c r="I73" s="514"/>
      <c r="J73" s="514"/>
      <c r="K73" s="514"/>
      <c r="L73" s="514"/>
      <c r="M73" s="514"/>
      <c r="N73" s="514"/>
      <c r="O73" s="514"/>
      <c r="P73" s="514"/>
      <c r="Q73" s="514"/>
      <c r="R73" s="514"/>
      <c r="S73" s="514"/>
      <c r="T73" s="514"/>
      <c r="U73" s="352">
        <f>IF(AND(Kalk1!$AA$5=2,Kalk1!$AA$13),VLOOKUP(F73,Preisliste!C:G,5,FALSE),VLOOKUP(F73,Preisliste!C:G,4,FALSE))</f>
        <v>144.85</v>
      </c>
      <c r="V73" s="352">
        <f t="shared" si="18"/>
        <v>0</v>
      </c>
      <c r="W73" s="86"/>
      <c r="X73" s="86"/>
      <c r="Y73" s="86"/>
      <c r="Z73" s="143">
        <f>IF(AND(Kalk1!$AA$5=2,Kalk1!$AA$13),(VLOOKUP(F73,Preisliste!C:G,5,FALSE)-VLOOKUP(F73,Preisliste!C:G,4,FALSE))*B73,0)</f>
        <v>0</v>
      </c>
      <c r="AA73" s="86"/>
      <c r="AB73" s="86"/>
      <c r="AC73" s="86"/>
      <c r="AD73" s="86"/>
      <c r="AE73" s="86"/>
      <c r="AF73" s="86"/>
      <c r="AG73" s="55">
        <f>IF(AND(AH73=1,AL73=1,AP73=1,AND(Kalk1!H28&gt;0,Kalk1!H29&gt;0)),1,0)</f>
        <v>0</v>
      </c>
      <c r="AH73" s="55">
        <f>IF(OR(Kalk1!$AA$19=2,Kalk1!$AA$19=3),1,0)</f>
        <v>1</v>
      </c>
      <c r="AI73" s="55">
        <v>50</v>
      </c>
      <c r="AK73" s="55" t="s">
        <v>22079</v>
      </c>
      <c r="AL73" s="55">
        <f>IF(OR(Kalk1!$AA$7=1,Kalk1!$AA$9=1),1,0)</f>
        <v>1</v>
      </c>
      <c r="AM73" s="55" t="s">
        <v>22083</v>
      </c>
      <c r="AO73" s="55" t="s">
        <v>22079</v>
      </c>
      <c r="AP73" s="55">
        <f>IF(Kalk1!$AI$51=AQ73,1,0)</f>
        <v>1</v>
      </c>
      <c r="AQ73" s="55">
        <v>750</v>
      </c>
      <c r="AU73" s="55">
        <f>IF(Kalk1!$AA$7=1,1,0)</f>
        <v>1</v>
      </c>
      <c r="AV73" s="55" t="s">
        <v>19882</v>
      </c>
      <c r="AW73" s="55">
        <f>IF(Kalk1!$AA$9=1,1,0)</f>
        <v>1</v>
      </c>
      <c r="AX73" s="55" t="s">
        <v>20310</v>
      </c>
      <c r="AY73" s="55" t="s">
        <v>22100</v>
      </c>
      <c r="AZ73" s="55">
        <f>(AU73+AW73)*Kalk1!$H$37</f>
        <v>2</v>
      </c>
      <c r="BA73" s="55" t="s">
        <v>22101</v>
      </c>
    </row>
    <row r="74" spans="2:53" ht="24.95" customHeight="1">
      <c r="B74" s="93">
        <f t="shared" si="19"/>
        <v>0</v>
      </c>
      <c r="C74" s="60">
        <v>1350</v>
      </c>
      <c r="D74" s="60"/>
      <c r="E74" s="60" t="str">
        <f>VLOOKUP(1600,Sprachindex!$A:$Z,Erhebungsbogen!$Y$20,FALSE)</f>
        <v>[Stk]</v>
      </c>
      <c r="F74" s="60" t="s">
        <v>21897</v>
      </c>
      <c r="G74" s="514" t="str">
        <f>VLOOKUP(1717,Sprachindex!$A:$Z,Erhebungsbogen!$Y$20,FALSE) &amp; IF(AND(Kalk1!$AA$5=2,Kalk1!$AA$13),", " &amp; VLOOKUP(1645,Sprachindex!$A:$Z,Erhebungsbogen!$Y$20,FALSE) &amp; " " &amp; $U$8,", "&amp; VLOOKUP(1648,Sprachindex!$A:$Z,Erhebungsbogen!$Y$20,FALSE))</f>
        <v>Grundprofil 50 (H-Profil v.d.L.) exkl. Dichtung, gebohrt und entgratet, blank</v>
      </c>
      <c r="H74" s="514"/>
      <c r="I74" s="514"/>
      <c r="J74" s="514"/>
      <c r="K74" s="514"/>
      <c r="L74" s="514"/>
      <c r="M74" s="514"/>
      <c r="N74" s="514"/>
      <c r="O74" s="514"/>
      <c r="P74" s="514"/>
      <c r="Q74" s="514"/>
      <c r="R74" s="514"/>
      <c r="S74" s="514"/>
      <c r="T74" s="514"/>
      <c r="U74" s="352">
        <f>IF(AND(Kalk1!$AA$5=2,Kalk1!$AA$13),VLOOKUP(F74,Preisliste!C:G,5,FALSE),VLOOKUP(F74,Preisliste!C:G,4,FALSE))</f>
        <v>228.1</v>
      </c>
      <c r="V74" s="352">
        <f t="shared" si="18"/>
        <v>0</v>
      </c>
      <c r="W74" s="86"/>
      <c r="X74" s="86"/>
      <c r="Y74" s="86"/>
      <c r="Z74" s="143">
        <f>IF(AND(Kalk1!$AA$5=2,Kalk1!$AA$13),(VLOOKUP(F74,Preisliste!C:G,5,FALSE)-VLOOKUP(F74,Preisliste!C:G,4,FALSE))*B74,0)</f>
        <v>0</v>
      </c>
      <c r="AA74" s="86"/>
      <c r="AB74" s="86"/>
      <c r="AC74" s="86"/>
      <c r="AD74" s="86"/>
      <c r="AE74" s="86"/>
      <c r="AF74" s="86"/>
      <c r="AG74" s="244">
        <f>IF(AND(AH74=1,AL74=1,AP74=1,AND(Kalk1!H28&gt;0,Kalk1!H29&gt;0)),1,0)</f>
        <v>0</v>
      </c>
      <c r="AH74" s="66">
        <f>IF(OR(Kalk1!$AA$19=2,Kalk1!$AA$19=3),1,0)</f>
        <v>1</v>
      </c>
      <c r="AI74" s="55">
        <v>50</v>
      </c>
      <c r="AK74" s="55" t="s">
        <v>22079</v>
      </c>
      <c r="AL74" s="66">
        <f>IF(OR(Kalk1!$AA$7=1,Kalk1!$AA$9=1),1,0)</f>
        <v>1</v>
      </c>
      <c r="AM74" s="55" t="s">
        <v>22083</v>
      </c>
      <c r="AO74" s="55" t="s">
        <v>22079</v>
      </c>
      <c r="AP74" s="66">
        <f>IF(Kalk1!$AI$51=AQ74,1,0)</f>
        <v>0</v>
      </c>
      <c r="AQ74" s="55">
        <v>1350</v>
      </c>
      <c r="AU74" s="66">
        <f>IF(Kalk1!$AA$7=1,1,0)</f>
        <v>1</v>
      </c>
      <c r="AV74" s="55" t="s">
        <v>19882</v>
      </c>
      <c r="AW74" s="66">
        <f>IF(Kalk1!$AA$9=1,1,0)</f>
        <v>1</v>
      </c>
      <c r="AX74" s="55" t="s">
        <v>20310</v>
      </c>
      <c r="AY74" s="55" t="s">
        <v>22100</v>
      </c>
      <c r="AZ74" s="66">
        <f>(AU74+AW74)*Kalk1!$H$37</f>
        <v>2</v>
      </c>
      <c r="BA74" s="55" t="s">
        <v>22101</v>
      </c>
    </row>
    <row r="75" spans="2:53" ht="24.95" customHeight="1">
      <c r="B75" s="93">
        <f t="shared" si="19"/>
        <v>0</v>
      </c>
      <c r="C75" s="60">
        <v>1750</v>
      </c>
      <c r="D75" s="60"/>
      <c r="E75" s="60" t="str">
        <f>VLOOKUP(1600,Sprachindex!$A:$Z,Erhebungsbogen!$Y$20,FALSE)</f>
        <v>[Stk]</v>
      </c>
      <c r="F75" s="60" t="s">
        <v>21898</v>
      </c>
      <c r="G75" s="514" t="str">
        <f>VLOOKUP(1717,Sprachindex!$A:$Z,Erhebungsbogen!$Y$20,FALSE) &amp; IF(AND(Kalk1!$AA$5=2,Kalk1!$AA$13),", " &amp; VLOOKUP(1645,Sprachindex!$A:$Z,Erhebungsbogen!$Y$20,FALSE) &amp; " " &amp; $U$8,", "&amp; VLOOKUP(1648,Sprachindex!$A:$Z,Erhebungsbogen!$Y$20,FALSE))</f>
        <v>Grundprofil 50 (H-Profil v.d.L.) exkl. Dichtung, gebohrt und entgratet, blank</v>
      </c>
      <c r="H75" s="514"/>
      <c r="I75" s="514"/>
      <c r="J75" s="514"/>
      <c r="K75" s="514"/>
      <c r="L75" s="514"/>
      <c r="M75" s="514"/>
      <c r="N75" s="514"/>
      <c r="O75" s="514"/>
      <c r="P75" s="514"/>
      <c r="Q75" s="514"/>
      <c r="R75" s="514"/>
      <c r="S75" s="514"/>
      <c r="T75" s="514"/>
      <c r="U75" s="352">
        <f>IF(AND(Kalk1!$AA$5=2,Kalk1!$AA$13),VLOOKUP(F75,Preisliste!C:G,5,FALSE),VLOOKUP(F75,Preisliste!C:G,4,FALSE))</f>
        <v>284.14999999999998</v>
      </c>
      <c r="V75" s="352">
        <f t="shared" si="18"/>
        <v>0</v>
      </c>
      <c r="W75" s="86"/>
      <c r="X75" s="86"/>
      <c r="Y75" s="86"/>
      <c r="Z75" s="143">
        <f>IF(AND(Kalk1!$AA$5=2,Kalk1!$AA$13),(VLOOKUP(F75,Preisliste!C:G,5,FALSE)-VLOOKUP(F75,Preisliste!C:G,4,FALSE))*B75,0)</f>
        <v>0</v>
      </c>
      <c r="AA75" s="86"/>
      <c r="AB75" s="86"/>
      <c r="AC75" s="86"/>
      <c r="AD75" s="86"/>
      <c r="AE75" s="86"/>
      <c r="AF75" s="86"/>
      <c r="AG75" s="55">
        <f t="shared" ref="AG75:AG77" si="21">IF(AND(AH75=1,AL75=1,AP75=1),1,0)</f>
        <v>0</v>
      </c>
      <c r="AH75" s="66">
        <f>IF(OR(Kalk1!$AA$19=2,Kalk1!$AA$19=3),1,0)</f>
        <v>1</v>
      </c>
      <c r="AI75" s="55">
        <v>50</v>
      </c>
      <c r="AK75" s="55" t="s">
        <v>22079</v>
      </c>
      <c r="AL75" s="66">
        <f>IF(OR(Kalk1!$AA$7=1,Kalk1!$AA$9=1),1,0)</f>
        <v>1</v>
      </c>
      <c r="AM75" s="55" t="s">
        <v>22083</v>
      </c>
      <c r="AO75" s="55" t="s">
        <v>22079</v>
      </c>
      <c r="AP75" s="66">
        <f>IF(Kalk1!$AI$51=AQ75,1,0)</f>
        <v>0</v>
      </c>
      <c r="AQ75" s="55">
        <v>1750</v>
      </c>
      <c r="AU75" s="66">
        <f>IF(Kalk1!$AA$7=1,1,0)</f>
        <v>1</v>
      </c>
      <c r="AV75" s="55" t="s">
        <v>19882</v>
      </c>
      <c r="AW75" s="66">
        <f>IF(Kalk1!$AA$9=1,1,0)</f>
        <v>1</v>
      </c>
      <c r="AX75" s="55" t="s">
        <v>20310</v>
      </c>
      <c r="AY75" s="55" t="s">
        <v>22100</v>
      </c>
      <c r="AZ75" s="66">
        <f>(AU75+AW75)*Kalk1!$H$37</f>
        <v>2</v>
      </c>
      <c r="BA75" s="55" t="s">
        <v>22101</v>
      </c>
    </row>
    <row r="76" spans="2:53" ht="24.95" customHeight="1">
      <c r="B76" s="93">
        <f t="shared" si="19"/>
        <v>0</v>
      </c>
      <c r="C76" s="60">
        <v>2150</v>
      </c>
      <c r="D76" s="60"/>
      <c r="E76" s="60" t="str">
        <f>VLOOKUP(1600,Sprachindex!$A:$Z,Erhebungsbogen!$Y$20,FALSE)</f>
        <v>[Stk]</v>
      </c>
      <c r="F76" s="60" t="s">
        <v>21899</v>
      </c>
      <c r="G76" s="514" t="str">
        <f>VLOOKUP(1717,Sprachindex!$A:$Z,Erhebungsbogen!$Y$20,FALSE) &amp; IF(AND(Kalk1!$AA$5=2,Kalk1!$AA$13),", " &amp; VLOOKUP(1645,Sprachindex!$A:$Z,Erhebungsbogen!$Y$20,FALSE) &amp; " " &amp; $U$8,", "&amp; VLOOKUP(1648,Sprachindex!$A:$Z,Erhebungsbogen!$Y$20,FALSE))</f>
        <v>Grundprofil 50 (H-Profil v.d.L.) exkl. Dichtung, gebohrt und entgratet, blank</v>
      </c>
      <c r="H76" s="514"/>
      <c r="I76" s="514"/>
      <c r="J76" s="514"/>
      <c r="K76" s="514"/>
      <c r="L76" s="514"/>
      <c r="M76" s="514"/>
      <c r="N76" s="514"/>
      <c r="O76" s="514"/>
      <c r="P76" s="514"/>
      <c r="Q76" s="514"/>
      <c r="R76" s="514"/>
      <c r="S76" s="514"/>
      <c r="T76" s="514"/>
      <c r="U76" s="352">
        <f>IF(AND(Kalk1!$AA$5=2,Kalk1!$AA$13),VLOOKUP(F76,Preisliste!C:G,5,FALSE),VLOOKUP(F76,Preisliste!C:G,4,FALSE))</f>
        <v>340.25</v>
      </c>
      <c r="V76" s="352">
        <f t="shared" si="18"/>
        <v>0</v>
      </c>
      <c r="W76" s="86"/>
      <c r="X76" s="86"/>
      <c r="Y76" s="86"/>
      <c r="Z76" s="143">
        <f>IF(AND(Kalk1!$AA$5=2,Kalk1!$AA$13),(VLOOKUP(F76,Preisliste!C:G,5,FALSE)-VLOOKUP(F76,Preisliste!C:G,4,FALSE))*B76,0)</f>
        <v>0</v>
      </c>
      <c r="AA76" s="86"/>
      <c r="AB76" s="86"/>
      <c r="AC76" s="86"/>
      <c r="AD76" s="86"/>
      <c r="AE76" s="86"/>
      <c r="AF76" s="86"/>
      <c r="AG76" s="55">
        <f t="shared" si="21"/>
        <v>0</v>
      </c>
      <c r="AH76" s="66">
        <f>IF(OR(Kalk1!$AA$19=2,Kalk1!$AA$19=3),1,0)</f>
        <v>1</v>
      </c>
      <c r="AI76" s="55">
        <v>50</v>
      </c>
      <c r="AK76" s="55" t="s">
        <v>22079</v>
      </c>
      <c r="AL76" s="66">
        <f>IF(OR(Kalk1!$AA$7=1,Kalk1!$AA$9=1),1,0)</f>
        <v>1</v>
      </c>
      <c r="AM76" s="55" t="s">
        <v>22083</v>
      </c>
      <c r="AO76" s="55" t="s">
        <v>22079</v>
      </c>
      <c r="AP76" s="66">
        <f>IF(Kalk1!$AI$51=AQ76,1,0)</f>
        <v>0</v>
      </c>
      <c r="AQ76" s="55">
        <v>2150</v>
      </c>
      <c r="AU76" s="66">
        <f>IF(Kalk1!$AA$7=1,1,0)</f>
        <v>1</v>
      </c>
      <c r="AV76" s="55" t="s">
        <v>19882</v>
      </c>
      <c r="AW76" s="66">
        <f>IF(Kalk1!$AA$9=1,1,0)</f>
        <v>1</v>
      </c>
      <c r="AX76" s="55" t="s">
        <v>20310</v>
      </c>
      <c r="AY76" s="55" t="s">
        <v>22100</v>
      </c>
      <c r="AZ76" s="66">
        <f>(AU76+AW76)*Kalk1!$H$37</f>
        <v>2</v>
      </c>
      <c r="BA76" s="55" t="s">
        <v>22101</v>
      </c>
    </row>
    <row r="77" spans="2:53" ht="24.95" customHeight="1">
      <c r="B77" s="93">
        <f t="shared" si="19"/>
        <v>0</v>
      </c>
      <c r="C77" s="60">
        <f>IF(AG77=1,AS77,0)</f>
        <v>0</v>
      </c>
      <c r="D77" s="60"/>
      <c r="E77" s="60" t="str">
        <f>VLOOKUP(1600,Sprachindex!$A:$Z,Erhebungsbogen!$Y$20,FALSE)</f>
        <v>[Stk]</v>
      </c>
      <c r="F77" s="60" t="s">
        <v>21900</v>
      </c>
      <c r="G77" s="514" t="str">
        <f>VLOOKUP(1718,Sprachindex!$A:$Z,Erhebungsbogen!$Y$20,FALSE)</f>
        <v>Grundprofil 50 (H-Profil v.d.L.) Sonderlänge exkl. Dichtung, (Stangenware)</v>
      </c>
      <c r="H77" s="514"/>
      <c r="I77" s="514"/>
      <c r="J77" s="514"/>
      <c r="K77" s="514"/>
      <c r="L77" s="514"/>
      <c r="M77" s="514"/>
      <c r="N77" s="514"/>
      <c r="O77" s="514"/>
      <c r="P77" s="514"/>
      <c r="Q77" s="514"/>
      <c r="R77" s="514"/>
      <c r="S77" s="514"/>
      <c r="T77" s="514"/>
      <c r="U77" s="352">
        <f>VLOOKUP(F77,Preisliste!C:G,4,FALSE)</f>
        <v>148.5</v>
      </c>
      <c r="V77" s="352">
        <f>U77*C77*B77/1000</f>
        <v>0</v>
      </c>
      <c r="W77" s="86"/>
      <c r="X77" s="86"/>
      <c r="Y77" s="86"/>
      <c r="Z77" s="143">
        <f>IF(AND(Kalk1!$AA$5=2,Kalk1!$AA$13),(VLOOKUP(F77,Preisliste!C:G,5,FALSE)-VLOOKUP(F77,Preisliste!C:G,4,FALSE))*B77,0)</f>
        <v>0</v>
      </c>
      <c r="AA77" s="86"/>
      <c r="AB77" s="86"/>
      <c r="AC77" s="86"/>
      <c r="AD77" s="86"/>
      <c r="AE77" s="86"/>
      <c r="AF77" s="86"/>
      <c r="AG77" s="55">
        <f t="shared" si="21"/>
        <v>0</v>
      </c>
      <c r="AH77" s="66">
        <f>IF(OR(Kalk1!$AA$19=2,Kalk1!$AA$19=3),1,0)</f>
        <v>1</v>
      </c>
      <c r="AI77" s="55">
        <v>50</v>
      </c>
      <c r="AK77" s="55" t="s">
        <v>22079</v>
      </c>
      <c r="AL77" s="66">
        <f>IF(OR(Kalk1!$AA$7=1,Kalk1!$AA$9=1),1,0)</f>
        <v>1</v>
      </c>
      <c r="AM77" s="55" t="s">
        <v>22083</v>
      </c>
      <c r="AO77" s="55" t="s">
        <v>22079</v>
      </c>
      <c r="AP77" s="66">
        <f>IF(Kalk1!$AH$52&gt;AQ77,1,0)</f>
        <v>0</v>
      </c>
      <c r="AQ77" s="55">
        <v>2150</v>
      </c>
      <c r="AR77" s="55" t="s">
        <v>22084</v>
      </c>
      <c r="AS77" s="66">
        <f>Kalk1!$AH$52</f>
        <v>0</v>
      </c>
      <c r="AU77" s="66">
        <f>IF(Kalk1!$AA$7=1,1,0)</f>
        <v>1</v>
      </c>
      <c r="AV77" s="55" t="s">
        <v>19882</v>
      </c>
      <c r="AW77" s="66">
        <f>IF(Kalk1!$AA$9=1,1,0)</f>
        <v>1</v>
      </c>
      <c r="AX77" s="55" t="s">
        <v>20310</v>
      </c>
      <c r="AY77" s="55" t="s">
        <v>22100</v>
      </c>
      <c r="AZ77" s="66">
        <f>(AU77+AW77)*Kalk1!$H$37</f>
        <v>2</v>
      </c>
      <c r="BA77" s="55" t="s">
        <v>22101</v>
      </c>
    </row>
    <row r="78" spans="2:53" ht="24.95" customHeight="1">
      <c r="B78" s="93">
        <f t="shared" si="19"/>
        <v>0</v>
      </c>
      <c r="C78" s="60">
        <v>750</v>
      </c>
      <c r="D78" s="60"/>
      <c r="E78" s="60" t="str">
        <f>VLOOKUP(1600,Sprachindex!$A:$Z,Erhebungsbogen!$Y$20,FALSE)</f>
        <v>[Stk]</v>
      </c>
      <c r="F78" s="60" t="s">
        <v>21901</v>
      </c>
      <c r="G78" s="514" t="str">
        <f>VLOOKUP(1720,Sprachindex!$A:$Z,Erhebungsbogen!$Y$20,FALSE) &amp; IF(AND(Kalk1!$AA$5=2,Kalk1!$AA$13),", " &amp; VLOOKUP(1645,Sprachindex!$A:$Z,Erhebungsbogen!$Y$20,FALSE) &amp; " " &amp; $U$8,", "&amp; VLOOKUP(1648,Sprachindex!$A:$Z,Erhebungsbogen!$Y$20,FALSE))</f>
        <v>Grundprofil 80 (H-Profil v.d.L.) exkl. Dichtung, gebohrt und entgratet, blank</v>
      </c>
      <c r="H78" s="514"/>
      <c r="I78" s="514"/>
      <c r="J78" s="514"/>
      <c r="K78" s="514"/>
      <c r="L78" s="514"/>
      <c r="M78" s="514"/>
      <c r="N78" s="514"/>
      <c r="O78" s="514"/>
      <c r="P78" s="514"/>
      <c r="Q78" s="514"/>
      <c r="R78" s="514"/>
      <c r="S78" s="514"/>
      <c r="T78" s="514"/>
      <c r="U78" s="352">
        <f>IF(AND(Kalk1!$AA$5=2,Kalk1!$AA$13),VLOOKUP(F78,Preisliste!C:G,5,FALSE),VLOOKUP(F78,Preisliste!C:G,4,FALSE))</f>
        <v>160.5</v>
      </c>
      <c r="V78" s="352">
        <f t="shared" si="18"/>
        <v>0</v>
      </c>
      <c r="W78" s="86"/>
      <c r="X78" s="86"/>
      <c r="Y78" s="86"/>
      <c r="Z78" s="143">
        <f>IF(AND(Kalk1!$AA$5=2,Kalk1!$AA$13),(VLOOKUP(F78,Preisliste!C:G,5,FALSE)-VLOOKUP(F78,Preisliste!C:G,4,FALSE))*B78,0)</f>
        <v>0</v>
      </c>
      <c r="AA78" s="86"/>
      <c r="AB78" s="86"/>
      <c r="AC78" s="86"/>
      <c r="AD78" s="86"/>
      <c r="AE78" s="86"/>
      <c r="AF78" s="86"/>
      <c r="AG78" s="55">
        <f>IF(AND(AH78=1,AL78=1,AP78=1,AND(Kalk1!H28&gt;0,Kalk1!H29&gt;Kalk1!B1)),1,0)</f>
        <v>0</v>
      </c>
      <c r="AH78" s="66">
        <f>IF(Kalk1!$AA$19=4,1,0)</f>
        <v>0</v>
      </c>
      <c r="AI78" s="55">
        <v>80</v>
      </c>
      <c r="AK78" s="55" t="s">
        <v>22079</v>
      </c>
      <c r="AL78" s="66">
        <f>IF(OR(Kalk1!$AA$7=1,Kalk1!$AA$9=1),1,0)</f>
        <v>1</v>
      </c>
      <c r="AM78" s="55" t="s">
        <v>22083</v>
      </c>
      <c r="AO78" s="55" t="s">
        <v>22079</v>
      </c>
      <c r="AP78" s="66">
        <f>IF(Kalk1!$AI$51=AQ78,1,0)</f>
        <v>1</v>
      </c>
      <c r="AQ78" s="55">
        <v>750</v>
      </c>
      <c r="AU78" s="66">
        <f>IF(Kalk1!$AA$7=1,1,0)</f>
        <v>1</v>
      </c>
      <c r="AV78" s="55" t="s">
        <v>19882</v>
      </c>
      <c r="AW78" s="66">
        <f>IF(Kalk1!$AA$9=1,1,0)</f>
        <v>1</v>
      </c>
      <c r="AX78" s="55" t="s">
        <v>20310</v>
      </c>
      <c r="AY78" s="55" t="s">
        <v>22100</v>
      </c>
      <c r="AZ78" s="66">
        <f>(AU78+AW78)*Kalk1!$H$37</f>
        <v>2</v>
      </c>
      <c r="BA78" s="55" t="s">
        <v>22101</v>
      </c>
    </row>
    <row r="79" spans="2:53" ht="24.95" customHeight="1">
      <c r="B79" s="93">
        <f t="shared" si="19"/>
        <v>0</v>
      </c>
      <c r="C79" s="60">
        <v>1350</v>
      </c>
      <c r="D79" s="60"/>
      <c r="E79" s="60" t="str">
        <f>VLOOKUP(1600,Sprachindex!$A:$Z,Erhebungsbogen!$Y$20,FALSE)</f>
        <v>[Stk]</v>
      </c>
      <c r="F79" s="60" t="s">
        <v>21902</v>
      </c>
      <c r="G79" s="514" t="str">
        <f>VLOOKUP(1720,Sprachindex!$A:$Z,Erhebungsbogen!$Y$20,FALSE) &amp; IF(AND(Kalk1!$AA$5=2,Kalk1!$AA$13),", " &amp; VLOOKUP(1645,Sprachindex!$A:$Z,Erhebungsbogen!$Y$20,FALSE) &amp; " " &amp; $U$8,", "&amp; VLOOKUP(1648,Sprachindex!$A:$Z,Erhebungsbogen!$Y$20,FALSE))</f>
        <v>Grundprofil 80 (H-Profil v.d.L.) exkl. Dichtung, gebohrt und entgratet, blank</v>
      </c>
      <c r="H79" s="514"/>
      <c r="I79" s="514"/>
      <c r="J79" s="514"/>
      <c r="K79" s="514"/>
      <c r="L79" s="514"/>
      <c r="M79" s="514"/>
      <c r="N79" s="514"/>
      <c r="O79" s="514"/>
      <c r="P79" s="514"/>
      <c r="Q79" s="514"/>
      <c r="R79" s="514"/>
      <c r="S79" s="514"/>
      <c r="T79" s="514"/>
      <c r="U79" s="352">
        <f>IF(AND(Kalk1!$AA$5=2,Kalk1!$AA$13),VLOOKUP(F79,Preisliste!C:G,5,FALSE),VLOOKUP(F79,Preisliste!C:G,4,FALSE))</f>
        <v>256.5</v>
      </c>
      <c r="V79" s="352">
        <f t="shared" si="18"/>
        <v>0</v>
      </c>
      <c r="W79" s="86"/>
      <c r="X79" s="86"/>
      <c r="Y79" s="86"/>
      <c r="Z79" s="143">
        <f>IF(AND(Kalk1!$AA$5=2,Kalk1!$AA$13),(VLOOKUP(F79,Preisliste!C:G,5,FALSE)-VLOOKUP(F79,Preisliste!C:G,4,FALSE))*B79,0)</f>
        <v>0</v>
      </c>
      <c r="AA79" s="86"/>
      <c r="AB79" s="86"/>
      <c r="AC79" s="86"/>
      <c r="AD79" s="86"/>
      <c r="AE79" s="86"/>
      <c r="AF79" s="86"/>
      <c r="AG79" s="55">
        <f t="shared" ref="AG79:AG82" si="22">IF(AND(AH79=1,AL79=1,AP79=1),1,0)</f>
        <v>0</v>
      </c>
      <c r="AH79" s="66">
        <f>IF(Kalk1!$AA$19=4,1,0)</f>
        <v>0</v>
      </c>
      <c r="AI79" s="55">
        <v>80</v>
      </c>
      <c r="AK79" s="55" t="s">
        <v>22079</v>
      </c>
      <c r="AL79" s="66">
        <f>IF(OR(Kalk1!$AA$7=1,Kalk1!$AA$9=1),1,0)</f>
        <v>1</v>
      </c>
      <c r="AM79" s="55" t="s">
        <v>22083</v>
      </c>
      <c r="AO79" s="55" t="s">
        <v>22079</v>
      </c>
      <c r="AP79" s="66">
        <f>IF(Kalk1!$AI$51=AQ79,1,0)</f>
        <v>0</v>
      </c>
      <c r="AQ79" s="55">
        <v>1350</v>
      </c>
      <c r="AU79" s="66">
        <f>IF(Kalk1!$AA$7=1,1,0)</f>
        <v>1</v>
      </c>
      <c r="AV79" s="55" t="s">
        <v>19882</v>
      </c>
      <c r="AW79" s="66">
        <f>IF(Kalk1!$AA$9=1,1,0)</f>
        <v>1</v>
      </c>
      <c r="AX79" s="55" t="s">
        <v>20310</v>
      </c>
      <c r="AY79" s="55" t="s">
        <v>22100</v>
      </c>
      <c r="AZ79" s="66">
        <f>(AU79+AW79)*Kalk1!$H$37</f>
        <v>2</v>
      </c>
      <c r="BA79" s="55" t="s">
        <v>22101</v>
      </c>
    </row>
    <row r="80" spans="2:53" ht="24.95" customHeight="1">
      <c r="B80" s="93">
        <f t="shared" si="19"/>
        <v>0</v>
      </c>
      <c r="C80" s="60">
        <v>1750</v>
      </c>
      <c r="D80" s="60"/>
      <c r="E80" s="60" t="str">
        <f>VLOOKUP(1600,Sprachindex!$A:$Z,Erhebungsbogen!$Y$20,FALSE)</f>
        <v>[Stk]</v>
      </c>
      <c r="F80" s="60" t="s">
        <v>21903</v>
      </c>
      <c r="G80" s="514" t="str">
        <f>VLOOKUP(1720,Sprachindex!$A:$Z,Erhebungsbogen!$Y$20,FALSE) &amp; IF(AND(Kalk1!$AA$5=2,Kalk1!$AA$13),", " &amp; VLOOKUP(1645,Sprachindex!$A:$Z,Erhebungsbogen!$Y$20,FALSE) &amp; " " &amp; $U$8,", "&amp; VLOOKUP(1648,Sprachindex!$A:$Z,Erhebungsbogen!$Y$20,FALSE))</f>
        <v>Grundprofil 80 (H-Profil v.d.L.) exkl. Dichtung, gebohrt und entgratet, blank</v>
      </c>
      <c r="H80" s="514"/>
      <c r="I80" s="514"/>
      <c r="J80" s="514"/>
      <c r="K80" s="514"/>
      <c r="L80" s="514"/>
      <c r="M80" s="514"/>
      <c r="N80" s="514"/>
      <c r="O80" s="514"/>
      <c r="P80" s="514"/>
      <c r="Q80" s="514"/>
      <c r="R80" s="514"/>
      <c r="S80" s="514"/>
      <c r="T80" s="514"/>
      <c r="U80" s="352">
        <f>IF(AND(Kalk1!$AA$5=2,Kalk1!$AA$13),VLOOKUP(F80,Preisliste!C:G,5,FALSE),VLOOKUP(F80,Preisliste!C:G,4,FALSE))</f>
        <v>320.85000000000002</v>
      </c>
      <c r="V80" s="352">
        <f t="shared" si="18"/>
        <v>0</v>
      </c>
      <c r="W80" s="86"/>
      <c r="X80" s="86"/>
      <c r="Y80" s="86"/>
      <c r="Z80" s="143">
        <f>IF(AND(Kalk1!$AA$5=2,Kalk1!$AA$13),(VLOOKUP(F80,Preisliste!C:G,5,FALSE)-VLOOKUP(F80,Preisliste!C:G,4,FALSE))*B80,0)</f>
        <v>0</v>
      </c>
      <c r="AA80" s="86"/>
      <c r="AB80" s="86"/>
      <c r="AC80" s="86"/>
      <c r="AD80" s="86"/>
      <c r="AE80" s="86"/>
      <c r="AF80" s="86"/>
      <c r="AG80" s="55">
        <f t="shared" si="22"/>
        <v>0</v>
      </c>
      <c r="AH80" s="66">
        <f>IF(Kalk1!$AA$19=4,1,0)</f>
        <v>0</v>
      </c>
      <c r="AI80" s="55">
        <v>80</v>
      </c>
      <c r="AK80" s="55" t="s">
        <v>22079</v>
      </c>
      <c r="AL80" s="66">
        <f>IF(OR(Kalk1!$AA$7=1,Kalk1!$AA$9=1),1,0)</f>
        <v>1</v>
      </c>
      <c r="AM80" s="55" t="s">
        <v>22083</v>
      </c>
      <c r="AO80" s="55" t="s">
        <v>22079</v>
      </c>
      <c r="AP80" s="66">
        <f>IF(Kalk1!$AI$51=AQ80,1,0)</f>
        <v>0</v>
      </c>
      <c r="AQ80" s="55">
        <v>1750</v>
      </c>
      <c r="AU80" s="66">
        <f>IF(Kalk1!$AA$7=1,1,0)</f>
        <v>1</v>
      </c>
      <c r="AV80" s="55" t="s">
        <v>19882</v>
      </c>
      <c r="AW80" s="66">
        <f>IF(Kalk1!$AA$9=1,1,0)</f>
        <v>1</v>
      </c>
      <c r="AX80" s="55" t="s">
        <v>20310</v>
      </c>
      <c r="AY80" s="55" t="s">
        <v>22100</v>
      </c>
      <c r="AZ80" s="66">
        <f>(AU80+AW80)*Kalk1!$H$37</f>
        <v>2</v>
      </c>
      <c r="BA80" s="55" t="s">
        <v>22101</v>
      </c>
    </row>
    <row r="81" spans="2:53" ht="24.95" customHeight="1">
      <c r="B81" s="93">
        <f t="shared" si="19"/>
        <v>0</v>
      </c>
      <c r="C81" s="60">
        <v>2150</v>
      </c>
      <c r="D81" s="60"/>
      <c r="E81" s="60" t="str">
        <f>VLOOKUP(1600,Sprachindex!$A:$Z,Erhebungsbogen!$Y$20,FALSE)</f>
        <v>[Stk]</v>
      </c>
      <c r="F81" s="60" t="s">
        <v>21904</v>
      </c>
      <c r="G81" s="514" t="str">
        <f>VLOOKUP(1720,Sprachindex!$A:$Z,Erhebungsbogen!$Y$20,FALSE) &amp; IF(AND(Kalk1!$AA$5=2,Kalk1!$AA$13),", " &amp; VLOOKUP(1645,Sprachindex!$A:$Z,Erhebungsbogen!$Y$20,FALSE) &amp; " " &amp; $U$8,", "&amp; VLOOKUP(1648,Sprachindex!$A:$Z,Erhebungsbogen!$Y$20,FALSE))</f>
        <v>Grundprofil 80 (H-Profil v.d.L.) exkl. Dichtung, gebohrt und entgratet, blank</v>
      </c>
      <c r="H81" s="514"/>
      <c r="I81" s="514"/>
      <c r="J81" s="514"/>
      <c r="K81" s="514"/>
      <c r="L81" s="514"/>
      <c r="M81" s="514"/>
      <c r="N81" s="514"/>
      <c r="O81" s="514"/>
      <c r="P81" s="514"/>
      <c r="Q81" s="514"/>
      <c r="R81" s="514"/>
      <c r="S81" s="514"/>
      <c r="T81" s="514"/>
      <c r="U81" s="352">
        <f>IF(AND(Kalk1!$AA$5=2,Kalk1!$AA$13),VLOOKUP(F81,Preisliste!C:G,5,FALSE),VLOOKUP(F81,Preisliste!C:G,4,FALSE))</f>
        <v>385.4</v>
      </c>
      <c r="V81" s="352">
        <f t="shared" si="18"/>
        <v>0</v>
      </c>
      <c r="W81" s="86"/>
      <c r="X81" s="86"/>
      <c r="Y81" s="86"/>
      <c r="Z81" s="143">
        <f>IF(AND(Kalk1!$AA$5=2,Kalk1!$AA$13),(VLOOKUP(F81,Preisliste!C:G,5,FALSE)-VLOOKUP(F81,Preisliste!C:G,4,FALSE))*B81,0)</f>
        <v>0</v>
      </c>
      <c r="AA81" s="86"/>
      <c r="AB81" s="86"/>
      <c r="AC81" s="86"/>
      <c r="AD81" s="86"/>
      <c r="AE81" s="86"/>
      <c r="AF81" s="86"/>
      <c r="AG81" s="55">
        <f t="shared" si="22"/>
        <v>0</v>
      </c>
      <c r="AH81" s="66">
        <f>IF(Kalk1!$AA$19=4,1,0)</f>
        <v>0</v>
      </c>
      <c r="AI81" s="55">
        <v>80</v>
      </c>
      <c r="AK81" s="55" t="s">
        <v>22079</v>
      </c>
      <c r="AL81" s="66">
        <f>IF(OR(Kalk1!$AA$7=1,Kalk1!$AA$9=1),1,0)</f>
        <v>1</v>
      </c>
      <c r="AM81" s="55" t="s">
        <v>22083</v>
      </c>
      <c r="AO81" s="55" t="s">
        <v>22079</v>
      </c>
      <c r="AP81" s="66">
        <f>IF(Kalk1!$AI$51=AQ81,1,0)</f>
        <v>0</v>
      </c>
      <c r="AQ81" s="55">
        <v>2150</v>
      </c>
      <c r="AU81" s="66">
        <f>IF(Kalk1!$AA$7=1,1,0)</f>
        <v>1</v>
      </c>
      <c r="AV81" s="55" t="s">
        <v>19882</v>
      </c>
      <c r="AW81" s="66">
        <f>IF(Kalk1!$AA$9=1,1,0)</f>
        <v>1</v>
      </c>
      <c r="AX81" s="55" t="s">
        <v>20310</v>
      </c>
      <c r="AY81" s="55" t="s">
        <v>22100</v>
      </c>
      <c r="AZ81" s="66">
        <f>(AU81+AW81)*Kalk1!$H$37</f>
        <v>2</v>
      </c>
      <c r="BA81" s="55" t="s">
        <v>22101</v>
      </c>
    </row>
    <row r="82" spans="2:53" ht="24.95" customHeight="1">
      <c r="B82" s="93">
        <f t="shared" si="19"/>
        <v>0</v>
      </c>
      <c r="C82" s="60">
        <f>IF(AG82=1,AS82,0)</f>
        <v>0</v>
      </c>
      <c r="D82" s="60"/>
      <c r="E82" s="60" t="str">
        <f>VLOOKUP(1600,Sprachindex!$A:$Z,Erhebungsbogen!$Y$20,FALSE)</f>
        <v>[Stk]</v>
      </c>
      <c r="F82" s="60" t="s">
        <v>21905</v>
      </c>
      <c r="G82" s="514" t="str">
        <f>VLOOKUP(1721,Sprachindex!$A:$Z,Erhebungsbogen!$Y$20,FALSE)</f>
        <v>Grundprofil 80 (H-Profil v.d.L.) Sonderlänge exkl. Dichtung, (Stangenware)</v>
      </c>
      <c r="H82" s="514"/>
      <c r="I82" s="514"/>
      <c r="J82" s="514"/>
      <c r="K82" s="514"/>
      <c r="L82" s="514"/>
      <c r="M82" s="514"/>
      <c r="N82" s="514"/>
      <c r="O82" s="514"/>
      <c r="P82" s="514"/>
      <c r="Q82" s="514"/>
      <c r="R82" s="514"/>
      <c r="S82" s="514"/>
      <c r="T82" s="514"/>
      <c r="U82" s="352">
        <f>VLOOKUP(F82,Preisliste!C:G,4,FALSE)</f>
        <v>162.25</v>
      </c>
      <c r="V82" s="352">
        <f>U82*C82*B82/1000</f>
        <v>0</v>
      </c>
      <c r="W82" s="86"/>
      <c r="X82" s="86"/>
      <c r="Y82" s="86"/>
      <c r="Z82" s="143">
        <f>IF(AND(Kalk1!$AA$5=2,Kalk1!$AA$13),(VLOOKUP(F82,Preisliste!C:G,5,FALSE)-VLOOKUP(F82,Preisliste!C:G,4,FALSE))*B82,0)</f>
        <v>0</v>
      </c>
      <c r="AA82" s="86"/>
      <c r="AB82" s="86"/>
      <c r="AC82" s="86"/>
      <c r="AD82" s="86"/>
      <c r="AE82" s="86"/>
      <c r="AF82" s="86"/>
      <c r="AG82" s="55">
        <f t="shared" si="22"/>
        <v>0</v>
      </c>
      <c r="AH82" s="66">
        <f>IF(Kalk1!$AA$19=4,1,0)</f>
        <v>0</v>
      </c>
      <c r="AI82" s="55">
        <v>80</v>
      </c>
      <c r="AK82" s="55" t="s">
        <v>22079</v>
      </c>
      <c r="AL82" s="66">
        <f>IF(OR(Kalk1!$AA$7=1,Kalk1!$AA$9=1),1,0)</f>
        <v>1</v>
      </c>
      <c r="AM82" s="55" t="s">
        <v>22083</v>
      </c>
      <c r="AO82" s="55" t="s">
        <v>22079</v>
      </c>
      <c r="AP82" s="66">
        <f>IF(Kalk1!$AH$52&gt;AQ82,1,0)</f>
        <v>0</v>
      </c>
      <c r="AQ82" s="55">
        <v>2150</v>
      </c>
      <c r="AR82" s="55" t="s">
        <v>22084</v>
      </c>
      <c r="AS82" s="66">
        <f>Kalk1!$AH$52</f>
        <v>0</v>
      </c>
      <c r="AU82" s="66">
        <f>IF(Kalk1!$AA$7=1,1,0)</f>
        <v>1</v>
      </c>
      <c r="AV82" s="55" t="s">
        <v>19882</v>
      </c>
      <c r="AW82" s="66">
        <f>IF(Kalk1!$AA$9=1,1,0)</f>
        <v>1</v>
      </c>
      <c r="AX82" s="55" t="s">
        <v>20310</v>
      </c>
      <c r="AY82" s="55" t="s">
        <v>22100</v>
      </c>
      <c r="AZ82" s="66">
        <f>(AU82+AW82)*Kalk1!$H$37</f>
        <v>2</v>
      </c>
      <c r="BA82" s="55" t="s">
        <v>22101</v>
      </c>
    </row>
    <row r="83" spans="2:53" ht="24.95" customHeight="1">
      <c r="B83" s="94">
        <f>IF(AG83=1,AL83,0)</f>
        <v>0</v>
      </c>
      <c r="C83" s="60"/>
      <c r="D83" s="60">
        <f>B83</f>
        <v>0</v>
      </c>
      <c r="E83" s="60" t="str">
        <f>VLOOKUP(1601,Sprachindex!$A:$Z,Erhebungsbogen!$Y$20,FALSE)</f>
        <v>[VPE]</v>
      </c>
      <c r="F83" s="60" t="s">
        <v>21948</v>
      </c>
      <c r="G83" s="514" t="str">
        <f>VLOOKUP(1723,Sprachindex!$A:$Z,Erhebungsbogen!$Y$20,FALSE) &amp; " [" &amp; VLOOKUP(992,Sprachindex!$A:$Z,Erhebungsbogen!$Y$20,FALSE) &amp; " =10 "&amp; VLOOKUP(1512,Sprachindex!$A:$Z,Erhebungsbogen!$Y$20,FALSE) &amp; "]"</f>
        <v>Grundprofildichtung [VPE =10 lfm]</v>
      </c>
      <c r="H83" s="514"/>
      <c r="I83" s="514"/>
      <c r="J83" s="514"/>
      <c r="K83" s="514"/>
      <c r="L83" s="514"/>
      <c r="M83" s="514"/>
      <c r="N83" s="514"/>
      <c r="O83" s="514"/>
      <c r="P83" s="514"/>
      <c r="Q83" s="514"/>
      <c r="R83" s="514"/>
      <c r="S83" s="514"/>
      <c r="T83" s="514"/>
      <c r="U83" s="352">
        <f>VLOOKUP(F83,Preisliste!C:F,4,FALSE)</f>
        <v>67.05</v>
      </c>
      <c r="V83" s="352">
        <f t="shared" ref="V83" si="23">U83*D83</f>
        <v>0</v>
      </c>
      <c r="W83" s="86"/>
      <c r="X83" s="86"/>
      <c r="Y83" s="86"/>
      <c r="Z83" s="86"/>
      <c r="AA83" s="86"/>
      <c r="AB83" s="86"/>
      <c r="AC83" s="86"/>
      <c r="AD83" s="86"/>
      <c r="AE83" s="86"/>
      <c r="AF83" s="86"/>
      <c r="AG83" s="244">
        <f>IF(AND(Kalk1!H28&gt;0,Kalk1!H29&gt;0),1,0)</f>
        <v>0</v>
      </c>
      <c r="AK83" s="55" t="s">
        <v>22100</v>
      </c>
      <c r="AL83" s="66">
        <f>Kalk1!AH54</f>
        <v>0</v>
      </c>
      <c r="AM83" s="55" t="s">
        <v>12148</v>
      </c>
    </row>
    <row r="84" spans="2:53" ht="24.95" customHeight="1">
      <c r="B84" s="93">
        <f>IF(AG84=1,AU84,0)</f>
        <v>0</v>
      </c>
      <c r="C84" s="60"/>
      <c r="D84" s="60"/>
      <c r="E84" s="60" t="str">
        <f>VLOOKUP(1599,Sprachindex!$A:$Z,Erhebungsbogen!$Y$20,FALSE)</f>
        <v>[Paar]</v>
      </c>
      <c r="F84" s="60" t="s">
        <v>21972</v>
      </c>
      <c r="G84" s="514" t="str">
        <f>VLOOKUP(1724,Sprachindex!$A:$Z,Erhebungsbogen!$Y$20,FALSE)</f>
        <v>Halterung für Dammbalken</v>
      </c>
      <c r="H84" s="514"/>
      <c r="I84" s="514"/>
      <c r="J84" s="514"/>
      <c r="K84" s="514"/>
      <c r="L84" s="514"/>
      <c r="M84" s="514"/>
      <c r="N84" s="514"/>
      <c r="O84" s="514"/>
      <c r="P84" s="514"/>
      <c r="Q84" s="514"/>
      <c r="R84" s="514"/>
      <c r="S84" s="514"/>
      <c r="T84" s="514"/>
      <c r="U84" s="352">
        <f>VLOOKUP(F84,Preisliste!C:F,4,FALSE)</f>
        <v>215.75</v>
      </c>
      <c r="V84" s="352">
        <f t="shared" si="18"/>
        <v>0</v>
      </c>
      <c r="W84" s="86"/>
      <c r="X84" s="86"/>
      <c r="Y84" s="86"/>
      <c r="Z84" s="86"/>
      <c r="AA84" s="86"/>
      <c r="AB84" s="86"/>
      <c r="AC84" s="86"/>
      <c r="AD84" s="86"/>
      <c r="AE84" s="86"/>
      <c r="AF84" s="86"/>
      <c r="AG84" s="55">
        <f>IF(Kalk1!$AA$30,1,0)</f>
        <v>0</v>
      </c>
      <c r="AL84" s="66">
        <f>IF(Kalk1!AA19=1,12,IF(Kalk1!AA19=2,7,IF(Kalk1!AA19=3,6,IF(Kalk1!AA19=4,4,0))))</f>
        <v>6</v>
      </c>
      <c r="AM84" s="55" t="s">
        <v>22116</v>
      </c>
      <c r="AP84" s="66">
        <f>Kalk1!AH41</f>
        <v>0</v>
      </c>
      <c r="AQ84" s="55" t="s">
        <v>22117</v>
      </c>
      <c r="AU84" s="66">
        <f>ROUNDUP(AP84/AL84,0)</f>
        <v>0</v>
      </c>
      <c r="AV84" s="55" t="s">
        <v>22118</v>
      </c>
      <c r="AX84" s="21"/>
    </row>
    <row r="85" spans="2:53" ht="24.95" customHeight="1">
      <c r="B85" s="93">
        <f>IF(AND(AG85&gt;0,AL85&gt;0),AL85,0)</f>
        <v>0</v>
      </c>
      <c r="C85" s="60"/>
      <c r="D85" s="60"/>
      <c r="E85" s="60" t="str">
        <f>VLOOKUP(1600,Sprachindex!$A:$Z,Erhebungsbogen!$Y$20,FALSE)</f>
        <v>[Stk]</v>
      </c>
      <c r="F85" s="60" t="s">
        <v>21976</v>
      </c>
      <c r="G85" s="514" t="str">
        <f>VLOOKUP(2126,Sprachindex!$A:$Z,Erhebungsbogen!$Y$20,FALSE)</f>
        <v>Hebehilfe für Bodenhülsendeckel</v>
      </c>
      <c r="H85" s="514"/>
      <c r="I85" s="514"/>
      <c r="J85" s="514"/>
      <c r="K85" s="514"/>
      <c r="L85" s="514"/>
      <c r="M85" s="514"/>
      <c r="N85" s="514"/>
      <c r="O85" s="514"/>
      <c r="P85" s="514"/>
      <c r="Q85" s="514"/>
      <c r="R85" s="514"/>
      <c r="S85" s="514"/>
      <c r="T85" s="514"/>
      <c r="U85" s="352">
        <f>VLOOKUP(F85,Preisliste!C:F,4,FALSE)</f>
        <v>131.5</v>
      </c>
      <c r="V85" s="352">
        <f t="shared" si="18"/>
        <v>0</v>
      </c>
      <c r="W85" s="86"/>
      <c r="X85" s="86"/>
      <c r="Y85" s="86"/>
      <c r="Z85" s="86"/>
      <c r="AA85" s="86"/>
      <c r="AB85" s="86"/>
      <c r="AC85" s="86"/>
      <c r="AD85" s="86"/>
      <c r="AE85" s="86"/>
      <c r="AF85" s="86"/>
      <c r="AG85" s="55">
        <f>IF(AND(Kalk1!$AA$32,Kalk1!Q35&gt;0),1,0)</f>
        <v>0</v>
      </c>
      <c r="AK85" s="55" t="s">
        <v>22100</v>
      </c>
      <c r="AL85" s="66">
        <f>Kalk1!Q35*Kalk1!$H$37</f>
        <v>1</v>
      </c>
      <c r="AM85" s="55" t="s">
        <v>20872</v>
      </c>
      <c r="AX85" s="21"/>
    </row>
    <row r="86" spans="2:53" ht="24.95" customHeight="1">
      <c r="B86" s="93">
        <f>IF(AG86=1,AL86,0)</f>
        <v>0</v>
      </c>
      <c r="C86" s="60"/>
      <c r="D86" s="60"/>
      <c r="E86" s="60" t="str">
        <f>VLOOKUP(1600,Sprachindex!$A:$Z,Erhebungsbogen!$Y$20,FALSE)</f>
        <v>[Stk]</v>
      </c>
      <c r="F86" s="60" t="s">
        <v>21973</v>
      </c>
      <c r="G86" s="514" t="str">
        <f>VLOOKUP(2127,Sprachindex!$A:$Z,Erhebungsbogen!$Y$20,FALSE) &amp; IF(AND(Kalk1!$AA$5=2,Kalk1!$AA$16),", " &amp; VLOOKUP(1645,Sprachindex!$A:$Z,Erhebungsbogen!$Y$20,FALSE) &amp; " " &amp; $U$8,"")</f>
        <v>Lagerabdeckung (Mittelteil)</v>
      </c>
      <c r="H86" s="514"/>
      <c r="I86" s="514"/>
      <c r="J86" s="514"/>
      <c r="K86" s="514"/>
      <c r="L86" s="514"/>
      <c r="M86" s="514"/>
      <c r="N86" s="514"/>
      <c r="O86" s="514"/>
      <c r="P86" s="514"/>
      <c r="Q86" s="514"/>
      <c r="R86" s="514"/>
      <c r="S86" s="514"/>
      <c r="T86" s="514"/>
      <c r="U86" s="352">
        <f>IF(AND(Kalk1!$AA$5=2,Kalk1!$AA$16),VLOOKUP(F86,Preisliste!C:G,5,FALSE),VLOOKUP(F86,Preisliste!C:G,4,FALSE))</f>
        <v>125.7</v>
      </c>
      <c r="V86" s="352">
        <f t="shared" si="18"/>
        <v>0</v>
      </c>
      <c r="W86" s="86"/>
      <c r="X86" s="86"/>
      <c r="Y86" s="86"/>
      <c r="Z86" s="143">
        <f>IF(AND(Kalk1!$AA$5=2,Kalk1!$AA$16),(VLOOKUP(F86,Preisliste!C:G,5,FALSE)-VLOOKUP(F86,Preisliste!C:G,4,FALSE))*B86,0)</f>
        <v>0</v>
      </c>
      <c r="AA86" s="86"/>
      <c r="AB86" s="86"/>
      <c r="AC86" s="86"/>
      <c r="AD86" s="86"/>
      <c r="AE86" s="86"/>
      <c r="AF86" s="86"/>
      <c r="AG86" s="55">
        <f>IF(Kalk1!$AA$31,1,0)</f>
        <v>0</v>
      </c>
      <c r="AK86" s="55" t="s">
        <v>22100</v>
      </c>
      <c r="AL86" s="55">
        <f>ROUNDUP(((Kalk1!AH38+50)/445),0)*Kalk1!AH55</f>
        <v>0</v>
      </c>
      <c r="AM86" s="55" t="s">
        <v>20872</v>
      </c>
      <c r="AX86" s="21"/>
    </row>
    <row r="87" spans="2:53" ht="24.95" customHeight="1">
      <c r="B87" s="93">
        <f>IF(AG87=1,AL87,0)</f>
        <v>0</v>
      </c>
      <c r="C87" s="60"/>
      <c r="D87" s="60"/>
      <c r="E87" s="60" t="str">
        <f>VLOOKUP(1600,Sprachindex!$A:$Z,Erhebungsbogen!$Y$20,FALSE)</f>
        <v>[Stk]</v>
      </c>
      <c r="F87" s="60" t="s">
        <v>21975</v>
      </c>
      <c r="G87" s="514" t="str">
        <f>VLOOKUP(2128,Sprachindex!$A:$Z,Erhebungsbogen!$Y$20,FALSE) &amp; IF(AND(Kalk1!$AA$5=2,Kalk1!$AA$16),", " &amp; VLOOKUP(1645,Sprachindex!$A:$Z,Erhebungsbogen!$Y$20,FALSE) &amp; " " &amp; $U$8,"")</f>
        <v>Lagerabdeckung (Seitenteil)</v>
      </c>
      <c r="H87" s="514"/>
      <c r="I87" s="514"/>
      <c r="J87" s="514"/>
      <c r="K87" s="514"/>
      <c r="L87" s="514"/>
      <c r="M87" s="514"/>
      <c r="N87" s="514"/>
      <c r="O87" s="514"/>
      <c r="P87" s="514"/>
      <c r="Q87" s="514"/>
      <c r="R87" s="514"/>
      <c r="S87" s="514"/>
      <c r="T87" s="514"/>
      <c r="U87" s="352">
        <f>IF(AND(Kalk1!$AA$5=2,Kalk1!$AA$16),VLOOKUP(F87,Preisliste!C:G,5,FALSE),VLOOKUP(F87,Preisliste!C:G,4,FALSE))</f>
        <v>49.35</v>
      </c>
      <c r="V87" s="352">
        <f t="shared" si="18"/>
        <v>0</v>
      </c>
      <c r="W87" s="86"/>
      <c r="X87" s="86"/>
      <c r="Y87" s="86"/>
      <c r="Z87" s="143">
        <f>IF(AND(Kalk1!$AA$5=2,Kalk1!$AA$16),(VLOOKUP(F87,Preisliste!C:G,5,FALSE)-VLOOKUP(F87,Preisliste!C:G,4,FALSE))*B87,0)</f>
        <v>0</v>
      </c>
      <c r="AA87" s="86"/>
      <c r="AB87" s="86"/>
      <c r="AC87" s="86"/>
      <c r="AD87" s="86"/>
      <c r="AE87" s="86"/>
      <c r="AF87" s="86"/>
      <c r="AG87" s="55">
        <f>IF(Kalk1!$AA$31,1,0)</f>
        <v>0</v>
      </c>
      <c r="AK87" s="55" t="s">
        <v>22100</v>
      </c>
      <c r="AL87" s="55">
        <f>2*Kalk1!AH55</f>
        <v>0</v>
      </c>
      <c r="AM87" s="55" t="s">
        <v>20872</v>
      </c>
      <c r="AX87" s="21"/>
    </row>
    <row r="88" spans="2:53" ht="24.95" customHeight="1">
      <c r="B88" s="93">
        <f>IF(AND(AG88=1,AU88=1),AL88,0)</f>
        <v>0</v>
      </c>
      <c r="C88" s="60">
        <v>750</v>
      </c>
      <c r="D88" s="60"/>
      <c r="E88" s="60" t="str">
        <f>VLOOKUP(1600,Sprachindex!$A:$Z,Erhebungsbogen!$Y$20,FALSE)</f>
        <v>[Stk]</v>
      </c>
      <c r="F88" s="60" t="s">
        <v>21938</v>
      </c>
      <c r="G88" s="514" t="str">
        <f>VLOOKUP(1774,Sprachindex!$A:$Z,Erhebungsbogen!$Y$20,FALSE)</f>
        <v>Niederhalter inkl. Spannstück, Verbundanker und Gewindestange</v>
      </c>
      <c r="H88" s="514"/>
      <c r="I88" s="514"/>
      <c r="J88" s="514"/>
      <c r="K88" s="514"/>
      <c r="L88" s="514"/>
      <c r="M88" s="514"/>
      <c r="N88" s="514"/>
      <c r="O88" s="514"/>
      <c r="P88" s="514"/>
      <c r="Q88" s="514"/>
      <c r="R88" s="514"/>
      <c r="S88" s="514"/>
      <c r="T88" s="514"/>
      <c r="U88" s="352">
        <f>VLOOKUP(F88,Preisliste!C:F,4,FALSE)</f>
        <v>458.8</v>
      </c>
      <c r="V88" s="352">
        <f t="shared" si="18"/>
        <v>0</v>
      </c>
      <c r="W88" s="86"/>
      <c r="X88" s="86"/>
      <c r="Y88" s="86"/>
      <c r="Z88" s="86"/>
      <c r="AA88" s="86"/>
      <c r="AB88" s="86"/>
      <c r="AC88" s="86"/>
      <c r="AD88" s="86"/>
      <c r="AE88" s="86"/>
      <c r="AF88" s="86"/>
      <c r="AG88" s="55">
        <f>IF(AND(AL88&gt;0,AU88=1),1,0)</f>
        <v>0</v>
      </c>
      <c r="AL88" s="66">
        <f>IF(AND(Kalk1!$AA$26,Kalk1!$Q$29&gt;0),Kalk1!$Q$29,0)*Kalk1!$H$37</f>
        <v>0</v>
      </c>
      <c r="AM88" s="55" t="s">
        <v>20872</v>
      </c>
      <c r="AT88" s="55" t="s">
        <v>22079</v>
      </c>
      <c r="AU88" s="66">
        <f>IF(Kalk1!$AI$51=AV88,1,0)</f>
        <v>1</v>
      </c>
      <c r="AV88" s="55">
        <v>750</v>
      </c>
      <c r="AX88" s="21"/>
    </row>
    <row r="89" spans="2:53" ht="24.95" customHeight="1">
      <c r="B89" s="93">
        <f>IF(AND(AG89=1,AU89=1),AL89,0)</f>
        <v>0</v>
      </c>
      <c r="C89" s="60">
        <v>1350</v>
      </c>
      <c r="D89" s="60"/>
      <c r="E89" s="60" t="str">
        <f>VLOOKUP(1600,Sprachindex!$A:$Z,Erhebungsbogen!$Y$20,FALSE)</f>
        <v>[Stk]</v>
      </c>
      <c r="F89" s="60" t="s">
        <v>21939</v>
      </c>
      <c r="G89" s="514" t="str">
        <f>VLOOKUP(1774,Sprachindex!$A:$Z,Erhebungsbogen!$Y$20,FALSE)</f>
        <v>Niederhalter inkl. Spannstück, Verbundanker und Gewindestange</v>
      </c>
      <c r="H89" s="514"/>
      <c r="I89" s="514"/>
      <c r="J89" s="514"/>
      <c r="K89" s="514"/>
      <c r="L89" s="514"/>
      <c r="M89" s="514"/>
      <c r="N89" s="514"/>
      <c r="O89" s="514"/>
      <c r="P89" s="514"/>
      <c r="Q89" s="514"/>
      <c r="R89" s="514"/>
      <c r="S89" s="514"/>
      <c r="T89" s="514"/>
      <c r="U89" s="352">
        <f>VLOOKUP(F89,Preisliste!C:F,4,FALSE)</f>
        <v>498.35</v>
      </c>
      <c r="V89" s="352">
        <f t="shared" si="18"/>
        <v>0</v>
      </c>
      <c r="W89" s="86"/>
      <c r="X89" s="86"/>
      <c r="Y89" s="86"/>
      <c r="Z89" s="86"/>
      <c r="AA89" s="86"/>
      <c r="AB89" s="86"/>
      <c r="AC89" s="86"/>
      <c r="AD89" s="86"/>
      <c r="AE89" s="86"/>
      <c r="AF89" s="86"/>
      <c r="AG89" s="55">
        <f>IF(AND(AL89&gt;0,AU89=1),1,0)</f>
        <v>0</v>
      </c>
      <c r="AL89" s="66">
        <f>IF(AND(Kalk1!$AA$26,Kalk1!$Q$29&gt;0),Kalk1!$Q$29,0)*Kalk1!$H$37</f>
        <v>0</v>
      </c>
      <c r="AM89" s="55" t="s">
        <v>20872</v>
      </c>
      <c r="AT89" s="55" t="s">
        <v>22079</v>
      </c>
      <c r="AU89" s="66">
        <f>IF(Kalk1!$AI$51=AV89,1,0)</f>
        <v>0</v>
      </c>
      <c r="AV89" s="55">
        <v>1350</v>
      </c>
    </row>
    <row r="90" spans="2:53" ht="24.95" customHeight="1">
      <c r="B90" s="93">
        <f>IF(AND(AG90=1,AU90=1),AL90,0)</f>
        <v>0</v>
      </c>
      <c r="C90" s="60">
        <v>1750</v>
      </c>
      <c r="D90" s="60"/>
      <c r="E90" s="60" t="str">
        <f>VLOOKUP(1600,Sprachindex!$A:$Z,Erhebungsbogen!$Y$20,FALSE)</f>
        <v>[Stk]</v>
      </c>
      <c r="F90" s="60" t="s">
        <v>21940</v>
      </c>
      <c r="G90" s="514" t="str">
        <f>VLOOKUP(1774,Sprachindex!$A:$Z,Erhebungsbogen!$Y$20,FALSE)</f>
        <v>Niederhalter inkl. Spannstück, Verbundanker und Gewindestange</v>
      </c>
      <c r="H90" s="514"/>
      <c r="I90" s="514"/>
      <c r="J90" s="514"/>
      <c r="K90" s="514"/>
      <c r="L90" s="514"/>
      <c r="M90" s="514"/>
      <c r="N90" s="514"/>
      <c r="O90" s="514"/>
      <c r="P90" s="514"/>
      <c r="Q90" s="514"/>
      <c r="R90" s="514"/>
      <c r="S90" s="514"/>
      <c r="T90" s="514"/>
      <c r="U90" s="352">
        <f>VLOOKUP(F90,Preisliste!C:F,4,FALSE)</f>
        <v>555.6</v>
      </c>
      <c r="V90" s="352">
        <f t="shared" si="18"/>
        <v>0</v>
      </c>
      <c r="W90" s="86"/>
      <c r="X90" s="86"/>
      <c r="Y90" s="86"/>
      <c r="Z90" s="86"/>
      <c r="AA90" s="86"/>
      <c r="AB90" s="86"/>
      <c r="AC90" s="86"/>
      <c r="AD90" s="86"/>
      <c r="AE90" s="86"/>
      <c r="AF90" s="86"/>
      <c r="AG90" s="55">
        <f>IF(AND(AL90&gt;0,AU90=1),1,0)</f>
        <v>0</v>
      </c>
      <c r="AL90" s="66">
        <f>IF(AND(Kalk1!$AA$26,Kalk1!$Q$29&gt;0),Kalk1!$Q$29,0)*Kalk1!$H$37</f>
        <v>0</v>
      </c>
      <c r="AM90" s="55" t="s">
        <v>20872</v>
      </c>
      <c r="AT90" s="55" t="s">
        <v>22079</v>
      </c>
      <c r="AU90" s="66">
        <f>IF(Kalk1!$AI$51=AV90,1,0)</f>
        <v>0</v>
      </c>
      <c r="AV90" s="55">
        <v>1750</v>
      </c>
    </row>
    <row r="91" spans="2:53" ht="24.95" customHeight="1">
      <c r="B91" s="93">
        <f>IF(AG91=1,AY91,0)</f>
        <v>0</v>
      </c>
      <c r="C91" s="60">
        <v>750</v>
      </c>
      <c r="D91" s="60"/>
      <c r="E91" s="60" t="str">
        <f>VLOOKUP(1600,Sprachindex!$A:$Z,Erhebungsbogen!$Y$20,FALSE)</f>
        <v>[Stk]</v>
      </c>
      <c r="F91" s="60" t="s">
        <v>21906</v>
      </c>
      <c r="G91" s="514" t="str">
        <f>VLOOKUP(1794,Sprachindex!$A:$Z,Erhebungsbogen!$Y$20,FALSE) &amp; " ( " &amp;Preisliste!H71 &amp; " " &amp; VLOOKUP(1744,Sprachindex!$A:$Z,Erhebungsbogen!$Y$20,FALSE) &amp; ")"</f>
        <v>Rundprofil 50 exkl. Dichtung, gebohrt und entgratet ( 7,801 kg/Stk)</v>
      </c>
      <c r="H91" s="514"/>
      <c r="I91" s="514"/>
      <c r="J91" s="514"/>
      <c r="K91" s="514"/>
      <c r="L91" s="514"/>
      <c r="M91" s="514"/>
      <c r="N91" s="514"/>
      <c r="O91" s="514"/>
      <c r="P91" s="514"/>
      <c r="Q91" s="514"/>
      <c r="R91" s="514"/>
      <c r="S91" s="514"/>
      <c r="T91" s="514"/>
      <c r="U91" s="352">
        <f>VLOOKUP(F91,Preisliste!C:F,4,FALSE)</f>
        <v>369.95</v>
      </c>
      <c r="V91" s="352">
        <f t="shared" si="18"/>
        <v>0</v>
      </c>
      <c r="W91" s="86"/>
      <c r="X91" s="86"/>
      <c r="Y91" s="86"/>
      <c r="Z91" s="86"/>
      <c r="AA91" s="86"/>
      <c r="AB91" s="86"/>
      <c r="AC91" s="86"/>
      <c r="AD91" s="86"/>
      <c r="AE91" s="86"/>
      <c r="AF91" s="86"/>
      <c r="AG91" s="55">
        <f>IF(AND(AH91=1,(AL91-AO91)&gt;0,AU91=1),1,0)</f>
        <v>0</v>
      </c>
      <c r="AH91" s="66">
        <f>IF(OR(Kalk1!$AA$19=2,Kalk1!$AA$19=3),1,0)</f>
        <v>1</v>
      </c>
      <c r="AI91" s="55">
        <v>50</v>
      </c>
      <c r="AL91" s="66">
        <f>IF(Kalk1!$AA$20=1,Kalk1!$H$35-1,0)</f>
        <v>0</v>
      </c>
      <c r="AM91" s="55" t="s">
        <v>22119</v>
      </c>
      <c r="AO91" s="66">
        <f>IF(Kalk1!$O$20&gt;0,Kalk1!$O$20,0)</f>
        <v>0</v>
      </c>
      <c r="AP91" s="55" t="s">
        <v>22121</v>
      </c>
      <c r="AQ91" s="66">
        <f>IF(Kalk1!$O$21&gt;0,Kalk1!$O$21,0)</f>
        <v>0</v>
      </c>
      <c r="AR91" s="55" t="s">
        <v>22120</v>
      </c>
      <c r="AT91" s="55" t="s">
        <v>22079</v>
      </c>
      <c r="AU91" s="66">
        <f>IF(Kalk1!$AI$51=$AV$91,1,0)</f>
        <v>1</v>
      </c>
      <c r="AV91" s="55">
        <v>750</v>
      </c>
      <c r="AX91" s="55" t="s">
        <v>22100</v>
      </c>
      <c r="AY91" s="66">
        <f>IF((AL91-AO91-AQ91)&lt;0,0,AL91-AO91-AQ91)*Kalk1!$H$37</f>
        <v>0</v>
      </c>
      <c r="AZ91" s="55" t="s">
        <v>20872</v>
      </c>
    </row>
    <row r="92" spans="2:53" ht="24.95" customHeight="1">
      <c r="B92" s="93">
        <f t="shared" ref="B92:B100" si="24">IF(AG92=1,AY92,0)</f>
        <v>0</v>
      </c>
      <c r="C92" s="60">
        <v>1350</v>
      </c>
      <c r="D92" s="60"/>
      <c r="E92" s="60" t="str">
        <f>VLOOKUP(1600,Sprachindex!$A:$Z,Erhebungsbogen!$Y$20,FALSE)</f>
        <v>[Stk]</v>
      </c>
      <c r="F92" s="60" t="s">
        <v>21907</v>
      </c>
      <c r="G92" s="514" t="str">
        <f>VLOOKUP(1794,Sprachindex!$A:$Z,Erhebungsbogen!$Y$20,FALSE) &amp; " ( " &amp;Preisliste!H72 &amp; " " &amp; VLOOKUP(1744,Sprachindex!$A:$Z,Erhebungsbogen!$Y$20,FALSE) &amp; ")"</f>
        <v>Rundprofil 50 exkl. Dichtung, gebohrt und entgratet ( 14,041 kg/Stk)</v>
      </c>
      <c r="H92" s="514"/>
      <c r="I92" s="514"/>
      <c r="J92" s="514"/>
      <c r="K92" s="514"/>
      <c r="L92" s="514"/>
      <c r="M92" s="514"/>
      <c r="N92" s="514"/>
      <c r="O92" s="514"/>
      <c r="P92" s="514"/>
      <c r="Q92" s="514"/>
      <c r="R92" s="514"/>
      <c r="S92" s="514"/>
      <c r="T92" s="514"/>
      <c r="U92" s="352">
        <f>VLOOKUP(F92,Preisliste!C:F,4,FALSE)</f>
        <v>440.6</v>
      </c>
      <c r="V92" s="352">
        <f t="shared" si="18"/>
        <v>0</v>
      </c>
      <c r="W92" s="86"/>
      <c r="X92" s="86"/>
      <c r="Y92" s="86"/>
      <c r="Z92" s="86"/>
      <c r="AA92" s="86"/>
      <c r="AB92" s="86"/>
      <c r="AC92" s="86"/>
      <c r="AD92" s="86"/>
      <c r="AE92" s="86"/>
      <c r="AF92" s="86"/>
      <c r="AG92" s="55">
        <f t="shared" ref="AG92:AG100" si="25">IF(AND(AH92=1,(AL92-AO92)&gt;0,AU92=1),1,0)</f>
        <v>0</v>
      </c>
      <c r="AH92" s="66">
        <f>IF(OR(Kalk1!$AA$19=2,Kalk1!$AA$19=3),1,0)</f>
        <v>1</v>
      </c>
      <c r="AI92" s="55">
        <v>50</v>
      </c>
      <c r="AL92" s="66">
        <f>IF(Kalk1!$AA$20=1,Kalk1!$H$35-1,0)</f>
        <v>0</v>
      </c>
      <c r="AM92" s="55" t="s">
        <v>22119</v>
      </c>
      <c r="AO92" s="66">
        <f>IF(Kalk1!$O$20&gt;0,Kalk1!$O$20,0)</f>
        <v>0</v>
      </c>
      <c r="AP92" s="55" t="s">
        <v>22121</v>
      </c>
      <c r="AQ92" s="66">
        <f>IF(Kalk1!$O$21&gt;0,Kalk1!$O$21,0)</f>
        <v>0</v>
      </c>
      <c r="AR92" s="55" t="s">
        <v>22120</v>
      </c>
      <c r="AT92" s="55" t="s">
        <v>22079</v>
      </c>
      <c r="AU92" s="66">
        <f>IF(Kalk1!$AI$51=AV92,1,0)</f>
        <v>0</v>
      </c>
      <c r="AV92" s="55">
        <v>1350</v>
      </c>
      <c r="AX92" s="55" t="s">
        <v>22100</v>
      </c>
      <c r="AY92" s="66">
        <f>IF((AL92-AO92-AQ92)&lt;0,0,AL92-AO92-AQ92)*Kalk1!$H$37</f>
        <v>0</v>
      </c>
      <c r="AZ92" s="55" t="s">
        <v>20872</v>
      </c>
    </row>
    <row r="93" spans="2:53" ht="24.95" customHeight="1">
      <c r="B93" s="93">
        <f t="shared" si="24"/>
        <v>0</v>
      </c>
      <c r="C93" s="60">
        <v>1750</v>
      </c>
      <c r="D93" s="60"/>
      <c r="E93" s="60" t="str">
        <f>VLOOKUP(1600,Sprachindex!$A:$Z,Erhebungsbogen!$Y$20,FALSE)</f>
        <v>[Stk]</v>
      </c>
      <c r="F93" s="60" t="s">
        <v>21908</v>
      </c>
      <c r="G93" s="514" t="str">
        <f>VLOOKUP(1794,Sprachindex!$A:$Z,Erhebungsbogen!$Y$20,FALSE) &amp; " ( " &amp;Preisliste!H73 &amp; " " &amp; VLOOKUP(1744,Sprachindex!$A:$Z,Erhebungsbogen!$Y$20,FALSE) &amp; ")"</f>
        <v>Rundprofil 50 exkl. Dichtung, gebohrt und entgratet ( 18,202 kg/Stk)</v>
      </c>
      <c r="H93" s="514"/>
      <c r="I93" s="514"/>
      <c r="J93" s="514"/>
      <c r="K93" s="514"/>
      <c r="L93" s="514"/>
      <c r="M93" s="514"/>
      <c r="N93" s="514"/>
      <c r="O93" s="514"/>
      <c r="P93" s="514"/>
      <c r="Q93" s="514"/>
      <c r="R93" s="514"/>
      <c r="S93" s="514"/>
      <c r="T93" s="514"/>
      <c r="U93" s="352">
        <f>VLOOKUP(F93,Preisliste!C:F,4,FALSE)</f>
        <v>509.75</v>
      </c>
      <c r="V93" s="352">
        <f t="shared" si="18"/>
        <v>0</v>
      </c>
      <c r="W93" s="86"/>
      <c r="X93" s="86"/>
      <c r="Y93" s="86"/>
      <c r="Z93" s="86"/>
      <c r="AA93" s="86"/>
      <c r="AB93" s="86"/>
      <c r="AC93" s="86"/>
      <c r="AD93" s="86"/>
      <c r="AE93" s="86"/>
      <c r="AF93" s="86"/>
      <c r="AG93" s="55">
        <f t="shared" si="25"/>
        <v>0</v>
      </c>
      <c r="AH93" s="66">
        <f>IF(OR(Kalk1!$AA$19=2,Kalk1!$AA$19=3),1,0)</f>
        <v>1</v>
      </c>
      <c r="AI93" s="55">
        <v>50</v>
      </c>
      <c r="AL93" s="66">
        <f>IF(Kalk1!$AA$20=1,Kalk1!$H$35-1,0)</f>
        <v>0</v>
      </c>
      <c r="AM93" s="55" t="s">
        <v>22119</v>
      </c>
      <c r="AO93" s="66">
        <f>IF(Kalk1!$O$20&gt;0,Kalk1!$O$20,0)</f>
        <v>0</v>
      </c>
      <c r="AP93" s="55" t="s">
        <v>22121</v>
      </c>
      <c r="AQ93" s="66">
        <f>IF(Kalk1!$O$21&gt;0,Kalk1!$O$21,0)</f>
        <v>0</v>
      </c>
      <c r="AR93" s="55" t="s">
        <v>22120</v>
      </c>
      <c r="AT93" s="55" t="s">
        <v>22079</v>
      </c>
      <c r="AU93" s="66">
        <f>IF(Kalk1!$AI$51=AV93,1,0)</f>
        <v>0</v>
      </c>
      <c r="AV93" s="55">
        <v>1750</v>
      </c>
      <c r="AX93" s="55" t="s">
        <v>22100</v>
      </c>
      <c r="AY93" s="66">
        <f>IF((AL93-AO93-AQ93)&lt;0,0,AL93-AO93-AQ93)*Kalk1!$H$37</f>
        <v>0</v>
      </c>
      <c r="AZ93" s="55" t="s">
        <v>20872</v>
      </c>
    </row>
    <row r="94" spans="2:53" ht="24.95" customHeight="1">
      <c r="B94" s="93">
        <f t="shared" si="24"/>
        <v>0</v>
      </c>
      <c r="C94" s="60">
        <v>2150</v>
      </c>
      <c r="D94" s="60"/>
      <c r="E94" s="60" t="str">
        <f>VLOOKUP(1600,Sprachindex!$A:$Z,Erhebungsbogen!$Y$20,FALSE)</f>
        <v>[Stk]</v>
      </c>
      <c r="F94" s="60" t="s">
        <v>21909</v>
      </c>
      <c r="G94" s="514" t="str">
        <f>VLOOKUP(1794,Sprachindex!$A:$Z,Erhebungsbogen!$Y$20,FALSE) &amp; " ( " &amp;Preisliste!H74 &amp; " " &amp; VLOOKUP(1744,Sprachindex!$A:$Z,Erhebungsbogen!$Y$20,FALSE) &amp; ")"</f>
        <v>Rundprofil 50 exkl. Dichtung, gebohrt und entgratet ( 22,362 kg/Stk)</v>
      </c>
      <c r="H94" s="514"/>
      <c r="I94" s="514"/>
      <c r="J94" s="514"/>
      <c r="K94" s="514"/>
      <c r="L94" s="514"/>
      <c r="M94" s="514"/>
      <c r="N94" s="514"/>
      <c r="O94" s="514"/>
      <c r="P94" s="514"/>
      <c r="Q94" s="514"/>
      <c r="R94" s="514"/>
      <c r="S94" s="514"/>
      <c r="T94" s="514"/>
      <c r="U94" s="352">
        <f>VLOOKUP(F94,Preisliste!C:F,4,FALSE)</f>
        <v>554.29999999999995</v>
      </c>
      <c r="V94" s="352">
        <f t="shared" si="18"/>
        <v>0</v>
      </c>
      <c r="W94" s="86"/>
      <c r="X94" s="86"/>
      <c r="Y94" s="86"/>
      <c r="Z94" s="86"/>
      <c r="AA94" s="86"/>
      <c r="AB94" s="86"/>
      <c r="AC94" s="86"/>
      <c r="AD94" s="86"/>
      <c r="AE94" s="86"/>
      <c r="AF94" s="86"/>
      <c r="AG94" s="55">
        <f t="shared" si="25"/>
        <v>0</v>
      </c>
      <c r="AH94" s="66">
        <f>IF(OR(Kalk1!$AA$19=2,Kalk1!$AA$19=3),1,0)</f>
        <v>1</v>
      </c>
      <c r="AI94" s="55">
        <v>50</v>
      </c>
      <c r="AL94" s="66">
        <f>IF(Kalk1!$AA$20=1,Kalk1!$H$35-1,0)</f>
        <v>0</v>
      </c>
      <c r="AM94" s="55" t="s">
        <v>22119</v>
      </c>
      <c r="AO94" s="66">
        <f>IF(Kalk1!$O$20&gt;0,Kalk1!$O$20,0)</f>
        <v>0</v>
      </c>
      <c r="AP94" s="55" t="s">
        <v>22121</v>
      </c>
      <c r="AQ94" s="66">
        <f>IF(Kalk1!$O$21&gt;0,Kalk1!$O$21,0)</f>
        <v>0</v>
      </c>
      <c r="AR94" s="55" t="s">
        <v>22120</v>
      </c>
      <c r="AT94" s="55" t="s">
        <v>22079</v>
      </c>
      <c r="AU94" s="66">
        <f>IF(Kalk1!$AI$51=AV94,1,0)</f>
        <v>0</v>
      </c>
      <c r="AV94" s="55">
        <v>2150</v>
      </c>
      <c r="AX94" s="55" t="s">
        <v>22100</v>
      </c>
      <c r="AY94" s="66">
        <f>IF((AL94-AO94-AQ94)&lt;0,0,AL94-AO94-AQ94)*Kalk1!$H$37</f>
        <v>0</v>
      </c>
      <c r="AZ94" s="55" t="s">
        <v>20872</v>
      </c>
    </row>
    <row r="95" spans="2:53" ht="24.95" customHeight="1">
      <c r="B95" s="93">
        <f t="shared" si="24"/>
        <v>0</v>
      </c>
      <c r="C95" s="60">
        <f>IF(AG95=1,AW95,0)</f>
        <v>0</v>
      </c>
      <c r="D95" s="60"/>
      <c r="E95" s="60" t="str">
        <f>VLOOKUP(1600,Sprachindex!$A:$Z,Erhebungsbogen!$Y$20,FALSE)</f>
        <v>[Stk]</v>
      </c>
      <c r="F95" s="60" t="s">
        <v>21826</v>
      </c>
      <c r="G95" s="514" t="str">
        <f>VLOOKUP(1795,Sprachindex!$A:$Z,Erhebungsbogen!$Y$20,FALSE) &amp; " (" &amp; ROUNDUP(C95/1000*Preisliste!I75,2) &amp; " " &amp; VLOOKUP(1744,Sprachindex!$A:$Z,Erhebungsbogen!$Y$20,FALSE) &amp; ")"</f>
        <v>Rundprofil 50 Sonderlänge exkl. Dichtung, (Stangenware) (0 kg/Stk)</v>
      </c>
      <c r="H95" s="514"/>
      <c r="I95" s="514"/>
      <c r="J95" s="514"/>
      <c r="K95" s="514"/>
      <c r="L95" s="514"/>
      <c r="M95" s="514"/>
      <c r="N95" s="514"/>
      <c r="O95" s="514"/>
      <c r="P95" s="514"/>
      <c r="Q95" s="514"/>
      <c r="R95" s="514"/>
      <c r="S95" s="514"/>
      <c r="T95" s="514"/>
      <c r="U95" s="354">
        <f>VLOOKUP(F95,Preisliste!C:F,4,FALSE)</f>
        <v>0</v>
      </c>
      <c r="V95" s="352">
        <f>U95*C95*B95/1000</f>
        <v>0</v>
      </c>
      <c r="W95" s="86"/>
      <c r="X95" s="86"/>
      <c r="Y95" s="86"/>
      <c r="Z95" s="86"/>
      <c r="AA95" s="86"/>
      <c r="AB95" s="86"/>
      <c r="AC95" s="86"/>
      <c r="AD95" s="86"/>
      <c r="AE95" s="86"/>
      <c r="AF95" s="86"/>
      <c r="AG95" s="55">
        <f t="shared" si="25"/>
        <v>0</v>
      </c>
      <c r="AH95" s="66">
        <f>IF(OR(Kalk1!$AA$19=2,Kalk1!$AA$19=3),1,0)</f>
        <v>1</v>
      </c>
      <c r="AI95" s="55">
        <v>50</v>
      </c>
      <c r="AL95" s="66">
        <f>IF(Kalk1!$AA$20=1,Kalk1!$H$35-1,0)</f>
        <v>0</v>
      </c>
      <c r="AM95" s="55" t="s">
        <v>22119</v>
      </c>
      <c r="AO95" s="66">
        <f>IF(Kalk1!$O$20&gt;0,Kalk1!$O$20,0)</f>
        <v>0</v>
      </c>
      <c r="AP95" s="55" t="s">
        <v>22121</v>
      </c>
      <c r="AQ95" s="66">
        <f>IF(Kalk1!$O$21&gt;0,Kalk1!$O$21,0)</f>
        <v>0</v>
      </c>
      <c r="AR95" s="55" t="s">
        <v>22120</v>
      </c>
      <c r="AT95" s="55" t="s">
        <v>22079</v>
      </c>
      <c r="AU95" s="66">
        <f>IF(Kalk1!$AH$52&gt;AV95,1,0)</f>
        <v>0</v>
      </c>
      <c r="AV95" s="55">
        <v>2150</v>
      </c>
      <c r="AW95" s="66">
        <f>Kalk1!$AH$52</f>
        <v>0</v>
      </c>
      <c r="AX95" s="55" t="s">
        <v>22100</v>
      </c>
      <c r="AY95" s="66">
        <f>IF((AL95-AO95-AQ95)&lt;0,0,AL95-AO95-AQ95)*Kalk1!$H$37</f>
        <v>0</v>
      </c>
      <c r="AZ95" s="55" t="s">
        <v>20872</v>
      </c>
    </row>
    <row r="96" spans="2:53" ht="24.95" customHeight="1">
      <c r="B96" s="93">
        <f t="shared" si="24"/>
        <v>0</v>
      </c>
      <c r="C96" s="60">
        <v>750</v>
      </c>
      <c r="D96" s="60"/>
      <c r="E96" s="60" t="str">
        <f>VLOOKUP(1600,Sprachindex!$A:$Z,Erhebungsbogen!$Y$20,FALSE)</f>
        <v>[Stk]</v>
      </c>
      <c r="F96" s="60" t="s">
        <v>21910</v>
      </c>
      <c r="G96" s="514" t="str">
        <f>VLOOKUP(1800,Sprachindex!$A:$Z,Erhebungsbogen!$Y$20,FALSE) &amp; " ( " &amp;Preisliste!H76 &amp; " " &amp; VLOOKUP(1744,Sprachindex!$A:$Z,Erhebungsbogen!$Y$20,FALSE) &amp; ")"</f>
        <v>Rundprofil 80 exkl. Dichtung, gebohrt und entgratet ( 8,444 kg/Stk)</v>
      </c>
      <c r="H96" s="514"/>
      <c r="I96" s="514"/>
      <c r="J96" s="514"/>
      <c r="K96" s="514"/>
      <c r="L96" s="514"/>
      <c r="M96" s="514"/>
      <c r="N96" s="514"/>
      <c r="O96" s="514"/>
      <c r="P96" s="514"/>
      <c r="Q96" s="514"/>
      <c r="R96" s="514"/>
      <c r="S96" s="514"/>
      <c r="T96" s="514"/>
      <c r="U96" s="352">
        <f>VLOOKUP(F96,Preisliste!C:F,4,FALSE)</f>
        <v>404.05</v>
      </c>
      <c r="V96" s="352">
        <f t="shared" si="18"/>
        <v>0</v>
      </c>
      <c r="W96" s="86"/>
      <c r="X96" s="86"/>
      <c r="Y96" s="86"/>
      <c r="Z96" s="86"/>
      <c r="AA96" s="86"/>
      <c r="AB96" s="86"/>
      <c r="AC96" s="86"/>
      <c r="AD96" s="86"/>
      <c r="AE96" s="86"/>
      <c r="AF96" s="86"/>
      <c r="AG96" s="55">
        <f t="shared" si="25"/>
        <v>0</v>
      </c>
      <c r="AH96" s="66">
        <f>IF(Kalk1!$AA$19=4,1,0)</f>
        <v>0</v>
      </c>
      <c r="AI96" s="55">
        <v>80</v>
      </c>
      <c r="AL96" s="66">
        <f>IF(Kalk1!$AA$20=1,Kalk1!$H$35-1,0)</f>
        <v>0</v>
      </c>
      <c r="AM96" s="55" t="s">
        <v>22119</v>
      </c>
      <c r="AO96" s="66">
        <f>IF(Kalk1!$O$20&gt;0,Kalk1!$O$20,0)</f>
        <v>0</v>
      </c>
      <c r="AP96" s="55" t="s">
        <v>22121</v>
      </c>
      <c r="AQ96" s="66">
        <f>IF(Kalk1!$O$21&gt;0,Kalk1!$O$21,0)</f>
        <v>0</v>
      </c>
      <c r="AR96" s="55" t="s">
        <v>22120</v>
      </c>
      <c r="AT96" s="55" t="s">
        <v>22079</v>
      </c>
      <c r="AU96" s="66">
        <f>IF(Kalk1!$AI$51=$AV$91,1,0)</f>
        <v>1</v>
      </c>
      <c r="AV96" s="55">
        <v>750</v>
      </c>
      <c r="AX96" s="55" t="s">
        <v>22100</v>
      </c>
      <c r="AY96" s="66">
        <f>IF((AL96-AO96-AQ96)&lt;0,0,AL96-AO96-AQ96)*Kalk1!$H$37</f>
        <v>0</v>
      </c>
      <c r="AZ96" s="55" t="s">
        <v>20872</v>
      </c>
    </row>
    <row r="97" spans="2:52" ht="24.95" customHeight="1">
      <c r="B97" s="93">
        <f t="shared" si="24"/>
        <v>0</v>
      </c>
      <c r="C97" s="60">
        <v>1350</v>
      </c>
      <c r="D97" s="60"/>
      <c r="E97" s="60" t="str">
        <f>VLOOKUP(1600,Sprachindex!$A:$Z,Erhebungsbogen!$Y$20,FALSE)</f>
        <v>[Stk]</v>
      </c>
      <c r="F97" s="60" t="s">
        <v>21911</v>
      </c>
      <c r="G97" s="514" t="str">
        <f>VLOOKUP(1800,Sprachindex!$A:$Z,Erhebungsbogen!$Y$20,FALSE) &amp; " ( " &amp;Preisliste!H77 &amp; " " &amp; VLOOKUP(1744,Sprachindex!$A:$Z,Erhebungsbogen!$Y$20,FALSE) &amp; ")"</f>
        <v>Rundprofil 80 exkl. Dichtung, gebohrt und entgratet ( 15,198 kg/Stk)</v>
      </c>
      <c r="H97" s="514"/>
      <c r="I97" s="514"/>
      <c r="J97" s="514"/>
      <c r="K97" s="514"/>
      <c r="L97" s="514"/>
      <c r="M97" s="514"/>
      <c r="N97" s="514"/>
      <c r="O97" s="514"/>
      <c r="P97" s="514"/>
      <c r="Q97" s="514"/>
      <c r="R97" s="514"/>
      <c r="S97" s="514"/>
      <c r="T97" s="514"/>
      <c r="U97" s="352">
        <f>VLOOKUP(F97,Preisliste!C:F,4,FALSE)</f>
        <v>507.3</v>
      </c>
      <c r="V97" s="352">
        <f t="shared" si="18"/>
        <v>0</v>
      </c>
      <c r="W97" s="86"/>
      <c r="X97" s="86"/>
      <c r="Y97" s="86"/>
      <c r="Z97" s="86"/>
      <c r="AA97" s="86"/>
      <c r="AB97" s="86"/>
      <c r="AC97" s="86"/>
      <c r="AD97" s="86"/>
      <c r="AE97" s="86"/>
      <c r="AF97" s="86"/>
      <c r="AG97" s="55">
        <f t="shared" si="25"/>
        <v>0</v>
      </c>
      <c r="AH97" s="66">
        <f>IF(Kalk1!$AA$19=4,1,0)</f>
        <v>0</v>
      </c>
      <c r="AI97" s="55">
        <v>80</v>
      </c>
      <c r="AL97" s="66">
        <f>IF(Kalk1!$AA$20=1,Kalk1!$H$35-1,0)</f>
        <v>0</v>
      </c>
      <c r="AM97" s="55" t="s">
        <v>22119</v>
      </c>
      <c r="AO97" s="66">
        <f>IF(Kalk1!$O$20&gt;0,Kalk1!$O$20,0)</f>
        <v>0</v>
      </c>
      <c r="AP97" s="55" t="s">
        <v>22121</v>
      </c>
      <c r="AQ97" s="66">
        <f>IF(Kalk1!$O$21&gt;0,Kalk1!$O$21,0)</f>
        <v>0</v>
      </c>
      <c r="AR97" s="55" t="s">
        <v>22120</v>
      </c>
      <c r="AT97" s="55" t="s">
        <v>22079</v>
      </c>
      <c r="AU97" s="66">
        <f>IF(Kalk1!$AI$51=AV97,1,0)</f>
        <v>0</v>
      </c>
      <c r="AV97" s="55">
        <v>1350</v>
      </c>
      <c r="AX97" s="55" t="s">
        <v>22100</v>
      </c>
      <c r="AY97" s="66">
        <f>IF((AL97-AO97-AQ97)&lt;0,0,AL97-AO97-AQ97)*Kalk1!$H$37</f>
        <v>0</v>
      </c>
      <c r="AZ97" s="55" t="s">
        <v>20872</v>
      </c>
    </row>
    <row r="98" spans="2:52" ht="24.95" customHeight="1">
      <c r="B98" s="93">
        <f t="shared" si="24"/>
        <v>0</v>
      </c>
      <c r="C98" s="60">
        <v>1750</v>
      </c>
      <c r="D98" s="60"/>
      <c r="E98" s="60" t="str">
        <f>VLOOKUP(1600,Sprachindex!$A:$Z,Erhebungsbogen!$Y$20,FALSE)</f>
        <v>[Stk]</v>
      </c>
      <c r="F98" s="60" t="s">
        <v>21912</v>
      </c>
      <c r="G98" s="514" t="str">
        <f>VLOOKUP(1800,Sprachindex!$A:$Z,Erhebungsbogen!$Y$20,FALSE) &amp; " ( " &amp;Preisliste!H78 &amp; " " &amp; VLOOKUP(1744,Sprachindex!$A:$Z,Erhebungsbogen!$Y$20,FALSE) &amp; ")"</f>
        <v>Rundprofil 80 exkl. Dichtung, gebohrt und entgratet ( 19,702 kg/Stk)</v>
      </c>
      <c r="H98" s="514"/>
      <c r="I98" s="514"/>
      <c r="J98" s="514"/>
      <c r="K98" s="514"/>
      <c r="L98" s="514"/>
      <c r="M98" s="514"/>
      <c r="N98" s="514"/>
      <c r="O98" s="514"/>
      <c r="P98" s="514"/>
      <c r="Q98" s="514"/>
      <c r="R98" s="514"/>
      <c r="S98" s="514"/>
      <c r="T98" s="514"/>
      <c r="U98" s="352">
        <f>VLOOKUP(F98,Preisliste!C:F,4,FALSE)</f>
        <v>576.20000000000005</v>
      </c>
      <c r="V98" s="352">
        <f t="shared" si="18"/>
        <v>0</v>
      </c>
      <c r="W98" s="86"/>
      <c r="X98" s="86"/>
      <c r="Y98" s="86"/>
      <c r="Z98" s="86"/>
      <c r="AA98" s="86"/>
      <c r="AB98" s="86"/>
      <c r="AC98" s="86"/>
      <c r="AD98" s="86"/>
      <c r="AE98" s="86"/>
      <c r="AF98" s="86"/>
      <c r="AG98" s="55">
        <f t="shared" si="25"/>
        <v>0</v>
      </c>
      <c r="AH98" s="66">
        <f>IF(Kalk1!$AA$19=4,1,0)</f>
        <v>0</v>
      </c>
      <c r="AI98" s="55">
        <v>80</v>
      </c>
      <c r="AL98" s="66">
        <f>IF(Kalk1!$AA$20=1,Kalk1!$H$35-1,0)</f>
        <v>0</v>
      </c>
      <c r="AM98" s="55" t="s">
        <v>22119</v>
      </c>
      <c r="AO98" s="66">
        <f>IF(Kalk1!$O$20&gt;0,Kalk1!$O$20,0)</f>
        <v>0</v>
      </c>
      <c r="AP98" s="55" t="s">
        <v>22121</v>
      </c>
      <c r="AQ98" s="66">
        <f>IF(Kalk1!$O$21&gt;0,Kalk1!$O$21,0)</f>
        <v>0</v>
      </c>
      <c r="AR98" s="55" t="s">
        <v>22120</v>
      </c>
      <c r="AT98" s="55" t="s">
        <v>22079</v>
      </c>
      <c r="AU98" s="66">
        <f>IF(Kalk1!$AI$51=AV98,1,0)</f>
        <v>0</v>
      </c>
      <c r="AV98" s="55">
        <v>1750</v>
      </c>
      <c r="AX98" s="55" t="s">
        <v>22100</v>
      </c>
      <c r="AY98" s="66">
        <f>IF((AL98-AO98-AQ98)&lt;0,0,AL98-AO98-AQ98)*Kalk1!$H$37</f>
        <v>0</v>
      </c>
      <c r="AZ98" s="55" t="s">
        <v>20872</v>
      </c>
    </row>
    <row r="99" spans="2:52" ht="24.95" customHeight="1">
      <c r="B99" s="93">
        <f t="shared" si="24"/>
        <v>0</v>
      </c>
      <c r="C99" s="60">
        <v>2150</v>
      </c>
      <c r="D99" s="60"/>
      <c r="E99" s="60" t="str">
        <f>VLOOKUP(1600,Sprachindex!$A:$Z,Erhebungsbogen!$Y$20,FALSE)</f>
        <v>[Stk]</v>
      </c>
      <c r="F99" s="60" t="s">
        <v>21913</v>
      </c>
      <c r="G99" s="514" t="str">
        <f>VLOOKUP(1800,Sprachindex!$A:$Z,Erhebungsbogen!$Y$20,FALSE) &amp; " ( " &amp;Preisliste!H79 &amp; " " &amp; VLOOKUP(1744,Sprachindex!$A:$Z,Erhebungsbogen!$Y$20,FALSE) &amp; ")"</f>
        <v>Rundprofil 80 exkl. Dichtung, gebohrt und entgratet ( 24,205 kg/Stk)</v>
      </c>
      <c r="H99" s="514"/>
      <c r="I99" s="514"/>
      <c r="J99" s="514"/>
      <c r="K99" s="514"/>
      <c r="L99" s="514"/>
      <c r="M99" s="514"/>
      <c r="N99" s="514"/>
      <c r="O99" s="514"/>
      <c r="P99" s="514"/>
      <c r="Q99" s="514"/>
      <c r="R99" s="514"/>
      <c r="S99" s="514"/>
      <c r="T99" s="514"/>
      <c r="U99" s="352">
        <f>VLOOKUP(F99,Preisliste!C:F,4,FALSE)</f>
        <v>644.85</v>
      </c>
      <c r="V99" s="352">
        <f t="shared" si="18"/>
        <v>0</v>
      </c>
      <c r="W99" s="86"/>
      <c r="X99" s="86"/>
      <c r="Y99" s="86"/>
      <c r="Z99" s="86"/>
      <c r="AA99" s="86"/>
      <c r="AB99" s="86"/>
      <c r="AC99" s="86"/>
      <c r="AD99" s="86"/>
      <c r="AE99" s="86"/>
      <c r="AF99" s="86"/>
      <c r="AG99" s="55">
        <f t="shared" si="25"/>
        <v>0</v>
      </c>
      <c r="AH99" s="66">
        <f>IF(Kalk1!$AA$19=4,1,0)</f>
        <v>0</v>
      </c>
      <c r="AI99" s="55">
        <v>80</v>
      </c>
      <c r="AL99" s="66">
        <f>IF(Kalk1!$AA$20=1,Kalk1!$H$35-1,0)</f>
        <v>0</v>
      </c>
      <c r="AM99" s="55" t="s">
        <v>22119</v>
      </c>
      <c r="AO99" s="66">
        <f>IF(Kalk1!$O$20&gt;0,Kalk1!$O$20,0)</f>
        <v>0</v>
      </c>
      <c r="AP99" s="55" t="s">
        <v>22121</v>
      </c>
      <c r="AQ99" s="66">
        <f>IF(Kalk1!$O$21&gt;0,Kalk1!$O$21,0)</f>
        <v>0</v>
      </c>
      <c r="AR99" s="55" t="s">
        <v>22120</v>
      </c>
      <c r="AT99" s="55" t="s">
        <v>22079</v>
      </c>
      <c r="AU99" s="66">
        <f>IF(Kalk1!$AI$51=AV99,1,0)</f>
        <v>0</v>
      </c>
      <c r="AV99" s="55">
        <v>2150</v>
      </c>
      <c r="AX99" s="55" t="s">
        <v>22100</v>
      </c>
      <c r="AY99" s="66">
        <f>IF((AL99-AO99-AQ99)&lt;0,0,AL99-AO99-AQ99)*Kalk1!$H$37</f>
        <v>0</v>
      </c>
      <c r="AZ99" s="55" t="s">
        <v>20872</v>
      </c>
    </row>
    <row r="100" spans="2:52" ht="24.95" customHeight="1">
      <c r="B100" s="93">
        <f t="shared" si="24"/>
        <v>0</v>
      </c>
      <c r="C100" s="60">
        <f>IF(AG100=1,AW100,0)</f>
        <v>0</v>
      </c>
      <c r="D100" s="60"/>
      <c r="E100" s="60" t="str">
        <f>VLOOKUP(1600,Sprachindex!$A:$Z,Erhebungsbogen!$Y$20,FALSE)</f>
        <v>[Stk]</v>
      </c>
      <c r="F100" s="60" t="s">
        <v>21826</v>
      </c>
      <c r="G100" s="514" t="str">
        <f>VLOOKUP(1803,Sprachindex!$A:$Z,Erhebungsbogen!$Y$20,FALSE) &amp; " (" &amp; ROUNDUP(C100/1000*Preisliste!I80,2) &amp; " " &amp; VLOOKUP(1744,Sprachindex!$A:$Z,Erhebungsbogen!$Y$20,FALSE) &amp; ")"</f>
        <v>Rundprofil 80 Sonderlänge exkl. Dichtung, (Stangenware) (0 kg/Stk)</v>
      </c>
      <c r="H100" s="514"/>
      <c r="I100" s="514"/>
      <c r="J100" s="514"/>
      <c r="K100" s="514"/>
      <c r="L100" s="514"/>
      <c r="M100" s="514"/>
      <c r="N100" s="514"/>
      <c r="O100" s="514"/>
      <c r="P100" s="514"/>
      <c r="Q100" s="514"/>
      <c r="R100" s="514"/>
      <c r="S100" s="514"/>
      <c r="T100" s="514"/>
      <c r="U100" s="354">
        <f>VLOOKUP(F100,Preisliste!C:F,4,FALSE)</f>
        <v>0</v>
      </c>
      <c r="V100" s="352">
        <f>U100*C100*B100/1000</f>
        <v>0</v>
      </c>
      <c r="W100" s="86"/>
      <c r="X100" s="86"/>
      <c r="Y100" s="86"/>
      <c r="Z100" s="86"/>
      <c r="AA100" s="86"/>
      <c r="AB100" s="86"/>
      <c r="AC100" s="86"/>
      <c r="AD100" s="86"/>
      <c r="AE100" s="86"/>
      <c r="AF100" s="86"/>
      <c r="AG100" s="55">
        <f t="shared" si="25"/>
        <v>0</v>
      </c>
      <c r="AH100" s="66">
        <f>IF(Kalk1!$AA$19=4,1,0)</f>
        <v>0</v>
      </c>
      <c r="AI100" s="55">
        <v>80</v>
      </c>
      <c r="AL100" s="66">
        <f>IF(Kalk1!$AA$20=1,Kalk1!$H$35-1,0)</f>
        <v>0</v>
      </c>
      <c r="AM100" s="55" t="s">
        <v>22119</v>
      </c>
      <c r="AO100" s="66">
        <f>IF(Kalk1!$O$20&gt;0,Kalk1!$O$20,0)</f>
        <v>0</v>
      </c>
      <c r="AP100" s="55" t="s">
        <v>22121</v>
      </c>
      <c r="AQ100" s="66">
        <f>IF(Kalk1!$O$21&gt;0,Kalk1!$O$21,0)</f>
        <v>0</v>
      </c>
      <c r="AR100" s="55" t="s">
        <v>22120</v>
      </c>
      <c r="AT100" s="55" t="s">
        <v>22079</v>
      </c>
      <c r="AU100" s="66">
        <f>IF(Kalk1!$AH$52&gt;AV100,1,0)</f>
        <v>0</v>
      </c>
      <c r="AV100" s="55">
        <v>2150</v>
      </c>
      <c r="AW100" s="66">
        <f>Kalk1!$AH$52</f>
        <v>0</v>
      </c>
      <c r="AX100" s="55" t="s">
        <v>22100</v>
      </c>
      <c r="AY100" s="66">
        <f>IF((AL100-AO100-AQ100)&lt;0,0,AL100-AO100-AQ100)*Kalk1!$H$37</f>
        <v>0</v>
      </c>
      <c r="AZ100" s="55" t="s">
        <v>20872</v>
      </c>
    </row>
    <row r="101" spans="2:52" ht="24.95" customHeight="1">
      <c r="B101" s="93">
        <f>IF(AG101=1,AL101,0)</f>
        <v>0</v>
      </c>
      <c r="C101" s="60">
        <v>750</v>
      </c>
      <c r="D101" s="60"/>
      <c r="E101" s="60" t="str">
        <f>VLOOKUP(1600,Sprachindex!$A:$Z,Erhebungsbogen!$Y$20,FALSE)</f>
        <v>[Stk]</v>
      </c>
      <c r="F101" s="60" t="s">
        <v>21914</v>
      </c>
      <c r="G101" s="517" t="str">
        <f>VLOOKUP(1801,Sprachindex!$A:$Z,Erhebungsbogen!$Y$20,FALSE) &amp; " ( " &amp;Preisliste!H81 &amp; " " &amp; VLOOKUP(1744,Sprachindex!$A:$Z,Erhebungsbogen!$Y$20,FALSE) &amp; ")"</f>
        <v>Rundprofil 80 gr. exkl. Dichtung, gebohrt und entgratet ( 11,012 kg/Stk)</v>
      </c>
      <c r="H101" s="515"/>
      <c r="I101" s="515"/>
      <c r="J101" s="515"/>
      <c r="K101" s="515"/>
      <c r="L101" s="515"/>
      <c r="M101" s="515"/>
      <c r="N101" s="515"/>
      <c r="O101" s="515"/>
      <c r="P101" s="515"/>
      <c r="Q101" s="515"/>
      <c r="R101" s="515"/>
      <c r="S101" s="515"/>
      <c r="T101" s="516"/>
      <c r="U101" s="352">
        <f>VLOOKUP(F101,Preisliste!C:F,4,FALSE)</f>
        <v>538.25</v>
      </c>
      <c r="V101" s="352">
        <f t="shared" si="18"/>
        <v>0</v>
      </c>
      <c r="W101" s="86"/>
      <c r="X101" s="86"/>
      <c r="Y101" s="86"/>
      <c r="Z101" s="86"/>
      <c r="AA101" s="86"/>
      <c r="AB101" s="86"/>
      <c r="AC101" s="86"/>
      <c r="AD101" s="86"/>
      <c r="AE101" s="86"/>
      <c r="AF101" s="86"/>
      <c r="AG101" s="55">
        <f>IF(AND(AH101=1,AL101&gt;0,AU101=1),1,0)</f>
        <v>0</v>
      </c>
      <c r="AH101" s="66">
        <f>IF(Kalk1!$AA$19=4,1,0)</f>
        <v>0</v>
      </c>
      <c r="AI101" s="55">
        <v>80</v>
      </c>
      <c r="AK101" s="55" t="s">
        <v>22079</v>
      </c>
      <c r="AL101" s="66">
        <f>IF(AND(Kalk1!$AA$19=4,Kalk1!$AA$20=2),Kalk1!$H$35-1-AO101-AQ101,0)</f>
        <v>0</v>
      </c>
      <c r="AM101" s="55" t="s">
        <v>22086</v>
      </c>
      <c r="AO101" s="66">
        <f>IF(Kalk1!$O$20&gt;0,Kalk1!$O$20,0)</f>
        <v>0</v>
      </c>
      <c r="AP101" s="55" t="s">
        <v>22121</v>
      </c>
      <c r="AQ101" s="66">
        <f>IF(Kalk1!$O$21&gt;0,Kalk1!$O$21,0)</f>
        <v>0</v>
      </c>
      <c r="AR101" s="55" t="s">
        <v>22120</v>
      </c>
      <c r="AT101" s="55" t="s">
        <v>22079</v>
      </c>
      <c r="AU101" s="66">
        <f>IF(Kalk1!$AI$51=$AV$91,1,0)</f>
        <v>1</v>
      </c>
      <c r="AV101" s="55">
        <v>750</v>
      </c>
      <c r="AX101" s="55" t="s">
        <v>22100</v>
      </c>
      <c r="AY101" s="66">
        <f>AL101*Kalk1!$H$37</f>
        <v>0</v>
      </c>
      <c r="AZ101" s="55" t="s">
        <v>20872</v>
      </c>
    </row>
    <row r="102" spans="2:52" ht="24.95" customHeight="1">
      <c r="B102" s="93">
        <f>IF(AG102=1,AY102,0)</f>
        <v>0</v>
      </c>
      <c r="C102" s="60">
        <v>1350</v>
      </c>
      <c r="D102" s="60"/>
      <c r="E102" s="60" t="str">
        <f>VLOOKUP(1600,Sprachindex!$A:$Z,Erhebungsbogen!$Y$20,FALSE)</f>
        <v>[Stk]</v>
      </c>
      <c r="F102" s="60" t="s">
        <v>21915</v>
      </c>
      <c r="G102" s="517" t="str">
        <f>VLOOKUP(1801,Sprachindex!$A:$Z,Erhebungsbogen!$Y$20,FALSE) &amp; " ( " &amp;Preisliste!H82 &amp; " " &amp; VLOOKUP(1744,Sprachindex!$A:$Z,Erhebungsbogen!$Y$20,FALSE) &amp; ")"</f>
        <v>Rundprofil 80 gr. exkl. Dichtung, gebohrt und entgratet ( 19,821 kg/Stk)</v>
      </c>
      <c r="H102" s="515"/>
      <c r="I102" s="515"/>
      <c r="J102" s="515"/>
      <c r="K102" s="515"/>
      <c r="L102" s="515"/>
      <c r="M102" s="515"/>
      <c r="N102" s="515"/>
      <c r="O102" s="515"/>
      <c r="P102" s="515"/>
      <c r="Q102" s="515"/>
      <c r="R102" s="515"/>
      <c r="S102" s="515"/>
      <c r="T102" s="516"/>
      <c r="U102" s="352">
        <f>VLOOKUP(F102,Preisliste!C:F,4,FALSE)</f>
        <v>672.9</v>
      </c>
      <c r="V102" s="352">
        <f t="shared" si="18"/>
        <v>0</v>
      </c>
      <c r="W102" s="86"/>
      <c r="X102" s="86"/>
      <c r="Y102" s="86"/>
      <c r="Z102" s="86"/>
      <c r="AA102" s="86"/>
      <c r="AB102" s="86"/>
      <c r="AC102" s="86"/>
      <c r="AD102" s="86"/>
      <c r="AE102" s="86"/>
      <c r="AF102" s="86"/>
      <c r="AG102" s="55">
        <f t="shared" ref="AG102:AG105" si="26">IF(AND(AH102=1,AL102&gt;0,AU102=1),1,0)</f>
        <v>0</v>
      </c>
      <c r="AH102" s="66">
        <f>IF(Kalk1!$AA$19=4,1,0)</f>
        <v>0</v>
      </c>
      <c r="AI102" s="55">
        <v>80</v>
      </c>
      <c r="AK102" s="55" t="s">
        <v>22079</v>
      </c>
      <c r="AL102" s="66">
        <f>IF(AND(Kalk1!$AA$19=4,Kalk1!$AA$20=2),Kalk1!$H$35-1-AO102-AQ102,0)</f>
        <v>0</v>
      </c>
      <c r="AM102" s="55" t="s">
        <v>22086</v>
      </c>
      <c r="AO102" s="66">
        <f>IF(Kalk1!$O$20&gt;0,Kalk1!$O$20,0)</f>
        <v>0</v>
      </c>
      <c r="AP102" s="55" t="s">
        <v>22121</v>
      </c>
      <c r="AQ102" s="66">
        <f>IF(Kalk1!$O$21&gt;0,Kalk1!$O$21,0)</f>
        <v>0</v>
      </c>
      <c r="AR102" s="55" t="s">
        <v>22120</v>
      </c>
      <c r="AT102" s="55" t="s">
        <v>22079</v>
      </c>
      <c r="AU102" s="66">
        <f>IF(Kalk1!$AI$51=AV102,1,0)</f>
        <v>0</v>
      </c>
      <c r="AV102" s="55">
        <v>1350</v>
      </c>
      <c r="AX102" s="55" t="s">
        <v>22100</v>
      </c>
      <c r="AY102" s="66">
        <f>AL102*Kalk1!$H$37</f>
        <v>0</v>
      </c>
      <c r="AZ102" s="55" t="s">
        <v>20872</v>
      </c>
    </row>
    <row r="103" spans="2:52" ht="24.95" customHeight="1">
      <c r="B103" s="93">
        <f t="shared" ref="B103:B105" si="27">IF(AG103=1,AL103,0)</f>
        <v>0</v>
      </c>
      <c r="C103" s="60">
        <v>1750</v>
      </c>
      <c r="D103" s="60"/>
      <c r="E103" s="60" t="str">
        <f>VLOOKUP(1600,Sprachindex!$A:$Z,Erhebungsbogen!$Y$20,FALSE)</f>
        <v>[Stk]</v>
      </c>
      <c r="F103" s="60" t="s">
        <v>21916</v>
      </c>
      <c r="G103" s="517" t="str">
        <f>VLOOKUP(1801,Sprachindex!$A:$Z,Erhebungsbogen!$Y$20,FALSE) &amp; " ( " &amp;Preisliste!H83 &amp; " " &amp; VLOOKUP(1744,Sprachindex!$A:$Z,Erhebungsbogen!$Y$20,FALSE) &amp; ")"</f>
        <v>Rundprofil 80 gr. exkl. Dichtung, gebohrt und entgratet ( 25,694 kg/Stk)</v>
      </c>
      <c r="H103" s="515"/>
      <c r="I103" s="515"/>
      <c r="J103" s="515"/>
      <c r="K103" s="515"/>
      <c r="L103" s="515"/>
      <c r="M103" s="515"/>
      <c r="N103" s="515"/>
      <c r="O103" s="515"/>
      <c r="P103" s="515"/>
      <c r="Q103" s="515"/>
      <c r="R103" s="515"/>
      <c r="S103" s="515"/>
      <c r="T103" s="516"/>
      <c r="U103" s="352">
        <f>VLOOKUP(F103,Preisliste!C:F,4,FALSE)</f>
        <v>762.7</v>
      </c>
      <c r="V103" s="352">
        <f t="shared" si="18"/>
        <v>0</v>
      </c>
      <c r="W103" s="86"/>
      <c r="X103" s="86"/>
      <c r="Y103" s="86"/>
      <c r="Z103" s="86"/>
      <c r="AA103" s="86"/>
      <c r="AB103" s="86"/>
      <c r="AC103" s="86"/>
      <c r="AD103" s="86"/>
      <c r="AE103" s="86"/>
      <c r="AF103" s="86"/>
      <c r="AG103" s="55">
        <f t="shared" si="26"/>
        <v>0</v>
      </c>
      <c r="AH103" s="66">
        <f>IF(Kalk1!$AA$19=4,1,0)</f>
        <v>0</v>
      </c>
      <c r="AI103" s="55">
        <v>80</v>
      </c>
      <c r="AK103" s="55" t="s">
        <v>22079</v>
      </c>
      <c r="AL103" s="66">
        <f>IF(AND(Kalk1!$AA$19=4,Kalk1!$AA$20=2),Kalk1!$H$35-1-AO103-AQ103,0)</f>
        <v>0</v>
      </c>
      <c r="AM103" s="55" t="s">
        <v>22086</v>
      </c>
      <c r="AO103" s="66">
        <f>IF(Kalk1!$O$20&gt;0,Kalk1!$O$20,0)</f>
        <v>0</v>
      </c>
      <c r="AP103" s="55" t="s">
        <v>22121</v>
      </c>
      <c r="AQ103" s="66">
        <f>IF(Kalk1!$O$21&gt;0,Kalk1!$O$21,0)</f>
        <v>0</v>
      </c>
      <c r="AR103" s="55" t="s">
        <v>22120</v>
      </c>
      <c r="AT103" s="55" t="s">
        <v>22079</v>
      </c>
      <c r="AU103" s="66">
        <f>IF(Kalk1!$AI$51=AV103,1,0)</f>
        <v>0</v>
      </c>
      <c r="AV103" s="55">
        <v>1750</v>
      </c>
      <c r="AX103" s="55" t="s">
        <v>22100</v>
      </c>
      <c r="AY103" s="66">
        <f>AL103*Kalk1!$H$37</f>
        <v>0</v>
      </c>
      <c r="AZ103" s="55" t="s">
        <v>20872</v>
      </c>
    </row>
    <row r="104" spans="2:52" ht="24.95" customHeight="1">
      <c r="B104" s="93">
        <f t="shared" si="27"/>
        <v>0</v>
      </c>
      <c r="C104" s="60">
        <v>2150</v>
      </c>
      <c r="D104" s="60"/>
      <c r="E104" s="60" t="str">
        <f>VLOOKUP(1600,Sprachindex!$A:$Z,Erhebungsbogen!$Y$20,FALSE)</f>
        <v>[Stk]</v>
      </c>
      <c r="F104" s="60" t="s">
        <v>21917</v>
      </c>
      <c r="G104" s="517" t="str">
        <f>VLOOKUP(1801,Sprachindex!$A:$Z,Erhebungsbogen!$Y$20,FALSE) &amp; " ( " &amp;Preisliste!H84 &amp; " " &amp; VLOOKUP(1744,Sprachindex!$A:$Z,Erhebungsbogen!$Y$20,FALSE) &amp; ")"</f>
        <v>Rundprofil 80 gr. exkl. Dichtung, gebohrt und entgratet ( 31,566 kg/Stk)</v>
      </c>
      <c r="H104" s="515"/>
      <c r="I104" s="515"/>
      <c r="J104" s="515"/>
      <c r="K104" s="515"/>
      <c r="L104" s="515"/>
      <c r="M104" s="515"/>
      <c r="N104" s="515"/>
      <c r="O104" s="515"/>
      <c r="P104" s="515"/>
      <c r="Q104" s="515"/>
      <c r="R104" s="515"/>
      <c r="S104" s="515"/>
      <c r="T104" s="516"/>
      <c r="U104" s="352">
        <f>VLOOKUP(F104,Preisliste!C:F,4,FALSE)</f>
        <v>852.3</v>
      </c>
      <c r="V104" s="352">
        <f t="shared" si="18"/>
        <v>0</v>
      </c>
      <c r="W104" s="86"/>
      <c r="X104" s="86"/>
      <c r="Y104" s="86"/>
      <c r="Z104" s="86"/>
      <c r="AA104" s="86"/>
      <c r="AB104" s="86"/>
      <c r="AC104" s="86"/>
      <c r="AD104" s="86"/>
      <c r="AE104" s="86"/>
      <c r="AF104" s="86"/>
      <c r="AG104" s="55">
        <f t="shared" si="26"/>
        <v>0</v>
      </c>
      <c r="AH104" s="66">
        <f>IF(Kalk1!$AA$19=4,1,0)</f>
        <v>0</v>
      </c>
      <c r="AI104" s="55">
        <v>80</v>
      </c>
      <c r="AK104" s="55" t="s">
        <v>22079</v>
      </c>
      <c r="AL104" s="66">
        <f>IF(AND(Kalk1!$AA$19=4,Kalk1!$AA$20=2),Kalk1!$H$35-1-AO104-AQ104,0)</f>
        <v>0</v>
      </c>
      <c r="AM104" s="55" t="s">
        <v>22086</v>
      </c>
      <c r="AO104" s="66">
        <f>IF(Kalk1!$O$20&gt;0,Kalk1!$O$20,0)</f>
        <v>0</v>
      </c>
      <c r="AP104" s="55" t="s">
        <v>22121</v>
      </c>
      <c r="AQ104" s="66">
        <f>IF(Kalk1!$O$21&gt;0,Kalk1!$O$21,0)</f>
        <v>0</v>
      </c>
      <c r="AR104" s="55" t="s">
        <v>22120</v>
      </c>
      <c r="AT104" s="55" t="s">
        <v>22079</v>
      </c>
      <c r="AU104" s="66">
        <f>IF(Kalk1!$AI$51=AV104,1,0)</f>
        <v>0</v>
      </c>
      <c r="AV104" s="55">
        <v>2150</v>
      </c>
      <c r="AX104" s="55" t="s">
        <v>22100</v>
      </c>
      <c r="AY104" s="66">
        <f>AL104*Kalk1!$H$37</f>
        <v>0</v>
      </c>
      <c r="AZ104" s="55" t="s">
        <v>20872</v>
      </c>
    </row>
    <row r="105" spans="2:52" ht="24.95" customHeight="1">
      <c r="B105" s="93">
        <f t="shared" si="27"/>
        <v>0</v>
      </c>
      <c r="C105" s="60">
        <f>IF(AG105=1,AW105,0)</f>
        <v>0</v>
      </c>
      <c r="D105" s="60"/>
      <c r="E105" s="60" t="str">
        <f>VLOOKUP(1600,Sprachindex!$A:$Z,Erhebungsbogen!$Y$20,FALSE)</f>
        <v>[Stk]</v>
      </c>
      <c r="F105" s="60" t="s">
        <v>21826</v>
      </c>
      <c r="G105" s="514" t="str">
        <f>VLOOKUP(1802,Sprachindex!$A:$Z,Erhebungsbogen!$Y$20,FALSE) &amp; " (" &amp; ROUNDUP(C105/1000*Preisliste!I85,2) &amp; " " &amp; VLOOKUP(1744,Sprachindex!$A:$Z,Erhebungsbogen!$Y$20,FALSE) &amp; ")"</f>
        <v>Rundprofil 80 gr. Sonderlänge exkl. Dichtung, (Stangenware) (0 kg/Stk)</v>
      </c>
      <c r="H105" s="514"/>
      <c r="I105" s="514"/>
      <c r="J105" s="514"/>
      <c r="K105" s="514"/>
      <c r="L105" s="514"/>
      <c r="M105" s="514"/>
      <c r="N105" s="514"/>
      <c r="O105" s="514"/>
      <c r="P105" s="514"/>
      <c r="Q105" s="514"/>
      <c r="R105" s="514"/>
      <c r="S105" s="514"/>
      <c r="T105" s="514"/>
      <c r="U105" s="354">
        <f>VLOOKUP(F105,Preisliste!C:F,4,FALSE)</f>
        <v>0</v>
      </c>
      <c r="V105" s="352">
        <f>U105*C105*B105/1000</f>
        <v>0</v>
      </c>
      <c r="W105" s="86"/>
      <c r="X105" s="86"/>
      <c r="Y105" s="86"/>
      <c r="Z105" s="86"/>
      <c r="AA105" s="86"/>
      <c r="AB105" s="86"/>
      <c r="AC105" s="86"/>
      <c r="AD105" s="86"/>
      <c r="AE105" s="86"/>
      <c r="AF105" s="86"/>
      <c r="AG105" s="55">
        <f t="shared" si="26"/>
        <v>0</v>
      </c>
      <c r="AH105" s="66">
        <f>IF(Kalk1!$AA$19=4,1,0)</f>
        <v>0</v>
      </c>
      <c r="AI105" s="55">
        <v>80</v>
      </c>
      <c r="AK105" s="55" t="s">
        <v>22079</v>
      </c>
      <c r="AL105" s="66">
        <f>IF(AND(Kalk1!$AA$19=4,Kalk1!$AA$20=2),Kalk1!$H$35-1-AO105-AQ105,0)</f>
        <v>0</v>
      </c>
      <c r="AM105" s="55" t="s">
        <v>22086</v>
      </c>
      <c r="AO105" s="66">
        <f>IF(Kalk1!$O$20&gt;0,Kalk1!$O$20,0)</f>
        <v>0</v>
      </c>
      <c r="AP105" s="55" t="s">
        <v>22121</v>
      </c>
      <c r="AQ105" s="66">
        <f>IF(Kalk1!$O$21&gt;0,Kalk1!$O$21,0)</f>
        <v>0</v>
      </c>
      <c r="AR105" s="55" t="s">
        <v>22120</v>
      </c>
      <c r="AT105" s="55" t="s">
        <v>22079</v>
      </c>
      <c r="AU105" s="66">
        <f>IF(Kalk1!$AH$52&gt;AV105,1,0)</f>
        <v>0</v>
      </c>
      <c r="AV105" s="55">
        <v>2150</v>
      </c>
      <c r="AW105" s="66">
        <f>Kalk1!$AH$52</f>
        <v>0</v>
      </c>
      <c r="AX105" s="55" t="s">
        <v>22100</v>
      </c>
      <c r="AY105" s="66">
        <f>AL105*Kalk1!$H$37</f>
        <v>0</v>
      </c>
      <c r="AZ105" s="55" t="s">
        <v>20872</v>
      </c>
    </row>
    <row r="106" spans="2:52" ht="24.95" customHeight="1">
      <c r="B106" s="93">
        <f>IF(AG106=1,AY106,0)</f>
        <v>0</v>
      </c>
      <c r="C106" s="60">
        <v>750</v>
      </c>
      <c r="D106" s="60"/>
      <c r="E106" s="60" t="str">
        <f>VLOOKUP(1600,Sprachindex!$A:$Z,Erhebungsbogen!$Y$20,FALSE)</f>
        <v>[Stk]</v>
      </c>
      <c r="F106" s="60" t="s">
        <v>21918</v>
      </c>
      <c r="G106" s="514" t="str">
        <f>VLOOKUP(1796,Sprachindex!$A:$Z,Erhebungsbogen!$Y$20,FALSE) &amp; " ( " &amp;Preisliste!H86 &amp; " " &amp; VLOOKUP(1744,Sprachindex!$A:$Z,Erhebungsbogen!$Y$20,FALSE) &amp; ")"</f>
        <v>Rundprofil 50-90° exkl. Dichtung, gebohrt und entgratet ( 7,383 kg/Stk)</v>
      </c>
      <c r="H106" s="514"/>
      <c r="I106" s="514"/>
      <c r="J106" s="514"/>
      <c r="K106" s="514"/>
      <c r="L106" s="514"/>
      <c r="M106" s="514"/>
      <c r="N106" s="514"/>
      <c r="O106" s="514"/>
      <c r="P106" s="514"/>
      <c r="Q106" s="514"/>
      <c r="R106" s="514"/>
      <c r="S106" s="514"/>
      <c r="T106" s="514"/>
      <c r="U106" s="352">
        <f>VLOOKUP(F106,Preisliste!C:F,4,FALSE)</f>
        <v>478.05</v>
      </c>
      <c r="V106" s="352">
        <f t="shared" si="18"/>
        <v>0</v>
      </c>
      <c r="W106" s="86"/>
      <c r="X106" s="86"/>
      <c r="Y106" s="86"/>
      <c r="Z106" s="86"/>
      <c r="AA106" s="86"/>
      <c r="AB106" s="86"/>
      <c r="AC106" s="86"/>
      <c r="AD106" s="86"/>
      <c r="AE106" s="86"/>
      <c r="AF106" s="86"/>
      <c r="AG106" s="55">
        <f>IF(AND(AH106=1,AU106=1),1,0)</f>
        <v>1</v>
      </c>
      <c r="AH106" s="66">
        <f>IF(OR(Kalk1!$AA$19=2,Kalk1!$AA$19=3),1,0)</f>
        <v>1</v>
      </c>
      <c r="AI106" s="55">
        <v>50</v>
      </c>
      <c r="AK106" s="55" t="s">
        <v>22079</v>
      </c>
      <c r="AP106" s="66">
        <f>IF(Kalk1!$O$20&gt;0,Kalk1!$O$20,0)</f>
        <v>0</v>
      </c>
      <c r="AQ106" s="55" t="s">
        <v>22121</v>
      </c>
      <c r="AT106" s="55" t="s">
        <v>22079</v>
      </c>
      <c r="AU106" s="66">
        <f>IF(Kalk1!$AI$51=$AV$91,1,0)</f>
        <v>1</v>
      </c>
      <c r="AV106" s="55">
        <v>750</v>
      </c>
      <c r="AX106" s="55" t="s">
        <v>22100</v>
      </c>
      <c r="AY106" s="66">
        <f>AP106*Kalk1!$H$37</f>
        <v>0</v>
      </c>
      <c r="AZ106" s="55" t="s">
        <v>20872</v>
      </c>
    </row>
    <row r="107" spans="2:52" ht="24.95" customHeight="1">
      <c r="B107" s="93">
        <f t="shared" ref="B107:B161" si="28">IF(AG107=1,AY107,0)</f>
        <v>0</v>
      </c>
      <c r="C107" s="60">
        <v>1350</v>
      </c>
      <c r="D107" s="60"/>
      <c r="E107" s="60" t="str">
        <f>VLOOKUP(1600,Sprachindex!$A:$Z,Erhebungsbogen!$Y$20,FALSE)</f>
        <v>[Stk]</v>
      </c>
      <c r="F107" s="60" t="s">
        <v>21919</v>
      </c>
      <c r="G107" s="514" t="str">
        <f>VLOOKUP(1796,Sprachindex!$A:$Z,Erhebungsbogen!$Y$20,FALSE) &amp; " ( " &amp;Preisliste!H87 &amp; " " &amp; VLOOKUP(1744,Sprachindex!$A:$Z,Erhebungsbogen!$Y$20,FALSE) &amp; ")"</f>
        <v>Rundprofil 50-90° exkl. Dichtung, gebohrt und entgratet ( 13,289 kg/Stk)</v>
      </c>
      <c r="H107" s="514"/>
      <c r="I107" s="514"/>
      <c r="J107" s="514"/>
      <c r="K107" s="514"/>
      <c r="L107" s="514"/>
      <c r="M107" s="514"/>
      <c r="N107" s="514"/>
      <c r="O107" s="514"/>
      <c r="P107" s="514"/>
      <c r="Q107" s="514"/>
      <c r="R107" s="514"/>
      <c r="S107" s="514"/>
      <c r="T107" s="514"/>
      <c r="U107" s="352">
        <f>VLOOKUP(F107,Preisliste!C:F,4,FALSE)</f>
        <v>557.4</v>
      </c>
      <c r="V107" s="352">
        <f t="shared" si="18"/>
        <v>0</v>
      </c>
      <c r="W107" s="86"/>
      <c r="X107" s="86"/>
      <c r="Y107" s="86"/>
      <c r="Z107" s="86"/>
      <c r="AA107" s="86"/>
      <c r="AB107" s="86"/>
      <c r="AC107" s="86"/>
      <c r="AD107" s="86"/>
      <c r="AE107" s="86"/>
      <c r="AF107" s="86"/>
      <c r="AG107" s="55">
        <f>IF(AND(AH107=1,AP107&gt;0,AU107=1),1,0)</f>
        <v>0</v>
      </c>
      <c r="AH107" s="66">
        <f>IF(OR(Kalk1!$AA$19=2,Kalk1!$AA$19=3),1,0)</f>
        <v>1</v>
      </c>
      <c r="AI107" s="55">
        <v>50</v>
      </c>
      <c r="AK107" s="55" t="s">
        <v>22079</v>
      </c>
      <c r="AP107" s="66">
        <f>IF(Kalk1!$O$20&gt;0,Kalk1!$O$20,0)</f>
        <v>0</v>
      </c>
      <c r="AQ107" s="55" t="s">
        <v>22121</v>
      </c>
      <c r="AT107" s="55" t="s">
        <v>22079</v>
      </c>
      <c r="AU107" s="66">
        <f>IF(Kalk1!$AI$51=AV107,1,0)</f>
        <v>0</v>
      </c>
      <c r="AV107" s="55">
        <v>1350</v>
      </c>
      <c r="AX107" s="55" t="s">
        <v>22100</v>
      </c>
      <c r="AY107" s="66">
        <f>AP107*Kalk1!$H$37</f>
        <v>0</v>
      </c>
      <c r="AZ107" s="55" t="s">
        <v>20872</v>
      </c>
    </row>
    <row r="108" spans="2:52" ht="24.95" customHeight="1">
      <c r="B108" s="93">
        <f t="shared" si="28"/>
        <v>0</v>
      </c>
      <c r="C108" s="60">
        <v>1750</v>
      </c>
      <c r="D108" s="60"/>
      <c r="E108" s="60" t="str">
        <f>VLOOKUP(1600,Sprachindex!$A:$Z,Erhebungsbogen!$Y$20,FALSE)</f>
        <v>[Stk]</v>
      </c>
      <c r="F108" s="60" t="s">
        <v>21920</v>
      </c>
      <c r="G108" s="514" t="str">
        <f>VLOOKUP(1796,Sprachindex!$A:$Z,Erhebungsbogen!$Y$20,FALSE) &amp; " ( " &amp;Preisliste!H88 &amp; " " &amp; VLOOKUP(1744,Sprachindex!$A:$Z,Erhebungsbogen!$Y$20,FALSE) &amp; ")"</f>
        <v>Rundprofil 50-90° exkl. Dichtung, gebohrt und entgratet ( 17,227 kg/Stk)</v>
      </c>
      <c r="H108" s="514"/>
      <c r="I108" s="514"/>
      <c r="J108" s="514"/>
      <c r="K108" s="514"/>
      <c r="L108" s="514"/>
      <c r="M108" s="514"/>
      <c r="N108" s="514"/>
      <c r="O108" s="514"/>
      <c r="P108" s="514"/>
      <c r="Q108" s="514"/>
      <c r="R108" s="514"/>
      <c r="S108" s="514"/>
      <c r="T108" s="514"/>
      <c r="U108" s="352">
        <f>VLOOKUP(F108,Preisliste!C:F,4,FALSE)</f>
        <v>610.25</v>
      </c>
      <c r="V108" s="352">
        <f t="shared" si="18"/>
        <v>0</v>
      </c>
      <c r="W108" s="86"/>
      <c r="X108" s="86"/>
      <c r="Y108" s="86"/>
      <c r="Z108" s="86"/>
      <c r="AA108" s="86"/>
      <c r="AB108" s="86"/>
      <c r="AC108" s="86"/>
      <c r="AD108" s="86"/>
      <c r="AE108" s="86"/>
      <c r="AF108" s="86"/>
      <c r="AG108" s="55">
        <f t="shared" ref="AG108:AG160" si="29">IF(AND(AH108=1,AU108=1),1,0)</f>
        <v>0</v>
      </c>
      <c r="AH108" s="66">
        <f>IF(OR(Kalk1!$AA$19=2,Kalk1!$AA$19=3),1,0)</f>
        <v>1</v>
      </c>
      <c r="AI108" s="55">
        <v>50</v>
      </c>
      <c r="AK108" s="55" t="s">
        <v>22079</v>
      </c>
      <c r="AP108" s="66">
        <f>IF(Kalk1!$O$20&gt;0,Kalk1!$O$20,0)</f>
        <v>0</v>
      </c>
      <c r="AQ108" s="55" t="s">
        <v>22121</v>
      </c>
      <c r="AT108" s="55" t="s">
        <v>22079</v>
      </c>
      <c r="AU108" s="66">
        <f>IF(Kalk1!$AI$51=AV108,1,0)</f>
        <v>0</v>
      </c>
      <c r="AV108" s="55">
        <v>1750</v>
      </c>
      <c r="AX108" s="55" t="s">
        <v>22100</v>
      </c>
      <c r="AY108" s="66">
        <f>AP108*Kalk1!$H$37</f>
        <v>0</v>
      </c>
      <c r="AZ108" s="55" t="s">
        <v>20872</v>
      </c>
    </row>
    <row r="109" spans="2:52" ht="24.95" customHeight="1">
      <c r="B109" s="93">
        <f t="shared" si="28"/>
        <v>0</v>
      </c>
      <c r="C109" s="60">
        <v>2150</v>
      </c>
      <c r="D109" s="60"/>
      <c r="E109" s="60" t="str">
        <f>VLOOKUP(1600,Sprachindex!$A:$Z,Erhebungsbogen!$Y$20,FALSE)</f>
        <v>[Stk]</v>
      </c>
      <c r="F109" s="60" t="s">
        <v>21921</v>
      </c>
      <c r="G109" s="514" t="str">
        <f>VLOOKUP(1796,Sprachindex!$A:$Z,Erhebungsbogen!$Y$20,FALSE) &amp; " ( " &amp;Preisliste!H89 &amp; " " &amp; VLOOKUP(1744,Sprachindex!$A:$Z,Erhebungsbogen!$Y$20,FALSE) &amp; ")"</f>
        <v>Rundprofil 50-90° exkl. Dichtung, gebohrt und entgratet ( 21,165 kg/Stk)</v>
      </c>
      <c r="H109" s="514"/>
      <c r="I109" s="514"/>
      <c r="J109" s="514"/>
      <c r="K109" s="514"/>
      <c r="L109" s="514"/>
      <c r="M109" s="514"/>
      <c r="N109" s="514"/>
      <c r="O109" s="514"/>
      <c r="P109" s="514"/>
      <c r="Q109" s="514"/>
      <c r="R109" s="514"/>
      <c r="S109" s="514"/>
      <c r="T109" s="514"/>
      <c r="U109" s="352">
        <f>VLOOKUP(F109,Preisliste!C:F,4,FALSE)</f>
        <v>663.3</v>
      </c>
      <c r="V109" s="352">
        <f t="shared" si="18"/>
        <v>0</v>
      </c>
      <c r="W109" s="86"/>
      <c r="X109" s="86"/>
      <c r="Y109" s="86"/>
      <c r="Z109" s="86"/>
      <c r="AA109" s="86"/>
      <c r="AB109" s="86"/>
      <c r="AC109" s="86"/>
      <c r="AD109" s="86"/>
      <c r="AE109" s="86"/>
      <c r="AF109" s="86"/>
      <c r="AG109" s="55">
        <f t="shared" si="29"/>
        <v>0</v>
      </c>
      <c r="AH109" s="66">
        <f>IF(OR(Kalk1!$AA$19=2,Kalk1!$AA$19=3),1,0)</f>
        <v>1</v>
      </c>
      <c r="AI109" s="55">
        <v>50</v>
      </c>
      <c r="AK109" s="55" t="s">
        <v>22079</v>
      </c>
      <c r="AP109" s="66">
        <f>IF(Kalk1!$O$20&gt;0,Kalk1!$O$20,0)</f>
        <v>0</v>
      </c>
      <c r="AQ109" s="55" t="s">
        <v>22121</v>
      </c>
      <c r="AT109" s="55" t="s">
        <v>22079</v>
      </c>
      <c r="AU109" s="66">
        <f>IF(Kalk1!$AI$51=AV109,1,0)</f>
        <v>0</v>
      </c>
      <c r="AV109" s="55">
        <v>2150</v>
      </c>
      <c r="AX109" s="55" t="s">
        <v>22100</v>
      </c>
      <c r="AY109" s="66">
        <f>AP109*Kalk1!$H$37</f>
        <v>0</v>
      </c>
      <c r="AZ109" s="55" t="s">
        <v>20872</v>
      </c>
    </row>
    <row r="110" spans="2:52" ht="24.95" customHeight="1">
      <c r="B110" s="93">
        <f t="shared" si="28"/>
        <v>0</v>
      </c>
      <c r="C110" s="60">
        <f>IF(AG110=1,AW110,0)</f>
        <v>0</v>
      </c>
      <c r="D110" s="60"/>
      <c r="E110" s="60" t="str">
        <f>VLOOKUP(1600,Sprachindex!$A:$Z,Erhebungsbogen!$Y$20,FALSE)</f>
        <v>[Stk]</v>
      </c>
      <c r="F110" s="60" t="s">
        <v>21826</v>
      </c>
      <c r="G110" s="514" t="str">
        <f>VLOOKUP(1797,Sprachindex!$A:$Z,Erhebungsbogen!$Y$20,FALSE) &amp; " (" &amp; ROUNDUP(C110/1000*Preisliste!I90,2) &amp; " " &amp; VLOOKUP(1744,Sprachindex!$A:$Z,Erhebungsbogen!$Y$20,FALSE) &amp; ")"</f>
        <v>Rundprofil 50-90° Sonderlänge exkl. Dichtung, (Stangenware) (0 kg/Stk)</v>
      </c>
      <c r="H110" s="514"/>
      <c r="I110" s="514"/>
      <c r="J110" s="514"/>
      <c r="K110" s="514"/>
      <c r="L110" s="514"/>
      <c r="M110" s="514"/>
      <c r="N110" s="514"/>
      <c r="O110" s="514"/>
      <c r="P110" s="514"/>
      <c r="Q110" s="514"/>
      <c r="R110" s="514"/>
      <c r="S110" s="514"/>
      <c r="T110" s="514"/>
      <c r="U110" s="354">
        <f>VLOOKUP(F110,Preisliste!C:F,4,FALSE)</f>
        <v>0</v>
      </c>
      <c r="V110" s="352">
        <f>U110*C110*B110/1000</f>
        <v>0</v>
      </c>
      <c r="W110" s="86"/>
      <c r="X110" s="86"/>
      <c r="Y110" s="86"/>
      <c r="Z110" s="86"/>
      <c r="AA110" s="86"/>
      <c r="AB110" s="86"/>
      <c r="AC110" s="86"/>
      <c r="AD110" s="86"/>
      <c r="AE110" s="86"/>
      <c r="AF110" s="86"/>
      <c r="AG110" s="55">
        <f t="shared" si="29"/>
        <v>0</v>
      </c>
      <c r="AH110" s="66">
        <f>IF(OR(Kalk1!$AA$19=2,Kalk1!$AA$19=3),1,0)</f>
        <v>1</v>
      </c>
      <c r="AI110" s="55">
        <v>50</v>
      </c>
      <c r="AK110" s="55" t="s">
        <v>22079</v>
      </c>
      <c r="AP110" s="66">
        <f>IF(Kalk1!$O$20&gt;0,Kalk1!$O$20,0)</f>
        <v>0</v>
      </c>
      <c r="AQ110" s="55" t="s">
        <v>22121</v>
      </c>
      <c r="AT110" s="55" t="s">
        <v>22079</v>
      </c>
      <c r="AU110" s="66">
        <f>IF(Kalk1!$AH$52&gt;AV110,1,0)</f>
        <v>0</v>
      </c>
      <c r="AV110" s="55">
        <v>2150</v>
      </c>
      <c r="AW110" s="66">
        <f>Kalk1!$AH$52</f>
        <v>0</v>
      </c>
      <c r="AX110" s="55" t="s">
        <v>22100</v>
      </c>
      <c r="AY110" s="66">
        <f>AP110*Kalk1!$H$37</f>
        <v>0</v>
      </c>
      <c r="AZ110" s="55" t="s">
        <v>20872</v>
      </c>
    </row>
    <row r="111" spans="2:52" ht="24.95" customHeight="1">
      <c r="B111" s="93">
        <f t="shared" si="28"/>
        <v>0</v>
      </c>
      <c r="C111" s="60">
        <v>750</v>
      </c>
      <c r="D111" s="60"/>
      <c r="E111" s="60" t="str">
        <f>VLOOKUP(1600,Sprachindex!$A:$Z,Erhebungsbogen!$Y$20,FALSE)</f>
        <v>[Stk]</v>
      </c>
      <c r="F111" s="60" t="s">
        <v>21922</v>
      </c>
      <c r="G111" s="514" t="str">
        <f>VLOOKUP(1804,Sprachindex!$A:$Z,Erhebungsbogen!$Y$20,FALSE) &amp; " ( " &amp;Preisliste!H91 &amp; " " &amp; VLOOKUP(1744,Sprachindex!$A:$Z,Erhebungsbogen!$Y$20,FALSE) &amp; ")"</f>
        <v>Rundprofil 80-90° exkl. Dichtung, gebohrt und entgratet ( 11,264 kg/Stk)</v>
      </c>
      <c r="H111" s="514"/>
      <c r="I111" s="514"/>
      <c r="J111" s="514"/>
      <c r="K111" s="514"/>
      <c r="L111" s="514"/>
      <c r="M111" s="514"/>
      <c r="N111" s="514"/>
      <c r="O111" s="514"/>
      <c r="P111" s="514"/>
      <c r="Q111" s="514"/>
      <c r="R111" s="514"/>
      <c r="S111" s="514"/>
      <c r="T111" s="514"/>
      <c r="U111" s="352">
        <f>VLOOKUP(F111,Preisliste!C:F,4,FALSE)</f>
        <v>544.6</v>
      </c>
      <c r="V111" s="352">
        <f t="shared" si="18"/>
        <v>0</v>
      </c>
      <c r="W111" s="86"/>
      <c r="X111" s="86"/>
      <c r="Y111" s="86"/>
      <c r="Z111" s="86"/>
      <c r="AA111" s="86"/>
      <c r="AB111" s="86"/>
      <c r="AC111" s="86"/>
      <c r="AD111" s="86"/>
      <c r="AE111" s="86"/>
      <c r="AF111" s="86"/>
      <c r="AG111" s="55">
        <f t="shared" si="29"/>
        <v>0</v>
      </c>
      <c r="AH111" s="66">
        <f>IF(Kalk1!$AA$19=4,1,0)</f>
        <v>0</v>
      </c>
      <c r="AI111" s="55">
        <v>80</v>
      </c>
      <c r="AK111" s="55" t="s">
        <v>22079</v>
      </c>
      <c r="AP111" s="66">
        <f>IF(Kalk1!$O$20&gt;0,Kalk1!$O$20,0)</f>
        <v>0</v>
      </c>
      <c r="AQ111" s="55" t="s">
        <v>22121</v>
      </c>
      <c r="AT111" s="55" t="s">
        <v>22079</v>
      </c>
      <c r="AU111" s="66">
        <f>IF(Kalk1!$AI$51=$AV$91,1,0)</f>
        <v>1</v>
      </c>
      <c r="AV111" s="55">
        <v>750</v>
      </c>
      <c r="AX111" s="55" t="s">
        <v>22100</v>
      </c>
      <c r="AY111" s="66">
        <f>AP111*Kalk1!$H$37</f>
        <v>0</v>
      </c>
      <c r="AZ111" s="55" t="s">
        <v>20872</v>
      </c>
    </row>
    <row r="112" spans="2:52" ht="24.95" customHeight="1">
      <c r="B112" s="93">
        <f t="shared" si="28"/>
        <v>0</v>
      </c>
      <c r="C112" s="60">
        <v>1350</v>
      </c>
      <c r="D112" s="60"/>
      <c r="E112" s="60" t="str">
        <f>VLOOKUP(1600,Sprachindex!$A:$Z,Erhebungsbogen!$Y$20,FALSE)</f>
        <v>[Stk]</v>
      </c>
      <c r="F112" s="60" t="s">
        <v>21923</v>
      </c>
      <c r="G112" s="514" t="str">
        <f>VLOOKUP(1804,Sprachindex!$A:$Z,Erhebungsbogen!$Y$20,FALSE) &amp; " ( " &amp;Preisliste!H92 &amp; " " &amp; VLOOKUP(1744,Sprachindex!$A:$Z,Erhebungsbogen!$Y$20,FALSE) &amp; ")"</f>
        <v>Rundprofil 80-90° exkl. Dichtung, gebohrt und entgratet ( 20,276 kg/Stk)</v>
      </c>
      <c r="H112" s="514"/>
      <c r="I112" s="514"/>
      <c r="J112" s="514"/>
      <c r="K112" s="514"/>
      <c r="L112" s="514"/>
      <c r="M112" s="514"/>
      <c r="N112" s="514"/>
      <c r="O112" s="514"/>
      <c r="P112" s="514"/>
      <c r="Q112" s="514"/>
      <c r="R112" s="514"/>
      <c r="S112" s="514"/>
      <c r="T112" s="514"/>
      <c r="U112" s="352">
        <f>VLOOKUP(F112,Preisliste!C:F,4,FALSE)</f>
        <v>682.6</v>
      </c>
      <c r="V112" s="352">
        <f t="shared" si="18"/>
        <v>0</v>
      </c>
      <c r="W112" s="86"/>
      <c r="X112" s="86"/>
      <c r="Y112" s="86"/>
      <c r="Z112" s="86"/>
      <c r="AA112" s="86"/>
      <c r="AB112" s="86"/>
      <c r="AC112" s="86"/>
      <c r="AD112" s="86"/>
      <c r="AE112" s="86"/>
      <c r="AF112" s="86"/>
      <c r="AG112" s="55">
        <f t="shared" si="29"/>
        <v>0</v>
      </c>
      <c r="AH112" s="66">
        <f>IF(Kalk1!$AA$19=4,1,0)</f>
        <v>0</v>
      </c>
      <c r="AI112" s="55">
        <v>80</v>
      </c>
      <c r="AK112" s="55" t="s">
        <v>22079</v>
      </c>
      <c r="AP112" s="66">
        <f>IF(Kalk1!$O$20&gt;0,Kalk1!$O$20,0)</f>
        <v>0</v>
      </c>
      <c r="AQ112" s="55" t="s">
        <v>22121</v>
      </c>
      <c r="AT112" s="55" t="s">
        <v>22079</v>
      </c>
      <c r="AU112" s="66">
        <f>IF(Kalk1!$AI$51=AV112,1,0)</f>
        <v>0</v>
      </c>
      <c r="AV112" s="55">
        <v>1350</v>
      </c>
      <c r="AX112" s="55" t="s">
        <v>22100</v>
      </c>
      <c r="AY112" s="66">
        <f>AP112*Kalk1!$H$37</f>
        <v>0</v>
      </c>
      <c r="AZ112" s="55" t="s">
        <v>20872</v>
      </c>
    </row>
    <row r="113" spans="2:52" ht="24.95" customHeight="1">
      <c r="B113" s="93">
        <f t="shared" si="28"/>
        <v>0</v>
      </c>
      <c r="C113" s="60">
        <v>1750</v>
      </c>
      <c r="D113" s="60"/>
      <c r="E113" s="60" t="str">
        <f>VLOOKUP(1600,Sprachindex!$A:$Z,Erhebungsbogen!$Y$20,FALSE)</f>
        <v>[Stk]</v>
      </c>
      <c r="F113" s="60" t="s">
        <v>21924</v>
      </c>
      <c r="G113" s="514" t="str">
        <f>VLOOKUP(1804,Sprachindex!$A:$Z,Erhebungsbogen!$Y$20,FALSE) &amp; " ( " &amp;Preisliste!H93 &amp; " " &amp; VLOOKUP(1744,Sprachindex!$A:$Z,Erhebungsbogen!$Y$20,FALSE) &amp; ")"</f>
        <v>Rundprofil 80-90° exkl. Dichtung, gebohrt und entgratet ( 26,283 kg/Stk)</v>
      </c>
      <c r="H113" s="514"/>
      <c r="I113" s="514"/>
      <c r="J113" s="514"/>
      <c r="K113" s="514"/>
      <c r="L113" s="514"/>
      <c r="M113" s="514"/>
      <c r="N113" s="514"/>
      <c r="O113" s="514"/>
      <c r="P113" s="514"/>
      <c r="Q113" s="514"/>
      <c r="R113" s="514"/>
      <c r="S113" s="514"/>
      <c r="T113" s="514"/>
      <c r="U113" s="352">
        <f>VLOOKUP(F113,Preisliste!C:F,4,FALSE)</f>
        <v>774.8</v>
      </c>
      <c r="V113" s="352">
        <f t="shared" si="18"/>
        <v>0</v>
      </c>
      <c r="W113" s="86"/>
      <c r="X113" s="86"/>
      <c r="Y113" s="86"/>
      <c r="Z113" s="86"/>
      <c r="AA113" s="86"/>
      <c r="AB113" s="86"/>
      <c r="AC113" s="86"/>
      <c r="AD113" s="86"/>
      <c r="AE113" s="86"/>
      <c r="AF113" s="86"/>
      <c r="AG113" s="55">
        <f t="shared" si="29"/>
        <v>0</v>
      </c>
      <c r="AH113" s="66">
        <f>IF(Kalk1!$AA$19=4,1,0)</f>
        <v>0</v>
      </c>
      <c r="AI113" s="55">
        <v>80</v>
      </c>
      <c r="AK113" s="55" t="s">
        <v>22079</v>
      </c>
      <c r="AP113" s="66">
        <f>IF(Kalk1!$O$20&gt;0,Kalk1!$O$20,0)</f>
        <v>0</v>
      </c>
      <c r="AQ113" s="55" t="s">
        <v>22121</v>
      </c>
      <c r="AT113" s="55" t="s">
        <v>22079</v>
      </c>
      <c r="AU113" s="66">
        <f>IF(Kalk1!$AI$51=AV113,1,0)</f>
        <v>0</v>
      </c>
      <c r="AV113" s="55">
        <v>1750</v>
      </c>
      <c r="AX113" s="55" t="s">
        <v>22100</v>
      </c>
      <c r="AY113" s="66">
        <f>AP113*Kalk1!$H$37</f>
        <v>0</v>
      </c>
      <c r="AZ113" s="55" t="s">
        <v>20872</v>
      </c>
    </row>
    <row r="114" spans="2:52" ht="24.95" customHeight="1">
      <c r="B114" s="93">
        <f t="shared" si="28"/>
        <v>0</v>
      </c>
      <c r="C114" s="60">
        <v>2150</v>
      </c>
      <c r="D114" s="60"/>
      <c r="E114" s="60" t="str">
        <f>VLOOKUP(1600,Sprachindex!$A:$Z,Erhebungsbogen!$Y$20,FALSE)</f>
        <v>[Stk]</v>
      </c>
      <c r="F114" s="60" t="s">
        <v>21925</v>
      </c>
      <c r="G114" s="514" t="str">
        <f>VLOOKUP(1804,Sprachindex!$A:$Z,Erhebungsbogen!$Y$20,FALSE) &amp; " ( " &amp;Preisliste!H94 &amp; " " &amp; VLOOKUP(1744,Sprachindex!$A:$Z,Erhebungsbogen!$Y$20,FALSE) &amp; ")"</f>
        <v>Rundprofil 80-90° exkl. Dichtung, gebohrt und entgratet ( 32,291 kg/Stk)</v>
      </c>
      <c r="H114" s="514"/>
      <c r="I114" s="514"/>
      <c r="J114" s="514"/>
      <c r="K114" s="514"/>
      <c r="L114" s="514"/>
      <c r="M114" s="514"/>
      <c r="N114" s="514"/>
      <c r="O114" s="514"/>
      <c r="P114" s="514"/>
      <c r="Q114" s="514"/>
      <c r="R114" s="514"/>
      <c r="S114" s="514"/>
      <c r="T114" s="514"/>
      <c r="U114" s="352">
        <f>VLOOKUP(F114,Preisliste!C:F,4,FALSE)</f>
        <v>866.75</v>
      </c>
      <c r="V114" s="352">
        <f t="shared" si="18"/>
        <v>0</v>
      </c>
      <c r="W114" s="86"/>
      <c r="X114" s="86"/>
      <c r="Y114" s="86"/>
      <c r="Z114" s="86"/>
      <c r="AA114" s="86"/>
      <c r="AB114" s="86"/>
      <c r="AC114" s="86"/>
      <c r="AD114" s="86"/>
      <c r="AE114" s="86"/>
      <c r="AF114" s="86"/>
      <c r="AG114" s="55">
        <f t="shared" si="29"/>
        <v>0</v>
      </c>
      <c r="AH114" s="66">
        <f>IF(Kalk1!$AA$19=4,1,0)</f>
        <v>0</v>
      </c>
      <c r="AI114" s="55">
        <v>80</v>
      </c>
      <c r="AK114" s="55" t="s">
        <v>22079</v>
      </c>
      <c r="AP114" s="66">
        <f>IF(Kalk1!$O$20&gt;0,Kalk1!$O$20,0)</f>
        <v>0</v>
      </c>
      <c r="AQ114" s="55" t="s">
        <v>22121</v>
      </c>
      <c r="AT114" s="55" t="s">
        <v>22079</v>
      </c>
      <c r="AU114" s="66">
        <f>IF(Kalk1!$AI$51=AV114,1,0)</f>
        <v>0</v>
      </c>
      <c r="AV114" s="55">
        <v>2150</v>
      </c>
      <c r="AX114" s="55" t="s">
        <v>22100</v>
      </c>
      <c r="AY114" s="66">
        <f>AP114*Kalk1!$H$37</f>
        <v>0</v>
      </c>
      <c r="AZ114" s="55" t="s">
        <v>20872</v>
      </c>
    </row>
    <row r="115" spans="2:52" ht="24.95" customHeight="1">
      <c r="B115" s="93">
        <f t="shared" si="28"/>
        <v>0</v>
      </c>
      <c r="C115" s="60">
        <f>IF(AG115=1,AW115,0)</f>
        <v>0</v>
      </c>
      <c r="D115" s="60"/>
      <c r="E115" s="60" t="str">
        <f>VLOOKUP(1600,Sprachindex!$A:$Z,Erhebungsbogen!$Y$20,FALSE)</f>
        <v>[Stk]</v>
      </c>
      <c r="F115" s="60" t="s">
        <v>21826</v>
      </c>
      <c r="G115" s="514" t="str">
        <f>VLOOKUP(1805,Sprachindex!$A:$Z,Erhebungsbogen!$Y$20,FALSE) &amp; " (" &amp; ROUNDUP(C115/1000*Preisliste!I95,2) &amp; " " &amp; VLOOKUP(1744,Sprachindex!$A:$Z,Erhebungsbogen!$Y$20,FALSE) &amp; ")"</f>
        <v>Rundprofil 80-90° Sonderlänge exkl. Dichtung, (Stangenware) (0 kg/Stk)</v>
      </c>
      <c r="H115" s="514"/>
      <c r="I115" s="514"/>
      <c r="J115" s="514"/>
      <c r="K115" s="514"/>
      <c r="L115" s="514"/>
      <c r="M115" s="514"/>
      <c r="N115" s="514"/>
      <c r="O115" s="514"/>
      <c r="P115" s="514"/>
      <c r="Q115" s="514"/>
      <c r="R115" s="514"/>
      <c r="S115" s="514"/>
      <c r="T115" s="514"/>
      <c r="U115" s="354">
        <f>VLOOKUP(F115,Preisliste!C:F,4,FALSE)</f>
        <v>0</v>
      </c>
      <c r="V115" s="352">
        <f>U115*C115*B115/1000</f>
        <v>0</v>
      </c>
      <c r="W115" s="86"/>
      <c r="X115" s="86"/>
      <c r="Y115" s="86"/>
      <c r="Z115" s="86"/>
      <c r="AA115" s="86"/>
      <c r="AB115" s="86"/>
      <c r="AC115" s="86"/>
      <c r="AD115" s="86"/>
      <c r="AE115" s="86"/>
      <c r="AF115" s="86"/>
      <c r="AG115" s="55">
        <f t="shared" si="29"/>
        <v>0</v>
      </c>
      <c r="AH115" s="66">
        <f>IF(Kalk1!$AA$19=4,1,0)</f>
        <v>0</v>
      </c>
      <c r="AI115" s="55">
        <v>80</v>
      </c>
      <c r="AK115" s="55" t="s">
        <v>22079</v>
      </c>
      <c r="AP115" s="66">
        <f>IF(Kalk1!$O$20&gt;0,Kalk1!$O$20,0)</f>
        <v>0</v>
      </c>
      <c r="AQ115" s="55" t="s">
        <v>22121</v>
      </c>
      <c r="AT115" s="55" t="s">
        <v>22079</v>
      </c>
      <c r="AU115" s="66">
        <f>IF(Kalk1!$AH$52&gt;AV115,1,0)</f>
        <v>0</v>
      </c>
      <c r="AV115" s="55">
        <v>2150</v>
      </c>
      <c r="AW115" s="66">
        <f>Kalk1!$AH$52</f>
        <v>0</v>
      </c>
      <c r="AX115" s="55" t="s">
        <v>22100</v>
      </c>
      <c r="AY115" s="66">
        <f>AP115*Kalk1!$H$37</f>
        <v>0</v>
      </c>
      <c r="AZ115" s="55" t="s">
        <v>20872</v>
      </c>
    </row>
    <row r="116" spans="2:52" ht="24.95" customHeight="1">
      <c r="B116" s="93">
        <f t="shared" si="28"/>
        <v>0</v>
      </c>
      <c r="C116" s="60">
        <v>750</v>
      </c>
      <c r="D116" s="60"/>
      <c r="E116" s="60" t="str">
        <f>VLOOKUP(1600,Sprachindex!$A:$Z,Erhebungsbogen!$Y$20,FALSE)</f>
        <v>[Stk]</v>
      </c>
      <c r="F116" s="60" t="s">
        <v>21926</v>
      </c>
      <c r="G116" s="514" t="str">
        <f>VLOOKUP(2129,Sprachindex!$A:$Z,Erhebungsbogen!$Y$20,FALSE) &amp; " ( " &amp;Preisliste!H96 &amp; " " &amp; VLOOKUP(1744,Sprachindex!$A:$Z,Erhebungsbogen!$Y$20,FALSE) &amp; ")"</f>
        <v>Rundprofil 50-Vario 15° exkl. Dichtung, gebohrt und entgratet ( 15,651 kg/Stk)</v>
      </c>
      <c r="H116" s="514"/>
      <c r="I116" s="514"/>
      <c r="J116" s="514"/>
      <c r="K116" s="514"/>
      <c r="L116" s="514"/>
      <c r="M116" s="514"/>
      <c r="N116" s="514"/>
      <c r="O116" s="514"/>
      <c r="P116" s="514"/>
      <c r="Q116" s="514"/>
      <c r="R116" s="514"/>
      <c r="S116" s="514"/>
      <c r="T116" s="514"/>
      <c r="U116" s="352">
        <f>VLOOKUP(F116,Preisliste!C:F,4,FALSE)</f>
        <v>805.1</v>
      </c>
      <c r="V116" s="352">
        <f t="shared" si="18"/>
        <v>0</v>
      </c>
      <c r="W116" s="86"/>
      <c r="X116" s="86"/>
      <c r="Y116" s="86"/>
      <c r="Z116" s="86"/>
      <c r="AA116" s="86"/>
      <c r="AB116" s="86"/>
      <c r="AC116" s="86"/>
      <c r="AD116" s="86"/>
      <c r="AE116" s="86"/>
      <c r="AF116" s="86"/>
      <c r="AG116" s="55">
        <f t="shared" si="29"/>
        <v>1</v>
      </c>
      <c r="AH116" s="66">
        <f>IF(OR(Kalk1!$AA$19=2,Kalk1!$AA$19=3),1,0)</f>
        <v>1</v>
      </c>
      <c r="AI116" s="55">
        <v>50</v>
      </c>
      <c r="AK116" s="55" t="s">
        <v>22079</v>
      </c>
      <c r="AP116" s="66">
        <f>IF(AND(Kalk1!$O$21&gt;0,Kalk1!$N$21="15°"),Kalk1!$O$21,0)</f>
        <v>0</v>
      </c>
      <c r="AQ116" s="55" t="s">
        <v>22087</v>
      </c>
      <c r="AT116" s="55" t="s">
        <v>22079</v>
      </c>
      <c r="AU116" s="66">
        <f>IF(Kalk1!$AI$51=$AV$91,1,0)</f>
        <v>1</v>
      </c>
      <c r="AV116" s="55">
        <v>750</v>
      </c>
      <c r="AX116" s="55" t="s">
        <v>22100</v>
      </c>
      <c r="AY116" s="66">
        <f>AP116*Kalk1!$H$37</f>
        <v>0</v>
      </c>
      <c r="AZ116" s="55" t="s">
        <v>20872</v>
      </c>
    </row>
    <row r="117" spans="2:52" ht="24.95" customHeight="1">
      <c r="B117" s="93">
        <f t="shared" si="28"/>
        <v>0</v>
      </c>
      <c r="C117" s="60">
        <v>1350</v>
      </c>
      <c r="D117" s="60"/>
      <c r="E117" s="60" t="str">
        <f>VLOOKUP(1600,Sprachindex!$A:$Z,Erhebungsbogen!$Y$20,FALSE)</f>
        <v>[Stk]</v>
      </c>
      <c r="F117" s="60" t="s">
        <v>21927</v>
      </c>
      <c r="G117" s="514" t="str">
        <f>VLOOKUP(2129,Sprachindex!$A:$Z,Erhebungsbogen!$Y$20,FALSE) &amp; " ( " &amp;Preisliste!H97 &amp; " " &amp; VLOOKUP(1744,Sprachindex!$A:$Z,Erhebungsbogen!$Y$20,FALSE) &amp; ")"</f>
        <v>Rundprofil 50-Vario 15° exkl. Dichtung, gebohrt und entgratet ( 28,172 kg/Stk)</v>
      </c>
      <c r="H117" s="514"/>
      <c r="I117" s="514"/>
      <c r="J117" s="514"/>
      <c r="K117" s="514"/>
      <c r="L117" s="514"/>
      <c r="M117" s="514"/>
      <c r="N117" s="514"/>
      <c r="O117" s="514"/>
      <c r="P117" s="514"/>
      <c r="Q117" s="514"/>
      <c r="R117" s="514"/>
      <c r="S117" s="514"/>
      <c r="T117" s="514"/>
      <c r="U117" s="352">
        <f>VLOOKUP(F117,Preisliste!C:F,4,FALSE)</f>
        <v>988.05</v>
      </c>
      <c r="V117" s="352">
        <f t="shared" si="18"/>
        <v>0</v>
      </c>
      <c r="W117" s="86"/>
      <c r="X117" s="86"/>
      <c r="Y117" s="86"/>
      <c r="Z117" s="86"/>
      <c r="AA117" s="86"/>
      <c r="AB117" s="86"/>
      <c r="AC117" s="86"/>
      <c r="AD117" s="86"/>
      <c r="AE117" s="86"/>
      <c r="AF117" s="86"/>
      <c r="AG117" s="55">
        <f>IF(AND(AH117=1,AP117&gt;0,AU117=1),1,0)</f>
        <v>0</v>
      </c>
      <c r="AH117" s="66">
        <f>IF(OR(Kalk1!$AA$19=2,Kalk1!$AA$19=3),1,0)</f>
        <v>1</v>
      </c>
      <c r="AI117" s="55">
        <v>50</v>
      </c>
      <c r="AK117" s="55" t="s">
        <v>22079</v>
      </c>
      <c r="AP117" s="66">
        <f>IF(AND(Kalk1!$O$21&gt;0,Kalk1!$N$21="15°"),Kalk1!$O$21,0)</f>
        <v>0</v>
      </c>
      <c r="AQ117" s="55" t="s">
        <v>22087</v>
      </c>
      <c r="AT117" s="55" t="s">
        <v>22079</v>
      </c>
      <c r="AU117" s="66">
        <f>IF(Kalk1!$AI$51=AV117,1,0)</f>
        <v>0</v>
      </c>
      <c r="AV117" s="55">
        <v>1350</v>
      </c>
      <c r="AX117" s="55" t="s">
        <v>22100</v>
      </c>
      <c r="AY117" s="66">
        <f>AP117*Kalk1!$H$37</f>
        <v>0</v>
      </c>
      <c r="AZ117" s="55" t="s">
        <v>20872</v>
      </c>
    </row>
    <row r="118" spans="2:52" ht="24.95" customHeight="1">
      <c r="B118" s="93">
        <f t="shared" si="28"/>
        <v>0</v>
      </c>
      <c r="C118" s="60">
        <v>1750</v>
      </c>
      <c r="D118" s="60"/>
      <c r="E118" s="60" t="str">
        <f>VLOOKUP(1600,Sprachindex!$A:$Z,Erhebungsbogen!$Y$20,FALSE)</f>
        <v>[Stk]</v>
      </c>
      <c r="F118" s="60" t="s">
        <v>21928</v>
      </c>
      <c r="G118" s="514" t="str">
        <f>VLOOKUP(2129,Sprachindex!$A:$Z,Erhebungsbogen!$Y$20,FALSE) &amp; " ( " &amp;Preisliste!H98 &amp; " " &amp; VLOOKUP(1744,Sprachindex!$A:$Z,Erhebungsbogen!$Y$20,FALSE) &amp; ")"</f>
        <v>Rundprofil 50-Vario 15° exkl. Dichtung, gebohrt und entgratet ( 36,519 kg/Stk)</v>
      </c>
      <c r="H118" s="514"/>
      <c r="I118" s="514"/>
      <c r="J118" s="514"/>
      <c r="K118" s="514"/>
      <c r="L118" s="514"/>
      <c r="M118" s="514"/>
      <c r="N118" s="514"/>
      <c r="O118" s="514"/>
      <c r="P118" s="514"/>
      <c r="Q118" s="514"/>
      <c r="R118" s="514"/>
      <c r="S118" s="514"/>
      <c r="T118" s="514"/>
      <c r="U118" s="352">
        <f>VLOOKUP(F118,Preisliste!C:F,4,FALSE)</f>
        <v>1110.0999999999999</v>
      </c>
      <c r="V118" s="352">
        <f t="shared" si="18"/>
        <v>0</v>
      </c>
      <c r="W118" s="86"/>
      <c r="X118" s="86"/>
      <c r="Y118" s="86"/>
      <c r="Z118" s="86"/>
      <c r="AA118" s="86"/>
      <c r="AB118" s="86"/>
      <c r="AC118" s="86"/>
      <c r="AD118" s="86"/>
      <c r="AE118" s="86"/>
      <c r="AF118" s="86"/>
      <c r="AG118" s="55">
        <f t="shared" si="29"/>
        <v>0</v>
      </c>
      <c r="AH118" s="66">
        <f>IF(OR(Kalk1!$AA$19=2,Kalk1!$AA$19=3),1,0)</f>
        <v>1</v>
      </c>
      <c r="AI118" s="55">
        <v>50</v>
      </c>
      <c r="AK118" s="55" t="s">
        <v>22079</v>
      </c>
      <c r="AP118" s="66">
        <f>IF(AND(Kalk1!$O$21&gt;0,Kalk1!$N$21="15°"),Kalk1!$O$21,0)</f>
        <v>0</v>
      </c>
      <c r="AQ118" s="55" t="s">
        <v>22087</v>
      </c>
      <c r="AT118" s="55" t="s">
        <v>22079</v>
      </c>
      <c r="AU118" s="66">
        <f>IF(Kalk1!$AI$51=AV118,1,0)</f>
        <v>0</v>
      </c>
      <c r="AV118" s="55">
        <v>1750</v>
      </c>
      <c r="AX118" s="55" t="s">
        <v>22100</v>
      </c>
      <c r="AY118" s="66">
        <f>AP118*Kalk1!$H$37</f>
        <v>0</v>
      </c>
      <c r="AZ118" s="55" t="s">
        <v>20872</v>
      </c>
    </row>
    <row r="119" spans="2:52" ht="24.95" customHeight="1">
      <c r="B119" s="93">
        <f t="shared" si="28"/>
        <v>0</v>
      </c>
      <c r="C119" s="60">
        <v>2150</v>
      </c>
      <c r="D119" s="60"/>
      <c r="E119" s="60" t="str">
        <f>VLOOKUP(1600,Sprachindex!$A:$Z,Erhebungsbogen!$Y$20,FALSE)</f>
        <v>[Stk]</v>
      </c>
      <c r="F119" s="60" t="s">
        <v>21929</v>
      </c>
      <c r="G119" s="514" t="str">
        <f>VLOOKUP(2129,Sprachindex!$A:$Z,Erhebungsbogen!$Y$20,FALSE) &amp; " ( " &amp;Preisliste!H99 &amp; " " &amp; VLOOKUP(1744,Sprachindex!$A:$Z,Erhebungsbogen!$Y$20,FALSE) &amp; ")"</f>
        <v>Rundprofil 50-Vario 15° exkl. Dichtung, gebohrt und entgratet ( 44,866 kg/Stk)</v>
      </c>
      <c r="H119" s="514"/>
      <c r="I119" s="514"/>
      <c r="J119" s="514"/>
      <c r="K119" s="514"/>
      <c r="L119" s="514"/>
      <c r="M119" s="514"/>
      <c r="N119" s="514"/>
      <c r="O119" s="514"/>
      <c r="P119" s="514"/>
      <c r="Q119" s="514"/>
      <c r="R119" s="514"/>
      <c r="S119" s="514"/>
      <c r="T119" s="514"/>
      <c r="U119" s="352">
        <f>VLOOKUP(F119,Preisliste!C:F,4,FALSE)</f>
        <v>1231.95</v>
      </c>
      <c r="V119" s="352">
        <f t="shared" si="18"/>
        <v>0</v>
      </c>
      <c r="W119" s="86"/>
      <c r="X119" s="86"/>
      <c r="Y119" s="86"/>
      <c r="Z119" s="86"/>
      <c r="AA119" s="86"/>
      <c r="AB119" s="86"/>
      <c r="AC119" s="86"/>
      <c r="AD119" s="86"/>
      <c r="AE119" s="86"/>
      <c r="AF119" s="86"/>
      <c r="AG119" s="55">
        <f t="shared" si="29"/>
        <v>0</v>
      </c>
      <c r="AH119" s="66">
        <f>IF(OR(Kalk1!$AA$19=2,Kalk1!$AA$19=3),1,0)</f>
        <v>1</v>
      </c>
      <c r="AI119" s="55">
        <v>50</v>
      </c>
      <c r="AK119" s="55" t="s">
        <v>22079</v>
      </c>
      <c r="AP119" s="66">
        <f>IF(AND(Kalk1!$O$21&gt;0,Kalk1!$N$21="15°"),Kalk1!$O$21,0)</f>
        <v>0</v>
      </c>
      <c r="AQ119" s="55" t="s">
        <v>22087</v>
      </c>
      <c r="AT119" s="55" t="s">
        <v>22079</v>
      </c>
      <c r="AU119" s="66">
        <f>IF(Kalk1!$AI$51=AV119,1,0)</f>
        <v>0</v>
      </c>
      <c r="AV119" s="55">
        <v>2150</v>
      </c>
      <c r="AX119" s="55" t="s">
        <v>22100</v>
      </c>
      <c r="AY119" s="66">
        <f>AP119*Kalk1!$H$37</f>
        <v>0</v>
      </c>
      <c r="AZ119" s="55" t="s">
        <v>20872</v>
      </c>
    </row>
    <row r="120" spans="2:52" ht="24.95" customHeight="1">
      <c r="B120" s="93">
        <f t="shared" si="28"/>
        <v>0</v>
      </c>
      <c r="C120" s="60">
        <f>IF(AG120=1,AW120,0)</f>
        <v>0</v>
      </c>
      <c r="D120" s="60"/>
      <c r="E120" s="60" t="str">
        <f>VLOOKUP(1600,Sprachindex!$A:$Z,Erhebungsbogen!$Y$20,FALSE)</f>
        <v>[Stk]</v>
      </c>
      <c r="F120" s="60" t="s">
        <v>21826</v>
      </c>
      <c r="G120" s="514" t="str">
        <f>VLOOKUP(2130,Sprachindex!$A:$Z,Erhebungsbogen!$Y$20,FALSE) &amp; " (" &amp; ROUNDUP(C120/1000*Preisliste!I100,2) &amp; " " &amp; VLOOKUP(1744,Sprachindex!$A:$Z,Erhebungsbogen!$Y$20,FALSE) &amp; ")"</f>
        <v>Rundprofil 50-Vario 15° Sonderlänge exkl. Dichtung, (Stangenware) (0 kg/Stk)</v>
      </c>
      <c r="H120" s="514"/>
      <c r="I120" s="514"/>
      <c r="J120" s="514"/>
      <c r="K120" s="514"/>
      <c r="L120" s="514"/>
      <c r="M120" s="514"/>
      <c r="N120" s="514"/>
      <c r="O120" s="514"/>
      <c r="P120" s="514"/>
      <c r="Q120" s="514"/>
      <c r="R120" s="514"/>
      <c r="S120" s="514"/>
      <c r="T120" s="514"/>
      <c r="U120" s="354">
        <f>VLOOKUP(F120,Preisliste!C:F,4,FALSE)</f>
        <v>0</v>
      </c>
      <c r="V120" s="352">
        <f>U120*C120*B120/1000</f>
        <v>0</v>
      </c>
      <c r="W120" s="86"/>
      <c r="X120" s="86"/>
      <c r="Y120" s="86"/>
      <c r="Z120" s="86"/>
      <c r="AA120" s="86"/>
      <c r="AB120" s="86"/>
      <c r="AC120" s="86"/>
      <c r="AD120" s="86"/>
      <c r="AE120" s="86"/>
      <c r="AF120" s="86"/>
      <c r="AG120" s="55">
        <f t="shared" si="29"/>
        <v>0</v>
      </c>
      <c r="AH120" s="66">
        <f>IF(OR(Kalk1!$AA$19=2,Kalk1!$AA$19=3),1,0)</f>
        <v>1</v>
      </c>
      <c r="AI120" s="55">
        <v>50</v>
      </c>
      <c r="AK120" s="55" t="s">
        <v>22079</v>
      </c>
      <c r="AP120" s="66">
        <f>IF(AND(Kalk1!$O$21&gt;0,Kalk1!$N$21="15°"),Kalk1!$O$21,0)</f>
        <v>0</v>
      </c>
      <c r="AQ120" s="55" t="s">
        <v>22087</v>
      </c>
      <c r="AT120" s="55" t="s">
        <v>22079</v>
      </c>
      <c r="AU120" s="66">
        <f>IF(Kalk1!$AH$52&gt;AV120,1,0)</f>
        <v>0</v>
      </c>
      <c r="AV120" s="55">
        <v>2150</v>
      </c>
      <c r="AW120" s="66">
        <f>Kalk1!$AH$52</f>
        <v>0</v>
      </c>
      <c r="AX120" s="55" t="s">
        <v>22100</v>
      </c>
      <c r="AY120" s="66">
        <f>AP120*Kalk1!$H$37</f>
        <v>0</v>
      </c>
      <c r="AZ120" s="55" t="s">
        <v>20872</v>
      </c>
    </row>
    <row r="121" spans="2:52" ht="24.95" customHeight="1">
      <c r="B121" s="93">
        <f t="shared" si="28"/>
        <v>0</v>
      </c>
      <c r="C121" s="60">
        <v>750</v>
      </c>
      <c r="D121" s="60"/>
      <c r="E121" s="60" t="str">
        <f>VLOOKUP(1600,Sprachindex!$A:$Z,Erhebungsbogen!$Y$20,FALSE)</f>
        <v>[Stk]</v>
      </c>
      <c r="F121" s="60" t="s">
        <v>22001</v>
      </c>
      <c r="G121" s="514" t="str">
        <f>VLOOKUP(2131,Sprachindex!$A:$Z,Erhebungsbogen!$Y$20,FALSE) &amp; " ( " &amp;Preisliste!H101 &amp; " " &amp; VLOOKUP(1744,Sprachindex!$A:$Z,Erhebungsbogen!$Y$20,FALSE) &amp; ")"</f>
        <v>Rundprofil 50-Vario 30° exkl. Dichtung, gebohrt und entgratet ( 16,516 kg/Stk)</v>
      </c>
      <c r="H121" s="514"/>
      <c r="I121" s="514"/>
      <c r="J121" s="514"/>
      <c r="K121" s="514"/>
      <c r="L121" s="514"/>
      <c r="M121" s="514"/>
      <c r="N121" s="514"/>
      <c r="O121" s="514"/>
      <c r="P121" s="514"/>
      <c r="Q121" s="514"/>
      <c r="R121" s="514"/>
      <c r="S121" s="514"/>
      <c r="T121" s="514"/>
      <c r="U121" s="352">
        <f>VLOOKUP(F121,Preisliste!C:F,4,FALSE)</f>
        <v>805.1</v>
      </c>
      <c r="V121" s="352">
        <f t="shared" si="18"/>
        <v>0</v>
      </c>
      <c r="W121" s="86"/>
      <c r="X121" s="86"/>
      <c r="Y121" s="86"/>
      <c r="Z121" s="86"/>
      <c r="AA121" s="86"/>
      <c r="AB121" s="86"/>
      <c r="AC121" s="86"/>
      <c r="AD121" s="86"/>
      <c r="AE121" s="86"/>
      <c r="AF121" s="86"/>
      <c r="AG121" s="55">
        <f t="shared" si="29"/>
        <v>1</v>
      </c>
      <c r="AH121" s="66">
        <f>IF(OR(Kalk1!$AA$19=2,Kalk1!$AA$19=3),1,0)</f>
        <v>1</v>
      </c>
      <c r="AI121" s="55">
        <v>50</v>
      </c>
      <c r="AK121" s="55" t="s">
        <v>22079</v>
      </c>
      <c r="AP121" s="66">
        <f>IF(AND(Kalk1!$O$21&gt;0,Kalk1!$N$21="30°"),Kalk1!$O$21,0)</f>
        <v>0</v>
      </c>
      <c r="AQ121" s="55" t="s">
        <v>22088</v>
      </c>
      <c r="AT121" s="55" t="s">
        <v>22079</v>
      </c>
      <c r="AU121" s="66">
        <f>IF(Kalk1!$AI$51=$AV$91,1,0)</f>
        <v>1</v>
      </c>
      <c r="AV121" s="55">
        <v>750</v>
      </c>
      <c r="AX121" s="55" t="s">
        <v>22100</v>
      </c>
      <c r="AY121" s="66">
        <f>AP121*Kalk1!$H$37</f>
        <v>0</v>
      </c>
      <c r="AZ121" s="55" t="s">
        <v>20872</v>
      </c>
    </row>
    <row r="122" spans="2:52" ht="24.95" customHeight="1">
      <c r="B122" s="93">
        <f t="shared" si="28"/>
        <v>0</v>
      </c>
      <c r="C122" s="60">
        <v>1350</v>
      </c>
      <c r="D122" s="60"/>
      <c r="E122" s="60" t="str">
        <f>VLOOKUP(1600,Sprachindex!$A:$Z,Erhebungsbogen!$Y$20,FALSE)</f>
        <v>[Stk]</v>
      </c>
      <c r="F122" s="60" t="s">
        <v>22002</v>
      </c>
      <c r="G122" s="514" t="str">
        <f>VLOOKUP(2131,Sprachindex!$A:$Z,Erhebungsbogen!$Y$20,FALSE) &amp; " ( " &amp;Preisliste!H102 &amp; " " &amp; VLOOKUP(1744,Sprachindex!$A:$Z,Erhebungsbogen!$Y$20,FALSE) &amp; ")"</f>
        <v>Rundprofil 50-Vario 30° exkl. Dichtung, gebohrt und entgratet ( 29,728 kg/Stk)</v>
      </c>
      <c r="H122" s="514"/>
      <c r="I122" s="514"/>
      <c r="J122" s="514"/>
      <c r="K122" s="514"/>
      <c r="L122" s="514"/>
      <c r="M122" s="514"/>
      <c r="N122" s="514"/>
      <c r="O122" s="514"/>
      <c r="P122" s="514"/>
      <c r="Q122" s="514"/>
      <c r="R122" s="514"/>
      <c r="S122" s="514"/>
      <c r="T122" s="514"/>
      <c r="U122" s="352">
        <f>VLOOKUP(F122,Preisliste!C:F,4,FALSE)</f>
        <v>988.05</v>
      </c>
      <c r="V122" s="352">
        <f t="shared" si="18"/>
        <v>0</v>
      </c>
      <c r="W122" s="86"/>
      <c r="X122" s="86"/>
      <c r="Y122" s="86"/>
      <c r="Z122" s="86"/>
      <c r="AA122" s="86"/>
      <c r="AB122" s="86"/>
      <c r="AC122" s="86"/>
      <c r="AD122" s="86"/>
      <c r="AE122" s="86"/>
      <c r="AF122" s="86"/>
      <c r="AG122" s="55">
        <f>IF(AND(AH122=1,AP122&gt;0,AU122=1),1,0)</f>
        <v>0</v>
      </c>
      <c r="AH122" s="66">
        <f>IF(OR(Kalk1!$AA$19=2,Kalk1!$AA$19=3),1,0)</f>
        <v>1</v>
      </c>
      <c r="AI122" s="55">
        <v>50</v>
      </c>
      <c r="AK122" s="55" t="s">
        <v>22079</v>
      </c>
      <c r="AP122" s="66">
        <f>IF(AND(Kalk1!$O$21&gt;0,Kalk1!$N$21="30°"),Kalk1!$O$21,0)</f>
        <v>0</v>
      </c>
      <c r="AQ122" s="55" t="s">
        <v>22088</v>
      </c>
      <c r="AT122" s="55" t="s">
        <v>22079</v>
      </c>
      <c r="AU122" s="66">
        <f>IF(Kalk1!$AI$51=AV122,1,0)</f>
        <v>0</v>
      </c>
      <c r="AV122" s="55">
        <v>1350</v>
      </c>
      <c r="AX122" s="55" t="s">
        <v>22100</v>
      </c>
      <c r="AY122" s="66">
        <f>AP122*Kalk1!$H$37</f>
        <v>0</v>
      </c>
      <c r="AZ122" s="55" t="s">
        <v>20872</v>
      </c>
    </row>
    <row r="123" spans="2:52" ht="24.95" customHeight="1">
      <c r="B123" s="93">
        <f t="shared" si="28"/>
        <v>0</v>
      </c>
      <c r="C123" s="60">
        <v>1750</v>
      </c>
      <c r="D123" s="60"/>
      <c r="E123" s="60" t="str">
        <f>VLOOKUP(1600,Sprachindex!$A:$Z,Erhebungsbogen!$Y$20,FALSE)</f>
        <v>[Stk]</v>
      </c>
      <c r="F123" s="60" t="s">
        <v>22003</v>
      </c>
      <c r="G123" s="514" t="str">
        <f>VLOOKUP(2131,Sprachindex!$A:$Z,Erhebungsbogen!$Y$20,FALSE) &amp; " ( " &amp;Preisliste!H103 &amp; " " &amp; VLOOKUP(1744,Sprachindex!$A:$Z,Erhebungsbogen!$Y$20,FALSE) &amp; ")"</f>
        <v>Rundprofil 50-Vario 30° exkl. Dichtung, gebohrt und entgratet ( 38,537 kg/Stk)</v>
      </c>
      <c r="H123" s="514"/>
      <c r="I123" s="514"/>
      <c r="J123" s="514"/>
      <c r="K123" s="514"/>
      <c r="L123" s="514"/>
      <c r="M123" s="514"/>
      <c r="N123" s="514"/>
      <c r="O123" s="514"/>
      <c r="P123" s="514"/>
      <c r="Q123" s="514"/>
      <c r="R123" s="514"/>
      <c r="S123" s="514"/>
      <c r="T123" s="514"/>
      <c r="U123" s="352">
        <f>VLOOKUP(F123,Preisliste!C:F,4,FALSE)</f>
        <v>1110.0999999999999</v>
      </c>
      <c r="V123" s="352">
        <f t="shared" si="18"/>
        <v>0</v>
      </c>
      <c r="W123" s="86"/>
      <c r="X123" s="86"/>
      <c r="Y123" s="86"/>
      <c r="Z123" s="86"/>
      <c r="AA123" s="86"/>
      <c r="AB123" s="86"/>
      <c r="AC123" s="86"/>
      <c r="AD123" s="86"/>
      <c r="AE123" s="86"/>
      <c r="AF123" s="86"/>
      <c r="AG123" s="55">
        <f t="shared" si="29"/>
        <v>0</v>
      </c>
      <c r="AH123" s="66">
        <f>IF(OR(Kalk1!$AA$19=2,Kalk1!$AA$19=3),1,0)</f>
        <v>1</v>
      </c>
      <c r="AI123" s="55">
        <v>50</v>
      </c>
      <c r="AK123" s="55" t="s">
        <v>22079</v>
      </c>
      <c r="AP123" s="66">
        <f>IF(AND(Kalk1!$O$21&gt;0,Kalk1!$N$21="30°"),Kalk1!$O$21,0)</f>
        <v>0</v>
      </c>
      <c r="AQ123" s="55" t="s">
        <v>22088</v>
      </c>
      <c r="AT123" s="55" t="s">
        <v>22079</v>
      </c>
      <c r="AU123" s="66">
        <f>IF(Kalk1!$AI$51=AV123,1,0)</f>
        <v>0</v>
      </c>
      <c r="AV123" s="55">
        <v>1750</v>
      </c>
      <c r="AX123" s="55" t="s">
        <v>22100</v>
      </c>
      <c r="AY123" s="66">
        <f>AP123*Kalk1!$H$37</f>
        <v>0</v>
      </c>
      <c r="AZ123" s="55" t="s">
        <v>20872</v>
      </c>
    </row>
    <row r="124" spans="2:52" ht="24.95" customHeight="1">
      <c r="B124" s="93">
        <f t="shared" si="28"/>
        <v>0</v>
      </c>
      <c r="C124" s="60">
        <v>2150</v>
      </c>
      <c r="D124" s="60"/>
      <c r="E124" s="60" t="str">
        <f>VLOOKUP(1600,Sprachindex!$A:$Z,Erhebungsbogen!$Y$20,FALSE)</f>
        <v>[Stk]</v>
      </c>
      <c r="F124" s="60" t="s">
        <v>22004</v>
      </c>
      <c r="G124" s="514" t="str">
        <f>VLOOKUP(2131,Sprachindex!$A:$Z,Erhebungsbogen!$Y$20,FALSE) &amp; " ( " &amp;Preisliste!H104 &amp; " " &amp; VLOOKUP(1744,Sprachindex!$A:$Z,Erhebungsbogen!$Y$20,FALSE) &amp; ")"</f>
        <v>Rundprofil 50-Vario 30° exkl. Dichtung, gebohrt und entgratet ( 47,345 kg/Stk)</v>
      </c>
      <c r="H124" s="514"/>
      <c r="I124" s="514"/>
      <c r="J124" s="514"/>
      <c r="K124" s="514"/>
      <c r="L124" s="514"/>
      <c r="M124" s="514"/>
      <c r="N124" s="514"/>
      <c r="O124" s="514"/>
      <c r="P124" s="514"/>
      <c r="Q124" s="514"/>
      <c r="R124" s="514"/>
      <c r="S124" s="514"/>
      <c r="T124" s="514"/>
      <c r="U124" s="352">
        <f>VLOOKUP(F124,Preisliste!C:F,4,FALSE)</f>
        <v>1231.95</v>
      </c>
      <c r="V124" s="352">
        <f t="shared" si="18"/>
        <v>0</v>
      </c>
      <c r="W124" s="86"/>
      <c r="X124" s="86"/>
      <c r="Y124" s="86"/>
      <c r="Z124" s="86"/>
      <c r="AA124" s="86"/>
      <c r="AB124" s="86"/>
      <c r="AC124" s="86"/>
      <c r="AD124" s="86"/>
      <c r="AE124" s="86"/>
      <c r="AF124" s="86"/>
      <c r="AG124" s="55">
        <f t="shared" si="29"/>
        <v>0</v>
      </c>
      <c r="AH124" s="66">
        <f>IF(OR(Kalk1!$AA$19=2,Kalk1!$AA$19=3),1,0)</f>
        <v>1</v>
      </c>
      <c r="AI124" s="55">
        <v>50</v>
      </c>
      <c r="AK124" s="55" t="s">
        <v>22079</v>
      </c>
      <c r="AP124" s="66">
        <f>IF(AND(Kalk1!$O$21&gt;0,Kalk1!$N$21="30°"),Kalk1!$O$21,0)</f>
        <v>0</v>
      </c>
      <c r="AQ124" s="55" t="s">
        <v>22088</v>
      </c>
      <c r="AT124" s="55" t="s">
        <v>22079</v>
      </c>
      <c r="AU124" s="66">
        <f>IF(Kalk1!$AI$51=AV124,1,0)</f>
        <v>0</v>
      </c>
      <c r="AV124" s="55">
        <v>2150</v>
      </c>
      <c r="AX124" s="55" t="s">
        <v>22100</v>
      </c>
      <c r="AY124" s="66">
        <f>AP124*Kalk1!$H$37</f>
        <v>0</v>
      </c>
      <c r="AZ124" s="55" t="s">
        <v>20872</v>
      </c>
    </row>
    <row r="125" spans="2:52" ht="24.95" customHeight="1">
      <c r="B125" s="93">
        <f t="shared" si="28"/>
        <v>0</v>
      </c>
      <c r="C125" s="60">
        <f>IF(AG125=1,AW125,0)</f>
        <v>0</v>
      </c>
      <c r="D125" s="60"/>
      <c r="E125" s="60" t="str">
        <f>VLOOKUP(1600,Sprachindex!$A:$Z,Erhebungsbogen!$Y$20,FALSE)</f>
        <v>[Stk]</v>
      </c>
      <c r="F125" s="60" t="s">
        <v>21826</v>
      </c>
      <c r="G125" s="514" t="str">
        <f>VLOOKUP(2132,Sprachindex!$A:$Z,Erhebungsbogen!$Y$20,FALSE) &amp; " (" &amp; ROUNDUP(C125/1000*Preisliste!I105,2) &amp; " " &amp; VLOOKUP(1744,Sprachindex!$A:$Z,Erhebungsbogen!$Y$20,FALSE) &amp; ")"</f>
        <v>Rundprofil 50-Vario 30° Sonderlänge exkl. Dichtung, (Stangenware) (0 kg/Stk)</v>
      </c>
      <c r="H125" s="514"/>
      <c r="I125" s="514"/>
      <c r="J125" s="514"/>
      <c r="K125" s="514"/>
      <c r="L125" s="514"/>
      <c r="M125" s="514"/>
      <c r="N125" s="514"/>
      <c r="O125" s="514"/>
      <c r="P125" s="514"/>
      <c r="Q125" s="514"/>
      <c r="R125" s="514"/>
      <c r="S125" s="514"/>
      <c r="T125" s="514"/>
      <c r="U125" s="354">
        <f>VLOOKUP(F125,Preisliste!C:F,4,FALSE)</f>
        <v>0</v>
      </c>
      <c r="V125" s="352">
        <f>U125*C125*B125/1000</f>
        <v>0</v>
      </c>
      <c r="W125" s="86"/>
      <c r="X125" s="86"/>
      <c r="Y125" s="86"/>
      <c r="Z125" s="86"/>
      <c r="AA125" s="86"/>
      <c r="AB125" s="86"/>
      <c r="AC125" s="86"/>
      <c r="AD125" s="86"/>
      <c r="AE125" s="86"/>
      <c r="AF125" s="86"/>
      <c r="AG125" s="55">
        <f t="shared" si="29"/>
        <v>0</v>
      </c>
      <c r="AH125" s="66">
        <f>IF(OR(Kalk1!$AA$19=2,Kalk1!$AA$19=3),1,0)</f>
        <v>1</v>
      </c>
      <c r="AI125" s="55">
        <v>50</v>
      </c>
      <c r="AK125" s="55" t="s">
        <v>22079</v>
      </c>
      <c r="AP125" s="66">
        <f>IF(AND(Kalk1!$O$21&gt;0,Kalk1!$N$21="30°"),Kalk1!$O$21,0)</f>
        <v>0</v>
      </c>
      <c r="AQ125" s="55" t="s">
        <v>22088</v>
      </c>
      <c r="AT125" s="55" t="s">
        <v>22079</v>
      </c>
      <c r="AU125" s="66">
        <f>IF(Kalk1!$AH$52&gt;AV125,1,0)</f>
        <v>0</v>
      </c>
      <c r="AV125" s="55">
        <v>2150</v>
      </c>
      <c r="AW125" s="66">
        <f>Kalk1!$AH$52</f>
        <v>0</v>
      </c>
      <c r="AX125" s="55" t="s">
        <v>22100</v>
      </c>
      <c r="AY125" s="66">
        <f>AP125*Kalk1!$H$37</f>
        <v>0</v>
      </c>
      <c r="AZ125" s="55" t="s">
        <v>20872</v>
      </c>
    </row>
    <row r="126" spans="2:52" ht="24.95" customHeight="1">
      <c r="B126" s="93">
        <f t="shared" si="28"/>
        <v>0</v>
      </c>
      <c r="C126" s="60">
        <v>750</v>
      </c>
      <c r="D126" s="60"/>
      <c r="E126" s="60" t="str">
        <f>VLOOKUP(1600,Sprachindex!$A:$Z,Erhebungsbogen!$Y$20,FALSE)</f>
        <v>[Stk]</v>
      </c>
      <c r="F126" s="60" t="s">
        <v>22005</v>
      </c>
      <c r="G126" s="514" t="str">
        <f>VLOOKUP(2133,Sprachindex!$A:$Z,Erhebungsbogen!$Y$20,FALSE) &amp; " ( " &amp;Preisliste!H106 &amp; " " &amp; VLOOKUP(1744,Sprachindex!$A:$Z,Erhebungsbogen!$Y$20,FALSE) &amp; ")"</f>
        <v>Rundprofil 50-Vario 45° exkl. Dichtung, gebohrt und entgratet ( 16,506 kg/Stk)</v>
      </c>
      <c r="H126" s="514"/>
      <c r="I126" s="514"/>
      <c r="J126" s="514"/>
      <c r="K126" s="514"/>
      <c r="L126" s="514"/>
      <c r="M126" s="514"/>
      <c r="N126" s="514"/>
      <c r="O126" s="514"/>
      <c r="P126" s="514"/>
      <c r="Q126" s="514"/>
      <c r="R126" s="514"/>
      <c r="S126" s="514"/>
      <c r="T126" s="514"/>
      <c r="U126" s="352">
        <f>VLOOKUP(F126,Preisliste!C:F,4,FALSE)</f>
        <v>805.1</v>
      </c>
      <c r="V126" s="352">
        <f t="shared" si="18"/>
        <v>0</v>
      </c>
      <c r="W126" s="86"/>
      <c r="X126" s="86"/>
      <c r="Y126" s="86"/>
      <c r="Z126" s="86"/>
      <c r="AA126" s="86"/>
      <c r="AB126" s="86"/>
      <c r="AC126" s="86"/>
      <c r="AD126" s="86"/>
      <c r="AE126" s="86"/>
      <c r="AF126" s="86"/>
      <c r="AG126" s="55">
        <f t="shared" si="29"/>
        <v>1</v>
      </c>
      <c r="AH126" s="66">
        <f>IF(OR(Kalk1!$AA$19=2,Kalk1!$AA$19=3),1,0)</f>
        <v>1</v>
      </c>
      <c r="AI126" s="55">
        <v>50</v>
      </c>
      <c r="AK126" s="55" t="s">
        <v>22079</v>
      </c>
      <c r="AP126" s="66">
        <f>IF(AND(Kalk1!$O$21&gt;0,Kalk1!$N$21="45°"),Kalk1!$O$21,0)</f>
        <v>0</v>
      </c>
      <c r="AQ126" s="55" t="s">
        <v>22089</v>
      </c>
      <c r="AT126" s="55" t="s">
        <v>22079</v>
      </c>
      <c r="AU126" s="66">
        <f>IF(Kalk1!$AI$51=$AV$91,1,0)</f>
        <v>1</v>
      </c>
      <c r="AV126" s="55">
        <v>750</v>
      </c>
      <c r="AX126" s="55" t="s">
        <v>22100</v>
      </c>
      <c r="AY126" s="66">
        <f>AP126*Kalk1!$H$37</f>
        <v>0</v>
      </c>
      <c r="AZ126" s="55" t="s">
        <v>20872</v>
      </c>
    </row>
    <row r="127" spans="2:52" ht="24.95" customHeight="1">
      <c r="B127" s="93">
        <f t="shared" si="28"/>
        <v>0</v>
      </c>
      <c r="C127" s="60">
        <v>1350</v>
      </c>
      <c r="D127" s="60"/>
      <c r="E127" s="60" t="str">
        <f>VLOOKUP(1600,Sprachindex!$A:$Z,Erhebungsbogen!$Y$20,FALSE)</f>
        <v>[Stk]</v>
      </c>
      <c r="F127" s="60" t="s">
        <v>22006</v>
      </c>
      <c r="G127" s="514" t="str">
        <f>VLOOKUP(2133,Sprachindex!$A:$Z,Erhebungsbogen!$Y$20,FALSE) &amp; " ( " &amp;Preisliste!H107 &amp; " " &amp; VLOOKUP(1744,Sprachindex!$A:$Z,Erhebungsbogen!$Y$20,FALSE) &amp; ")"</f>
        <v>Rundprofil 50-Vario 45° exkl. Dichtung, gebohrt und entgratet ( 29,711 kg/Stk)</v>
      </c>
      <c r="H127" s="514"/>
      <c r="I127" s="514"/>
      <c r="J127" s="514"/>
      <c r="K127" s="514"/>
      <c r="L127" s="514"/>
      <c r="M127" s="514"/>
      <c r="N127" s="514"/>
      <c r="O127" s="514"/>
      <c r="P127" s="514"/>
      <c r="Q127" s="514"/>
      <c r="R127" s="514"/>
      <c r="S127" s="514"/>
      <c r="T127" s="514"/>
      <c r="U127" s="352">
        <f>VLOOKUP(F127,Preisliste!C:F,4,FALSE)</f>
        <v>988.05</v>
      </c>
      <c r="V127" s="352">
        <f t="shared" si="18"/>
        <v>0</v>
      </c>
      <c r="W127" s="86"/>
      <c r="X127" s="86"/>
      <c r="Y127" s="86"/>
      <c r="Z127" s="86"/>
      <c r="AA127" s="86"/>
      <c r="AB127" s="86"/>
      <c r="AC127" s="86"/>
      <c r="AD127" s="86"/>
      <c r="AE127" s="86"/>
      <c r="AF127" s="86"/>
      <c r="AG127" s="55">
        <f>IF(AND(AH127=1,AP127&gt;0,AU127=1),1,0)</f>
        <v>0</v>
      </c>
      <c r="AH127" s="66">
        <f>IF(OR(Kalk1!$AA$19=2,Kalk1!$AA$19=3),1,0)</f>
        <v>1</v>
      </c>
      <c r="AI127" s="55">
        <v>50</v>
      </c>
      <c r="AK127" s="55" t="s">
        <v>22079</v>
      </c>
      <c r="AP127" s="66">
        <f>IF(AND(Kalk1!$O$21&gt;0,Kalk1!$N$21="45°"),Kalk1!$O$21,0)</f>
        <v>0</v>
      </c>
      <c r="AQ127" s="55" t="s">
        <v>22089</v>
      </c>
      <c r="AT127" s="55" t="s">
        <v>22079</v>
      </c>
      <c r="AU127" s="66">
        <f>IF(Kalk1!$AI$51=AV127,1,0)</f>
        <v>0</v>
      </c>
      <c r="AV127" s="55">
        <v>1350</v>
      </c>
      <c r="AX127" s="55" t="s">
        <v>22100</v>
      </c>
      <c r="AY127" s="66">
        <f>AP127*Kalk1!$H$37</f>
        <v>0</v>
      </c>
      <c r="AZ127" s="55" t="s">
        <v>20872</v>
      </c>
    </row>
    <row r="128" spans="2:52" ht="24.95" customHeight="1">
      <c r="B128" s="93">
        <f t="shared" si="28"/>
        <v>0</v>
      </c>
      <c r="C128" s="60">
        <v>1750</v>
      </c>
      <c r="D128" s="60"/>
      <c r="E128" s="60" t="str">
        <f>VLOOKUP(1600,Sprachindex!$A:$Z,Erhebungsbogen!$Y$20,FALSE)</f>
        <v>[Stk]</v>
      </c>
      <c r="F128" s="60" t="s">
        <v>22007</v>
      </c>
      <c r="G128" s="514" t="str">
        <f>VLOOKUP(2133,Sprachindex!$A:$Z,Erhebungsbogen!$Y$20,FALSE) &amp; " ( " &amp;Preisliste!H108 &amp; " " &amp; VLOOKUP(1744,Sprachindex!$A:$Z,Erhebungsbogen!$Y$20,FALSE) &amp; ")"</f>
        <v>Rundprofil 50-Vario 45° exkl. Dichtung, gebohrt und entgratet ( 38,514 kg/Stk)</v>
      </c>
      <c r="H128" s="514"/>
      <c r="I128" s="514"/>
      <c r="J128" s="514"/>
      <c r="K128" s="514"/>
      <c r="L128" s="514"/>
      <c r="M128" s="514"/>
      <c r="N128" s="514"/>
      <c r="O128" s="514"/>
      <c r="P128" s="514"/>
      <c r="Q128" s="514"/>
      <c r="R128" s="514"/>
      <c r="S128" s="514"/>
      <c r="T128" s="514"/>
      <c r="U128" s="352">
        <f>VLOOKUP(F128,Preisliste!C:F,4,FALSE)</f>
        <v>1110.0999999999999</v>
      </c>
      <c r="V128" s="352">
        <f t="shared" si="18"/>
        <v>0</v>
      </c>
      <c r="W128" s="86"/>
      <c r="X128" s="86"/>
      <c r="Y128" s="86"/>
      <c r="Z128" s="86"/>
      <c r="AA128" s="86"/>
      <c r="AB128" s="86"/>
      <c r="AC128" s="86"/>
      <c r="AD128" s="86"/>
      <c r="AE128" s="86"/>
      <c r="AF128" s="86"/>
      <c r="AG128" s="55">
        <f t="shared" si="29"/>
        <v>0</v>
      </c>
      <c r="AH128" s="66">
        <f>IF(OR(Kalk1!$AA$19=2,Kalk1!$AA$19=3),1,0)</f>
        <v>1</v>
      </c>
      <c r="AI128" s="55">
        <v>50</v>
      </c>
      <c r="AK128" s="55" t="s">
        <v>22079</v>
      </c>
      <c r="AP128" s="66">
        <f>IF(AND(Kalk1!$O$21&gt;0,Kalk1!$N$21="45°"),Kalk1!$O$21,0)</f>
        <v>0</v>
      </c>
      <c r="AQ128" s="55" t="s">
        <v>22089</v>
      </c>
      <c r="AT128" s="55" t="s">
        <v>22079</v>
      </c>
      <c r="AU128" s="66">
        <f>IF(Kalk1!$AI$51=AV128,1,0)</f>
        <v>0</v>
      </c>
      <c r="AV128" s="55">
        <v>1750</v>
      </c>
      <c r="AX128" s="55" t="s">
        <v>22100</v>
      </c>
      <c r="AY128" s="66">
        <f>AP128*Kalk1!$H$37</f>
        <v>0</v>
      </c>
      <c r="AZ128" s="55" t="s">
        <v>20872</v>
      </c>
    </row>
    <row r="129" spans="2:52" ht="24.95" customHeight="1">
      <c r="B129" s="93">
        <f t="shared" si="28"/>
        <v>0</v>
      </c>
      <c r="C129" s="60">
        <v>2150</v>
      </c>
      <c r="D129" s="60"/>
      <c r="E129" s="60" t="str">
        <f>VLOOKUP(1600,Sprachindex!$A:$Z,Erhebungsbogen!$Y$20,FALSE)</f>
        <v>[Stk]</v>
      </c>
      <c r="F129" s="60" t="s">
        <v>22008</v>
      </c>
      <c r="G129" s="514" t="str">
        <f>VLOOKUP(2133,Sprachindex!$A:$Z,Erhebungsbogen!$Y$20,FALSE) &amp; " ( " &amp;Preisliste!H109 &amp; " " &amp; VLOOKUP(1744,Sprachindex!$A:$Z,Erhebungsbogen!$Y$20,FALSE) &amp; ")"</f>
        <v>Rundprofil 50-Vario 45° exkl. Dichtung, gebohrt und entgratet ( 47,317 kg/Stk)</v>
      </c>
      <c r="H129" s="514"/>
      <c r="I129" s="514"/>
      <c r="J129" s="514"/>
      <c r="K129" s="514"/>
      <c r="L129" s="514"/>
      <c r="M129" s="514"/>
      <c r="N129" s="514"/>
      <c r="O129" s="514"/>
      <c r="P129" s="514"/>
      <c r="Q129" s="514"/>
      <c r="R129" s="514"/>
      <c r="S129" s="514"/>
      <c r="T129" s="514"/>
      <c r="U129" s="352">
        <f>VLOOKUP(F129,Preisliste!C:F,4,FALSE)</f>
        <v>1231.95</v>
      </c>
      <c r="V129" s="352">
        <f t="shared" si="18"/>
        <v>0</v>
      </c>
      <c r="W129" s="86"/>
      <c r="X129" s="86"/>
      <c r="Y129" s="86"/>
      <c r="Z129" s="86"/>
      <c r="AA129" s="86"/>
      <c r="AB129" s="86"/>
      <c r="AC129" s="86"/>
      <c r="AD129" s="86"/>
      <c r="AE129" s="86"/>
      <c r="AF129" s="86"/>
      <c r="AG129" s="55">
        <f t="shared" si="29"/>
        <v>0</v>
      </c>
      <c r="AH129" s="66">
        <f>IF(OR(Kalk1!$AA$19=2,Kalk1!$AA$19=3),1,0)</f>
        <v>1</v>
      </c>
      <c r="AI129" s="55">
        <v>50</v>
      </c>
      <c r="AK129" s="55" t="s">
        <v>22079</v>
      </c>
      <c r="AP129" s="66">
        <f>IF(AND(Kalk1!$O$21&gt;0,Kalk1!$N$21="45°"),Kalk1!$O$21,0)</f>
        <v>0</v>
      </c>
      <c r="AQ129" s="55" t="s">
        <v>22089</v>
      </c>
      <c r="AT129" s="55" t="s">
        <v>22079</v>
      </c>
      <c r="AU129" s="66">
        <f>IF(Kalk1!$AI$51=AV129,1,0)</f>
        <v>0</v>
      </c>
      <c r="AV129" s="55">
        <v>2150</v>
      </c>
      <c r="AX129" s="55" t="s">
        <v>22100</v>
      </c>
      <c r="AY129" s="66">
        <f>AP129*Kalk1!$H$37</f>
        <v>0</v>
      </c>
      <c r="AZ129" s="55" t="s">
        <v>20872</v>
      </c>
    </row>
    <row r="130" spans="2:52" ht="24.95" customHeight="1">
      <c r="B130" s="93">
        <f t="shared" si="28"/>
        <v>0</v>
      </c>
      <c r="C130" s="60">
        <f>IF(AG130=1,AW130,0)</f>
        <v>0</v>
      </c>
      <c r="D130" s="60"/>
      <c r="E130" s="60" t="str">
        <f>VLOOKUP(1600,Sprachindex!$A:$Z,Erhebungsbogen!$Y$20,FALSE)</f>
        <v>[Stk]</v>
      </c>
      <c r="F130" s="60" t="s">
        <v>21826</v>
      </c>
      <c r="G130" s="514" t="str">
        <f>VLOOKUP(2134,Sprachindex!$A:$Z,Erhebungsbogen!$Y$20,FALSE) &amp; " (" &amp; ROUNDUP(C130/1000*Preisliste!I110,2) &amp; " " &amp; VLOOKUP(1744,Sprachindex!$A:$Z,Erhebungsbogen!$Y$20,FALSE) &amp; ")"</f>
        <v>Rundprofil 50-Vario 45° Sonderlänge exkl. Dichtung, (Stangenware) (0 kg/Stk)</v>
      </c>
      <c r="H130" s="514"/>
      <c r="I130" s="514"/>
      <c r="J130" s="514"/>
      <c r="K130" s="514"/>
      <c r="L130" s="514"/>
      <c r="M130" s="514"/>
      <c r="N130" s="514"/>
      <c r="O130" s="514"/>
      <c r="P130" s="514"/>
      <c r="Q130" s="514"/>
      <c r="R130" s="514"/>
      <c r="S130" s="514"/>
      <c r="T130" s="514"/>
      <c r="U130" s="354">
        <f>VLOOKUP(F130,Preisliste!C:F,4,FALSE)</f>
        <v>0</v>
      </c>
      <c r="V130" s="352">
        <f>U130*C130*B130/1000</f>
        <v>0</v>
      </c>
      <c r="W130" s="86"/>
      <c r="X130" s="86"/>
      <c r="Y130" s="86"/>
      <c r="Z130" s="86"/>
      <c r="AA130" s="86"/>
      <c r="AB130" s="86"/>
      <c r="AC130" s="86"/>
      <c r="AD130" s="86"/>
      <c r="AE130" s="86"/>
      <c r="AF130" s="86"/>
      <c r="AG130" s="55">
        <f t="shared" si="29"/>
        <v>0</v>
      </c>
      <c r="AH130" s="66">
        <f>IF(OR(Kalk1!$AA$19=2,Kalk1!$AA$19=3),1,0)</f>
        <v>1</v>
      </c>
      <c r="AI130" s="55">
        <v>50</v>
      </c>
      <c r="AK130" s="55" t="s">
        <v>22079</v>
      </c>
      <c r="AP130" s="66">
        <f>IF(AND(Kalk1!$O$21&gt;0,Kalk1!$N$21="45°"),Kalk1!$O$21,0)</f>
        <v>0</v>
      </c>
      <c r="AQ130" s="55" t="s">
        <v>22089</v>
      </c>
      <c r="AT130" s="55" t="s">
        <v>22079</v>
      </c>
      <c r="AU130" s="66">
        <f>IF(Kalk1!$AH$52&gt;AV130,1,0)</f>
        <v>0</v>
      </c>
      <c r="AV130" s="55">
        <v>2150</v>
      </c>
      <c r="AW130" s="66">
        <f>Kalk1!$AH$52</f>
        <v>0</v>
      </c>
      <c r="AX130" s="55" t="s">
        <v>22100</v>
      </c>
      <c r="AY130" s="66">
        <f>AP130*Kalk1!$H$37</f>
        <v>0</v>
      </c>
      <c r="AZ130" s="55" t="s">
        <v>20872</v>
      </c>
    </row>
    <row r="131" spans="2:52" ht="24.95" customHeight="1">
      <c r="B131" s="93">
        <f t="shared" si="28"/>
        <v>0</v>
      </c>
      <c r="C131" s="60">
        <v>750</v>
      </c>
      <c r="D131" s="60"/>
      <c r="E131" s="60" t="str">
        <f>VLOOKUP(1600,Sprachindex!$A:$Z,Erhebungsbogen!$Y$20,FALSE)</f>
        <v>[Stk]</v>
      </c>
      <c r="F131" s="60" t="s">
        <v>22009</v>
      </c>
      <c r="G131" s="514" t="str">
        <f>VLOOKUP(2135,Sprachindex!$A:$Z,Erhebungsbogen!$Y$20,FALSE) &amp; " ( " &amp;Preisliste!H111 &amp; " " &amp; VLOOKUP(1744,Sprachindex!$A:$Z,Erhebungsbogen!$Y$20,FALSE) &amp; ")"</f>
        <v>Rundprofil 50-Vario 60° exkl. Dichtung, gebohrt und entgratet ( 16,516 kg/Stk)</v>
      </c>
      <c r="H131" s="514"/>
      <c r="I131" s="514"/>
      <c r="J131" s="514"/>
      <c r="K131" s="514"/>
      <c r="L131" s="514"/>
      <c r="M131" s="514"/>
      <c r="N131" s="514"/>
      <c r="O131" s="514"/>
      <c r="P131" s="514"/>
      <c r="Q131" s="514"/>
      <c r="R131" s="514"/>
      <c r="S131" s="514"/>
      <c r="T131" s="514"/>
      <c r="U131" s="352">
        <f>VLOOKUP(F131,Preisliste!C:F,4,FALSE)</f>
        <v>805.1</v>
      </c>
      <c r="V131" s="352">
        <f t="shared" ref="V131:V179" si="30">U131*B131</f>
        <v>0</v>
      </c>
      <c r="W131" s="86"/>
      <c r="X131" s="86"/>
      <c r="Y131" s="86"/>
      <c r="Z131" s="86"/>
      <c r="AA131" s="86"/>
      <c r="AB131" s="86"/>
      <c r="AC131" s="86"/>
      <c r="AD131" s="86"/>
      <c r="AE131" s="86"/>
      <c r="AF131" s="86"/>
      <c r="AG131" s="55">
        <f t="shared" si="29"/>
        <v>1</v>
      </c>
      <c r="AH131" s="66">
        <f>IF(OR(Kalk1!$AA$19=2,Kalk1!$AA$19=3),1,0)</f>
        <v>1</v>
      </c>
      <c r="AI131" s="55">
        <v>50</v>
      </c>
      <c r="AK131" s="55" t="s">
        <v>22079</v>
      </c>
      <c r="AP131" s="66">
        <f>IF(AND(Kalk1!$O$21&gt;0,Kalk1!$N$21="60°"),Kalk1!$O$21,0)</f>
        <v>0</v>
      </c>
      <c r="AQ131" s="55" t="s">
        <v>22090</v>
      </c>
      <c r="AT131" s="55" t="s">
        <v>22079</v>
      </c>
      <c r="AU131" s="66">
        <f>IF(Kalk1!$AI$51=$AV$91,1,0)</f>
        <v>1</v>
      </c>
      <c r="AV131" s="55">
        <v>750</v>
      </c>
      <c r="AX131" s="55" t="s">
        <v>22100</v>
      </c>
      <c r="AY131" s="66">
        <f>AP131*Kalk1!$H$37</f>
        <v>0</v>
      </c>
      <c r="AZ131" s="55" t="s">
        <v>20872</v>
      </c>
    </row>
    <row r="132" spans="2:52" ht="24.95" customHeight="1">
      <c r="B132" s="93">
        <f t="shared" si="28"/>
        <v>0</v>
      </c>
      <c r="C132" s="60">
        <v>1350</v>
      </c>
      <c r="D132" s="60"/>
      <c r="E132" s="60" t="str">
        <f>VLOOKUP(1600,Sprachindex!$A:$Z,Erhebungsbogen!$Y$20,FALSE)</f>
        <v>[Stk]</v>
      </c>
      <c r="F132" s="60" t="s">
        <v>22010</v>
      </c>
      <c r="G132" s="514" t="str">
        <f>VLOOKUP(2135,Sprachindex!$A:$Z,Erhebungsbogen!$Y$20,FALSE) &amp; " ( " &amp;Preisliste!H112 &amp; " " &amp; VLOOKUP(1744,Sprachindex!$A:$Z,Erhebungsbogen!$Y$20,FALSE) &amp; ")"</f>
        <v>Rundprofil 50-Vario 60° exkl. Dichtung, gebohrt und entgratet ( 29,728 kg/Stk)</v>
      </c>
      <c r="H132" s="514"/>
      <c r="I132" s="514"/>
      <c r="J132" s="514"/>
      <c r="K132" s="514"/>
      <c r="L132" s="514"/>
      <c r="M132" s="514"/>
      <c r="N132" s="514"/>
      <c r="O132" s="514"/>
      <c r="P132" s="514"/>
      <c r="Q132" s="514"/>
      <c r="R132" s="514"/>
      <c r="S132" s="514"/>
      <c r="T132" s="514"/>
      <c r="U132" s="352">
        <f>VLOOKUP(F132,Preisliste!C:F,4,FALSE)</f>
        <v>988.05</v>
      </c>
      <c r="V132" s="352">
        <f t="shared" si="30"/>
        <v>0</v>
      </c>
      <c r="W132" s="86"/>
      <c r="X132" s="86"/>
      <c r="Y132" s="86"/>
      <c r="Z132" s="86"/>
      <c r="AA132" s="86"/>
      <c r="AB132" s="86"/>
      <c r="AC132" s="86"/>
      <c r="AD132" s="86"/>
      <c r="AE132" s="86"/>
      <c r="AF132" s="86"/>
      <c r="AG132" s="55">
        <f>IF(AND(AH132=1,AP132&gt;0,AU132=1),1,0)</f>
        <v>0</v>
      </c>
      <c r="AH132" s="66">
        <f>IF(OR(Kalk1!$AA$19=2,Kalk1!$AA$19=3),1,0)</f>
        <v>1</v>
      </c>
      <c r="AI132" s="55">
        <v>50</v>
      </c>
      <c r="AK132" s="55" t="s">
        <v>22079</v>
      </c>
      <c r="AP132" s="66">
        <f>IF(AND(Kalk1!$O$21&gt;0,Kalk1!$N$21="60°"),Kalk1!$O$21,0)</f>
        <v>0</v>
      </c>
      <c r="AQ132" s="55" t="s">
        <v>22090</v>
      </c>
      <c r="AT132" s="55" t="s">
        <v>22079</v>
      </c>
      <c r="AU132" s="66">
        <f>IF(Kalk1!$AI$51=AV132,1,0)</f>
        <v>0</v>
      </c>
      <c r="AV132" s="55">
        <v>1350</v>
      </c>
      <c r="AX132" s="55" t="s">
        <v>22100</v>
      </c>
      <c r="AY132" s="66">
        <f>AP132*Kalk1!$H$37</f>
        <v>0</v>
      </c>
      <c r="AZ132" s="55" t="s">
        <v>20872</v>
      </c>
    </row>
    <row r="133" spans="2:52" ht="24.95" customHeight="1">
      <c r="B133" s="93">
        <f t="shared" si="28"/>
        <v>0</v>
      </c>
      <c r="C133" s="60">
        <v>1750</v>
      </c>
      <c r="D133" s="60"/>
      <c r="E133" s="60" t="str">
        <f>VLOOKUP(1600,Sprachindex!$A:$Z,Erhebungsbogen!$Y$20,FALSE)</f>
        <v>[Stk]</v>
      </c>
      <c r="F133" s="60" t="s">
        <v>22011</v>
      </c>
      <c r="G133" s="514" t="str">
        <f>VLOOKUP(2135,Sprachindex!$A:$Z,Erhebungsbogen!$Y$20,FALSE) &amp; " ( " &amp;Preisliste!H113 &amp; " " &amp; VLOOKUP(1744,Sprachindex!$A:$Z,Erhebungsbogen!$Y$20,FALSE) &amp; ")"</f>
        <v>Rundprofil 50-Vario 60° exkl. Dichtung, gebohrt und entgratet ( 38,537 kg/Stk)</v>
      </c>
      <c r="H133" s="514"/>
      <c r="I133" s="514"/>
      <c r="J133" s="514"/>
      <c r="K133" s="514"/>
      <c r="L133" s="514"/>
      <c r="M133" s="514"/>
      <c r="N133" s="514"/>
      <c r="O133" s="514"/>
      <c r="P133" s="514"/>
      <c r="Q133" s="514"/>
      <c r="R133" s="514"/>
      <c r="S133" s="514"/>
      <c r="T133" s="514"/>
      <c r="U133" s="352">
        <f>VLOOKUP(F133,Preisliste!C:F,4,FALSE)</f>
        <v>1110.0999999999999</v>
      </c>
      <c r="V133" s="352">
        <f t="shared" si="30"/>
        <v>0</v>
      </c>
      <c r="W133" s="86"/>
      <c r="X133" s="86"/>
      <c r="Y133" s="86"/>
      <c r="Z133" s="86"/>
      <c r="AA133" s="86"/>
      <c r="AB133" s="86"/>
      <c r="AC133" s="86"/>
      <c r="AD133" s="86"/>
      <c r="AE133" s="86"/>
      <c r="AF133" s="86"/>
      <c r="AG133" s="55">
        <f t="shared" si="29"/>
        <v>0</v>
      </c>
      <c r="AH133" s="66">
        <f>IF(OR(Kalk1!$AA$19=2,Kalk1!$AA$19=3),1,0)</f>
        <v>1</v>
      </c>
      <c r="AI133" s="55">
        <v>50</v>
      </c>
      <c r="AK133" s="55" t="s">
        <v>22079</v>
      </c>
      <c r="AP133" s="66">
        <f>IF(AND(Kalk1!$O$21&gt;0,Kalk1!$N$21="60°"),Kalk1!$O$21,0)</f>
        <v>0</v>
      </c>
      <c r="AQ133" s="55" t="s">
        <v>22090</v>
      </c>
      <c r="AT133" s="55" t="s">
        <v>22079</v>
      </c>
      <c r="AU133" s="66">
        <f>IF(Kalk1!$AI$51=AV133,1,0)</f>
        <v>0</v>
      </c>
      <c r="AV133" s="55">
        <v>1750</v>
      </c>
      <c r="AX133" s="55" t="s">
        <v>22100</v>
      </c>
      <c r="AY133" s="66">
        <f>AP133*Kalk1!$H$37</f>
        <v>0</v>
      </c>
      <c r="AZ133" s="55" t="s">
        <v>20872</v>
      </c>
    </row>
    <row r="134" spans="2:52" ht="24.95" customHeight="1">
      <c r="B134" s="93">
        <f t="shared" si="28"/>
        <v>0</v>
      </c>
      <c r="C134" s="60">
        <v>2150</v>
      </c>
      <c r="D134" s="60"/>
      <c r="E134" s="60" t="str">
        <f>VLOOKUP(1600,Sprachindex!$A:$Z,Erhebungsbogen!$Y$20,FALSE)</f>
        <v>[Stk]</v>
      </c>
      <c r="F134" s="60" t="s">
        <v>22012</v>
      </c>
      <c r="G134" s="514" t="str">
        <f>VLOOKUP(2135,Sprachindex!$A:$Z,Erhebungsbogen!$Y$20,FALSE) &amp; " ( " &amp;Preisliste!H114 &amp; " " &amp; VLOOKUP(1744,Sprachindex!$A:$Z,Erhebungsbogen!$Y$20,FALSE) &amp; ")"</f>
        <v>Rundprofil 50-Vario 60° exkl. Dichtung, gebohrt und entgratet ( 47,345 kg/Stk)</v>
      </c>
      <c r="H134" s="514"/>
      <c r="I134" s="514"/>
      <c r="J134" s="514"/>
      <c r="K134" s="514"/>
      <c r="L134" s="514"/>
      <c r="M134" s="514"/>
      <c r="N134" s="514"/>
      <c r="O134" s="514"/>
      <c r="P134" s="514"/>
      <c r="Q134" s="514"/>
      <c r="R134" s="514"/>
      <c r="S134" s="514"/>
      <c r="T134" s="514"/>
      <c r="U134" s="352">
        <f>VLOOKUP(F134,Preisliste!C:F,4,FALSE)</f>
        <v>1231.95</v>
      </c>
      <c r="V134" s="352">
        <f t="shared" si="30"/>
        <v>0</v>
      </c>
      <c r="W134" s="86"/>
      <c r="X134" s="86"/>
      <c r="Y134" s="86"/>
      <c r="Z134" s="86"/>
      <c r="AA134" s="86"/>
      <c r="AB134" s="86"/>
      <c r="AC134" s="86"/>
      <c r="AD134" s="86"/>
      <c r="AE134" s="86"/>
      <c r="AF134" s="86"/>
      <c r="AG134" s="55">
        <f t="shared" si="29"/>
        <v>0</v>
      </c>
      <c r="AH134" s="66">
        <f>IF(OR(Kalk1!$AA$19=2,Kalk1!$AA$19=3),1,0)</f>
        <v>1</v>
      </c>
      <c r="AI134" s="55">
        <v>50</v>
      </c>
      <c r="AK134" s="55" t="s">
        <v>22079</v>
      </c>
      <c r="AP134" s="66">
        <f>IF(AND(Kalk1!$O$21&gt;0,Kalk1!$N$21="60°"),Kalk1!$O$21,0)</f>
        <v>0</v>
      </c>
      <c r="AQ134" s="55" t="s">
        <v>22090</v>
      </c>
      <c r="AT134" s="55" t="s">
        <v>22079</v>
      </c>
      <c r="AU134" s="66">
        <f>IF(Kalk1!$AI$51=AV134,1,0)</f>
        <v>0</v>
      </c>
      <c r="AV134" s="55">
        <v>2150</v>
      </c>
      <c r="AX134" s="55" t="s">
        <v>22100</v>
      </c>
      <c r="AY134" s="66">
        <f>AP134*Kalk1!$H$37</f>
        <v>0</v>
      </c>
      <c r="AZ134" s="55" t="s">
        <v>20872</v>
      </c>
    </row>
    <row r="135" spans="2:52" ht="24.95" customHeight="1">
      <c r="B135" s="93">
        <f t="shared" si="28"/>
        <v>0</v>
      </c>
      <c r="C135" s="60">
        <f>IF(AG135=1,AW135,0)</f>
        <v>0</v>
      </c>
      <c r="D135" s="60"/>
      <c r="E135" s="60" t="str">
        <f>VLOOKUP(1600,Sprachindex!$A:$Z,Erhebungsbogen!$Y$20,FALSE)</f>
        <v>[Stk]</v>
      </c>
      <c r="F135" s="60" t="s">
        <v>21826</v>
      </c>
      <c r="G135" s="514" t="str">
        <f>VLOOKUP(2136,Sprachindex!$A:$Z,Erhebungsbogen!$Y$20,FALSE) &amp; " (" &amp; ROUNDUP(C135/1000*Preisliste!I115,2) &amp; " " &amp; VLOOKUP(1744,Sprachindex!$A:$Z,Erhebungsbogen!$Y$20,FALSE) &amp; ")"</f>
        <v>Rundprofil 50-Vario 60° Sonderlänge exkl. Dichtung, (Stangenware) (0 kg/Stk)</v>
      </c>
      <c r="H135" s="514"/>
      <c r="I135" s="514"/>
      <c r="J135" s="514"/>
      <c r="K135" s="514"/>
      <c r="L135" s="514"/>
      <c r="M135" s="514"/>
      <c r="N135" s="514"/>
      <c r="O135" s="514"/>
      <c r="P135" s="514"/>
      <c r="Q135" s="514"/>
      <c r="R135" s="514"/>
      <c r="S135" s="514"/>
      <c r="T135" s="514"/>
      <c r="U135" s="354">
        <f>VLOOKUP(F135,Preisliste!C:F,4,FALSE)</f>
        <v>0</v>
      </c>
      <c r="V135" s="352">
        <f>U135*C135*B135/1000</f>
        <v>0</v>
      </c>
      <c r="W135" s="86"/>
      <c r="X135" s="86"/>
      <c r="Y135" s="86"/>
      <c r="Z135" s="86"/>
      <c r="AA135" s="86"/>
      <c r="AB135" s="86"/>
      <c r="AC135" s="86"/>
      <c r="AD135" s="86"/>
      <c r="AE135" s="86"/>
      <c r="AF135" s="86"/>
      <c r="AG135" s="55">
        <f t="shared" si="29"/>
        <v>0</v>
      </c>
      <c r="AH135" s="66">
        <f>IF(OR(Kalk1!$AA$19=2,Kalk1!$AA$19=3),1,0)</f>
        <v>1</v>
      </c>
      <c r="AI135" s="55">
        <v>50</v>
      </c>
      <c r="AK135" s="55" t="s">
        <v>22079</v>
      </c>
      <c r="AP135" s="66">
        <f>IF(AND(Kalk1!$O$21&gt;0,Kalk1!$N$21="60°"),Kalk1!$O$21,0)</f>
        <v>0</v>
      </c>
      <c r="AQ135" s="55" t="s">
        <v>22090</v>
      </c>
      <c r="AT135" s="55" t="s">
        <v>22079</v>
      </c>
      <c r="AU135" s="66">
        <f>IF(Kalk1!$AH$52&gt;AV135,1,0)</f>
        <v>0</v>
      </c>
      <c r="AV135" s="55">
        <v>2150</v>
      </c>
      <c r="AW135" s="66">
        <f>Kalk1!$AH$52</f>
        <v>0</v>
      </c>
      <c r="AX135" s="55" t="s">
        <v>22100</v>
      </c>
      <c r="AY135" s="66">
        <f>AP135*Kalk1!$H$37</f>
        <v>0</v>
      </c>
      <c r="AZ135" s="55" t="s">
        <v>20872</v>
      </c>
    </row>
    <row r="136" spans="2:52" ht="24.95" customHeight="1">
      <c r="B136" s="93">
        <f t="shared" si="28"/>
        <v>0</v>
      </c>
      <c r="C136" s="60">
        <v>750</v>
      </c>
      <c r="D136" s="60"/>
      <c r="E136" s="60" t="str">
        <f>VLOOKUP(1600,Sprachindex!$A:$Z,Erhebungsbogen!$Y$20,FALSE)</f>
        <v>[Stk]</v>
      </c>
      <c r="F136" s="60" t="s">
        <v>22013</v>
      </c>
      <c r="G136" s="514" t="str">
        <f>VLOOKUP(2137,Sprachindex!$A:$Z,Erhebungsbogen!$Y$20,FALSE) &amp; " ( " &amp;Preisliste!H116 &amp; " " &amp; VLOOKUP(1744,Sprachindex!$A:$Z,Erhebungsbogen!$Y$20,FALSE) &amp; ")"</f>
        <v>Rundprofil 50-Vario 75° exkl. Dichtung, gebohrt und entgratet ( 15,726 kg/Stk)</v>
      </c>
      <c r="H136" s="514"/>
      <c r="I136" s="514"/>
      <c r="J136" s="514"/>
      <c r="K136" s="514"/>
      <c r="L136" s="514"/>
      <c r="M136" s="514"/>
      <c r="N136" s="514"/>
      <c r="O136" s="514"/>
      <c r="P136" s="514"/>
      <c r="Q136" s="514"/>
      <c r="R136" s="514"/>
      <c r="S136" s="514"/>
      <c r="T136" s="514"/>
      <c r="U136" s="352">
        <f>VLOOKUP(F136,Preisliste!C:F,4,FALSE)</f>
        <v>805.1</v>
      </c>
      <c r="V136" s="352">
        <f t="shared" si="30"/>
        <v>0</v>
      </c>
      <c r="W136" s="86"/>
      <c r="X136" s="86"/>
      <c r="Y136" s="86"/>
      <c r="Z136" s="86"/>
      <c r="AA136" s="86"/>
      <c r="AB136" s="86"/>
      <c r="AC136" s="86"/>
      <c r="AD136" s="86"/>
      <c r="AE136" s="86"/>
      <c r="AF136" s="86"/>
      <c r="AG136" s="55">
        <f t="shared" si="29"/>
        <v>1</v>
      </c>
      <c r="AH136" s="66">
        <f>IF(OR(Kalk1!$AA$19=2,Kalk1!$AA$19=3),1,0)</f>
        <v>1</v>
      </c>
      <c r="AI136" s="55">
        <v>50</v>
      </c>
      <c r="AK136" s="55" t="s">
        <v>22079</v>
      </c>
      <c r="AP136" s="66">
        <f>IF(AND(Kalk1!$O$21&gt;0,Kalk1!$N$21="75°"),Kalk1!$O$21,0)</f>
        <v>0</v>
      </c>
      <c r="AQ136" s="55" t="s">
        <v>22091</v>
      </c>
      <c r="AT136" s="55" t="s">
        <v>22079</v>
      </c>
      <c r="AU136" s="66">
        <f>IF(Kalk1!$AI$51=$AV$91,1,0)</f>
        <v>1</v>
      </c>
      <c r="AV136" s="55">
        <v>750</v>
      </c>
      <c r="AX136" s="55" t="s">
        <v>22100</v>
      </c>
      <c r="AY136" s="66">
        <f>AP136*Kalk1!$H$37</f>
        <v>0</v>
      </c>
      <c r="AZ136" s="55" t="s">
        <v>20872</v>
      </c>
    </row>
    <row r="137" spans="2:52" ht="24.95" customHeight="1">
      <c r="B137" s="93">
        <f t="shared" si="28"/>
        <v>0</v>
      </c>
      <c r="C137" s="60">
        <v>1350</v>
      </c>
      <c r="D137" s="60"/>
      <c r="E137" s="60" t="str">
        <f>VLOOKUP(1600,Sprachindex!$A:$Z,Erhebungsbogen!$Y$20,FALSE)</f>
        <v>[Stk]</v>
      </c>
      <c r="F137" s="60" t="s">
        <v>22014</v>
      </c>
      <c r="G137" s="514" t="str">
        <f>VLOOKUP(2137,Sprachindex!$A:$Z,Erhebungsbogen!$Y$20,FALSE) &amp; " ( " &amp;Preisliste!H117 &amp; " " &amp; VLOOKUP(1744,Sprachindex!$A:$Z,Erhebungsbogen!$Y$20,FALSE) &amp; ")"</f>
        <v>Rundprofil 50-Vario 75° exkl. Dichtung, gebohrt und entgratet ( 28,307 kg/Stk)</v>
      </c>
      <c r="H137" s="514"/>
      <c r="I137" s="514"/>
      <c r="J137" s="514"/>
      <c r="K137" s="514"/>
      <c r="L137" s="514"/>
      <c r="M137" s="514"/>
      <c r="N137" s="514"/>
      <c r="O137" s="514"/>
      <c r="P137" s="514"/>
      <c r="Q137" s="514"/>
      <c r="R137" s="514"/>
      <c r="S137" s="514"/>
      <c r="T137" s="514"/>
      <c r="U137" s="352">
        <f>VLOOKUP(F137,Preisliste!C:F,4,FALSE)</f>
        <v>988.05</v>
      </c>
      <c r="V137" s="352">
        <f t="shared" si="30"/>
        <v>0</v>
      </c>
      <c r="W137" s="86"/>
      <c r="X137" s="86"/>
      <c r="Y137" s="86"/>
      <c r="Z137" s="86"/>
      <c r="AA137" s="86"/>
      <c r="AB137" s="86"/>
      <c r="AC137" s="86"/>
      <c r="AD137" s="86"/>
      <c r="AE137" s="86"/>
      <c r="AF137" s="86"/>
      <c r="AG137" s="55">
        <f>IF(AND(AH137=1,AP137&gt;0,AU137=1),1,0)</f>
        <v>0</v>
      </c>
      <c r="AH137" s="66">
        <f>IF(OR(Kalk1!$AA$19=2,Kalk1!$AA$19=3),1,0)</f>
        <v>1</v>
      </c>
      <c r="AI137" s="55">
        <v>50</v>
      </c>
      <c r="AK137" s="55" t="s">
        <v>22079</v>
      </c>
      <c r="AP137" s="66">
        <f>IF(AND(Kalk1!$O$21&gt;0,Kalk1!$N$21="75°"),Kalk1!$O$21,0)</f>
        <v>0</v>
      </c>
      <c r="AQ137" s="55" t="s">
        <v>22091</v>
      </c>
      <c r="AT137" s="55" t="s">
        <v>22079</v>
      </c>
      <c r="AU137" s="66">
        <f>IF(Kalk1!$AI$51=AV137,1,0)</f>
        <v>0</v>
      </c>
      <c r="AV137" s="55">
        <v>1350</v>
      </c>
      <c r="AX137" s="55" t="s">
        <v>22100</v>
      </c>
      <c r="AY137" s="66">
        <f>AP137*Kalk1!$H$37</f>
        <v>0</v>
      </c>
      <c r="AZ137" s="55" t="s">
        <v>20872</v>
      </c>
    </row>
    <row r="138" spans="2:52" ht="24.95" customHeight="1">
      <c r="B138" s="93">
        <f t="shared" si="28"/>
        <v>0</v>
      </c>
      <c r="C138" s="60">
        <v>1750</v>
      </c>
      <c r="D138" s="60"/>
      <c r="E138" s="60" t="str">
        <f>VLOOKUP(1600,Sprachindex!$A:$Z,Erhebungsbogen!$Y$20,FALSE)</f>
        <v>[Stk]</v>
      </c>
      <c r="F138" s="60" t="s">
        <v>22015</v>
      </c>
      <c r="G138" s="514" t="str">
        <f>VLOOKUP(2137,Sprachindex!$A:$Z,Erhebungsbogen!$Y$20,FALSE) &amp; " ( " &amp;Preisliste!H118 &amp; " " &amp; VLOOKUP(1744,Sprachindex!$A:$Z,Erhebungsbogen!$Y$20,FALSE) &amp; ")"</f>
        <v>Rundprofil 50-Vario 75° exkl. Dichtung, gebohrt und entgratet ( 36,694 kg/Stk)</v>
      </c>
      <c r="H138" s="514"/>
      <c r="I138" s="514"/>
      <c r="J138" s="514"/>
      <c r="K138" s="514"/>
      <c r="L138" s="514"/>
      <c r="M138" s="514"/>
      <c r="N138" s="514"/>
      <c r="O138" s="514"/>
      <c r="P138" s="514"/>
      <c r="Q138" s="514"/>
      <c r="R138" s="514"/>
      <c r="S138" s="514"/>
      <c r="T138" s="514"/>
      <c r="U138" s="352">
        <f>VLOOKUP(F138,Preisliste!C:F,4,FALSE)</f>
        <v>1110.0999999999999</v>
      </c>
      <c r="V138" s="352">
        <f t="shared" si="30"/>
        <v>0</v>
      </c>
      <c r="W138" s="86"/>
      <c r="X138" s="86"/>
      <c r="Y138" s="86"/>
      <c r="Z138" s="86"/>
      <c r="AA138" s="86"/>
      <c r="AB138" s="86"/>
      <c r="AC138" s="86"/>
      <c r="AD138" s="86"/>
      <c r="AE138" s="86"/>
      <c r="AF138" s="86"/>
      <c r="AG138" s="55">
        <f t="shared" si="29"/>
        <v>0</v>
      </c>
      <c r="AH138" s="66">
        <f>IF(OR(Kalk1!$AA$19=2,Kalk1!$AA$19=3),1,0)</f>
        <v>1</v>
      </c>
      <c r="AI138" s="55">
        <v>50</v>
      </c>
      <c r="AK138" s="55" t="s">
        <v>22079</v>
      </c>
      <c r="AP138" s="66">
        <f>IF(AND(Kalk1!$O$21&gt;0,Kalk1!$N$21="75°"),Kalk1!$O$21,0)</f>
        <v>0</v>
      </c>
      <c r="AQ138" s="55" t="s">
        <v>22091</v>
      </c>
      <c r="AT138" s="55" t="s">
        <v>22079</v>
      </c>
      <c r="AU138" s="66">
        <f>IF(Kalk1!$AI$51=AV138,1,0)</f>
        <v>0</v>
      </c>
      <c r="AV138" s="55">
        <v>1750</v>
      </c>
      <c r="AX138" s="55" t="s">
        <v>22100</v>
      </c>
      <c r="AY138" s="66">
        <f>AP138*Kalk1!$H$37</f>
        <v>0</v>
      </c>
      <c r="AZ138" s="55" t="s">
        <v>20872</v>
      </c>
    </row>
    <row r="139" spans="2:52" ht="24.95" customHeight="1">
      <c r="B139" s="93">
        <f t="shared" si="28"/>
        <v>0</v>
      </c>
      <c r="C139" s="60">
        <v>2150</v>
      </c>
      <c r="D139" s="60"/>
      <c r="E139" s="60" t="str">
        <f>VLOOKUP(1600,Sprachindex!$A:$Z,Erhebungsbogen!$Y$20,FALSE)</f>
        <v>[Stk]</v>
      </c>
      <c r="F139" s="60" t="s">
        <v>22016</v>
      </c>
      <c r="G139" s="514" t="str">
        <f>VLOOKUP(2137,Sprachindex!$A:$Z,Erhebungsbogen!$Y$20,FALSE) &amp; " ( " &amp;Preisliste!H119 &amp; " " &amp; VLOOKUP(1744,Sprachindex!$A:$Z,Erhebungsbogen!$Y$20,FALSE) &amp; ")"</f>
        <v>Rundprofil 50-Vario 75° exkl. Dichtung, gebohrt und entgratet ( 45,081 kg/Stk)</v>
      </c>
      <c r="H139" s="514"/>
      <c r="I139" s="514"/>
      <c r="J139" s="514"/>
      <c r="K139" s="514"/>
      <c r="L139" s="514"/>
      <c r="M139" s="514"/>
      <c r="N139" s="514"/>
      <c r="O139" s="514"/>
      <c r="P139" s="514"/>
      <c r="Q139" s="514"/>
      <c r="R139" s="514"/>
      <c r="S139" s="514"/>
      <c r="T139" s="514"/>
      <c r="U139" s="352">
        <f>VLOOKUP(F139,Preisliste!C:F,4,FALSE)</f>
        <v>1231.95</v>
      </c>
      <c r="V139" s="352">
        <f t="shared" si="30"/>
        <v>0</v>
      </c>
      <c r="W139" s="86"/>
      <c r="X139" s="86"/>
      <c r="Y139" s="86"/>
      <c r="Z139" s="86"/>
      <c r="AA139" s="86"/>
      <c r="AB139" s="86"/>
      <c r="AC139" s="86"/>
      <c r="AD139" s="86"/>
      <c r="AE139" s="86"/>
      <c r="AF139" s="86"/>
      <c r="AG139" s="55">
        <f t="shared" si="29"/>
        <v>0</v>
      </c>
      <c r="AH139" s="66">
        <f>IF(OR(Kalk1!$AA$19=2,Kalk1!$AA$19=3),1,0)</f>
        <v>1</v>
      </c>
      <c r="AI139" s="55">
        <v>50</v>
      </c>
      <c r="AK139" s="55" t="s">
        <v>22079</v>
      </c>
      <c r="AP139" s="66">
        <f>IF(AND(Kalk1!$O$21&gt;0,Kalk1!$N$21="75°"),Kalk1!$O$21,0)</f>
        <v>0</v>
      </c>
      <c r="AQ139" s="55" t="s">
        <v>22091</v>
      </c>
      <c r="AT139" s="55" t="s">
        <v>22079</v>
      </c>
      <c r="AU139" s="66">
        <f>IF(Kalk1!$AI$51=AV139,1,0)</f>
        <v>0</v>
      </c>
      <c r="AV139" s="55">
        <v>2150</v>
      </c>
      <c r="AX139" s="55" t="s">
        <v>22100</v>
      </c>
      <c r="AY139" s="66">
        <f>AP139*Kalk1!$H$37</f>
        <v>0</v>
      </c>
      <c r="AZ139" s="55" t="s">
        <v>20872</v>
      </c>
    </row>
    <row r="140" spans="2:52" ht="24.95" customHeight="1">
      <c r="B140" s="93">
        <f t="shared" si="28"/>
        <v>0</v>
      </c>
      <c r="C140" s="60">
        <f>IF(AG140=1,AW140,0)</f>
        <v>0</v>
      </c>
      <c r="D140" s="60"/>
      <c r="E140" s="60" t="str">
        <f>VLOOKUP(1600,Sprachindex!$A:$Z,Erhebungsbogen!$Y$20,FALSE)</f>
        <v>[Stk]</v>
      </c>
      <c r="F140" s="60" t="s">
        <v>21826</v>
      </c>
      <c r="G140" s="514" t="str">
        <f>VLOOKUP(2138,Sprachindex!$A:$Z,Erhebungsbogen!$Y$20,FALSE) &amp; " (" &amp; ROUNDUP(C140/1000*Preisliste!I120,2) &amp; " " &amp; VLOOKUP(1744,Sprachindex!$A:$Z,Erhebungsbogen!$Y$20,FALSE) &amp; ")"</f>
        <v>Rundprofil 50-Vario 75° Sonderlänge exkl. Dichtung, (Stangenware) (0 kg/Stk)</v>
      </c>
      <c r="H140" s="514"/>
      <c r="I140" s="514"/>
      <c r="J140" s="514"/>
      <c r="K140" s="514"/>
      <c r="L140" s="514"/>
      <c r="M140" s="514"/>
      <c r="N140" s="514"/>
      <c r="O140" s="514"/>
      <c r="P140" s="514"/>
      <c r="Q140" s="514"/>
      <c r="R140" s="514"/>
      <c r="S140" s="514"/>
      <c r="T140" s="514"/>
      <c r="U140" s="354">
        <f>VLOOKUP(F140,Preisliste!C:F,4,FALSE)</f>
        <v>0</v>
      </c>
      <c r="V140" s="352">
        <f>U140*C140*B140/1000</f>
        <v>0</v>
      </c>
      <c r="W140" s="86"/>
      <c r="X140" s="86"/>
      <c r="Y140" s="86"/>
      <c r="Z140" s="86"/>
      <c r="AA140" s="86"/>
      <c r="AB140" s="86"/>
      <c r="AC140" s="86"/>
      <c r="AD140" s="86"/>
      <c r="AE140" s="86"/>
      <c r="AF140" s="86"/>
      <c r="AG140" s="55">
        <f t="shared" si="29"/>
        <v>0</v>
      </c>
      <c r="AH140" s="66">
        <f>IF(OR(Kalk1!$AA$19=2,Kalk1!$AA$19=3),1,0)</f>
        <v>1</v>
      </c>
      <c r="AI140" s="55">
        <v>50</v>
      </c>
      <c r="AK140" s="55" t="s">
        <v>22079</v>
      </c>
      <c r="AP140" s="66">
        <f>IF(AND(Kalk1!$O$21&gt;0,Kalk1!$N$21="75°"),Kalk1!$O$21,0)</f>
        <v>0</v>
      </c>
      <c r="AQ140" s="55" t="s">
        <v>22091</v>
      </c>
      <c r="AT140" s="55" t="s">
        <v>22079</v>
      </c>
      <c r="AU140" s="66">
        <f>IF(Kalk1!$AH$52&gt;AV140,1,0)</f>
        <v>0</v>
      </c>
      <c r="AV140" s="55">
        <v>2150</v>
      </c>
      <c r="AW140" s="66">
        <f>Kalk1!$AH$52</f>
        <v>0</v>
      </c>
      <c r="AX140" s="55" t="s">
        <v>22100</v>
      </c>
      <c r="AY140" s="66">
        <f>AP140*Kalk1!$H$37</f>
        <v>0</v>
      </c>
      <c r="AZ140" s="55" t="s">
        <v>20872</v>
      </c>
    </row>
    <row r="141" spans="2:52" ht="24.95" customHeight="1">
      <c r="B141" s="93">
        <f t="shared" si="28"/>
        <v>0</v>
      </c>
      <c r="C141" s="60">
        <v>750</v>
      </c>
      <c r="D141" s="60"/>
      <c r="E141" s="60" t="str">
        <f>VLOOKUP(1600,Sprachindex!$A:$Z,Erhebungsbogen!$Y$20,FALSE)</f>
        <v>[Stk]</v>
      </c>
      <c r="F141" s="60" t="s">
        <v>21930</v>
      </c>
      <c r="G141" s="514" t="str">
        <f>VLOOKUP(2139,Sprachindex!$A:$Z,Erhebungsbogen!$Y$20,FALSE) &amp; " ( " &amp;Preisliste!H121 &amp; " " &amp; VLOOKUP(1744,Sprachindex!$A:$Z,Erhebungsbogen!$Y$20,FALSE) &amp; ")"</f>
        <v>Rundprofil 80-Vario 15° exkl. Dichtung, gebohrt und entgratet ( 14,244 kg/Stk)</v>
      </c>
      <c r="H141" s="514"/>
      <c r="I141" s="514"/>
      <c r="J141" s="514"/>
      <c r="K141" s="514"/>
      <c r="L141" s="514"/>
      <c r="M141" s="514"/>
      <c r="N141" s="514"/>
      <c r="O141" s="514"/>
      <c r="P141" s="514"/>
      <c r="Q141" s="514"/>
      <c r="R141" s="514"/>
      <c r="S141" s="514"/>
      <c r="T141" s="514"/>
      <c r="U141" s="352">
        <f>VLOOKUP(F141,Preisliste!C:F,4,FALSE)</f>
        <v>628.54999999999995</v>
      </c>
      <c r="V141" s="352">
        <f t="shared" si="30"/>
        <v>0</v>
      </c>
      <c r="W141" s="86"/>
      <c r="X141" s="86"/>
      <c r="Y141" s="86"/>
      <c r="Z141" s="86"/>
      <c r="AA141" s="86"/>
      <c r="AB141" s="86"/>
      <c r="AC141" s="86"/>
      <c r="AD141" s="86"/>
      <c r="AE141" s="86"/>
      <c r="AF141" s="86"/>
      <c r="AG141" s="55">
        <f t="shared" si="29"/>
        <v>0</v>
      </c>
      <c r="AH141" s="66">
        <f>IF(Kalk1!$AA$19=4,1,0)</f>
        <v>0</v>
      </c>
      <c r="AI141" s="55">
        <v>80</v>
      </c>
      <c r="AK141" s="55" t="s">
        <v>22079</v>
      </c>
      <c r="AP141" s="66">
        <f>IF(AND(Kalk1!$O$21&gt;0,Kalk1!$N$21="15°"),Kalk1!$O$21,0)</f>
        <v>0</v>
      </c>
      <c r="AQ141" s="55" t="s">
        <v>22087</v>
      </c>
      <c r="AT141" s="55" t="s">
        <v>22079</v>
      </c>
      <c r="AU141" s="66">
        <f>IF(Kalk1!$AI$51=$AV$91,1,0)</f>
        <v>1</v>
      </c>
      <c r="AV141" s="55">
        <v>750</v>
      </c>
      <c r="AX141" s="55" t="s">
        <v>22100</v>
      </c>
      <c r="AY141" s="66">
        <f>AP141*Kalk1!$H$37</f>
        <v>0</v>
      </c>
      <c r="AZ141" s="55" t="s">
        <v>20872</v>
      </c>
    </row>
    <row r="142" spans="2:52" ht="24.95" customHeight="1">
      <c r="B142" s="93">
        <f t="shared" si="28"/>
        <v>0</v>
      </c>
      <c r="C142" s="60">
        <v>1350</v>
      </c>
      <c r="D142" s="60"/>
      <c r="E142" s="60" t="str">
        <f>VLOOKUP(1600,Sprachindex!$A:$Z,Erhebungsbogen!$Y$20,FALSE)</f>
        <v>[Stk]</v>
      </c>
      <c r="F142" s="60" t="s">
        <v>21931</v>
      </c>
      <c r="G142" s="514" t="str">
        <f>VLOOKUP(2139,Sprachindex!$A:$Z,Erhebungsbogen!$Y$20,FALSE) &amp; " ( " &amp;Preisliste!H122 &amp; " " &amp; VLOOKUP(1744,Sprachindex!$A:$Z,Erhebungsbogen!$Y$20,FALSE) &amp; ")"</f>
        <v>Rundprofil 80-Vario 15° exkl. Dichtung, gebohrt und entgratet ( 25,639 kg/Stk)</v>
      </c>
      <c r="H142" s="514"/>
      <c r="I142" s="514"/>
      <c r="J142" s="514"/>
      <c r="K142" s="514"/>
      <c r="L142" s="514"/>
      <c r="M142" s="514"/>
      <c r="N142" s="514"/>
      <c r="O142" s="514"/>
      <c r="P142" s="514"/>
      <c r="Q142" s="514"/>
      <c r="R142" s="514"/>
      <c r="S142" s="514"/>
      <c r="T142" s="514"/>
      <c r="U142" s="352">
        <f>VLOOKUP(F142,Preisliste!C:F,4,FALSE)</f>
        <v>814.15</v>
      </c>
      <c r="V142" s="352">
        <f t="shared" si="30"/>
        <v>0</v>
      </c>
      <c r="W142" s="86"/>
      <c r="X142" s="86"/>
      <c r="Y142" s="86"/>
      <c r="Z142" s="86"/>
      <c r="AA142" s="86"/>
      <c r="AB142" s="86"/>
      <c r="AC142" s="86"/>
      <c r="AD142" s="86"/>
      <c r="AE142" s="86"/>
      <c r="AF142" s="86"/>
      <c r="AG142" s="55">
        <f t="shared" si="29"/>
        <v>0</v>
      </c>
      <c r="AH142" s="66">
        <f>IF(Kalk1!$AA$19=4,1,0)</f>
        <v>0</v>
      </c>
      <c r="AI142" s="55">
        <v>80</v>
      </c>
      <c r="AK142" s="55" t="s">
        <v>22079</v>
      </c>
      <c r="AP142" s="66">
        <f>IF(AND(Kalk1!$O$21&gt;0,Kalk1!$N$21="15°"),Kalk1!$O$21,0)</f>
        <v>0</v>
      </c>
      <c r="AQ142" s="55" t="s">
        <v>22087</v>
      </c>
      <c r="AT142" s="55" t="s">
        <v>22079</v>
      </c>
      <c r="AU142" s="66">
        <f>IF(Kalk1!$AI$51=AV142,1,0)</f>
        <v>0</v>
      </c>
      <c r="AV142" s="55">
        <v>1350</v>
      </c>
      <c r="AX142" s="55" t="s">
        <v>22100</v>
      </c>
      <c r="AY142" s="66">
        <f>AP142*Kalk1!$H$37</f>
        <v>0</v>
      </c>
      <c r="AZ142" s="55" t="s">
        <v>20872</v>
      </c>
    </row>
    <row r="143" spans="2:52" ht="24.95" customHeight="1">
      <c r="B143" s="93">
        <f t="shared" si="28"/>
        <v>0</v>
      </c>
      <c r="C143" s="60">
        <v>1750</v>
      </c>
      <c r="D143" s="60"/>
      <c r="E143" s="60" t="str">
        <f>VLOOKUP(1600,Sprachindex!$A:$Z,Erhebungsbogen!$Y$20,FALSE)</f>
        <v>[Stk]</v>
      </c>
      <c r="F143" s="60" t="s">
        <v>21932</v>
      </c>
      <c r="G143" s="514" t="str">
        <f>VLOOKUP(2139,Sprachindex!$A:$Z,Erhebungsbogen!$Y$20,FALSE) &amp; " ( " &amp;Preisliste!H123 &amp; " " &amp; VLOOKUP(1744,Sprachindex!$A:$Z,Erhebungsbogen!$Y$20,FALSE) &amp; ")"</f>
        <v>Rundprofil 80-Vario 15° exkl. Dichtung, gebohrt und entgratet ( 33,236 kg/Stk)</v>
      </c>
      <c r="H143" s="514"/>
      <c r="I143" s="514"/>
      <c r="J143" s="514"/>
      <c r="K143" s="514"/>
      <c r="L143" s="514"/>
      <c r="M143" s="514"/>
      <c r="N143" s="514"/>
      <c r="O143" s="514"/>
      <c r="P143" s="514"/>
      <c r="Q143" s="514"/>
      <c r="R143" s="514"/>
      <c r="S143" s="514"/>
      <c r="T143" s="514"/>
      <c r="U143" s="352">
        <f>VLOOKUP(F143,Preisliste!C:F,4,FALSE)</f>
        <v>937.8</v>
      </c>
      <c r="V143" s="352">
        <f t="shared" si="30"/>
        <v>0</v>
      </c>
      <c r="W143" s="86"/>
      <c r="X143" s="86"/>
      <c r="Y143" s="86"/>
      <c r="Z143" s="86"/>
      <c r="AA143" s="86"/>
      <c r="AB143" s="86"/>
      <c r="AC143" s="86"/>
      <c r="AD143" s="86"/>
      <c r="AE143" s="86"/>
      <c r="AF143" s="86"/>
      <c r="AG143" s="55">
        <f t="shared" si="29"/>
        <v>0</v>
      </c>
      <c r="AH143" s="66">
        <f>IF(Kalk1!$AA$19=4,1,0)</f>
        <v>0</v>
      </c>
      <c r="AI143" s="55">
        <v>80</v>
      </c>
      <c r="AK143" s="55" t="s">
        <v>22079</v>
      </c>
      <c r="AP143" s="66">
        <f>IF(AND(Kalk1!$O$21&gt;0,Kalk1!$N$21="15°"),Kalk1!$O$21,0)</f>
        <v>0</v>
      </c>
      <c r="AQ143" s="55" t="s">
        <v>22087</v>
      </c>
      <c r="AT143" s="55" t="s">
        <v>22079</v>
      </c>
      <c r="AU143" s="66">
        <f>IF(Kalk1!$AI$51=AV143,1,0)</f>
        <v>0</v>
      </c>
      <c r="AV143" s="55">
        <v>1750</v>
      </c>
      <c r="AX143" s="55" t="s">
        <v>22100</v>
      </c>
      <c r="AY143" s="66">
        <f>AP143*Kalk1!$H$37</f>
        <v>0</v>
      </c>
      <c r="AZ143" s="55" t="s">
        <v>20872</v>
      </c>
    </row>
    <row r="144" spans="2:52" ht="24.95" customHeight="1">
      <c r="B144" s="93">
        <f t="shared" si="28"/>
        <v>0</v>
      </c>
      <c r="C144" s="60">
        <v>2150</v>
      </c>
      <c r="D144" s="60"/>
      <c r="E144" s="60" t="str">
        <f>VLOOKUP(1600,Sprachindex!$A:$Z,Erhebungsbogen!$Y$20,FALSE)</f>
        <v>[Stk]</v>
      </c>
      <c r="F144" s="60" t="s">
        <v>21933</v>
      </c>
      <c r="G144" s="514" t="str">
        <f>VLOOKUP(2139,Sprachindex!$A:$Z,Erhebungsbogen!$Y$20,FALSE) &amp; " ( " &amp;Preisliste!H124 &amp; " " &amp; VLOOKUP(1744,Sprachindex!$A:$Z,Erhebungsbogen!$Y$20,FALSE) &amp; ")"</f>
        <v>Rundprofil 80-Vario 15° exkl. Dichtung, gebohrt und entgratet ( 40,833 kg/Stk)</v>
      </c>
      <c r="H144" s="514"/>
      <c r="I144" s="514"/>
      <c r="J144" s="514"/>
      <c r="K144" s="514"/>
      <c r="L144" s="514"/>
      <c r="M144" s="514"/>
      <c r="N144" s="514"/>
      <c r="O144" s="514"/>
      <c r="P144" s="514"/>
      <c r="Q144" s="514"/>
      <c r="R144" s="514"/>
      <c r="S144" s="514"/>
      <c r="T144" s="514"/>
      <c r="U144" s="352">
        <f>VLOOKUP(F144,Preisliste!C:F,4,FALSE)</f>
        <v>1061.5</v>
      </c>
      <c r="V144" s="352">
        <f t="shared" si="30"/>
        <v>0</v>
      </c>
      <c r="W144" s="86"/>
      <c r="X144" s="86"/>
      <c r="Y144" s="86"/>
      <c r="Z144" s="86"/>
      <c r="AA144" s="86"/>
      <c r="AB144" s="86"/>
      <c r="AC144" s="86"/>
      <c r="AD144" s="86"/>
      <c r="AE144" s="86"/>
      <c r="AF144" s="86"/>
      <c r="AG144" s="55">
        <f t="shared" si="29"/>
        <v>0</v>
      </c>
      <c r="AH144" s="66">
        <f>IF(Kalk1!$AA$19=4,1,0)</f>
        <v>0</v>
      </c>
      <c r="AI144" s="55">
        <v>80</v>
      </c>
      <c r="AK144" s="55" t="s">
        <v>22079</v>
      </c>
      <c r="AP144" s="66">
        <f>IF(AND(Kalk1!$O$21&gt;0,Kalk1!$N$21="15°"),Kalk1!$O$21,0)</f>
        <v>0</v>
      </c>
      <c r="AQ144" s="55" t="s">
        <v>22087</v>
      </c>
      <c r="AT144" s="55" t="s">
        <v>22079</v>
      </c>
      <c r="AU144" s="66">
        <f>IF(Kalk1!$AI$51=AV144,1,0)</f>
        <v>0</v>
      </c>
      <c r="AV144" s="55">
        <v>2150</v>
      </c>
      <c r="AX144" s="55" t="s">
        <v>22100</v>
      </c>
      <c r="AY144" s="66">
        <f>AP144*Kalk1!$H$37</f>
        <v>0</v>
      </c>
      <c r="AZ144" s="55" t="s">
        <v>20872</v>
      </c>
    </row>
    <row r="145" spans="2:55" ht="24.95" customHeight="1">
      <c r="B145" s="93">
        <f t="shared" si="28"/>
        <v>0</v>
      </c>
      <c r="C145" s="60">
        <f>IF(AG145=1,AW145,0)</f>
        <v>0</v>
      </c>
      <c r="D145" s="60"/>
      <c r="E145" s="60" t="str">
        <f>VLOOKUP(1600,Sprachindex!$A:$Z,Erhebungsbogen!$Y$20,FALSE)</f>
        <v>[Stk]</v>
      </c>
      <c r="F145" s="60" t="s">
        <v>21826</v>
      </c>
      <c r="G145" s="514" t="str">
        <f>VLOOKUP(2140,Sprachindex!$A:$Z,Erhebungsbogen!$Y$20,FALSE) &amp; " (" &amp; ROUNDUP(C145/1000*Preisliste!I125,2) &amp; " " &amp; VLOOKUP(1744,Sprachindex!$A:$Z,Erhebungsbogen!$Y$20,FALSE) &amp; ")"</f>
        <v>Rundprofil 80-Vario 15° Sonderlänge exkl. Dichtung, (Stangenware) (0 kg/Stk)</v>
      </c>
      <c r="H145" s="514"/>
      <c r="I145" s="514"/>
      <c r="J145" s="514"/>
      <c r="K145" s="514"/>
      <c r="L145" s="514"/>
      <c r="M145" s="514"/>
      <c r="N145" s="514"/>
      <c r="O145" s="514"/>
      <c r="P145" s="514"/>
      <c r="Q145" s="514"/>
      <c r="R145" s="514"/>
      <c r="S145" s="514"/>
      <c r="T145" s="514"/>
      <c r="U145" s="354">
        <f>VLOOKUP(F145,Preisliste!C:F,4,FALSE)</f>
        <v>0</v>
      </c>
      <c r="V145" s="352">
        <f>U145*C145*B145/1000</f>
        <v>0</v>
      </c>
      <c r="W145" s="86"/>
      <c r="X145" s="86"/>
      <c r="Y145" s="86"/>
      <c r="Z145" s="86"/>
      <c r="AA145" s="86"/>
      <c r="AB145" s="86"/>
      <c r="AC145" s="86"/>
      <c r="AD145" s="86"/>
      <c r="AE145" s="86"/>
      <c r="AF145" s="86"/>
      <c r="AG145" s="55">
        <f t="shared" si="29"/>
        <v>0</v>
      </c>
      <c r="AH145" s="66">
        <f>IF(Kalk1!$AA$19=4,1,0)</f>
        <v>0</v>
      </c>
      <c r="AI145" s="55">
        <v>80</v>
      </c>
      <c r="AK145" s="55" t="s">
        <v>22079</v>
      </c>
      <c r="AP145" s="66">
        <f>IF(AND(Kalk1!$O$21&gt;0,Kalk1!$N$21="15°"),Kalk1!$O$21,0)</f>
        <v>0</v>
      </c>
      <c r="AQ145" s="55" t="s">
        <v>22087</v>
      </c>
      <c r="AT145" s="55" t="s">
        <v>22079</v>
      </c>
      <c r="AU145" s="66">
        <f>IF(Kalk1!$AH$52&gt;AV145,1,0)</f>
        <v>0</v>
      </c>
      <c r="AV145" s="55">
        <v>2150</v>
      </c>
      <c r="AW145" s="66">
        <f>Kalk1!$AH$52</f>
        <v>0</v>
      </c>
      <c r="AX145" s="55" t="s">
        <v>22100</v>
      </c>
      <c r="AY145" s="66">
        <f>AP145*Kalk1!$H$37</f>
        <v>0</v>
      </c>
      <c r="AZ145" s="55" t="s">
        <v>20872</v>
      </c>
    </row>
    <row r="146" spans="2:55" ht="24.95" customHeight="1">
      <c r="B146" s="93">
        <f t="shared" si="28"/>
        <v>0</v>
      </c>
      <c r="C146" s="60">
        <v>750</v>
      </c>
      <c r="D146" s="60"/>
      <c r="E146" s="60" t="str">
        <f>VLOOKUP(1600,Sprachindex!$A:$Z,Erhebungsbogen!$Y$20,FALSE)</f>
        <v>[Stk]</v>
      </c>
      <c r="F146" s="60" t="s">
        <v>21989</v>
      </c>
      <c r="G146" s="514" t="str">
        <f>VLOOKUP(2141,Sprachindex!$A:$Z,Erhebungsbogen!$Y$20,FALSE) &amp; " ( " &amp;Preisliste!H126 &amp; " " &amp; VLOOKUP(1744,Sprachindex!$A:$Z,Erhebungsbogen!$Y$20,FALSE) &amp; ")"</f>
        <v>Rundprofil 80-Vario 30° exkl. Dichtung, gebohrt und entgratet ( 15,167 kg/Stk)</v>
      </c>
      <c r="H146" s="514"/>
      <c r="I146" s="514"/>
      <c r="J146" s="514"/>
      <c r="K146" s="514"/>
      <c r="L146" s="514"/>
      <c r="M146" s="514"/>
      <c r="N146" s="514"/>
      <c r="O146" s="514"/>
      <c r="P146" s="514"/>
      <c r="Q146" s="514"/>
      <c r="R146" s="514"/>
      <c r="S146" s="514"/>
      <c r="T146" s="514"/>
      <c r="U146" s="352">
        <f>VLOOKUP(F146,Preisliste!C:F,4,FALSE)</f>
        <v>628.54999999999995</v>
      </c>
      <c r="V146" s="352">
        <f t="shared" si="30"/>
        <v>0</v>
      </c>
      <c r="W146" s="86"/>
      <c r="X146" s="86"/>
      <c r="Y146" s="86"/>
      <c r="Z146" s="86"/>
      <c r="AA146" s="86"/>
      <c r="AB146" s="86"/>
      <c r="AC146" s="86"/>
      <c r="AD146" s="86"/>
      <c r="AE146" s="86"/>
      <c r="AF146" s="86"/>
      <c r="AG146" s="55">
        <f t="shared" si="29"/>
        <v>0</v>
      </c>
      <c r="AH146" s="66">
        <f>IF(Kalk1!$AA$19=4,1,0)</f>
        <v>0</v>
      </c>
      <c r="AI146" s="55">
        <v>80</v>
      </c>
      <c r="AK146" s="55" t="s">
        <v>22079</v>
      </c>
      <c r="AP146" s="66">
        <f>IF(AND(Kalk1!$O$21&gt;0,Kalk1!$N$21="30°"),Kalk1!$O$21,0)</f>
        <v>0</v>
      </c>
      <c r="AQ146" s="55" t="s">
        <v>22088</v>
      </c>
      <c r="AT146" s="55" t="s">
        <v>22079</v>
      </c>
      <c r="AU146" s="66">
        <f>IF(Kalk1!$AI$51=$AV$91,1,0)</f>
        <v>1</v>
      </c>
      <c r="AV146" s="55">
        <v>750</v>
      </c>
      <c r="AX146" s="55" t="s">
        <v>22100</v>
      </c>
      <c r="AY146" s="66">
        <f>AP146*Kalk1!$H$37</f>
        <v>0</v>
      </c>
      <c r="AZ146" s="55" t="s">
        <v>20872</v>
      </c>
    </row>
    <row r="147" spans="2:55" ht="24.95" customHeight="1">
      <c r="B147" s="93">
        <f t="shared" si="28"/>
        <v>0</v>
      </c>
      <c r="C147" s="60">
        <v>1350</v>
      </c>
      <c r="D147" s="60"/>
      <c r="E147" s="60" t="str">
        <f>VLOOKUP(1600,Sprachindex!$A:$Z,Erhebungsbogen!$Y$20,FALSE)</f>
        <v>[Stk]</v>
      </c>
      <c r="F147" s="60" t="s">
        <v>21990</v>
      </c>
      <c r="G147" s="514" t="str">
        <f>VLOOKUP(2141,Sprachindex!$A:$Z,Erhebungsbogen!$Y$20,FALSE) &amp; " ( " &amp;Preisliste!H127 &amp; " " &amp; VLOOKUP(1744,Sprachindex!$A:$Z,Erhebungsbogen!$Y$20,FALSE) &amp; ")"</f>
        <v>Rundprofil 80-Vario 30° exkl. Dichtung, gebohrt und entgratet ( 27,301 kg/Stk)</v>
      </c>
      <c r="H147" s="514"/>
      <c r="I147" s="514"/>
      <c r="J147" s="514"/>
      <c r="K147" s="514"/>
      <c r="L147" s="514"/>
      <c r="M147" s="514"/>
      <c r="N147" s="514"/>
      <c r="O147" s="514"/>
      <c r="P147" s="514"/>
      <c r="Q147" s="514"/>
      <c r="R147" s="514"/>
      <c r="S147" s="514"/>
      <c r="T147" s="514"/>
      <c r="U147" s="352">
        <f>VLOOKUP(F147,Preisliste!C:F,4,FALSE)</f>
        <v>814.15</v>
      </c>
      <c r="V147" s="352">
        <f t="shared" si="30"/>
        <v>0</v>
      </c>
      <c r="W147" s="86"/>
      <c r="X147" s="86"/>
      <c r="Y147" s="86"/>
      <c r="Z147" s="86"/>
      <c r="AA147" s="86"/>
      <c r="AB147" s="86"/>
      <c r="AC147" s="86"/>
      <c r="AD147" s="86"/>
      <c r="AE147" s="86"/>
      <c r="AF147" s="86"/>
      <c r="AG147" s="55">
        <f t="shared" si="29"/>
        <v>0</v>
      </c>
      <c r="AH147" s="66">
        <f>IF(Kalk1!$AA$19=4,1,0)</f>
        <v>0</v>
      </c>
      <c r="AI147" s="55">
        <v>80</v>
      </c>
      <c r="AK147" s="55" t="s">
        <v>22079</v>
      </c>
      <c r="AP147" s="66">
        <f>IF(AND(Kalk1!$O$21&gt;0,Kalk1!$N$21="30°"),Kalk1!$O$21,0)</f>
        <v>0</v>
      </c>
      <c r="AQ147" s="55" t="s">
        <v>22088</v>
      </c>
      <c r="AT147" s="55" t="s">
        <v>22079</v>
      </c>
      <c r="AU147" s="66">
        <f>IF(Kalk1!$AI$51=AV147,1,0)</f>
        <v>0</v>
      </c>
      <c r="AV147" s="55">
        <v>1350</v>
      </c>
      <c r="AX147" s="55" t="s">
        <v>22100</v>
      </c>
      <c r="AY147" s="66">
        <f>AP147*Kalk1!$H$37</f>
        <v>0</v>
      </c>
      <c r="AZ147" s="55" t="s">
        <v>20872</v>
      </c>
    </row>
    <row r="148" spans="2:55" ht="24.95" customHeight="1">
      <c r="B148" s="93">
        <f t="shared" si="28"/>
        <v>0</v>
      </c>
      <c r="C148" s="60">
        <v>1750</v>
      </c>
      <c r="D148" s="60"/>
      <c r="E148" s="60" t="str">
        <f>VLOOKUP(1600,Sprachindex!$A:$Z,Erhebungsbogen!$Y$20,FALSE)</f>
        <v>[Stk]</v>
      </c>
      <c r="F148" s="60" t="s">
        <v>21991</v>
      </c>
      <c r="G148" s="514" t="str">
        <f>VLOOKUP(2141,Sprachindex!$A:$Z,Erhebungsbogen!$Y$20,FALSE) &amp; " ( " &amp;Preisliste!H128 &amp; " " &amp; VLOOKUP(1744,Sprachindex!$A:$Z,Erhebungsbogen!$Y$20,FALSE) &amp; ")"</f>
        <v>Rundprofil 80-Vario 30° exkl. Dichtung, gebohrt und entgratet ( 35,39 kg/Stk)</v>
      </c>
      <c r="H148" s="514"/>
      <c r="I148" s="514"/>
      <c r="J148" s="514"/>
      <c r="K148" s="514"/>
      <c r="L148" s="514"/>
      <c r="M148" s="514"/>
      <c r="N148" s="514"/>
      <c r="O148" s="514"/>
      <c r="P148" s="514"/>
      <c r="Q148" s="514"/>
      <c r="R148" s="514"/>
      <c r="S148" s="514"/>
      <c r="T148" s="514"/>
      <c r="U148" s="352">
        <f>VLOOKUP(F148,Preisliste!C:F,4,FALSE)</f>
        <v>937.8</v>
      </c>
      <c r="V148" s="352">
        <f t="shared" si="30"/>
        <v>0</v>
      </c>
      <c r="W148" s="86"/>
      <c r="X148" s="86"/>
      <c r="Y148" s="86"/>
      <c r="Z148" s="86"/>
      <c r="AA148" s="86"/>
      <c r="AB148" s="86"/>
      <c r="AC148" s="86"/>
      <c r="AD148" s="86"/>
      <c r="AE148" s="86"/>
      <c r="AF148" s="86"/>
      <c r="AG148" s="55">
        <f t="shared" si="29"/>
        <v>0</v>
      </c>
      <c r="AH148" s="66">
        <f>IF(Kalk1!$AA$19=4,1,0)</f>
        <v>0</v>
      </c>
      <c r="AI148" s="55">
        <v>80</v>
      </c>
      <c r="AK148" s="55" t="s">
        <v>22079</v>
      </c>
      <c r="AP148" s="66">
        <f>IF(AND(Kalk1!$O$21&gt;0,Kalk1!$N$21="30°"),Kalk1!$O$21,0)</f>
        <v>0</v>
      </c>
      <c r="AQ148" s="55" t="s">
        <v>22088</v>
      </c>
      <c r="AT148" s="55" t="s">
        <v>22079</v>
      </c>
      <c r="AU148" s="66">
        <f>IF(Kalk1!$AI$51=AV148,1,0)</f>
        <v>0</v>
      </c>
      <c r="AV148" s="55">
        <v>1750</v>
      </c>
      <c r="AX148" s="55" t="s">
        <v>22100</v>
      </c>
      <c r="AY148" s="66">
        <f>AP148*Kalk1!$H$37</f>
        <v>0</v>
      </c>
      <c r="AZ148" s="55" t="s">
        <v>20872</v>
      </c>
    </row>
    <row r="149" spans="2:55" ht="24.95" customHeight="1">
      <c r="B149" s="93">
        <f t="shared" si="28"/>
        <v>0</v>
      </c>
      <c r="C149" s="60">
        <v>2150</v>
      </c>
      <c r="D149" s="60"/>
      <c r="E149" s="60" t="str">
        <f>VLOOKUP(1600,Sprachindex!$A:$Z,Erhebungsbogen!$Y$20,FALSE)</f>
        <v>[Stk]</v>
      </c>
      <c r="F149" s="60" t="s">
        <v>21992</v>
      </c>
      <c r="G149" s="514" t="str">
        <f>VLOOKUP(2141,Sprachindex!$A:$Z,Erhebungsbogen!$Y$20,FALSE) &amp; " ( " &amp;Preisliste!H129 &amp; " " &amp; VLOOKUP(1744,Sprachindex!$A:$Z,Erhebungsbogen!$Y$20,FALSE) &amp; ")"</f>
        <v>Rundprofil 80-Vario 30° exkl. Dichtung, gebohrt und entgratet ( 43,479 kg/Stk)</v>
      </c>
      <c r="H149" s="514"/>
      <c r="I149" s="514"/>
      <c r="J149" s="514"/>
      <c r="K149" s="514"/>
      <c r="L149" s="514"/>
      <c r="M149" s="514"/>
      <c r="N149" s="514"/>
      <c r="O149" s="514"/>
      <c r="P149" s="514"/>
      <c r="Q149" s="514"/>
      <c r="R149" s="514"/>
      <c r="S149" s="514"/>
      <c r="T149" s="514"/>
      <c r="U149" s="352">
        <f>VLOOKUP(F149,Preisliste!C:F,4,FALSE)</f>
        <v>1061.5</v>
      </c>
      <c r="V149" s="352">
        <f t="shared" si="30"/>
        <v>0</v>
      </c>
      <c r="W149" s="86"/>
      <c r="X149" s="86"/>
      <c r="Y149" s="86"/>
      <c r="Z149" s="86"/>
      <c r="AA149" s="86"/>
      <c r="AB149" s="86"/>
      <c r="AC149" s="86"/>
      <c r="AD149" s="86"/>
      <c r="AE149" s="86"/>
      <c r="AF149" s="86"/>
      <c r="AG149" s="55">
        <f t="shared" si="29"/>
        <v>0</v>
      </c>
      <c r="AH149" s="66">
        <f>IF(Kalk1!$AA$19=4,1,0)</f>
        <v>0</v>
      </c>
      <c r="AI149" s="55">
        <v>80</v>
      </c>
      <c r="AK149" s="55" t="s">
        <v>22079</v>
      </c>
      <c r="AP149" s="66">
        <f>IF(AND(Kalk1!$O$21&gt;0,Kalk1!$N$21="30°"),Kalk1!$O$21,0)</f>
        <v>0</v>
      </c>
      <c r="AQ149" s="55" t="s">
        <v>22088</v>
      </c>
      <c r="AT149" s="55" t="s">
        <v>22079</v>
      </c>
      <c r="AU149" s="66">
        <f>IF(Kalk1!$AI$51=AV149,1,0)</f>
        <v>0</v>
      </c>
      <c r="AV149" s="55">
        <v>2150</v>
      </c>
      <c r="AX149" s="55" t="s">
        <v>22100</v>
      </c>
      <c r="AY149" s="66">
        <f>AP149*Kalk1!$H$37</f>
        <v>0</v>
      </c>
      <c r="AZ149" s="55" t="s">
        <v>20872</v>
      </c>
    </row>
    <row r="150" spans="2:55" ht="24.95" customHeight="1">
      <c r="B150" s="93">
        <f t="shared" si="28"/>
        <v>0</v>
      </c>
      <c r="C150" s="60">
        <f>IF(AG150=1,AW150,0)</f>
        <v>0</v>
      </c>
      <c r="D150" s="60"/>
      <c r="E150" s="60" t="str">
        <f>VLOOKUP(1600,Sprachindex!$A:$Z,Erhebungsbogen!$Y$20,FALSE)</f>
        <v>[Stk]</v>
      </c>
      <c r="F150" s="60" t="s">
        <v>21826</v>
      </c>
      <c r="G150" s="514" t="str">
        <f>VLOOKUP(2142,Sprachindex!$A:$Z,Erhebungsbogen!$Y$20,FALSE) &amp; " (" &amp; ROUNDUP(C150/1000*Preisliste!I130,2) &amp; " " &amp; VLOOKUP(1744,Sprachindex!$A:$Z,Erhebungsbogen!$Y$20,FALSE) &amp; ")"</f>
        <v>Rundprofil 80-Vario 30° Sonderlänge exkl. Dichtung, (Stangenware) (0 kg/Stk)</v>
      </c>
      <c r="H150" s="514"/>
      <c r="I150" s="514"/>
      <c r="J150" s="514"/>
      <c r="K150" s="514"/>
      <c r="L150" s="514"/>
      <c r="M150" s="514"/>
      <c r="N150" s="514"/>
      <c r="O150" s="514"/>
      <c r="P150" s="514"/>
      <c r="Q150" s="514"/>
      <c r="R150" s="514"/>
      <c r="S150" s="514"/>
      <c r="T150" s="514"/>
      <c r="U150" s="354">
        <f>VLOOKUP(F150,Preisliste!C:F,4,FALSE)</f>
        <v>0</v>
      </c>
      <c r="V150" s="352">
        <f>U150*C150*B150/1000</f>
        <v>0</v>
      </c>
      <c r="W150" s="86"/>
      <c r="X150" s="86"/>
      <c r="Y150" s="86"/>
      <c r="Z150" s="86"/>
      <c r="AA150" s="86"/>
      <c r="AB150" s="86"/>
      <c r="AC150" s="86"/>
      <c r="AD150" s="86"/>
      <c r="AE150" s="86"/>
      <c r="AF150" s="86"/>
      <c r="AG150" s="55">
        <f t="shared" si="29"/>
        <v>0</v>
      </c>
      <c r="AH150" s="66">
        <f>IF(Kalk1!$AA$19=4,1,0)</f>
        <v>0</v>
      </c>
      <c r="AI150" s="55">
        <v>80</v>
      </c>
      <c r="AK150" s="55" t="s">
        <v>22079</v>
      </c>
      <c r="AP150" s="66">
        <f>IF(AND(Kalk1!$O$21&gt;0,Kalk1!$N$21="30°"),Kalk1!$O$21,0)</f>
        <v>0</v>
      </c>
      <c r="AQ150" s="55" t="s">
        <v>22088</v>
      </c>
      <c r="AT150" s="55" t="s">
        <v>22079</v>
      </c>
      <c r="AU150" s="66">
        <f>IF(Kalk1!$AH$52&gt;AV150,1,0)</f>
        <v>0</v>
      </c>
      <c r="AV150" s="55">
        <v>2150</v>
      </c>
      <c r="AW150" s="66">
        <f>Kalk1!$AH$52</f>
        <v>0</v>
      </c>
      <c r="AX150" s="55" t="s">
        <v>22100</v>
      </c>
      <c r="AY150" s="66">
        <f>AP150*Kalk1!$H$37</f>
        <v>0</v>
      </c>
      <c r="AZ150" s="55" t="s">
        <v>20872</v>
      </c>
    </row>
    <row r="151" spans="2:55" ht="24.95" customHeight="1">
      <c r="B151" s="93">
        <f t="shared" si="28"/>
        <v>0</v>
      </c>
      <c r="C151" s="60">
        <v>750</v>
      </c>
      <c r="D151" s="60"/>
      <c r="E151" s="60" t="str">
        <f>VLOOKUP(1600,Sprachindex!$A:$Z,Erhebungsbogen!$Y$20,FALSE)</f>
        <v>[Stk]</v>
      </c>
      <c r="F151" s="60" t="s">
        <v>21993</v>
      </c>
      <c r="G151" s="514" t="str">
        <f>VLOOKUP(2143,Sprachindex!$A:$Z,Erhebungsbogen!$Y$20,FALSE) &amp; " ( " &amp;Preisliste!H131 &amp; " " &amp; VLOOKUP(1744,Sprachindex!$A:$Z,Erhebungsbogen!$Y$20,FALSE) &amp; ")"</f>
        <v>Rundprofil 80-Vario 45° exkl. Dichtung, gebohrt und entgratet ( 15,167 kg/Stk)</v>
      </c>
      <c r="H151" s="514"/>
      <c r="I151" s="514"/>
      <c r="J151" s="514"/>
      <c r="K151" s="514"/>
      <c r="L151" s="514"/>
      <c r="M151" s="514"/>
      <c r="N151" s="514"/>
      <c r="O151" s="514"/>
      <c r="P151" s="514"/>
      <c r="Q151" s="514"/>
      <c r="R151" s="514"/>
      <c r="S151" s="514"/>
      <c r="T151" s="514"/>
      <c r="U151" s="352">
        <f>VLOOKUP(F151,Preisliste!C:F,4,FALSE)</f>
        <v>628.54999999999995</v>
      </c>
      <c r="V151" s="352">
        <f t="shared" si="30"/>
        <v>0</v>
      </c>
      <c r="W151" s="86"/>
      <c r="X151" s="86"/>
      <c r="Y151" s="86"/>
      <c r="Z151" s="86"/>
      <c r="AA151" s="86"/>
      <c r="AB151" s="86"/>
      <c r="AC151" s="86"/>
      <c r="AD151" s="86"/>
      <c r="AE151" s="86"/>
      <c r="AF151" s="86"/>
      <c r="AG151" s="55">
        <f t="shared" si="29"/>
        <v>0</v>
      </c>
      <c r="AH151" s="66">
        <f>IF(Kalk1!$AA$19=4,1,0)</f>
        <v>0</v>
      </c>
      <c r="AI151" s="55">
        <v>80</v>
      </c>
      <c r="AK151" s="55" t="s">
        <v>22079</v>
      </c>
      <c r="AP151" s="66">
        <f>IF(AND(Kalk1!$O$21&gt;0,Kalk1!$N$21="45°"),Kalk1!$O$21,0)</f>
        <v>0</v>
      </c>
      <c r="AQ151" s="55" t="s">
        <v>22089</v>
      </c>
      <c r="AT151" s="55" t="s">
        <v>22079</v>
      </c>
      <c r="AU151" s="66">
        <f>IF(Kalk1!$AI$51=$AV$91,1,0)</f>
        <v>1</v>
      </c>
      <c r="AV151" s="55">
        <v>750</v>
      </c>
      <c r="AX151" s="55" t="s">
        <v>22100</v>
      </c>
      <c r="AY151" s="66">
        <f>AP151*Kalk1!$H$37</f>
        <v>0</v>
      </c>
      <c r="AZ151" s="55" t="s">
        <v>20872</v>
      </c>
    </row>
    <row r="152" spans="2:55" ht="24.95" customHeight="1">
      <c r="B152" s="93">
        <f t="shared" si="28"/>
        <v>0</v>
      </c>
      <c r="C152" s="60">
        <v>1350</v>
      </c>
      <c r="D152" s="60"/>
      <c r="E152" s="60" t="str">
        <f>VLOOKUP(1600,Sprachindex!$A:$Z,Erhebungsbogen!$Y$20,FALSE)</f>
        <v>[Stk]</v>
      </c>
      <c r="F152" s="60" t="s">
        <v>21994</v>
      </c>
      <c r="G152" s="514" t="str">
        <f>VLOOKUP(2143,Sprachindex!$A:$Z,Erhebungsbogen!$Y$20,FALSE) &amp; " ( " &amp;Preisliste!H132 &amp; " " &amp; VLOOKUP(1744,Sprachindex!$A:$Z,Erhebungsbogen!$Y$20,FALSE) &amp; ")"</f>
        <v>Rundprofil 80-Vario 45° exkl. Dichtung, gebohrt und entgratet ( 27,301 kg/Stk)</v>
      </c>
      <c r="H152" s="514"/>
      <c r="I152" s="514"/>
      <c r="J152" s="514"/>
      <c r="K152" s="514"/>
      <c r="L152" s="514"/>
      <c r="M152" s="514"/>
      <c r="N152" s="514"/>
      <c r="O152" s="514"/>
      <c r="P152" s="514"/>
      <c r="Q152" s="514"/>
      <c r="R152" s="514"/>
      <c r="S152" s="514"/>
      <c r="T152" s="514"/>
      <c r="U152" s="352">
        <f>VLOOKUP(F152,Preisliste!C:F,4,FALSE)</f>
        <v>814.15</v>
      </c>
      <c r="V152" s="352">
        <f t="shared" si="30"/>
        <v>0</v>
      </c>
      <c r="W152" s="86"/>
      <c r="X152" s="86"/>
      <c r="Y152" s="86"/>
      <c r="Z152" s="86"/>
      <c r="AA152" s="86"/>
      <c r="AB152" s="86"/>
      <c r="AC152" s="86"/>
      <c r="AD152" s="86"/>
      <c r="AE152" s="86"/>
      <c r="AF152" s="86"/>
      <c r="AG152" s="55">
        <f t="shared" si="29"/>
        <v>0</v>
      </c>
      <c r="AH152" s="66">
        <f>IF(Kalk1!$AA$19=4,1,0)</f>
        <v>0</v>
      </c>
      <c r="AI152" s="55">
        <v>80</v>
      </c>
      <c r="AK152" s="55" t="s">
        <v>22079</v>
      </c>
      <c r="AP152" s="66">
        <f>IF(AND(Kalk1!$O$21&gt;0,Kalk1!$N$21="45°"),Kalk1!$O$21,0)</f>
        <v>0</v>
      </c>
      <c r="AQ152" s="55" t="s">
        <v>22089</v>
      </c>
      <c r="AT152" s="55" t="s">
        <v>22079</v>
      </c>
      <c r="AU152" s="66">
        <f>IF(Kalk1!$AI$51=AV152,1,0)</f>
        <v>0</v>
      </c>
      <c r="AV152" s="55">
        <v>1350</v>
      </c>
      <c r="AX152" s="55" t="s">
        <v>22100</v>
      </c>
      <c r="AY152" s="66">
        <f>AP152*Kalk1!$H$37</f>
        <v>0</v>
      </c>
      <c r="AZ152" s="55" t="s">
        <v>20872</v>
      </c>
    </row>
    <row r="153" spans="2:55" ht="24.95" customHeight="1">
      <c r="B153" s="93">
        <f t="shared" si="28"/>
        <v>0</v>
      </c>
      <c r="C153" s="60">
        <v>1750</v>
      </c>
      <c r="D153" s="60"/>
      <c r="E153" s="60" t="str">
        <f>VLOOKUP(1600,Sprachindex!$A:$Z,Erhebungsbogen!$Y$20,FALSE)</f>
        <v>[Stk]</v>
      </c>
      <c r="F153" s="60" t="s">
        <v>21995</v>
      </c>
      <c r="G153" s="514" t="str">
        <f>VLOOKUP(2143,Sprachindex!$A:$Z,Erhebungsbogen!$Y$20,FALSE) &amp; " ( " &amp;Preisliste!H133 &amp; " " &amp; VLOOKUP(1744,Sprachindex!$A:$Z,Erhebungsbogen!$Y$20,FALSE) &amp; ")"</f>
        <v>Rundprofil 80-Vario 45° exkl. Dichtung, gebohrt und entgratet ( 35,39 kg/Stk)</v>
      </c>
      <c r="H153" s="514"/>
      <c r="I153" s="514"/>
      <c r="J153" s="514"/>
      <c r="K153" s="514"/>
      <c r="L153" s="514"/>
      <c r="M153" s="514"/>
      <c r="N153" s="514"/>
      <c r="O153" s="514"/>
      <c r="P153" s="514"/>
      <c r="Q153" s="514"/>
      <c r="R153" s="514"/>
      <c r="S153" s="514"/>
      <c r="T153" s="514"/>
      <c r="U153" s="352">
        <f>VLOOKUP(F153,Preisliste!C:F,4,FALSE)</f>
        <v>937.8</v>
      </c>
      <c r="V153" s="352">
        <f t="shared" si="30"/>
        <v>0</v>
      </c>
      <c r="W153" s="86"/>
      <c r="X153" s="86"/>
      <c r="Y153" s="86"/>
      <c r="Z153" s="86"/>
      <c r="AA153" s="86"/>
      <c r="AB153" s="86"/>
      <c r="AC153" s="86"/>
      <c r="AD153" s="86"/>
      <c r="AE153" s="86"/>
      <c r="AF153" s="86"/>
      <c r="AG153" s="55">
        <f t="shared" si="29"/>
        <v>0</v>
      </c>
      <c r="AH153" s="66">
        <f>IF(Kalk1!$AA$19=4,1,0)</f>
        <v>0</v>
      </c>
      <c r="AI153" s="55">
        <v>80</v>
      </c>
      <c r="AK153" s="55" t="s">
        <v>22079</v>
      </c>
      <c r="AP153" s="66">
        <f>IF(AND(Kalk1!$O$21&gt;0,Kalk1!$N$21="45°"),Kalk1!$O$21,0)</f>
        <v>0</v>
      </c>
      <c r="AQ153" s="55" t="s">
        <v>22089</v>
      </c>
      <c r="AT153" s="55" t="s">
        <v>22079</v>
      </c>
      <c r="AU153" s="66">
        <f>IF(Kalk1!$AI$51=AV153,1,0)</f>
        <v>0</v>
      </c>
      <c r="AV153" s="55">
        <v>1750</v>
      </c>
      <c r="AX153" s="55" t="s">
        <v>22100</v>
      </c>
      <c r="AY153" s="66">
        <f>AP153*Kalk1!$H$37</f>
        <v>0</v>
      </c>
      <c r="AZ153" s="55" t="s">
        <v>20872</v>
      </c>
    </row>
    <row r="154" spans="2:55" ht="24.95" customHeight="1">
      <c r="B154" s="93">
        <f t="shared" si="28"/>
        <v>0</v>
      </c>
      <c r="C154" s="60">
        <v>2150</v>
      </c>
      <c r="D154" s="60"/>
      <c r="E154" s="60" t="str">
        <f>VLOOKUP(1600,Sprachindex!$A:$Z,Erhebungsbogen!$Y$20,FALSE)</f>
        <v>[Stk]</v>
      </c>
      <c r="F154" s="60" t="s">
        <v>21996</v>
      </c>
      <c r="G154" s="514" t="str">
        <f>VLOOKUP(2143,Sprachindex!$A:$Z,Erhebungsbogen!$Y$20,FALSE) &amp; " ( " &amp;Preisliste!H134 &amp; " " &amp; VLOOKUP(1744,Sprachindex!$A:$Z,Erhebungsbogen!$Y$20,FALSE) &amp; ")"</f>
        <v>Rundprofil 80-Vario 45° exkl. Dichtung, gebohrt und entgratet ( 43,479 kg/Stk)</v>
      </c>
      <c r="H154" s="514"/>
      <c r="I154" s="514"/>
      <c r="J154" s="514"/>
      <c r="K154" s="514"/>
      <c r="L154" s="514"/>
      <c r="M154" s="514"/>
      <c r="N154" s="514"/>
      <c r="O154" s="514"/>
      <c r="P154" s="514"/>
      <c r="Q154" s="514"/>
      <c r="R154" s="514"/>
      <c r="S154" s="514"/>
      <c r="T154" s="514"/>
      <c r="U154" s="352">
        <f>VLOOKUP(F154,Preisliste!C:F,4,FALSE)</f>
        <v>1061.5</v>
      </c>
      <c r="V154" s="352">
        <f t="shared" si="30"/>
        <v>0</v>
      </c>
      <c r="W154" s="86"/>
      <c r="X154" s="86"/>
      <c r="Y154" s="86"/>
      <c r="Z154" s="86"/>
      <c r="AA154" s="86"/>
      <c r="AB154" s="86"/>
      <c r="AC154" s="86"/>
      <c r="AD154" s="86"/>
      <c r="AE154" s="86"/>
      <c r="AF154" s="86"/>
      <c r="AG154" s="55">
        <f t="shared" si="29"/>
        <v>0</v>
      </c>
      <c r="AH154" s="66">
        <f>IF(Kalk1!$AA$19=4,1,0)</f>
        <v>0</v>
      </c>
      <c r="AI154" s="55">
        <v>80</v>
      </c>
      <c r="AK154" s="55" t="s">
        <v>22079</v>
      </c>
      <c r="AP154" s="66">
        <f>IF(AND(Kalk1!$O$21&gt;0,Kalk1!$N$21="45°"),Kalk1!$O$21,0)</f>
        <v>0</v>
      </c>
      <c r="AQ154" s="55" t="s">
        <v>22089</v>
      </c>
      <c r="AT154" s="55" t="s">
        <v>22079</v>
      </c>
      <c r="AU154" s="66">
        <f>IF(Kalk1!$AI$51=AV154,1,0)</f>
        <v>0</v>
      </c>
      <c r="AV154" s="55">
        <v>2150</v>
      </c>
      <c r="AX154" s="55" t="s">
        <v>22100</v>
      </c>
      <c r="AY154" s="66">
        <f>AP154*Kalk1!$H$37</f>
        <v>0</v>
      </c>
      <c r="AZ154" s="55" t="s">
        <v>20872</v>
      </c>
    </row>
    <row r="155" spans="2:55" ht="24.95" customHeight="1">
      <c r="B155" s="93">
        <f t="shared" si="28"/>
        <v>0</v>
      </c>
      <c r="C155" s="60">
        <f>IF(AG155=1,AW155,0)</f>
        <v>0</v>
      </c>
      <c r="D155" s="60"/>
      <c r="E155" s="60" t="str">
        <f>VLOOKUP(1600,Sprachindex!$A:$Z,Erhebungsbogen!$Y$20,FALSE)</f>
        <v>[Stk]</v>
      </c>
      <c r="F155" s="60" t="s">
        <v>21826</v>
      </c>
      <c r="G155" s="514" t="str">
        <f>VLOOKUP(2144,Sprachindex!$A:$Z,Erhebungsbogen!$Y$20,FALSE) &amp; " (" &amp; ROUNDUP(C155/1000*Preisliste!I135,2) &amp; " " &amp; VLOOKUP(1744,Sprachindex!$A:$Z,Erhebungsbogen!$Y$20,FALSE) &amp; ")"</f>
        <v>Rundprofil 80-Vario 45° Sonderlänge exkl. Dichtung, (Stangenware) (0 kg/Stk)</v>
      </c>
      <c r="H155" s="514"/>
      <c r="I155" s="514"/>
      <c r="J155" s="514"/>
      <c r="K155" s="514"/>
      <c r="L155" s="514"/>
      <c r="M155" s="514"/>
      <c r="N155" s="514"/>
      <c r="O155" s="514"/>
      <c r="P155" s="514"/>
      <c r="Q155" s="514"/>
      <c r="R155" s="514"/>
      <c r="S155" s="514"/>
      <c r="T155" s="514"/>
      <c r="U155" s="354">
        <f>VLOOKUP(F155,Preisliste!C:F,4,FALSE)</f>
        <v>0</v>
      </c>
      <c r="V155" s="352">
        <f>U155*C155*B155/1000</f>
        <v>0</v>
      </c>
      <c r="W155" s="86"/>
      <c r="X155" s="86"/>
      <c r="Y155" s="86"/>
      <c r="Z155" s="86"/>
      <c r="AA155" s="86"/>
      <c r="AB155" s="86"/>
      <c r="AC155" s="86"/>
      <c r="AD155" s="86"/>
      <c r="AE155" s="86"/>
      <c r="AF155" s="86"/>
      <c r="AG155" s="55">
        <f t="shared" si="29"/>
        <v>0</v>
      </c>
      <c r="AH155" s="66">
        <f>IF(Kalk1!$AA$19=4,1,0)</f>
        <v>0</v>
      </c>
      <c r="AI155" s="55">
        <v>80</v>
      </c>
      <c r="AK155" s="55" t="s">
        <v>22079</v>
      </c>
      <c r="AP155" s="66">
        <f>IF(AND(Kalk1!$O$21&gt;0,Kalk1!$N$21="45°"),Kalk1!$O$21,0)</f>
        <v>0</v>
      </c>
      <c r="AQ155" s="55" t="s">
        <v>22089</v>
      </c>
      <c r="AT155" s="55" t="s">
        <v>22079</v>
      </c>
      <c r="AU155" s="66">
        <f>IF(Kalk1!$AH$52&gt;AV155,1,0)</f>
        <v>0</v>
      </c>
      <c r="AV155" s="55">
        <v>2150</v>
      </c>
      <c r="AW155" s="66">
        <f>Kalk1!$AH$52</f>
        <v>0</v>
      </c>
      <c r="AX155" s="55" t="s">
        <v>22100</v>
      </c>
      <c r="AY155" s="66">
        <f>AP155*Kalk1!$H$37</f>
        <v>0</v>
      </c>
      <c r="AZ155" s="55" t="s">
        <v>20872</v>
      </c>
    </row>
    <row r="156" spans="2:55" ht="24.95" customHeight="1">
      <c r="B156" s="93">
        <f t="shared" si="28"/>
        <v>0</v>
      </c>
      <c r="C156" s="60">
        <v>750</v>
      </c>
      <c r="D156" s="60"/>
      <c r="E156" s="60" t="str">
        <f>VLOOKUP(1600,Sprachindex!$A:$Z,Erhebungsbogen!$Y$20,FALSE)</f>
        <v>[Stk]</v>
      </c>
      <c r="F156" s="60" t="s">
        <v>21997</v>
      </c>
      <c r="G156" s="517" t="str">
        <f>VLOOKUP(2145,Sprachindex!$A:$Z,Erhebungsbogen!$Y$20,FALSE) &amp; " ( " &amp;Preisliste!H136 &amp; " " &amp; VLOOKUP(1744,Sprachindex!$A:$Z,Erhebungsbogen!$Y$20,FALSE) &amp; ")"</f>
        <v>Rundprofil 80-Vario 60° exkl. Dichtung, gebohrt und entgratet ( 14,244 kg/Stk)</v>
      </c>
      <c r="H156" s="515"/>
      <c r="I156" s="515"/>
      <c r="J156" s="515"/>
      <c r="K156" s="515"/>
      <c r="L156" s="515"/>
      <c r="M156" s="515"/>
      <c r="N156" s="515"/>
      <c r="O156" s="515"/>
      <c r="P156" s="515"/>
      <c r="Q156" s="515"/>
      <c r="R156" s="515"/>
      <c r="S156" s="515"/>
      <c r="T156" s="516"/>
      <c r="U156" s="352">
        <f>VLOOKUP(F156,Preisliste!C:F,4,FALSE)</f>
        <v>628.54999999999995</v>
      </c>
      <c r="V156" s="352">
        <f t="shared" si="30"/>
        <v>0</v>
      </c>
      <c r="W156" s="86"/>
      <c r="X156" s="86"/>
      <c r="Y156" s="86"/>
      <c r="Z156" s="86"/>
      <c r="AA156" s="86"/>
      <c r="AB156" s="86"/>
      <c r="AC156" s="86"/>
      <c r="AD156" s="86"/>
      <c r="AE156" s="86"/>
      <c r="AF156" s="86"/>
      <c r="AG156" s="55">
        <f t="shared" si="29"/>
        <v>0</v>
      </c>
      <c r="AH156" s="66">
        <f>IF(Kalk1!$AA$19=4,1,0)</f>
        <v>0</v>
      </c>
      <c r="AI156" s="55">
        <v>80</v>
      </c>
      <c r="AK156" s="55" t="s">
        <v>22079</v>
      </c>
      <c r="AP156" s="66">
        <f>IF(AND(Kalk1!$O$21&gt;0,Kalk1!$N$21="60°"),Kalk1!$O$21,0)</f>
        <v>0</v>
      </c>
      <c r="AQ156" s="55" t="s">
        <v>22090</v>
      </c>
      <c r="AT156" s="55" t="s">
        <v>22079</v>
      </c>
      <c r="AU156" s="66">
        <f>IF(Kalk1!$AI$51=$AV$91,1,0)</f>
        <v>1</v>
      </c>
      <c r="AV156" s="55">
        <v>750</v>
      </c>
      <c r="AX156" s="55" t="s">
        <v>22100</v>
      </c>
      <c r="AY156" s="66">
        <f>AP156*Kalk1!$H$37</f>
        <v>0</v>
      </c>
      <c r="AZ156" s="55" t="s">
        <v>20872</v>
      </c>
    </row>
    <row r="157" spans="2:55" ht="24.95" customHeight="1">
      <c r="B157" s="93">
        <f t="shared" si="28"/>
        <v>0</v>
      </c>
      <c r="C157" s="60">
        <v>1350</v>
      </c>
      <c r="D157" s="60"/>
      <c r="E157" s="60" t="str">
        <f>VLOOKUP(1600,Sprachindex!$A:$Z,Erhebungsbogen!$Y$20,FALSE)</f>
        <v>[Stk]</v>
      </c>
      <c r="F157" s="60" t="s">
        <v>21998</v>
      </c>
      <c r="G157" s="517" t="str">
        <f>VLOOKUP(2145,Sprachindex!$A:$Z,Erhebungsbogen!$Y$20,FALSE) &amp; " ( " &amp;Preisliste!H137 &amp; " " &amp; VLOOKUP(1744,Sprachindex!$A:$Z,Erhebungsbogen!$Y$20,FALSE) &amp; ")"</f>
        <v>Rundprofil 80-Vario 60° exkl. Dichtung, gebohrt und entgratet ( 25,639 kg/Stk)</v>
      </c>
      <c r="H157" s="515"/>
      <c r="I157" s="515"/>
      <c r="J157" s="515"/>
      <c r="K157" s="515"/>
      <c r="L157" s="515"/>
      <c r="M157" s="515"/>
      <c r="N157" s="515"/>
      <c r="O157" s="515"/>
      <c r="P157" s="515"/>
      <c r="Q157" s="515"/>
      <c r="R157" s="515"/>
      <c r="S157" s="515"/>
      <c r="T157" s="516"/>
      <c r="U157" s="352">
        <f>VLOOKUP(F157,Preisliste!C:F,4,FALSE)</f>
        <v>814.15</v>
      </c>
      <c r="V157" s="352">
        <f t="shared" si="30"/>
        <v>0</v>
      </c>
      <c r="W157" s="86"/>
      <c r="X157" s="86"/>
      <c r="Y157" s="86"/>
      <c r="Z157" s="86"/>
      <c r="AA157" s="86"/>
      <c r="AB157" s="86"/>
      <c r="AC157" s="86"/>
      <c r="AD157" s="86"/>
      <c r="AE157" s="86"/>
      <c r="AF157" s="86"/>
      <c r="AG157" s="55">
        <f t="shared" si="29"/>
        <v>0</v>
      </c>
      <c r="AH157" s="66">
        <f>IF(Kalk1!$AA$19=4,1,0)</f>
        <v>0</v>
      </c>
      <c r="AI157" s="55">
        <v>80</v>
      </c>
      <c r="AK157" s="55" t="s">
        <v>22079</v>
      </c>
      <c r="AP157" s="66">
        <f>IF(AND(Kalk1!$O$21&gt;0,Kalk1!$N$21="60°"),Kalk1!$O$21,0)</f>
        <v>0</v>
      </c>
      <c r="AQ157" s="55" t="s">
        <v>22090</v>
      </c>
      <c r="AT157" s="55" t="s">
        <v>22079</v>
      </c>
      <c r="AU157" s="66">
        <f>IF(Kalk1!$AI$51=AV157,1,0)</f>
        <v>0</v>
      </c>
      <c r="AV157" s="55">
        <v>1350</v>
      </c>
      <c r="AX157" s="55" t="s">
        <v>22100</v>
      </c>
      <c r="AY157" s="66">
        <f>AP157*Kalk1!$H$37</f>
        <v>0</v>
      </c>
      <c r="AZ157" s="55" t="s">
        <v>20872</v>
      </c>
    </row>
    <row r="158" spans="2:55" ht="24.95" customHeight="1">
      <c r="B158" s="93">
        <f t="shared" si="28"/>
        <v>0</v>
      </c>
      <c r="C158" s="60">
        <v>1750</v>
      </c>
      <c r="D158" s="60"/>
      <c r="E158" s="60" t="str">
        <f>VLOOKUP(1600,Sprachindex!$A:$Z,Erhebungsbogen!$Y$20,FALSE)</f>
        <v>[Stk]</v>
      </c>
      <c r="F158" s="60" t="s">
        <v>21999</v>
      </c>
      <c r="G158" s="517" t="str">
        <f>VLOOKUP(2145,Sprachindex!$A:$Z,Erhebungsbogen!$Y$20,FALSE) &amp; " ( " &amp;Preisliste!H138 &amp; " " &amp; VLOOKUP(1744,Sprachindex!$A:$Z,Erhebungsbogen!$Y$20,FALSE) &amp; ")"</f>
        <v>Rundprofil 80-Vario 60° exkl. Dichtung, gebohrt und entgratet ( 33,236 kg/Stk)</v>
      </c>
      <c r="H158" s="515"/>
      <c r="I158" s="515"/>
      <c r="J158" s="515"/>
      <c r="K158" s="515"/>
      <c r="L158" s="515"/>
      <c r="M158" s="515"/>
      <c r="N158" s="515"/>
      <c r="O158" s="515"/>
      <c r="P158" s="515"/>
      <c r="Q158" s="515"/>
      <c r="R158" s="515"/>
      <c r="S158" s="515"/>
      <c r="T158" s="516"/>
      <c r="U158" s="352">
        <f>VLOOKUP(F158,Preisliste!C:F,4,FALSE)</f>
        <v>937.8</v>
      </c>
      <c r="V158" s="352">
        <f t="shared" si="30"/>
        <v>0</v>
      </c>
      <c r="W158" s="86"/>
      <c r="X158" s="86"/>
      <c r="Y158" s="86"/>
      <c r="Z158" s="86"/>
      <c r="AA158" s="86"/>
      <c r="AB158" s="86"/>
      <c r="AC158" s="86"/>
      <c r="AD158" s="86"/>
      <c r="AE158" s="86"/>
      <c r="AF158" s="86"/>
      <c r="AG158" s="55">
        <f t="shared" si="29"/>
        <v>0</v>
      </c>
      <c r="AH158" s="66">
        <f>IF(Kalk1!$AA$19=4,1,0)</f>
        <v>0</v>
      </c>
      <c r="AI158" s="55">
        <v>80</v>
      </c>
      <c r="AK158" s="55" t="s">
        <v>22079</v>
      </c>
      <c r="AP158" s="66">
        <f>IF(AND(Kalk1!$O$21&gt;0,Kalk1!$N$21="60°"),Kalk1!$O$21,0)</f>
        <v>0</v>
      </c>
      <c r="AQ158" s="55" t="s">
        <v>22090</v>
      </c>
      <c r="AT158" s="55" t="s">
        <v>22079</v>
      </c>
      <c r="AU158" s="66">
        <f>IF(Kalk1!$AI$51=AV158,1,0)</f>
        <v>0</v>
      </c>
      <c r="AV158" s="55">
        <v>1750</v>
      </c>
      <c r="AX158" s="55" t="s">
        <v>22100</v>
      </c>
      <c r="AY158" s="66">
        <f>AP158*Kalk1!$H$37</f>
        <v>0</v>
      </c>
      <c r="AZ158" s="55" t="s">
        <v>20872</v>
      </c>
      <c r="BC158" s="84" t="s">
        <v>22181</v>
      </c>
    </row>
    <row r="159" spans="2:55" ht="24.95" customHeight="1">
      <c r="B159" s="93">
        <f t="shared" si="28"/>
        <v>0</v>
      </c>
      <c r="C159" s="60">
        <v>2150</v>
      </c>
      <c r="D159" s="60"/>
      <c r="E159" s="60" t="str">
        <f>VLOOKUP(1600,Sprachindex!$A:$Z,Erhebungsbogen!$Y$20,FALSE)</f>
        <v>[Stk]</v>
      </c>
      <c r="F159" s="60" t="s">
        <v>22000</v>
      </c>
      <c r="G159" s="517" t="str">
        <f>VLOOKUP(2145,Sprachindex!$A:$Z,Erhebungsbogen!$Y$20,FALSE) &amp; " ( " &amp;Preisliste!H139 &amp; " " &amp; VLOOKUP(1744,Sprachindex!$A:$Z,Erhebungsbogen!$Y$20,FALSE) &amp; ")"</f>
        <v>Rundprofil 80-Vario 60° exkl. Dichtung, gebohrt und entgratet ( 40,833 kg/Stk)</v>
      </c>
      <c r="H159" s="515"/>
      <c r="I159" s="515"/>
      <c r="J159" s="515"/>
      <c r="K159" s="515"/>
      <c r="L159" s="515"/>
      <c r="M159" s="515"/>
      <c r="N159" s="515"/>
      <c r="O159" s="515"/>
      <c r="P159" s="515"/>
      <c r="Q159" s="515"/>
      <c r="R159" s="515"/>
      <c r="S159" s="515"/>
      <c r="T159" s="516"/>
      <c r="U159" s="352">
        <f>VLOOKUP(F159,Preisliste!C:F,4,FALSE)</f>
        <v>1061.5</v>
      </c>
      <c r="V159" s="352">
        <f t="shared" si="30"/>
        <v>0</v>
      </c>
      <c r="W159" s="86"/>
      <c r="X159" s="86"/>
      <c r="Y159" s="86"/>
      <c r="Z159" s="86"/>
      <c r="AA159" s="86"/>
      <c r="AB159" s="86"/>
      <c r="AC159" s="86"/>
      <c r="AD159" s="86"/>
      <c r="AE159" s="86"/>
      <c r="AF159" s="86"/>
      <c r="AG159" s="55">
        <f t="shared" si="29"/>
        <v>0</v>
      </c>
      <c r="AH159" s="66">
        <f>IF(Kalk1!$AA$19=4,1,0)</f>
        <v>0</v>
      </c>
      <c r="AI159" s="55">
        <v>80</v>
      </c>
      <c r="AK159" s="55" t="s">
        <v>22079</v>
      </c>
      <c r="AP159" s="66">
        <f>IF(AND(Kalk1!$O$21&gt;0,Kalk1!$N$21="60°"),Kalk1!$O$21,0)</f>
        <v>0</v>
      </c>
      <c r="AQ159" s="55" t="s">
        <v>22090</v>
      </c>
      <c r="AT159" s="55" t="s">
        <v>22079</v>
      </c>
      <c r="AU159" s="66">
        <f>IF(Kalk1!$AI$51=AV159,1,0)</f>
        <v>0</v>
      </c>
      <c r="AV159" s="55">
        <v>2150</v>
      </c>
      <c r="AX159" s="55" t="s">
        <v>22100</v>
      </c>
      <c r="AY159" s="66">
        <f>AP159*Kalk1!$H$37</f>
        <v>0</v>
      </c>
      <c r="AZ159" s="55" t="s">
        <v>20872</v>
      </c>
      <c r="BC159" s="84" t="s">
        <v>22182</v>
      </c>
    </row>
    <row r="160" spans="2:55" ht="24.95" customHeight="1">
      <c r="B160" s="93">
        <f t="shared" si="28"/>
        <v>0</v>
      </c>
      <c r="C160" s="60">
        <f>IF(AG160=1,AW160,0)</f>
        <v>0</v>
      </c>
      <c r="D160" s="60"/>
      <c r="E160" s="60" t="str">
        <f>VLOOKUP(1600,Sprachindex!$A:$Z,Erhebungsbogen!$Y$20,FALSE)</f>
        <v>[Stk]</v>
      </c>
      <c r="F160" s="60" t="s">
        <v>21826</v>
      </c>
      <c r="G160" s="517" t="str">
        <f>VLOOKUP(2146,Sprachindex!$A:$Z,Erhebungsbogen!$Y$20,FALSE) &amp; " (" &amp; ROUNDUP(C160/1000*Preisliste!I140,2) &amp; " " &amp; VLOOKUP(1744,Sprachindex!$A:$Z,Erhebungsbogen!$Y$20,FALSE) &amp; ")"</f>
        <v>Rundprofil 80-Vario 60° Sonderlänge exkl. Dichtung, (Stangenware) (0 kg/Stk)</v>
      </c>
      <c r="H160" s="515"/>
      <c r="I160" s="515"/>
      <c r="J160" s="515"/>
      <c r="K160" s="515"/>
      <c r="L160" s="515"/>
      <c r="M160" s="515"/>
      <c r="N160" s="515"/>
      <c r="O160" s="515"/>
      <c r="P160" s="515"/>
      <c r="Q160" s="515"/>
      <c r="R160" s="515"/>
      <c r="S160" s="515"/>
      <c r="T160" s="516"/>
      <c r="U160" s="354">
        <f>VLOOKUP(F160,Preisliste!C:F,4,FALSE)</f>
        <v>0</v>
      </c>
      <c r="V160" s="352">
        <f>U160*C160*B160/1000</f>
        <v>0</v>
      </c>
      <c r="W160" s="86"/>
      <c r="X160" s="86"/>
      <c r="Y160" s="86"/>
      <c r="Z160" s="86"/>
      <c r="AA160" s="86"/>
      <c r="AB160" s="86"/>
      <c r="AC160" s="86"/>
      <c r="AD160" s="86"/>
      <c r="AE160" s="86"/>
      <c r="AF160" s="86"/>
      <c r="AG160" s="55">
        <f t="shared" si="29"/>
        <v>0</v>
      </c>
      <c r="AH160" s="66">
        <f>IF(Kalk1!$AA$19=4,1,0)</f>
        <v>0</v>
      </c>
      <c r="AI160" s="55">
        <v>80</v>
      </c>
      <c r="AK160" s="55" t="s">
        <v>22079</v>
      </c>
      <c r="AP160" s="66">
        <f>IF(AND(Kalk1!$O$21&gt;0,Kalk1!$N$21="60°"),Kalk1!$O$21,0)</f>
        <v>0</v>
      </c>
      <c r="AQ160" s="55" t="s">
        <v>22090</v>
      </c>
      <c r="AT160" s="55" t="s">
        <v>22079</v>
      </c>
      <c r="AU160" s="66">
        <f>IF(Kalk1!$AH$52&gt;AV160,1,0)</f>
        <v>0</v>
      </c>
      <c r="AV160" s="55">
        <v>2150</v>
      </c>
      <c r="AW160" s="66">
        <f>Kalk1!$AH$52</f>
        <v>0</v>
      </c>
      <c r="AX160" s="55" t="s">
        <v>22100</v>
      </c>
      <c r="AY160" s="66">
        <f>AP160*Kalk1!$H$37</f>
        <v>0</v>
      </c>
      <c r="AZ160" s="55" t="s">
        <v>20872</v>
      </c>
    </row>
    <row r="161" spans="2:53" ht="24.95" customHeight="1">
      <c r="B161" s="93">
        <f t="shared" si="28"/>
        <v>0</v>
      </c>
      <c r="C161" s="60"/>
      <c r="D161" s="60"/>
      <c r="E161" s="60" t="str">
        <f>VLOOKUP(1600,Sprachindex!$A:$Z,Erhebungsbogen!$Y$20,FALSE)</f>
        <v>[Stk]</v>
      </c>
      <c r="F161" s="60" t="s">
        <v>21971</v>
      </c>
      <c r="G161" s="514" t="str">
        <f>VLOOKUP(1814,Sprachindex!$A:$Z,Erhebungsbogen!$Y$20,FALSE)</f>
        <v>Sicherungsschraube für Abdeckung</v>
      </c>
      <c r="H161" s="514"/>
      <c r="I161" s="514"/>
      <c r="J161" s="514"/>
      <c r="K161" s="514"/>
      <c r="L161" s="514"/>
      <c r="M161" s="514"/>
      <c r="N161" s="514"/>
      <c r="O161" s="514"/>
      <c r="P161" s="514"/>
      <c r="Q161" s="514"/>
      <c r="R161" s="514"/>
      <c r="S161" s="514"/>
      <c r="T161" s="514"/>
      <c r="U161" s="352">
        <f>VLOOKUP(F161,Preisliste!C:F,4,FALSE)</f>
        <v>15.9</v>
      </c>
      <c r="V161" s="352">
        <f t="shared" si="30"/>
        <v>0</v>
      </c>
      <c r="W161" s="86"/>
      <c r="X161" s="86"/>
      <c r="Y161" s="86"/>
      <c r="Z161" s="86"/>
      <c r="AA161" s="86"/>
      <c r="AB161" s="86"/>
      <c r="AC161" s="86"/>
      <c r="AD161" s="86"/>
      <c r="AE161" s="86"/>
      <c r="AF161" s="86"/>
      <c r="AG161" s="55">
        <f>IF(Kalk1!$AA$25,1,0)</f>
        <v>0</v>
      </c>
      <c r="AH161" s="66">
        <f>IF(Kalk1!$AA$19=1,0,1)</f>
        <v>1</v>
      </c>
      <c r="AI161" s="55" t="s">
        <v>22183</v>
      </c>
      <c r="AL161" s="66">
        <f>IF(MAX(Kalk1!$AH$51,Kalk1!$AH$52)&lt;=750,1,0)</f>
        <v>1</v>
      </c>
      <c r="AM161" s="55" t="s">
        <v>22184</v>
      </c>
      <c r="AP161" s="66">
        <f>2*Kalk1!H37</f>
        <v>2</v>
      </c>
      <c r="AQ161" s="55" t="s">
        <v>22101</v>
      </c>
      <c r="AT161" s="55" t="s">
        <v>22079</v>
      </c>
      <c r="AU161" s="66">
        <f>IF(AL161=0,2*Kalk1!H37,0)</f>
        <v>0</v>
      </c>
      <c r="AV161" s="55" t="s">
        <v>22185</v>
      </c>
      <c r="AX161" s="55" t="s">
        <v>22100</v>
      </c>
      <c r="AY161" s="66">
        <f>AP161+AU161</f>
        <v>2</v>
      </c>
      <c r="AZ161" s="55" t="s">
        <v>20872</v>
      </c>
    </row>
    <row r="162" spans="2:53" ht="24.95" customHeight="1">
      <c r="B162" s="93">
        <f>IF(AG162=1,AU162,0)</f>
        <v>0</v>
      </c>
      <c r="C162" s="60"/>
      <c r="D162" s="60"/>
      <c r="E162" s="60" t="str">
        <f>VLOOKUP(1600,Sprachindex!$A:$Z,Erhebungsbogen!$Y$20,FALSE)</f>
        <v>[Stk]</v>
      </c>
      <c r="F162" s="60" t="s">
        <v>21942</v>
      </c>
      <c r="G162" s="514" t="str">
        <f>VLOOKUP(1817,Sprachindex!$A:$Z,Erhebungsbogen!$Y$20,FALSE)</f>
        <v>Spannstück mit 6-Kantschraube</v>
      </c>
      <c r="H162" s="514"/>
      <c r="I162" s="514"/>
      <c r="J162" s="514"/>
      <c r="K162" s="514"/>
      <c r="L162" s="514"/>
      <c r="M162" s="514"/>
      <c r="N162" s="514"/>
      <c r="O162" s="514"/>
      <c r="P162" s="514"/>
      <c r="Q162" s="514"/>
      <c r="R162" s="514"/>
      <c r="S162" s="514"/>
      <c r="T162" s="514"/>
      <c r="U162" s="352">
        <f>VLOOKUP(F162,Preisliste!C:F,4,FALSE)</f>
        <v>98.9</v>
      </c>
      <c r="V162" s="352">
        <f t="shared" si="30"/>
        <v>0</v>
      </c>
      <c r="W162" s="86"/>
      <c r="X162" s="86"/>
      <c r="Y162" s="86"/>
      <c r="Z162" s="86"/>
      <c r="AA162" s="86"/>
      <c r="AB162" s="86"/>
      <c r="AC162" s="86"/>
      <c r="AD162" s="86"/>
      <c r="AE162" s="86"/>
      <c r="AF162" s="86"/>
      <c r="AG162" s="55">
        <f>IF(AH162=1,1,0)</f>
        <v>0</v>
      </c>
      <c r="AH162" s="66">
        <f>IF(Kalk1!$AA$28,1,0)</f>
        <v>0</v>
      </c>
      <c r="AI162" s="55" t="s">
        <v>22098</v>
      </c>
      <c r="AK162" s="55" t="s">
        <v>22079</v>
      </c>
      <c r="AL162" s="66">
        <f>IF(Kalk1!$H$35&gt;1,Kalk1!$H$35-1,0)</f>
        <v>0</v>
      </c>
      <c r="AM162" s="55" t="s">
        <v>22085</v>
      </c>
      <c r="AT162" s="55" t="s">
        <v>22100</v>
      </c>
      <c r="AU162" s="66">
        <f>(2+2*AL162-IF(AH165=1,AU165,0))*Kalk1!$H$37</f>
        <v>2</v>
      </c>
      <c r="AV162" s="55" t="s">
        <v>22101</v>
      </c>
    </row>
    <row r="163" spans="2:53" ht="24.95" customHeight="1">
      <c r="B163" s="93">
        <f>IF(AG163=1,AU163,0)</f>
        <v>0</v>
      </c>
      <c r="C163" s="60"/>
      <c r="D163" s="60"/>
      <c r="E163" s="60" t="str">
        <f>VLOOKUP(1600,Sprachindex!$A:$Z,Erhebungsbogen!$Y$20,FALSE)</f>
        <v>[Stk]</v>
      </c>
      <c r="F163" s="60" t="s">
        <v>21941</v>
      </c>
      <c r="G163" s="514" t="str">
        <f>VLOOKUP(1819,Sprachindex!$A:$Z,Erhebungsbogen!$Y$20,FALSE)</f>
        <v>Spannstück mit Sterngriff</v>
      </c>
      <c r="H163" s="514"/>
      <c r="I163" s="514"/>
      <c r="J163" s="514"/>
      <c r="K163" s="514"/>
      <c r="L163" s="514"/>
      <c r="M163" s="514"/>
      <c r="N163" s="514"/>
      <c r="O163" s="514"/>
      <c r="P163" s="514"/>
      <c r="Q163" s="514"/>
      <c r="R163" s="514"/>
      <c r="S163" s="514"/>
      <c r="T163" s="514"/>
      <c r="U163" s="352">
        <f>VLOOKUP(F163,Preisliste!C:F,4,FALSE)</f>
        <v>104.9</v>
      </c>
      <c r="V163" s="352">
        <f t="shared" si="30"/>
        <v>0</v>
      </c>
      <c r="W163" s="86"/>
      <c r="X163" s="86"/>
      <c r="Y163" s="86"/>
      <c r="Z163" s="86"/>
      <c r="AA163" s="86"/>
      <c r="AB163" s="86"/>
      <c r="AC163" s="86"/>
      <c r="AD163" s="86"/>
      <c r="AE163" s="86"/>
      <c r="AF163" s="86"/>
      <c r="AG163" s="55">
        <f>IF(AH163=1,1,0)</f>
        <v>0</v>
      </c>
      <c r="AH163" s="66">
        <f>IF(AND(Kalk1!$AA$27,Kalk1!H28&gt;0,Kalk1!H29&gt;0),1,0)</f>
        <v>0</v>
      </c>
      <c r="AI163" s="55" t="s">
        <v>22097</v>
      </c>
      <c r="AK163" s="55" t="s">
        <v>22079</v>
      </c>
      <c r="AL163" s="66">
        <f>IF(Kalk1!$H$35&gt;1,Kalk1!$H$35-1,0)</f>
        <v>0</v>
      </c>
      <c r="AM163" s="55" t="s">
        <v>22085</v>
      </c>
      <c r="AT163" s="55" t="s">
        <v>22100</v>
      </c>
      <c r="AU163" s="66">
        <f>(2+2*AL163-IF(AH164=1,AU164,0))*Kalk1!$H$37</f>
        <v>2</v>
      </c>
      <c r="AV163" s="55" t="s">
        <v>22101</v>
      </c>
    </row>
    <row r="164" spans="2:53" ht="24.95" customHeight="1">
      <c r="B164" s="93">
        <f>IF(AG164=1,AU164,0)</f>
        <v>0</v>
      </c>
      <c r="C164" s="60"/>
      <c r="D164" s="60"/>
      <c r="E164" s="60" t="str">
        <f>VLOOKUP(1600,Sprachindex!$A:$Z,Erhebungsbogen!$Y$20,FALSE)</f>
        <v>[Stk]</v>
      </c>
      <c r="F164" s="60" t="s">
        <v>21981</v>
      </c>
      <c r="G164" s="514" t="str">
        <f>VLOOKUP(2147,Sprachindex!$A:$Z,Erhebungsbogen!$Y$20,FALSE)</f>
        <v>Spannstück mit Sterngriff zum seitlich Einfädeln</v>
      </c>
      <c r="H164" s="514"/>
      <c r="I164" s="514"/>
      <c r="J164" s="514"/>
      <c r="K164" s="514"/>
      <c r="L164" s="514"/>
      <c r="M164" s="514"/>
      <c r="N164" s="514"/>
      <c r="O164" s="514"/>
      <c r="P164" s="514"/>
      <c r="Q164" s="514"/>
      <c r="R164" s="514"/>
      <c r="S164" s="514"/>
      <c r="T164" s="514"/>
      <c r="U164" s="352">
        <f>VLOOKUP(F164,Preisliste!C:F,4,FALSE)</f>
        <v>110.9</v>
      </c>
      <c r="V164" s="352">
        <f t="shared" si="30"/>
        <v>0</v>
      </c>
      <c r="W164" s="86"/>
      <c r="X164" s="86"/>
      <c r="Y164" s="86"/>
      <c r="Z164" s="86"/>
      <c r="AA164" s="86"/>
      <c r="AB164" s="86"/>
      <c r="AC164" s="86"/>
      <c r="AD164" s="86"/>
      <c r="AE164" s="86"/>
      <c r="AF164" s="86"/>
      <c r="AG164" s="55">
        <f>IF(AND(AH164=1,AL164=1,AP164=1),1,0)</f>
        <v>0</v>
      </c>
      <c r="AH164" s="66">
        <f>IF(Kalk1!$AA$19=1,1,0)</f>
        <v>0</v>
      </c>
      <c r="AI164" s="55">
        <v>25</v>
      </c>
      <c r="AK164" s="55" t="s">
        <v>22079</v>
      </c>
      <c r="AL164" s="66">
        <f>IF(Kalk1!$AA$27,1,0)</f>
        <v>1</v>
      </c>
      <c r="AM164" s="55" t="s">
        <v>22097</v>
      </c>
      <c r="AO164" s="55" t="s">
        <v>22079</v>
      </c>
      <c r="AP164" s="66">
        <f>IF(OR(Kalk1!$AA$7=3,Kalk1!$AA$9=3),1,0)</f>
        <v>0</v>
      </c>
      <c r="AQ164" s="55" t="s">
        <v>22099</v>
      </c>
      <c r="AT164" s="55" t="s">
        <v>22100</v>
      </c>
      <c r="AU164" s="66">
        <f>IF(AND(Kalk1!$AA$7=3,Kalk1!$AA$9=3),2,IF(AP164=1,1,0))*Kalk1!$H$37</f>
        <v>0</v>
      </c>
      <c r="AV164" s="55" t="s">
        <v>22101</v>
      </c>
    </row>
    <row r="165" spans="2:53" ht="24.95" customHeight="1">
      <c r="B165" s="93">
        <f>IF(AG165=1,AU165,0)</f>
        <v>0</v>
      </c>
      <c r="C165" s="60"/>
      <c r="D165" s="60"/>
      <c r="E165" s="60" t="str">
        <f>VLOOKUP(1600,Sprachindex!$A:$Z,Erhebungsbogen!$Y$20,FALSE)</f>
        <v>[Stk]</v>
      </c>
      <c r="F165" s="60" t="s">
        <v>21980</v>
      </c>
      <c r="G165" s="514" t="str">
        <f>VLOOKUP(2148,Sprachindex!$A:$Z,Erhebungsbogen!$Y$20,FALSE)</f>
        <v>Spannstück mit Sechskantschraube zum seitlichen Einfädeln</v>
      </c>
      <c r="H165" s="515"/>
      <c r="I165" s="515"/>
      <c r="J165" s="515"/>
      <c r="K165" s="515"/>
      <c r="L165" s="515"/>
      <c r="M165" s="515"/>
      <c r="N165" s="515"/>
      <c r="O165" s="515"/>
      <c r="P165" s="515"/>
      <c r="Q165" s="515"/>
      <c r="R165" s="515"/>
      <c r="S165" s="515"/>
      <c r="T165" s="516"/>
      <c r="U165" s="352">
        <f>VLOOKUP(F165,Preisliste!C:F,4,FALSE)</f>
        <v>106.9</v>
      </c>
      <c r="V165" s="352">
        <f t="shared" si="30"/>
        <v>0</v>
      </c>
      <c r="W165" s="86"/>
      <c r="X165" s="86"/>
      <c r="Y165" s="86"/>
      <c r="Z165" s="86"/>
      <c r="AA165" s="86"/>
      <c r="AB165" s="86"/>
      <c r="AC165" s="86"/>
      <c r="AD165" s="86"/>
      <c r="AE165" s="86"/>
      <c r="AF165" s="86"/>
      <c r="AG165" s="55">
        <f>IF(AND(AH165=1,AL165=1,AP165=1),1,0)</f>
        <v>0</v>
      </c>
      <c r="AH165" s="66">
        <f>IF(Kalk1!$AA$19=1,1,0)</f>
        <v>0</v>
      </c>
      <c r="AI165" s="55">
        <v>25</v>
      </c>
      <c r="AK165" s="55" t="s">
        <v>22079</v>
      </c>
      <c r="AL165" s="66">
        <f>IF(Kalk1!$AA$28,1,0)</f>
        <v>0</v>
      </c>
      <c r="AM165" s="55" t="s">
        <v>22098</v>
      </c>
      <c r="AO165" s="55" t="s">
        <v>22079</v>
      </c>
      <c r="AP165" s="66">
        <f>IF(OR(Kalk1!$AA$7=3,Kalk1!$AA$9=3),1,0)</f>
        <v>0</v>
      </c>
      <c r="AQ165" s="55" t="s">
        <v>22099</v>
      </c>
      <c r="AT165" s="55" t="s">
        <v>22100</v>
      </c>
      <c r="AU165" s="66">
        <f>IF(AND(Kalk1!$AA$7=3,Kalk1!$AA$9=3),2,IF(AP165=1,1,0))*Kalk1!$H$37</f>
        <v>0</v>
      </c>
      <c r="AV165" s="55" t="s">
        <v>22101</v>
      </c>
    </row>
    <row r="166" spans="2:53" ht="24.95" customHeight="1">
      <c r="B166" s="93">
        <f t="shared" ref="B166:B179" si="31">IF(AG166=1,AZ166,0)</f>
        <v>0</v>
      </c>
      <c r="C166" s="60">
        <v>750</v>
      </c>
      <c r="D166" s="60"/>
      <c r="E166" s="60" t="str">
        <f>VLOOKUP(1600,Sprachindex!$A:$Z,Erhebungsbogen!$Y$20,FALSE)</f>
        <v>[Stk]</v>
      </c>
      <c r="F166" s="60" t="s">
        <v>21881</v>
      </c>
      <c r="G166" s="514" t="str">
        <f>VLOOKUP(2149,Sprachindex!$A:$Z,Erhebungsbogen!$Y$20,FALSE) &amp; IF(AND(Kalk1!$AA$5=2,Kalk1!$AA$13),", " &amp; VLOOKUP(1645,Sprachindex!$A:$Z,Erhebungsbogen!$Y$20,FALSE) &amp; " " &amp; $U$8,", "&amp; VLOOKUP(1648,Sprachindex!$A:$Z,Erhebungsbogen!$Y$20,FALSE))</f>
        <v>U-Profil 25 (in der Laibung) exkl. Dichtung, gebohrt und entgratet, blank</v>
      </c>
      <c r="H166" s="515"/>
      <c r="I166" s="515"/>
      <c r="J166" s="515"/>
      <c r="K166" s="515"/>
      <c r="L166" s="515"/>
      <c r="M166" s="515"/>
      <c r="N166" s="515"/>
      <c r="O166" s="515"/>
      <c r="P166" s="515"/>
      <c r="Q166" s="515"/>
      <c r="R166" s="515"/>
      <c r="S166" s="515"/>
      <c r="T166" s="516"/>
      <c r="U166" s="352">
        <f>IF(AND(Kalk1!$AA$5=2,Kalk1!$AA$13),VLOOKUP(F166,Preisliste!C:G,5,FALSE),VLOOKUP(F166,Preisliste!C:G,4,FALSE))</f>
        <v>81.150000000000006</v>
      </c>
      <c r="V166" s="352">
        <f t="shared" si="30"/>
        <v>0</v>
      </c>
      <c r="W166" s="86"/>
      <c r="X166" s="86"/>
      <c r="Y166" s="86"/>
      <c r="Z166" s="143">
        <f>IF(AND(Kalk1!$AA$5=2,Kalk1!$AA$13),(VLOOKUP(F166,Preisliste!C:G,5,FALSE)-VLOOKUP(F166,Preisliste!C:G,4,FALSE))*B166,0)</f>
        <v>0</v>
      </c>
      <c r="AA166" s="86"/>
      <c r="AB166" s="86"/>
      <c r="AC166" s="86"/>
      <c r="AD166" s="86"/>
      <c r="AE166" s="86"/>
      <c r="AF166" s="86"/>
      <c r="AG166" s="55">
        <f>IF(AND(AH166=1,AL166=1,AP166=1,AND(Kalk1!H28&gt;0,Kalk1!H29&gt;0)),1,0)</f>
        <v>0</v>
      </c>
      <c r="AH166" s="66">
        <f>IF(Kalk1!$AA$19=1,1,0)</f>
        <v>0</v>
      </c>
      <c r="AI166" s="55">
        <v>25</v>
      </c>
      <c r="AK166" s="55" t="s">
        <v>22079</v>
      </c>
      <c r="AL166" s="66">
        <f>IF(OR(OR(Kalk1!$AA$7=2,Kalk1!$AA$7=3),OR(Kalk1!$AA$9=2,Kalk1!$AA$9=3)),1,0)</f>
        <v>0</v>
      </c>
      <c r="AM166" s="55" t="s">
        <v>22092</v>
      </c>
      <c r="AO166" s="55" t="s">
        <v>22079</v>
      </c>
      <c r="AP166" s="66">
        <f>IF(Kalk1!$AI$51=AQ166,1,0)</f>
        <v>1</v>
      </c>
      <c r="AQ166" s="55">
        <v>750</v>
      </c>
      <c r="AU166" s="66">
        <f>IF(OR(Kalk1!$AA$7=2,Kalk1!$AA$7=3),1,0)</f>
        <v>0</v>
      </c>
      <c r="AV166" s="55" t="s">
        <v>19882</v>
      </c>
      <c r="AW166" s="66">
        <f>IF(OR(Kalk1!$AA$9=2,Kalk1!$AA$9=3),1,0)</f>
        <v>0</v>
      </c>
      <c r="AX166" s="55" t="s">
        <v>20310</v>
      </c>
      <c r="AY166" s="55" t="s">
        <v>22100</v>
      </c>
      <c r="AZ166" s="66">
        <f>(AU166+AW166)*Kalk1!$H$37</f>
        <v>0</v>
      </c>
      <c r="BA166" s="55" t="s">
        <v>22101</v>
      </c>
    </row>
    <row r="167" spans="2:53" ht="24.95" customHeight="1">
      <c r="B167" s="93">
        <f t="shared" si="31"/>
        <v>0</v>
      </c>
      <c r="C167" s="60">
        <v>1350</v>
      </c>
      <c r="D167" s="60"/>
      <c r="E167" s="60" t="str">
        <f>VLOOKUP(1600,Sprachindex!$A:$Z,Erhebungsbogen!$Y$20,FALSE)</f>
        <v>[Stk]</v>
      </c>
      <c r="F167" s="60" t="s">
        <v>21882</v>
      </c>
      <c r="G167" s="514" t="str">
        <f>VLOOKUP(2149,Sprachindex!$A:$Z,Erhebungsbogen!$Y$20,FALSE) &amp; IF(AND(Kalk1!$AA$5=2,Kalk1!$AA$13),", " &amp; VLOOKUP(1645,Sprachindex!$A:$Z,Erhebungsbogen!$Y$20,FALSE) &amp; " " &amp; $U$8,", "&amp; VLOOKUP(1648,Sprachindex!$A:$Z,Erhebungsbogen!$Y$20,FALSE))</f>
        <v>U-Profil 25 (in der Laibung) exkl. Dichtung, gebohrt und entgratet, blank</v>
      </c>
      <c r="H167" s="515"/>
      <c r="I167" s="515"/>
      <c r="J167" s="515"/>
      <c r="K167" s="515"/>
      <c r="L167" s="515"/>
      <c r="M167" s="515"/>
      <c r="N167" s="515"/>
      <c r="O167" s="515"/>
      <c r="P167" s="515"/>
      <c r="Q167" s="515"/>
      <c r="R167" s="515"/>
      <c r="S167" s="515"/>
      <c r="T167" s="516"/>
      <c r="U167" s="352">
        <f>IF(AND(Kalk1!$AA$5=2,Kalk1!$AA$13),VLOOKUP(F167,Preisliste!C:G,5,FALSE),VLOOKUP(F167,Preisliste!C:G,4,FALSE))</f>
        <v>123.15</v>
      </c>
      <c r="V167" s="352">
        <f t="shared" si="30"/>
        <v>0</v>
      </c>
      <c r="W167" s="86"/>
      <c r="X167" s="86"/>
      <c r="Y167" s="86"/>
      <c r="Z167" s="143">
        <f>IF(AND(Kalk1!$AA$5=2,Kalk1!$AA$13),(VLOOKUP(F167,Preisliste!C:G,5,FALSE)-VLOOKUP(F167,Preisliste!C:G,4,FALSE))*B167,0)</f>
        <v>0</v>
      </c>
      <c r="AA167" s="86"/>
      <c r="AB167" s="86"/>
      <c r="AC167" s="86"/>
      <c r="AD167" s="86"/>
      <c r="AE167" s="86"/>
      <c r="AF167" s="86"/>
      <c r="AG167" s="55">
        <f>IF(AND(AH167=1,AL167=1,AP167=1,AND(Kalk1!H28&gt;0,Kalk1!H29&gt;0)),1,0)</f>
        <v>0</v>
      </c>
      <c r="AH167" s="66">
        <f>IF(Kalk1!$AA$19=1,1,0)</f>
        <v>0</v>
      </c>
      <c r="AI167" s="55">
        <v>25</v>
      </c>
      <c r="AK167" s="55" t="s">
        <v>22079</v>
      </c>
      <c r="AL167" s="66">
        <f>IF(OR(OR(Kalk1!$AA$7=2,Kalk1!$AA$7=3),OR(Kalk1!$AA$9=2,Kalk1!$AA$9=3)),1,0)</f>
        <v>0</v>
      </c>
      <c r="AM167" s="55" t="s">
        <v>22092</v>
      </c>
      <c r="AO167" s="55" t="s">
        <v>22079</v>
      </c>
      <c r="AP167" s="66">
        <f>IF(Kalk1!$AI$51=AQ167,1,0)</f>
        <v>0</v>
      </c>
      <c r="AQ167" s="55">
        <v>1350</v>
      </c>
      <c r="AU167" s="66">
        <f>IF(OR(Kalk1!$AA$7=2,Kalk1!$AA$7=3),1,0)</f>
        <v>0</v>
      </c>
      <c r="AV167" s="55" t="s">
        <v>19882</v>
      </c>
      <c r="AW167" s="66">
        <f>IF(OR(Kalk1!$AA$9=2,Kalk1!$AA$9=3),1,0)</f>
        <v>0</v>
      </c>
      <c r="AX167" s="55" t="s">
        <v>20310</v>
      </c>
      <c r="AY167" s="55" t="s">
        <v>22100</v>
      </c>
      <c r="AZ167" s="66">
        <f>(AU167+AW167)*Kalk1!$H$37</f>
        <v>0</v>
      </c>
      <c r="BA167" s="55" t="s">
        <v>22101</v>
      </c>
    </row>
    <row r="168" spans="2:53" ht="24.95" customHeight="1">
      <c r="B168" s="93">
        <f t="shared" si="31"/>
        <v>0</v>
      </c>
      <c r="C168" s="60">
        <v>1750</v>
      </c>
      <c r="D168" s="60"/>
      <c r="E168" s="60" t="str">
        <f>VLOOKUP(1600,Sprachindex!$A:$Z,Erhebungsbogen!$Y$20,FALSE)</f>
        <v>[Stk]</v>
      </c>
      <c r="F168" s="60" t="s">
        <v>21982</v>
      </c>
      <c r="G168" s="514" t="str">
        <f>VLOOKUP(2149,Sprachindex!$A:$Z,Erhebungsbogen!$Y$20,FALSE) &amp; IF(AND(Kalk1!$AA$5=2,Kalk1!$AA$13),", " &amp; VLOOKUP(1645,Sprachindex!$A:$Z,Erhebungsbogen!$Y$20,FALSE) &amp; " " &amp; $U$8,", "&amp; VLOOKUP(1648,Sprachindex!$A:$Z,Erhebungsbogen!$Y$20,FALSE))</f>
        <v>U-Profil 25 (in der Laibung) exkl. Dichtung, gebohrt und entgratet, blank</v>
      </c>
      <c r="H168" s="515"/>
      <c r="I168" s="515"/>
      <c r="J168" s="515"/>
      <c r="K168" s="515"/>
      <c r="L168" s="515"/>
      <c r="M168" s="515"/>
      <c r="N168" s="515"/>
      <c r="O168" s="515"/>
      <c r="P168" s="515"/>
      <c r="Q168" s="515"/>
      <c r="R168" s="515"/>
      <c r="S168" s="515"/>
      <c r="T168" s="516"/>
      <c r="U168" s="352">
        <f>IF(AND(Kalk1!$AA$5=2,Kalk1!$AA$13),VLOOKUP(F168,Preisliste!C:G,5,FALSE),VLOOKUP(F168,Preisliste!C:G,4,FALSE))</f>
        <v>137.5</v>
      </c>
      <c r="V168" s="352">
        <f t="shared" si="30"/>
        <v>0</v>
      </c>
      <c r="W168" s="86"/>
      <c r="X168" s="86"/>
      <c r="Y168" s="86"/>
      <c r="Z168" s="143">
        <f>IF(AND(Kalk1!$AA$5=2,Kalk1!$AA$13),(VLOOKUP(F168,Preisliste!C:G,5,FALSE)-VLOOKUP(F168,Preisliste!C:G,4,FALSE))*B168,0)</f>
        <v>0</v>
      </c>
      <c r="AA168" s="86"/>
      <c r="AB168" s="86"/>
      <c r="AC168" s="86"/>
      <c r="AD168" s="86"/>
      <c r="AE168" s="86"/>
      <c r="AF168" s="86"/>
      <c r="AG168" s="55">
        <f>IF(AND(AH168=1,AL168=1,AP168=1,AND(Kalk1!H28&gt;0,Kalk1!H29&gt;0)),1,0)</f>
        <v>0</v>
      </c>
      <c r="AH168" s="66">
        <f>IF(Kalk1!$AA$19=1,1,0)</f>
        <v>0</v>
      </c>
      <c r="AI168" s="55">
        <v>25</v>
      </c>
      <c r="AK168" s="55" t="s">
        <v>22079</v>
      </c>
      <c r="AL168" s="66">
        <f>IF(OR(OR(Kalk1!$AA$7=2,Kalk1!$AA$7=3),OR(Kalk1!$AA$9=2,Kalk1!$AA$9=3)),1,0)</f>
        <v>0</v>
      </c>
      <c r="AM168" s="55" t="s">
        <v>22092</v>
      </c>
      <c r="AO168" s="55" t="s">
        <v>22079</v>
      </c>
      <c r="AP168" s="66">
        <f>IF(Kalk1!$AI$51=AQ168,1,0)</f>
        <v>0</v>
      </c>
      <c r="AQ168" s="55">
        <v>1750</v>
      </c>
      <c r="AU168" s="66">
        <f>IF(OR(Kalk1!$AA$7=2,Kalk1!$AA$7=3),1,0)</f>
        <v>0</v>
      </c>
      <c r="AV168" s="55" t="s">
        <v>19882</v>
      </c>
      <c r="AW168" s="66">
        <f>IF(OR(Kalk1!$AA$9=2,Kalk1!$AA$9=3),1,0)</f>
        <v>0</v>
      </c>
      <c r="AX168" s="55" t="s">
        <v>20310</v>
      </c>
      <c r="AY168" s="55" t="s">
        <v>22100</v>
      </c>
      <c r="AZ168" s="66">
        <f>(AU168+AW168)*Kalk1!$H$37</f>
        <v>0</v>
      </c>
      <c r="BA168" s="55" t="s">
        <v>22101</v>
      </c>
    </row>
    <row r="169" spans="2:53" ht="24.95" customHeight="1">
      <c r="B169" s="93">
        <f t="shared" si="31"/>
        <v>0</v>
      </c>
      <c r="C169" s="60">
        <v>2150</v>
      </c>
      <c r="D169" s="60"/>
      <c r="E169" s="60" t="str">
        <f>VLOOKUP(1600,Sprachindex!$A:$Z,Erhebungsbogen!$Y$20,FALSE)</f>
        <v>[Stk]</v>
      </c>
      <c r="F169" s="60" t="s">
        <v>21983</v>
      </c>
      <c r="G169" s="514" t="str">
        <f>VLOOKUP(2149,Sprachindex!$A:$Z,Erhebungsbogen!$Y$20,FALSE) &amp; IF(AND(Kalk1!$AA$5=2,Kalk1!$AA$13),", " &amp; VLOOKUP(1645,Sprachindex!$A:$Z,Erhebungsbogen!$Y$20,FALSE) &amp; " " &amp; $U$8,", "&amp; VLOOKUP(1648,Sprachindex!$A:$Z,Erhebungsbogen!$Y$20,FALSE))</f>
        <v>U-Profil 25 (in der Laibung) exkl. Dichtung, gebohrt und entgratet, blank</v>
      </c>
      <c r="H169" s="515"/>
      <c r="I169" s="515"/>
      <c r="J169" s="515"/>
      <c r="K169" s="515"/>
      <c r="L169" s="515"/>
      <c r="M169" s="515"/>
      <c r="N169" s="515"/>
      <c r="O169" s="515"/>
      <c r="P169" s="515"/>
      <c r="Q169" s="515"/>
      <c r="R169" s="515"/>
      <c r="S169" s="515"/>
      <c r="T169" s="516"/>
      <c r="U169" s="352">
        <f>IF(AND(Kalk1!$AA$5=2,Kalk1!$AA$13),VLOOKUP(F169,Preisliste!C:G,5,FALSE),VLOOKUP(F169,Preisliste!C:G,4,FALSE))</f>
        <v>162.9</v>
      </c>
      <c r="V169" s="352">
        <f t="shared" si="30"/>
        <v>0</v>
      </c>
      <c r="W169" s="86"/>
      <c r="X169" s="86"/>
      <c r="Y169" s="86"/>
      <c r="Z169" s="143">
        <f>IF(AND(Kalk1!$AA$5=2,Kalk1!$AA$13),(VLOOKUP(F169,Preisliste!C:G,5,FALSE)-VLOOKUP(F169,Preisliste!C:G,4,FALSE))*B169,0)</f>
        <v>0</v>
      </c>
      <c r="AA169" s="86"/>
      <c r="AB169" s="86"/>
      <c r="AC169" s="86"/>
      <c r="AD169" s="86"/>
      <c r="AE169" s="86"/>
      <c r="AF169" s="86"/>
      <c r="AG169" s="55">
        <f>IF(AND(AH169=1,AL169=1,AP169=1,AND(Kalk1!H28&gt;0,Kalk1!H29&gt;0)),1,0)</f>
        <v>0</v>
      </c>
      <c r="AH169" s="66">
        <f>IF(Kalk1!$AA$19=1,1,0)</f>
        <v>0</v>
      </c>
      <c r="AI169" s="55">
        <v>25</v>
      </c>
      <c r="AK169" s="55" t="s">
        <v>22079</v>
      </c>
      <c r="AL169" s="66">
        <f>IF(OR(OR(Kalk1!$AA$7=2,Kalk1!$AA$7=3),OR(Kalk1!$AA$9=2,Kalk1!$AA$9=3)),1,0)</f>
        <v>0</v>
      </c>
      <c r="AM169" s="55" t="s">
        <v>22092</v>
      </c>
      <c r="AO169" s="55" t="s">
        <v>22079</v>
      </c>
      <c r="AP169" s="66">
        <f>IF(Kalk1!$AI$51=AQ169,1,0)</f>
        <v>0</v>
      </c>
      <c r="AQ169" s="55">
        <v>2150</v>
      </c>
      <c r="AU169" s="66">
        <f>IF(OR(Kalk1!$AA$7=2,Kalk1!$AA$7=3),1,0)</f>
        <v>0</v>
      </c>
      <c r="AV169" s="55" t="s">
        <v>19882</v>
      </c>
      <c r="AW169" s="66">
        <f>IF(OR(Kalk1!$AA$9=2,Kalk1!$AA$9=3),1,0)</f>
        <v>0</v>
      </c>
      <c r="AX169" s="55" t="s">
        <v>20310</v>
      </c>
      <c r="AY169" s="55" t="s">
        <v>22100</v>
      </c>
      <c r="AZ169" s="66">
        <f>(AU169+AW169)*Kalk1!$H$37</f>
        <v>0</v>
      </c>
      <c r="BA169" s="55" t="s">
        <v>22101</v>
      </c>
    </row>
    <row r="170" spans="2:53" ht="24.95" customHeight="1">
      <c r="B170" s="93">
        <f t="shared" si="31"/>
        <v>0</v>
      </c>
      <c r="C170" s="60">
        <f>IF(AG170=1,AS170,0)</f>
        <v>0</v>
      </c>
      <c r="D170" s="60"/>
      <c r="E170" s="60" t="str">
        <f>VLOOKUP(1600,Sprachindex!$A:$Z,Erhebungsbogen!$Y$20,FALSE)</f>
        <v>[Stk]</v>
      </c>
      <c r="F170" s="60" t="s">
        <v>21883</v>
      </c>
      <c r="G170" s="514" t="str">
        <f>VLOOKUP(1858,Sprachindex!$A:$Z,Erhebungsbogen!$Y$20,FALSE)</f>
        <v>U-Profil 25 Sonderlänge exkl. Dichtung, (Stangenware)</v>
      </c>
      <c r="H170" s="515"/>
      <c r="I170" s="515"/>
      <c r="J170" s="515"/>
      <c r="K170" s="515"/>
      <c r="L170" s="515"/>
      <c r="M170" s="515"/>
      <c r="N170" s="515"/>
      <c r="O170" s="515"/>
      <c r="P170" s="515"/>
      <c r="Q170" s="515"/>
      <c r="R170" s="515"/>
      <c r="S170" s="515"/>
      <c r="T170" s="516"/>
      <c r="U170" s="352">
        <f>VLOOKUP(F170,Preisliste!C:G,4,FALSE)</f>
        <v>72</v>
      </c>
      <c r="V170" s="352">
        <f>U170*C170*B170/1000</f>
        <v>0</v>
      </c>
      <c r="W170" s="86"/>
      <c r="X170" s="86"/>
      <c r="Y170" s="86"/>
      <c r="Z170" s="143">
        <f>IF(AND(Kalk1!$AA$5=2,Kalk1!$AA$13),(VLOOKUP(F170,Preisliste!C:G,5,FALSE)-VLOOKUP(F170,Preisliste!C:G,4,FALSE))*B170,0)</f>
        <v>0</v>
      </c>
      <c r="AA170" s="86"/>
      <c r="AB170" s="86"/>
      <c r="AC170" s="86"/>
      <c r="AD170" s="86"/>
      <c r="AE170" s="86"/>
      <c r="AF170" s="86"/>
      <c r="AG170" s="55">
        <f>IF(AND(AH170=1,AL170=1,AP170=1,AND(Kalk1!H28&gt;0,Kalk1!H29&gt;0)),1,0)</f>
        <v>0</v>
      </c>
      <c r="AH170" s="66">
        <f>IF(Kalk1!$AA$19=1,1,0)</f>
        <v>0</v>
      </c>
      <c r="AI170" s="55">
        <v>25</v>
      </c>
      <c r="AK170" s="55" t="s">
        <v>22079</v>
      </c>
      <c r="AL170" s="66">
        <f>IF(OR(OR(Kalk1!$AA$7=1,Kalk1!$AA$7=2,Kalk1!$AA$7=3),OR(Kalk1!$AA$9=1,Kalk1!$AA$9=2,Kalk1!$AA$9=3)),1,0)</f>
        <v>1</v>
      </c>
      <c r="AM170" s="55" t="s">
        <v>22092</v>
      </c>
      <c r="AO170" s="55" t="s">
        <v>22079</v>
      </c>
      <c r="AP170" s="66">
        <f>IF(Kalk1!$AH$52&gt;AQ170,1,0)</f>
        <v>0</v>
      </c>
      <c r="AQ170" s="55">
        <v>2150</v>
      </c>
      <c r="AR170" s="55" t="s">
        <v>22084</v>
      </c>
      <c r="AS170" s="66">
        <f>Kalk1!$AH$52</f>
        <v>0</v>
      </c>
      <c r="AU170" s="66">
        <f>IF(OR(Kalk1!$AA$7=2,Kalk1!$AA$7=3),1,0)</f>
        <v>0</v>
      </c>
      <c r="AV170" s="55" t="s">
        <v>19882</v>
      </c>
      <c r="AW170" s="66">
        <f>IF(OR(Kalk1!$AA$9=2,Kalk1!$AA$9=3),1,0)</f>
        <v>0</v>
      </c>
      <c r="AX170" s="55" t="s">
        <v>20310</v>
      </c>
      <c r="AY170" s="55" t="s">
        <v>22100</v>
      </c>
      <c r="AZ170" s="66">
        <f>(AU170+AW170)*Kalk1!$H$37</f>
        <v>0</v>
      </c>
      <c r="BA170" s="55" t="s">
        <v>22101</v>
      </c>
    </row>
    <row r="171" spans="2:53" ht="24.95" customHeight="1">
      <c r="B171" s="93">
        <f t="shared" si="31"/>
        <v>0</v>
      </c>
      <c r="C171" s="60">
        <v>750</v>
      </c>
      <c r="D171" s="60"/>
      <c r="E171" s="60" t="str">
        <f>VLOOKUP(1600,Sprachindex!$A:$Z,Erhebungsbogen!$Y$20,FALSE)</f>
        <v>[Stk]</v>
      </c>
      <c r="F171" s="60" t="s">
        <v>21886</v>
      </c>
      <c r="G171" s="514" t="str">
        <f>VLOOKUP(1859,Sprachindex!$A:$Z,Erhebungsbogen!$Y$20,FALSE) &amp; IF(AND(Kalk1!$AA$5=2,Kalk1!$AA$13),", " &amp; VLOOKUP(1645,Sprachindex!$A:$Z,Erhebungsbogen!$Y$20,FALSE) &amp; " " &amp; $U$8,", "&amp; VLOOKUP(1648,Sprachindex!$A:$Z,Erhebungsbogen!$Y$20,FALSE))</f>
        <v>U-Profil 50 exkl. Dichtung, gebohrt und entgratet, blank</v>
      </c>
      <c r="H171" s="514"/>
      <c r="I171" s="514"/>
      <c r="J171" s="514"/>
      <c r="K171" s="514"/>
      <c r="L171" s="514"/>
      <c r="M171" s="514"/>
      <c r="N171" s="514"/>
      <c r="O171" s="514"/>
      <c r="P171" s="514"/>
      <c r="Q171" s="514"/>
      <c r="R171" s="514"/>
      <c r="S171" s="514"/>
      <c r="T171" s="514"/>
      <c r="U171" s="352">
        <f>IF(AND(Kalk1!$AA$5=2,Kalk1!$AA$13),VLOOKUP(F171,Preisliste!C:G,5,FALSE),VLOOKUP(F171,Preisliste!C:G,4,FALSE))</f>
        <v>134.25</v>
      </c>
      <c r="V171" s="352">
        <f t="shared" si="30"/>
        <v>0</v>
      </c>
      <c r="W171" s="86"/>
      <c r="X171" s="86"/>
      <c r="Y171" s="86"/>
      <c r="Z171" s="143">
        <f>IF(AND(Kalk1!$AA$5=2,Kalk1!$AA$13),(VLOOKUP(F171,Preisliste!C:G,5,FALSE)-VLOOKUP(F171,Preisliste!C:G,4,FALSE))*B171,0)</f>
        <v>0</v>
      </c>
      <c r="AA171" s="86"/>
      <c r="AB171" s="86"/>
      <c r="AC171" s="86"/>
      <c r="AD171" s="86"/>
      <c r="AE171" s="86"/>
      <c r="AF171" s="86"/>
      <c r="AG171" s="55">
        <f>IF(AND(AH171=1,AL171=1,AP171=1,AND(Kalk1!H28&gt;0,Kalk1!H29&gt;0)),1,0)</f>
        <v>0</v>
      </c>
      <c r="AH171" s="55">
        <f>IF(OR(Kalk1!$AA$19=2,Kalk1!$AA$19=3),1,0)</f>
        <v>1</v>
      </c>
      <c r="AI171" s="55">
        <v>50</v>
      </c>
      <c r="AK171" s="55" t="s">
        <v>22079</v>
      </c>
      <c r="AL171" s="55">
        <f>IF(OR(OR(Kalk1!$AA$7=2,Kalk1!$AA$7=3),OR(Kalk1!$AA$9=2,Kalk1!$AA$9=3)),1,0)</f>
        <v>0</v>
      </c>
      <c r="AM171" s="55" t="s">
        <v>22092</v>
      </c>
      <c r="AO171" s="55" t="s">
        <v>22079</v>
      </c>
      <c r="AP171" s="55">
        <f>IF(Kalk1!$AI$51=AQ171,1,0)</f>
        <v>1</v>
      </c>
      <c r="AQ171" s="55">
        <v>750</v>
      </c>
      <c r="AU171" s="55">
        <f>IF(OR(Kalk1!$AA$7=2,Kalk1!$AA$7=3),1,0)</f>
        <v>0</v>
      </c>
      <c r="AV171" s="55" t="s">
        <v>19882</v>
      </c>
      <c r="AW171" s="55">
        <f>IF(OR(Kalk1!$AA$9=2,Kalk1!$AA$9=3),1,0)</f>
        <v>0</v>
      </c>
      <c r="AX171" s="55" t="s">
        <v>20310</v>
      </c>
      <c r="AY171" s="55" t="s">
        <v>22100</v>
      </c>
      <c r="AZ171" s="55">
        <f>(AU171+AW171)*Kalk1!$H$37</f>
        <v>0</v>
      </c>
      <c r="BA171" s="55" t="s">
        <v>22101</v>
      </c>
    </row>
    <row r="172" spans="2:53" ht="24.95" customHeight="1">
      <c r="B172" s="93">
        <f t="shared" si="31"/>
        <v>0</v>
      </c>
      <c r="C172" s="60">
        <v>1350</v>
      </c>
      <c r="D172" s="60"/>
      <c r="E172" s="60" t="str">
        <f>VLOOKUP(1600,Sprachindex!$A:$Z,Erhebungsbogen!$Y$20,FALSE)</f>
        <v>[Stk]</v>
      </c>
      <c r="F172" s="60" t="s">
        <v>21887</v>
      </c>
      <c r="G172" s="514" t="str">
        <f>VLOOKUP(1859,Sprachindex!$A:$Z,Erhebungsbogen!$Y$20,FALSE) &amp; IF(AND(Kalk1!$AA$5=2,Kalk1!$AA$13),", " &amp; VLOOKUP(1645,Sprachindex!$A:$Z,Erhebungsbogen!$Y$20,FALSE) &amp; " " &amp; $U$8,", "&amp; VLOOKUP(1648,Sprachindex!$A:$Z,Erhebungsbogen!$Y$20,FALSE))</f>
        <v>U-Profil 50 exkl. Dichtung, gebohrt und entgratet, blank</v>
      </c>
      <c r="H172" s="514"/>
      <c r="I172" s="514"/>
      <c r="J172" s="514"/>
      <c r="K172" s="514"/>
      <c r="L172" s="514"/>
      <c r="M172" s="514"/>
      <c r="N172" s="514"/>
      <c r="O172" s="514"/>
      <c r="P172" s="514"/>
      <c r="Q172" s="514"/>
      <c r="R172" s="514"/>
      <c r="S172" s="514"/>
      <c r="T172" s="514"/>
      <c r="U172" s="352">
        <f>IF(AND(Kalk1!$AA$5=2,Kalk1!$AA$13),VLOOKUP(F172,Preisliste!C:G,5,FALSE),VLOOKUP(F172,Preisliste!C:G,4,FALSE))</f>
        <v>206.7</v>
      </c>
      <c r="V172" s="352">
        <f t="shared" si="30"/>
        <v>0</v>
      </c>
      <c r="W172" s="86"/>
      <c r="X172" s="86"/>
      <c r="Y172" s="86"/>
      <c r="Z172" s="143">
        <f>IF(AND(Kalk1!$AA$5=2,Kalk1!$AA$13),(VLOOKUP(F172,Preisliste!C:G,5,FALSE)-VLOOKUP(F172,Preisliste!C:G,4,FALSE))*B172,0)</f>
        <v>0</v>
      </c>
      <c r="AA172" s="86"/>
      <c r="AB172" s="86"/>
      <c r="AC172" s="86"/>
      <c r="AD172" s="86"/>
      <c r="AE172" s="86"/>
      <c r="AF172" s="86"/>
      <c r="AG172" s="55">
        <f>IF(AND(AH172=1,AL172=1,AP172=1,AND(Kalk1!H28&gt;0,Kalk1!H29&gt;0)),1,0)</f>
        <v>0</v>
      </c>
      <c r="AH172" s="66">
        <f>IF(OR(Kalk1!$AA$19=2,Kalk1!$AA$19=3),1,0)</f>
        <v>1</v>
      </c>
      <c r="AI172" s="55">
        <v>50</v>
      </c>
      <c r="AK172" s="55" t="s">
        <v>22079</v>
      </c>
      <c r="AL172" s="66">
        <f>IF(OR(OR(Kalk1!$AA$7=2,Kalk1!$AA$7=3),OR(Kalk1!$AA$9=2,Kalk1!$AA$9=3)),1,0)</f>
        <v>0</v>
      </c>
      <c r="AM172" s="55" t="s">
        <v>22092</v>
      </c>
      <c r="AO172" s="55" t="s">
        <v>22079</v>
      </c>
      <c r="AP172" s="66">
        <f>IF(Kalk1!$AI$51=AQ172,1,0)</f>
        <v>0</v>
      </c>
      <c r="AQ172" s="55">
        <v>1350</v>
      </c>
      <c r="AU172" s="66">
        <f>IF(OR(Kalk1!$AA$7=2,Kalk1!$AA$7=3),1,0)</f>
        <v>0</v>
      </c>
      <c r="AV172" s="55" t="s">
        <v>19882</v>
      </c>
      <c r="AW172" s="66">
        <f>IF(OR(Kalk1!$AA$9=2,Kalk1!$AA$9=3),1,0)</f>
        <v>0</v>
      </c>
      <c r="AX172" s="55" t="s">
        <v>20310</v>
      </c>
      <c r="AY172" s="55" t="s">
        <v>22100</v>
      </c>
      <c r="AZ172" s="66">
        <f>(AU172+AW172)*Kalk1!$H$37</f>
        <v>0</v>
      </c>
      <c r="BA172" s="55" t="s">
        <v>22101</v>
      </c>
    </row>
    <row r="173" spans="2:53" ht="24.95" customHeight="1">
      <c r="B173" s="93">
        <f t="shared" si="31"/>
        <v>0</v>
      </c>
      <c r="C173" s="60">
        <v>1750</v>
      </c>
      <c r="D173" s="60"/>
      <c r="E173" s="60" t="str">
        <f>VLOOKUP(1600,Sprachindex!$A:$Z,Erhebungsbogen!$Y$20,FALSE)</f>
        <v>[Stk]</v>
      </c>
      <c r="F173" s="60" t="s">
        <v>21888</v>
      </c>
      <c r="G173" s="514" t="str">
        <f>VLOOKUP(1859,Sprachindex!$A:$Z,Erhebungsbogen!$Y$20,FALSE) &amp; IF(AND(Kalk1!$AA$5=2,Kalk1!$AA$13),", " &amp; VLOOKUP(1645,Sprachindex!$A:$Z,Erhebungsbogen!$Y$20,FALSE) &amp; " " &amp; $U$8,", "&amp; VLOOKUP(1648,Sprachindex!$A:$Z,Erhebungsbogen!$Y$20,FALSE))</f>
        <v>U-Profil 50 exkl. Dichtung, gebohrt und entgratet, blank</v>
      </c>
      <c r="H173" s="514"/>
      <c r="I173" s="514"/>
      <c r="J173" s="514"/>
      <c r="K173" s="514"/>
      <c r="L173" s="514"/>
      <c r="M173" s="514"/>
      <c r="N173" s="514"/>
      <c r="O173" s="514"/>
      <c r="P173" s="514"/>
      <c r="Q173" s="514"/>
      <c r="R173" s="514"/>
      <c r="S173" s="514"/>
      <c r="T173" s="514"/>
      <c r="U173" s="352">
        <f>IF(AND(Kalk1!$AA$5=2,Kalk1!$AA$13),VLOOKUP(F173,Preisliste!C:G,5,FALSE),VLOOKUP(F173,Preisliste!C:G,4,FALSE))</f>
        <v>256.25</v>
      </c>
      <c r="V173" s="352">
        <f t="shared" si="30"/>
        <v>0</v>
      </c>
      <c r="W173" s="86"/>
      <c r="X173" s="86"/>
      <c r="Y173" s="86"/>
      <c r="Z173" s="143">
        <f>IF(AND(Kalk1!$AA$5=2,Kalk1!$AA$13),(VLOOKUP(F173,Preisliste!C:G,5,FALSE)-VLOOKUP(F173,Preisliste!C:G,4,FALSE))*B173,0)</f>
        <v>0</v>
      </c>
      <c r="AA173" s="86"/>
      <c r="AB173" s="86"/>
      <c r="AC173" s="86"/>
      <c r="AD173" s="86"/>
      <c r="AE173" s="86"/>
      <c r="AF173" s="86"/>
      <c r="AG173" s="55">
        <f>IF(AND(AH173=1,AL173=1,AP173=1,AND(Kalk1!H28&gt;0,Kalk1!H29&gt;0)),1,0)</f>
        <v>0</v>
      </c>
      <c r="AH173" s="66">
        <f>IF(OR(Kalk1!$AA$19=2,Kalk1!$AA$19=3),1,0)</f>
        <v>1</v>
      </c>
      <c r="AI173" s="55">
        <v>50</v>
      </c>
      <c r="AK173" s="55" t="s">
        <v>22079</v>
      </c>
      <c r="AL173" s="66">
        <f>IF(OR(OR(Kalk1!$AA$7=2,Kalk1!$AA$7=3),OR(Kalk1!$AA$9=2,Kalk1!$AA$9=3)),1,0)</f>
        <v>0</v>
      </c>
      <c r="AM173" s="55" t="s">
        <v>22092</v>
      </c>
      <c r="AO173" s="55" t="s">
        <v>22079</v>
      </c>
      <c r="AP173" s="66">
        <f>IF(Kalk1!$AI$51=AQ173,1,0)</f>
        <v>0</v>
      </c>
      <c r="AQ173" s="55">
        <v>1750</v>
      </c>
      <c r="AU173" s="66">
        <f>IF(OR(Kalk1!$AA$7=2,Kalk1!$AA$7=3),1,0)</f>
        <v>0</v>
      </c>
      <c r="AV173" s="55" t="s">
        <v>19882</v>
      </c>
      <c r="AW173" s="66">
        <f>IF(OR(Kalk1!$AA$9=2,Kalk1!$AA$9=3),1,0)</f>
        <v>0</v>
      </c>
      <c r="AX173" s="55" t="s">
        <v>20310</v>
      </c>
      <c r="AY173" s="55" t="s">
        <v>22100</v>
      </c>
      <c r="AZ173" s="66">
        <f>(AU173+AW173)*Kalk1!$H$37</f>
        <v>0</v>
      </c>
      <c r="BA173" s="55" t="s">
        <v>22101</v>
      </c>
    </row>
    <row r="174" spans="2:53" ht="24.95" customHeight="1">
      <c r="B174" s="93">
        <f t="shared" si="31"/>
        <v>0</v>
      </c>
      <c r="C174" s="60">
        <v>2150</v>
      </c>
      <c r="D174" s="60"/>
      <c r="E174" s="60" t="str">
        <f>VLOOKUP(1600,Sprachindex!$A:$Z,Erhebungsbogen!$Y$20,FALSE)</f>
        <v>[Stk]</v>
      </c>
      <c r="F174" s="60" t="s">
        <v>21889</v>
      </c>
      <c r="G174" s="514" t="str">
        <f>VLOOKUP(1859,Sprachindex!$A:$Z,Erhebungsbogen!$Y$20,FALSE) &amp; IF(AND(Kalk1!$AA$5=2,Kalk1!$AA$13),", " &amp; VLOOKUP(1645,Sprachindex!$A:$Z,Erhebungsbogen!$Y$20,FALSE) &amp; " " &amp; $U$8,", "&amp; VLOOKUP(1648,Sprachindex!$A:$Z,Erhebungsbogen!$Y$20,FALSE))</f>
        <v>U-Profil 50 exkl. Dichtung, gebohrt und entgratet, blank</v>
      </c>
      <c r="H174" s="514"/>
      <c r="I174" s="514"/>
      <c r="J174" s="514"/>
      <c r="K174" s="514"/>
      <c r="L174" s="514"/>
      <c r="M174" s="514"/>
      <c r="N174" s="514"/>
      <c r="O174" s="514"/>
      <c r="P174" s="514"/>
      <c r="Q174" s="514"/>
      <c r="R174" s="514"/>
      <c r="S174" s="514"/>
      <c r="T174" s="514"/>
      <c r="U174" s="352">
        <f>IF(AND(Kalk1!$AA$5=2,Kalk1!$AA$13),VLOOKUP(F174,Preisliste!C:G,5,FALSE),VLOOKUP(F174,Preisliste!C:G,4,FALSE))</f>
        <v>306.5</v>
      </c>
      <c r="V174" s="352">
        <f t="shared" si="30"/>
        <v>0</v>
      </c>
      <c r="W174" s="86"/>
      <c r="X174" s="86"/>
      <c r="Y174" s="86"/>
      <c r="Z174" s="143">
        <f>IF(AND(Kalk1!$AA$5=2,Kalk1!$AA$13),(VLOOKUP(F174,Preisliste!C:G,5,FALSE)-VLOOKUP(F174,Preisliste!C:G,4,FALSE))*B174,0)</f>
        <v>0</v>
      </c>
      <c r="AA174" s="86"/>
      <c r="AB174" s="86"/>
      <c r="AC174" s="86"/>
      <c r="AD174" s="86"/>
      <c r="AE174" s="86"/>
      <c r="AF174" s="86"/>
      <c r="AG174" s="55">
        <f>IF(AND(AH174=1,AL174=1,AP174=1,AND(Kalk1!H28&gt;0,Kalk1!H29&gt;0)),1,0)</f>
        <v>0</v>
      </c>
      <c r="AH174" s="66">
        <f>IF(OR(Kalk1!$AA$19=2,Kalk1!$AA$19=3),1,0)</f>
        <v>1</v>
      </c>
      <c r="AI174" s="55">
        <v>50</v>
      </c>
      <c r="AK174" s="55" t="s">
        <v>22079</v>
      </c>
      <c r="AL174" s="66">
        <f>IF(OR(OR(Kalk1!$AA$7=2,Kalk1!$AA$7=3),OR(Kalk1!$AA$9=2,Kalk1!$AA$9=3)),1,0)</f>
        <v>0</v>
      </c>
      <c r="AM174" s="55" t="s">
        <v>22092</v>
      </c>
      <c r="AO174" s="55" t="s">
        <v>22079</v>
      </c>
      <c r="AP174" s="66">
        <f>IF(Kalk1!$AI$51=AQ174,1,0)</f>
        <v>0</v>
      </c>
      <c r="AQ174" s="55">
        <v>2150</v>
      </c>
      <c r="AU174" s="66">
        <f>IF(OR(Kalk1!$AA$7=2,Kalk1!$AA$7=3),1,0)</f>
        <v>0</v>
      </c>
      <c r="AV174" s="55" t="s">
        <v>19882</v>
      </c>
      <c r="AW174" s="66">
        <f>IF(OR(Kalk1!$AA$9=2,Kalk1!$AA$9=3),1,0)</f>
        <v>0</v>
      </c>
      <c r="AX174" s="55" t="s">
        <v>20310</v>
      </c>
      <c r="AY174" s="55" t="s">
        <v>22100</v>
      </c>
      <c r="AZ174" s="66">
        <f>(AU174+AW174)*Kalk1!$H$37</f>
        <v>0</v>
      </c>
      <c r="BA174" s="55" t="s">
        <v>22101</v>
      </c>
    </row>
    <row r="175" spans="2:53" ht="24.95" customHeight="1">
      <c r="B175" s="93">
        <f t="shared" ref="B175" si="32">IF(AG175=1,AZ175,0)</f>
        <v>0</v>
      </c>
      <c r="C175" s="60">
        <f>IF(AG175=1,AS175,0)</f>
        <v>0</v>
      </c>
      <c r="D175" s="60"/>
      <c r="E175" s="60" t="str">
        <f>VLOOKUP(1600,Sprachindex!$A:$Z,Erhebungsbogen!$Y$20,FALSE)</f>
        <v>[Stk]</v>
      </c>
      <c r="F175" s="60" t="s">
        <v>21890</v>
      </c>
      <c r="G175" s="514" t="str">
        <f>VLOOKUP(1860,Sprachindex!$A:$Z,Erhebungsbogen!$Y$20,FALSE)</f>
        <v>U-Profil 50 Sonderlänge exkl. Dichtung, (Stangenware)</v>
      </c>
      <c r="H175" s="514"/>
      <c r="I175" s="514"/>
      <c r="J175" s="514"/>
      <c r="K175" s="514"/>
      <c r="L175" s="514"/>
      <c r="M175" s="514"/>
      <c r="N175" s="514"/>
      <c r="O175" s="514"/>
      <c r="P175" s="514"/>
      <c r="Q175" s="514"/>
      <c r="R175" s="514"/>
      <c r="S175" s="514"/>
      <c r="T175" s="514"/>
      <c r="U175" s="352">
        <f>VLOOKUP(F175,Preisliste!C:G,4,FALSE)</f>
        <v>117.2</v>
      </c>
      <c r="V175" s="352">
        <f>U175*C175*B175/1000</f>
        <v>0</v>
      </c>
      <c r="W175" s="86"/>
      <c r="X175" s="86"/>
      <c r="Y175" s="86"/>
      <c r="Z175" s="143">
        <f>IF(AND(Kalk1!$AA$5=2,Kalk1!$AA$13),(VLOOKUP(F175,Preisliste!C:G,5,FALSE)-VLOOKUP(F175,Preisliste!C:G,4,FALSE))*B175,0)</f>
        <v>0</v>
      </c>
      <c r="AA175" s="86"/>
      <c r="AB175" s="86"/>
      <c r="AC175" s="86"/>
      <c r="AD175" s="86"/>
      <c r="AE175" s="86"/>
      <c r="AF175" s="86"/>
      <c r="AG175" s="55">
        <f>IF(AND(AH175=1,AL175=1,AP175=1,AND(Kalk1!H28&gt;0,Kalk1!H29&gt;0)),1,0)</f>
        <v>0</v>
      </c>
      <c r="AH175" s="66">
        <f>IF(OR(Kalk1!$AA$19=2,Kalk1!$AA$19=3),1,0)</f>
        <v>1</v>
      </c>
      <c r="AI175" s="55">
        <v>50</v>
      </c>
      <c r="AK175" s="55" t="s">
        <v>22079</v>
      </c>
      <c r="AL175" s="66">
        <f>IF(OR(OR(Kalk1!$AA$7=2,Kalk1!$AA$7=3),OR(Kalk1!$AA$9=2,Kalk1!$AA$9=3)),1,0)</f>
        <v>0</v>
      </c>
      <c r="AM175" s="55" t="s">
        <v>22092</v>
      </c>
      <c r="AO175" s="55" t="s">
        <v>22079</v>
      </c>
      <c r="AP175" s="66">
        <f>IF(Kalk1!$AH$52&gt;AQ175,1,0)</f>
        <v>0</v>
      </c>
      <c r="AQ175" s="55">
        <v>2150</v>
      </c>
      <c r="AR175" s="55" t="s">
        <v>22084</v>
      </c>
      <c r="AS175" s="66">
        <f>Kalk1!$AH$52</f>
        <v>0</v>
      </c>
      <c r="AU175" s="66">
        <f>IF(OR(Kalk1!$AA$7=2,Kalk1!$AA$7=3),1,0)</f>
        <v>0</v>
      </c>
      <c r="AV175" s="55" t="s">
        <v>19882</v>
      </c>
      <c r="AW175" s="66">
        <f>IF(OR(Kalk1!$AA$9=2,Kalk1!$AA$9=3),1,0)</f>
        <v>0</v>
      </c>
      <c r="AX175" s="55" t="s">
        <v>20310</v>
      </c>
      <c r="AY175" s="55" t="s">
        <v>22100</v>
      </c>
      <c r="AZ175" s="66">
        <f>(AU175+AW175)*Kalk1!$H$37</f>
        <v>0</v>
      </c>
      <c r="BA175" s="55" t="s">
        <v>22101</v>
      </c>
    </row>
    <row r="176" spans="2:53" ht="24.95" customHeight="1">
      <c r="B176" s="93">
        <f t="shared" si="31"/>
        <v>0</v>
      </c>
      <c r="C176" s="60">
        <v>750</v>
      </c>
      <c r="D176" s="60"/>
      <c r="E176" s="60" t="str">
        <f>VLOOKUP(1600,Sprachindex!$A:$Z,Erhebungsbogen!$Y$20,FALSE)</f>
        <v>[Stk]</v>
      </c>
      <c r="F176" s="60" t="s">
        <v>21891</v>
      </c>
      <c r="G176" s="514" t="str">
        <f>VLOOKUP(1861,Sprachindex!$A:$Z,Erhebungsbogen!$Y$20,FALSE) &amp; IF(AND(Kalk1!$AA$5=2,Kalk1!$AA$13),", " &amp; VLOOKUP(1645,Sprachindex!$A:$Z,Erhebungsbogen!$Y$20,FALSE) &amp; " " &amp; $U$8,", "&amp; VLOOKUP(1648,Sprachindex!$A:$Z,Erhebungsbogen!$Y$20,FALSE))</f>
        <v>U-Profil 80 exkl. Dichtung, gebohrt und entgratet, blank</v>
      </c>
      <c r="H176" s="514"/>
      <c r="I176" s="514"/>
      <c r="J176" s="514"/>
      <c r="K176" s="514"/>
      <c r="L176" s="514"/>
      <c r="M176" s="514"/>
      <c r="N176" s="514"/>
      <c r="O176" s="514"/>
      <c r="P176" s="514"/>
      <c r="Q176" s="514"/>
      <c r="R176" s="514"/>
      <c r="S176" s="514"/>
      <c r="T176" s="514"/>
      <c r="U176" s="352">
        <f>IF(AND(Kalk1!$AA$5=2,Kalk1!$AA$13),VLOOKUP(F176,Preisliste!C:G,5,FALSE),VLOOKUP(F176,Preisliste!C:G,4,FALSE))</f>
        <v>153.25</v>
      </c>
      <c r="V176" s="352">
        <f t="shared" si="30"/>
        <v>0</v>
      </c>
      <c r="W176" s="86"/>
      <c r="X176" s="86"/>
      <c r="Y176" s="86"/>
      <c r="Z176" s="143">
        <f>IF(AND(Kalk1!$AA$5=2,Kalk1!$AA$13),(VLOOKUP(F176,Preisliste!C:G,5,FALSE)-VLOOKUP(F176,Preisliste!C:G,4,FALSE))*B176,0)</f>
        <v>0</v>
      </c>
      <c r="AA176" s="86"/>
      <c r="AB176" s="86"/>
      <c r="AC176" s="86"/>
      <c r="AD176" s="86"/>
      <c r="AE176" s="86"/>
      <c r="AF176" s="86"/>
      <c r="AG176" s="55">
        <f>IF(AND(AH176=1,AL176=1,AP176=1,AND(Kalk1!H28&gt;0,Kalk1!H29&gt;0)),1,0)</f>
        <v>0</v>
      </c>
      <c r="AH176" s="66">
        <f>IF(Kalk1!$AA$19=4,1,0)</f>
        <v>0</v>
      </c>
      <c r="AI176" s="55">
        <v>80</v>
      </c>
      <c r="AK176" s="55" t="s">
        <v>22079</v>
      </c>
      <c r="AL176" s="66">
        <f>IF(OR(OR(Kalk1!$AA$7=2,Kalk1!$AA$7=3),OR(Kalk1!$AA$9=2,Kalk1!$AA$9=3)),1,0)</f>
        <v>0</v>
      </c>
      <c r="AM176" s="55" t="s">
        <v>22092</v>
      </c>
      <c r="AO176" s="55" t="s">
        <v>22079</v>
      </c>
      <c r="AP176" s="66">
        <f>IF(Kalk1!$AI$51=AQ176,1,0)</f>
        <v>1</v>
      </c>
      <c r="AQ176" s="55">
        <v>750</v>
      </c>
      <c r="AU176" s="66">
        <f>IF(OR(Kalk1!$AA$7=2,Kalk1!$AA$7=3),1,0)</f>
        <v>0</v>
      </c>
      <c r="AV176" s="55" t="s">
        <v>19882</v>
      </c>
      <c r="AW176" s="66">
        <f>IF(OR(Kalk1!$AA$9=2,Kalk1!$AA$9=3),1,0)</f>
        <v>0</v>
      </c>
      <c r="AX176" s="55" t="s">
        <v>20310</v>
      </c>
      <c r="AY176" s="55" t="s">
        <v>22100</v>
      </c>
      <c r="AZ176" s="66">
        <f>(AU176+AW176)*Kalk1!$H$37</f>
        <v>0</v>
      </c>
      <c r="BA176" s="55" t="s">
        <v>22101</v>
      </c>
    </row>
    <row r="177" spans="2:53" ht="24.95" customHeight="1">
      <c r="B177" s="93">
        <f t="shared" si="31"/>
        <v>0</v>
      </c>
      <c r="C177" s="60">
        <v>1350</v>
      </c>
      <c r="D177" s="60"/>
      <c r="E177" s="60" t="str">
        <f>VLOOKUP(1600,Sprachindex!$A:$Z,Erhebungsbogen!$Y$20,FALSE)</f>
        <v>[Stk]</v>
      </c>
      <c r="F177" s="60" t="s">
        <v>21892</v>
      </c>
      <c r="G177" s="514" t="str">
        <f>VLOOKUP(1861,Sprachindex!$A:$Z,Erhebungsbogen!$Y$20,FALSE) &amp; IF(AND(Kalk1!$AA$5=2,Kalk1!$AA$13),", " &amp; VLOOKUP(1645,Sprachindex!$A:$Z,Erhebungsbogen!$Y$20,FALSE) &amp; " " &amp; $U$8,", "&amp; VLOOKUP(1648,Sprachindex!$A:$Z,Erhebungsbogen!$Y$20,FALSE))</f>
        <v>U-Profil 80 exkl. Dichtung, gebohrt und entgratet, blank</v>
      </c>
      <c r="H177" s="514"/>
      <c r="I177" s="514"/>
      <c r="J177" s="514"/>
      <c r="K177" s="514"/>
      <c r="L177" s="514"/>
      <c r="M177" s="514"/>
      <c r="N177" s="514"/>
      <c r="O177" s="514"/>
      <c r="P177" s="514"/>
      <c r="Q177" s="514"/>
      <c r="R177" s="514"/>
      <c r="S177" s="514"/>
      <c r="T177" s="514"/>
      <c r="U177" s="352">
        <f>IF(AND(Kalk1!$AA$5=2,Kalk1!$AA$13),VLOOKUP(F177,Preisliste!C:G,5,FALSE),VLOOKUP(F177,Preisliste!C:G,4,FALSE))</f>
        <v>239.85</v>
      </c>
      <c r="V177" s="352">
        <f t="shared" si="30"/>
        <v>0</v>
      </c>
      <c r="W177" s="86"/>
      <c r="X177" s="86"/>
      <c r="Y177" s="86"/>
      <c r="Z177" s="143">
        <f>IF(AND(Kalk1!$AA$5=2,Kalk1!$AA$13),(VLOOKUP(F177,Preisliste!C:G,5,FALSE)-VLOOKUP(F177,Preisliste!C:G,4,FALSE))*B177,0)</f>
        <v>0</v>
      </c>
      <c r="AA177" s="86"/>
      <c r="AB177" s="86"/>
      <c r="AC177" s="86"/>
      <c r="AD177" s="86"/>
      <c r="AE177" s="86"/>
      <c r="AF177" s="86"/>
      <c r="AG177" s="55">
        <f>IF(AND(AH177=1,AL177=1,AP177=1,AND(Kalk1!H28&gt;0,Kalk1!H29&gt;0)),1,0)</f>
        <v>0</v>
      </c>
      <c r="AH177" s="66">
        <f>IF(Kalk1!$AA$19=4,1,0)</f>
        <v>0</v>
      </c>
      <c r="AI177" s="55">
        <v>80</v>
      </c>
      <c r="AK177" s="55" t="s">
        <v>22079</v>
      </c>
      <c r="AL177" s="66">
        <f>IF(OR(OR(Kalk1!$AA$7=2,Kalk1!$AA$7=3),OR(Kalk1!$AA$9=2,Kalk1!$AA$9=3)),1,0)</f>
        <v>0</v>
      </c>
      <c r="AM177" s="55" t="s">
        <v>22092</v>
      </c>
      <c r="AO177" s="55" t="s">
        <v>22079</v>
      </c>
      <c r="AP177" s="66">
        <f>IF(Kalk1!$AI$51=AQ177,1,0)</f>
        <v>0</v>
      </c>
      <c r="AQ177" s="55">
        <v>1350</v>
      </c>
      <c r="AU177" s="66">
        <f>IF(OR(Kalk1!$AA$7=2,Kalk1!$AA$7=3),1,0)</f>
        <v>0</v>
      </c>
      <c r="AV177" s="55" t="s">
        <v>19882</v>
      </c>
      <c r="AW177" s="66">
        <f>IF(OR(Kalk1!$AA$9=2,Kalk1!$AA$9=3),1,0)</f>
        <v>0</v>
      </c>
      <c r="AX177" s="55" t="s">
        <v>20310</v>
      </c>
      <c r="AY177" s="55" t="s">
        <v>22100</v>
      </c>
      <c r="AZ177" s="66">
        <f>(AU177+AW177)*Kalk1!$H$37</f>
        <v>0</v>
      </c>
      <c r="BA177" s="55" t="s">
        <v>22101</v>
      </c>
    </row>
    <row r="178" spans="2:53" ht="24.95" customHeight="1">
      <c r="B178" s="93">
        <f t="shared" si="31"/>
        <v>0</v>
      </c>
      <c r="C178" s="60">
        <v>1750</v>
      </c>
      <c r="D178" s="60"/>
      <c r="E178" s="60" t="str">
        <f>VLOOKUP(1600,Sprachindex!$A:$Z,Erhebungsbogen!$Y$20,FALSE)</f>
        <v>[Stk]</v>
      </c>
      <c r="F178" s="60" t="s">
        <v>21893</v>
      </c>
      <c r="G178" s="514" t="str">
        <f>VLOOKUP(1861,Sprachindex!$A:$Z,Erhebungsbogen!$Y$20,FALSE) &amp; IF(AND(Kalk1!$AA$5=2,Kalk1!$AA$13),", " &amp; VLOOKUP(1645,Sprachindex!$A:$Z,Erhebungsbogen!$Y$20,FALSE) &amp; " " &amp; $U$8,", "&amp; VLOOKUP(1648,Sprachindex!$A:$Z,Erhebungsbogen!$Y$20,FALSE))</f>
        <v>U-Profil 80 exkl. Dichtung, gebohrt und entgratet, blank</v>
      </c>
      <c r="H178" s="514"/>
      <c r="I178" s="514"/>
      <c r="J178" s="514"/>
      <c r="K178" s="514"/>
      <c r="L178" s="514"/>
      <c r="M178" s="514"/>
      <c r="N178" s="514"/>
      <c r="O178" s="514"/>
      <c r="P178" s="514"/>
      <c r="Q178" s="514"/>
      <c r="R178" s="514"/>
      <c r="S178" s="514"/>
      <c r="T178" s="514"/>
      <c r="U178" s="352">
        <f>IF(AND(Kalk1!$AA$5=2,Kalk1!$AA$13),VLOOKUP(F178,Preisliste!C:G,5,FALSE),VLOOKUP(F178,Preisliste!C:G,4,FALSE))</f>
        <v>298.89999999999998</v>
      </c>
      <c r="V178" s="352">
        <f t="shared" si="30"/>
        <v>0</v>
      </c>
      <c r="W178" s="86"/>
      <c r="X178" s="86"/>
      <c r="Y178" s="86"/>
      <c r="Z178" s="143">
        <f>IF(AND(Kalk1!$AA$5=2,Kalk1!$AA$13),(VLOOKUP(F178,Preisliste!C:G,5,FALSE)-VLOOKUP(F178,Preisliste!C:G,4,FALSE))*B178,0)</f>
        <v>0</v>
      </c>
      <c r="AA178" s="86"/>
      <c r="AB178" s="86"/>
      <c r="AC178" s="86"/>
      <c r="AD178" s="86"/>
      <c r="AE178" s="86"/>
      <c r="AF178" s="86"/>
      <c r="AG178" s="55">
        <f>IF(AND(AH178=1,AL178=1,AP178=1,AND(Kalk1!H28&gt;0,Kalk1!H29&gt;0)),1,0)</f>
        <v>0</v>
      </c>
      <c r="AH178" s="66">
        <f>IF(Kalk1!$AA$19=4,1,0)</f>
        <v>0</v>
      </c>
      <c r="AI178" s="55">
        <v>80</v>
      </c>
      <c r="AK178" s="55" t="s">
        <v>22079</v>
      </c>
      <c r="AL178" s="66">
        <f>IF(OR(OR(Kalk1!$AA$7=2,Kalk1!$AA$7=3),OR(Kalk1!$AA$9=2,Kalk1!$AA$9=3)),1,0)</f>
        <v>0</v>
      </c>
      <c r="AM178" s="55" t="s">
        <v>22092</v>
      </c>
      <c r="AO178" s="55" t="s">
        <v>22079</v>
      </c>
      <c r="AP178" s="66">
        <f>IF(Kalk1!$AI$51=AQ178,1,0)</f>
        <v>0</v>
      </c>
      <c r="AQ178" s="55">
        <v>1750</v>
      </c>
      <c r="AU178" s="66">
        <f>IF(OR(Kalk1!$AA$7=2,Kalk1!$AA$7=3),1,0)</f>
        <v>0</v>
      </c>
      <c r="AV178" s="55" t="s">
        <v>19882</v>
      </c>
      <c r="AW178" s="66">
        <f>IF(OR(Kalk1!$AA$9=2,Kalk1!$AA$9=3),1,0)</f>
        <v>0</v>
      </c>
      <c r="AX178" s="55" t="s">
        <v>20310</v>
      </c>
      <c r="AY178" s="55" t="s">
        <v>22100</v>
      </c>
      <c r="AZ178" s="66">
        <f>(AU178+AW178)*Kalk1!$H$37</f>
        <v>0</v>
      </c>
      <c r="BA178" s="55" t="s">
        <v>22101</v>
      </c>
    </row>
    <row r="179" spans="2:53" ht="24.95" customHeight="1">
      <c r="B179" s="93">
        <f t="shared" si="31"/>
        <v>0</v>
      </c>
      <c r="C179" s="60">
        <v>2150</v>
      </c>
      <c r="D179" s="60"/>
      <c r="E179" s="60" t="str">
        <f>VLOOKUP(1600,Sprachindex!$A:$Z,Erhebungsbogen!$Y$20,FALSE)</f>
        <v>[Stk]</v>
      </c>
      <c r="F179" s="60" t="s">
        <v>21894</v>
      </c>
      <c r="G179" s="514" t="str">
        <f>VLOOKUP(1861,Sprachindex!$A:$Z,Erhebungsbogen!$Y$20,FALSE) &amp; IF(AND(Kalk1!$AA$5=2,Kalk1!$AA$13),", " &amp; VLOOKUP(1645,Sprachindex!$A:$Z,Erhebungsbogen!$Y$20,FALSE) &amp; " " &amp; $U$8,", "&amp; VLOOKUP(1648,Sprachindex!$A:$Z,Erhebungsbogen!$Y$20,FALSE))</f>
        <v>U-Profil 80 exkl. Dichtung, gebohrt und entgratet, blank</v>
      </c>
      <c r="H179" s="514"/>
      <c r="I179" s="514"/>
      <c r="J179" s="514"/>
      <c r="K179" s="514"/>
      <c r="L179" s="514"/>
      <c r="M179" s="514"/>
      <c r="N179" s="514"/>
      <c r="O179" s="514"/>
      <c r="P179" s="514"/>
      <c r="Q179" s="514"/>
      <c r="R179" s="514"/>
      <c r="S179" s="514"/>
      <c r="T179" s="514"/>
      <c r="U179" s="352">
        <f>IF(AND(Kalk1!$AA$5=2,Kalk1!$AA$13),VLOOKUP(F179,Preisliste!C:G,5,FALSE),VLOOKUP(F179,Preisliste!C:G,4,FALSE))</f>
        <v>359</v>
      </c>
      <c r="V179" s="352">
        <f t="shared" si="30"/>
        <v>0</v>
      </c>
      <c r="W179" s="86"/>
      <c r="X179" s="86"/>
      <c r="Y179" s="86"/>
      <c r="Z179" s="143">
        <f>IF(AND(Kalk1!$AA$5=2,Kalk1!$AA$13),(VLOOKUP(F179,Preisliste!C:G,5,FALSE)-VLOOKUP(F179,Preisliste!C:G,4,FALSE))*B179,0)</f>
        <v>0</v>
      </c>
      <c r="AA179" s="86"/>
      <c r="AB179" s="86"/>
      <c r="AC179" s="86"/>
      <c r="AD179" s="86"/>
      <c r="AE179" s="86"/>
      <c r="AF179" s="86"/>
      <c r="AG179" s="55">
        <f>IF(AND(AH179=1,AL179=1,AP179=1,AND(Kalk1!H28&gt;0,Kalk1!H29&gt;0)),1,0)</f>
        <v>0</v>
      </c>
      <c r="AH179" s="66">
        <f>IF(Kalk1!$AA$19=4,1,0)</f>
        <v>0</v>
      </c>
      <c r="AI179" s="55">
        <v>80</v>
      </c>
      <c r="AK179" s="55" t="s">
        <v>22079</v>
      </c>
      <c r="AL179" s="66">
        <f>IF(OR(OR(Kalk1!$AA$7=2,Kalk1!$AA$7=3),OR(Kalk1!$AA$9=2,Kalk1!$AA$9=3)),1,0)</f>
        <v>0</v>
      </c>
      <c r="AM179" s="55" t="s">
        <v>22092</v>
      </c>
      <c r="AO179" s="55" t="s">
        <v>22079</v>
      </c>
      <c r="AP179" s="66">
        <f>IF(Kalk1!$AI$51=AQ179,1,0)</f>
        <v>0</v>
      </c>
      <c r="AQ179" s="55">
        <v>2150</v>
      </c>
      <c r="AU179" s="66">
        <f>IF(OR(Kalk1!$AA$7=2,Kalk1!$AA$7=3),1,0)</f>
        <v>0</v>
      </c>
      <c r="AV179" s="55" t="s">
        <v>19882</v>
      </c>
      <c r="AW179" s="66">
        <f>IF(OR(Kalk1!$AA$9=2,Kalk1!$AA$9=3),1,0)</f>
        <v>0</v>
      </c>
      <c r="AX179" s="55" t="s">
        <v>20310</v>
      </c>
      <c r="AY179" s="55" t="s">
        <v>22100</v>
      </c>
      <c r="AZ179" s="66">
        <f>(AU179+AW179)*Kalk1!$H$37</f>
        <v>0</v>
      </c>
      <c r="BA179" s="55" t="s">
        <v>22101</v>
      </c>
    </row>
    <row r="180" spans="2:53" ht="24.95" customHeight="1">
      <c r="B180" s="93">
        <f t="shared" ref="B180" si="33">IF(AG180=1,AZ180,0)</f>
        <v>0</v>
      </c>
      <c r="C180" s="60">
        <f>IF(AG180=1,AS180,0)</f>
        <v>0</v>
      </c>
      <c r="D180" s="60"/>
      <c r="E180" s="60" t="str">
        <f>VLOOKUP(1600,Sprachindex!$A:$Z,Erhebungsbogen!$Y$20,FALSE)</f>
        <v>[Stk]</v>
      </c>
      <c r="F180" s="60" t="s">
        <v>21895</v>
      </c>
      <c r="G180" s="514" t="str">
        <f>VLOOKUP(1862,Sprachindex!$A:$Z,Erhebungsbogen!$Y$20,FALSE)</f>
        <v>U-Profil 80 Sonderlänge exkl. Dichtung, (Stangenware)</v>
      </c>
      <c r="H180" s="514"/>
      <c r="I180" s="514"/>
      <c r="J180" s="514"/>
      <c r="K180" s="514"/>
      <c r="L180" s="514"/>
      <c r="M180" s="514"/>
      <c r="N180" s="514"/>
      <c r="O180" s="514"/>
      <c r="P180" s="514"/>
      <c r="Q180" s="514"/>
      <c r="R180" s="514"/>
      <c r="S180" s="514"/>
      <c r="T180" s="514"/>
      <c r="U180" s="352">
        <f>VLOOKUP(F180,Preisliste!C:G,4,FALSE)</f>
        <v>141.35</v>
      </c>
      <c r="V180" s="352">
        <f>U180*C180*B180/1000</f>
        <v>0</v>
      </c>
      <c r="W180" s="86"/>
      <c r="X180" s="86"/>
      <c r="Y180" s="86"/>
      <c r="Z180" s="143">
        <f>IF(AND(Kalk1!$AA$5=2,Kalk1!$AA$13),(VLOOKUP(F180,Preisliste!C:G,5,FALSE)-VLOOKUP(F180,Preisliste!C:G,4,FALSE))*B180,0)</f>
        <v>0</v>
      </c>
      <c r="AA180" s="86"/>
      <c r="AB180" s="86"/>
      <c r="AC180" s="86"/>
      <c r="AD180" s="86"/>
      <c r="AE180" s="86"/>
      <c r="AF180" s="86"/>
      <c r="AG180" s="55">
        <f>IF(AND(AH180=1,AL180=1,AP180=1,AND(Kalk1!H28&gt;0,Kalk1!H29&gt;0)),1,0)</f>
        <v>0</v>
      </c>
      <c r="AH180" s="66">
        <f>IF(Kalk1!$AA$19=4,1,0)</f>
        <v>0</v>
      </c>
      <c r="AI180" s="55">
        <v>80</v>
      </c>
      <c r="AK180" s="55" t="s">
        <v>22079</v>
      </c>
      <c r="AL180" s="66">
        <f>IF(OR(OR(Kalk1!$AA$7=2,Kalk1!$AA$7=3),OR(Kalk1!$AA$9=2,Kalk1!$AA$9=3)),1,0)</f>
        <v>0</v>
      </c>
      <c r="AM180" s="55" t="s">
        <v>22092</v>
      </c>
      <c r="AO180" s="55" t="s">
        <v>22079</v>
      </c>
      <c r="AP180" s="66">
        <f>IF(Kalk1!$AH$52&gt;AQ180,1,0)</f>
        <v>0</v>
      </c>
      <c r="AQ180" s="55">
        <v>2150</v>
      </c>
      <c r="AR180" s="55" t="s">
        <v>22084</v>
      </c>
      <c r="AS180" s="66">
        <f>Kalk1!$AH$52</f>
        <v>0</v>
      </c>
      <c r="AU180" s="66">
        <f>IF(OR(Kalk1!$AA$7=2,Kalk1!$AA$7=3),1,0)</f>
        <v>0</v>
      </c>
      <c r="AV180" s="55" t="s">
        <v>19882</v>
      </c>
      <c r="AW180" s="66">
        <f>IF(OR(Kalk1!$AA$9=2,Kalk1!$AA$9=3),1,0)</f>
        <v>0</v>
      </c>
      <c r="AX180" s="55" t="s">
        <v>20310</v>
      </c>
      <c r="AY180" s="55" t="s">
        <v>22100</v>
      </c>
      <c r="AZ180" s="66">
        <f>(AU180+AW180)*Kalk1!$H$37</f>
        <v>0</v>
      </c>
      <c r="BA180" s="55" t="s">
        <v>22101</v>
      </c>
    </row>
    <row r="181" spans="2:53">
      <c r="B181" s="91">
        <v>1</v>
      </c>
      <c r="R181" s="56"/>
      <c r="U181" s="56" t="str">
        <f>IF(AND(AB16=1,OR(AB17=1,AB18&gt;=300),AB19&gt;=Preisliste!G176,X19=0),AA181,AB181)</f>
        <v>Summe</v>
      </c>
      <c r="V181" s="355">
        <f>AB19</f>
        <v>0</v>
      </c>
      <c r="AA181" s="55" t="str">
        <f>VLOOKUP(1700,Sprachindex!$A:$Z,Erhebungsbogen!$Y$20,FALSE)</f>
        <v>Endsumme exkl. MwSt.</v>
      </c>
      <c r="AB181" s="55" t="str">
        <f>VLOOKUP(1491,Sprachindex!$A:$Z,Erhebungsbogen!$Y$20,FALSE)</f>
        <v>Summe</v>
      </c>
    </row>
    <row r="182" spans="2:53">
      <c r="B182" s="91">
        <v>1</v>
      </c>
      <c r="R182" s="56"/>
      <c r="U182" s="56" t="str">
        <f>IF(U181=AB181,IF(X19&lt;&gt;0,AA182,IF(AB19&lt;Preisliste!G176,AB182,IF(AND(AB17=2,AJ206&lt;Preisliste!G171),AC182,IF(AB16=2,AD182,0)))),"")</f>
        <v>Rabatt -10 %</v>
      </c>
      <c r="V182" s="355">
        <f>IF(U182=AA182,V181/100*X19,IF(U182=AB182,Preisliste!G175,IF(U182=AC182,Preisliste!G170,IF(U182=AD182,V181/100*Haftungsausschluß!M43,""))))</f>
        <v>0</v>
      </c>
      <c r="AA182" s="55" t="str">
        <f>VLOOKUP(1790,Sprachindex!$A:$Z,Erhebungsbogen!$Y$20,FALSE) &amp; " " &amp; X19 &amp;" %"</f>
        <v>Rabatt -10 %</v>
      </c>
      <c r="AB182" s="55" t="str">
        <f>VLOOKUP(1713,Sprachindex!$A:$Z,Erhebungsbogen!$Y$20,FALSE)</f>
        <v>Frachtkosten</v>
      </c>
      <c r="AC182" s="55" t="str">
        <f>VLOOKUP(2150,Sprachindex!$A:$Z,Erhebungsbogen!$Y$20,FALSE)</f>
        <v>Beschichtungspauschale</v>
      </c>
      <c r="AD182" s="55" t="str">
        <f>"+ " &amp;Haftungsausschluß!M43&amp; " % " &amp; VLOOKUP(2116,Sprachindex!$A:$Z,Erhebungsbogen!$Y$20,FALSE)</f>
        <v>+ 8.1 % MwSt.</v>
      </c>
    </row>
    <row r="183" spans="2:53">
      <c r="B183" s="91">
        <v>1</v>
      </c>
      <c r="R183" s="56"/>
      <c r="U183" s="144" t="str">
        <f>IF(AND(AB16=1,AND(AB17=2,AB18&lt;Preisliste!G171),U182&lt;&gt;AC182),AC183,IF(AND(AB16=1,AB19&lt;Preisliste!G176,U182&lt;&gt;AB182),AB183,IF(AND(AB16=1,OR(U182=AA182,U182=AB182,U182=AC182)),AA183,IF(AND(U182=AD182,AB16=2),AF183,IF(OR(AND(AB19&lt;Preisliste!G176,X19=0,OR(AB17=1,AND(AB17=2,AB18&gt;Preisliste!G171)))),AE183,IF(OR(AND(AB19&gt;=Preisliste!G176,X19&lt;&gt;0,OR(AB17=1,AND(AB17=2,AB18&gt;Preisliste!G171)))),AE183,IF(OR(AND(AB19&gt;=Preisliste!G176,X19=0,AND(AB17=2,AB18&lt;Preisliste!G171))),AE183,IF(OR(AND(AB19&gt;=Preisliste!G176,X19&lt;&gt;0,AND(AB17=2,AB18&lt;Preisliste!G171))),AC183,IF(OR(AND(AB18&lt;Preisliste!G176,X19&lt;&gt;0,OR(AB17=1,AND(AB17=2,AB18&gt;Preisliste!G171)))),AB183,IF(OR(AND(AB19&lt;Preisliste!G176,X19&lt;&gt;0,AND(AB17=2,AB18&lt;Preisliste!G171))),AC183,IF(OR(AND(AB19&lt;Preisliste!G176,X19=0,AND(AB17=2,AB18&lt;Preisliste!G171))),AC183,"")))))))))))</f>
        <v>Frachtkosten</v>
      </c>
      <c r="V183" s="355">
        <f>IF(U183=AA183,V181+V182,IF(U183=AC183,Preisliste!G170,IF(U183=AB183,Preisliste!G175,IF(U183=AD183,(V181+V182)/100*Haftungsausschluß!M43,IF(U183=AF183,V181+V182,IF(U183=AE183,V181+V182,""))))))</f>
        <v>200</v>
      </c>
      <c r="AA183" s="55" t="str">
        <f>VLOOKUP(1700,Sprachindex!$A:$Z,Erhebungsbogen!$Y$20,FALSE)</f>
        <v>Endsumme exkl. MwSt.</v>
      </c>
      <c r="AB183" s="55" t="str">
        <f>VLOOKUP(1713,Sprachindex!$A:$Z,Erhebungsbogen!$Y$20,FALSE)</f>
        <v>Frachtkosten</v>
      </c>
      <c r="AC183" s="55" t="str">
        <f>VLOOKUP(2150,Sprachindex!$A:$Z,Erhebungsbogen!$Y$20,FALSE)</f>
        <v>Beschichtungspauschale</v>
      </c>
      <c r="AD183" s="55" t="str">
        <f>"+ " &amp;Haftungsausschluß!M43&amp; " % " &amp; VLOOKUP(2116,Sprachindex!$A:$Z,Erhebungsbogen!$Y$20,FALSE)</f>
        <v>+ 8.1 % MwSt.</v>
      </c>
      <c r="AE183" s="55" t="str">
        <f>VLOOKUP(1873,Sprachindex!$A:$Z,Erhebungsbogen!$Y$20,FALSE)</f>
        <v>Zwischensumme</v>
      </c>
      <c r="AF183" s="55" t="str">
        <f>VLOOKUP(1701,Sprachindex!$A:$Z,Erhebungsbogen!$Y$20,FALSE)</f>
        <v>Endsumme inkl. MwSt.</v>
      </c>
    </row>
    <row r="184" spans="2:53">
      <c r="B184" s="91">
        <v>1</v>
      </c>
      <c r="R184" s="56"/>
      <c r="U184" s="56" t="str">
        <f>IF(AND(X19&lt;&gt;0,AND(AB17=2,AB18&lt;Preisliste!G171),AB19&lt;Preisliste!G176),AB184,IF(AND(AB16=1,OR(U183=AC183,U183=AB183)),AA184,IF(U183=AD183,AE184,IF(AND(U183=AC183,AB19&gt;=Preisliste!G176),AC184,IF(OR(AND(AB19&lt;Preisliste!G176,X19&lt;&gt;0,OR(AB17=1,AND(AB17=2,AB18&gt;Preisliste!G171)))),AE183,IF(OR(AND(AB19&lt;Preisliste!G176,X19=0,AND(AB17=2,AB18&lt;Preisliste!G171))),AE183,IF(U183=AE183,AC184,IF(AND(U182=AA182,U183=AC183),AD184,""))))))))</f>
        <v>Endsumme exkl. MwSt.</v>
      </c>
      <c r="V184" s="355">
        <f>IF(U184=AA184,V181+V182+V183,IF(U184=AB184,Preisliste!G175,IF(U184=AE184,V181+V182+V183,IF(AND(U184=AC184,U183=AC183),(V181+V182+V183)/100*Haftungsausschluß!M43,IF(U184=AD184,V181+V182+V183,IF(AND(U184=AC184,U183=AE183),V183/100*Haftungsausschluß!M43,""))))))</f>
        <v>200</v>
      </c>
      <c r="AA184" s="55" t="str">
        <f>VLOOKUP(1700,Sprachindex!$A:$Z,Erhebungsbogen!$Y$20,FALSE)</f>
        <v>Endsumme exkl. MwSt.</v>
      </c>
      <c r="AB184" s="55" t="str">
        <f>VLOOKUP(1713,Sprachindex!$A:$Z,Erhebungsbogen!$Y$20,FALSE)</f>
        <v>Frachtkosten</v>
      </c>
      <c r="AC184" s="55" t="str">
        <f>"+ " &amp;Haftungsausschluß!M43&amp; " % " &amp; VLOOKUP(2116,Sprachindex!$A:$Z,Erhebungsbogen!$Y$20,FALSE)</f>
        <v>+ 8.1 % MwSt.</v>
      </c>
      <c r="AD184" s="55" t="str">
        <f>VLOOKUP(1873,Sprachindex!$A:$Z,Erhebungsbogen!$Y$20,FALSE)</f>
        <v>Zwischensumme</v>
      </c>
      <c r="AE184" s="55" t="str">
        <f>VLOOKUP(1701,Sprachindex!$A:$Z,Erhebungsbogen!$Y$20,FALSE)</f>
        <v>Endsumme inkl. MwSt.</v>
      </c>
    </row>
    <row r="185" spans="2:53">
      <c r="B185" s="91">
        <v>1</v>
      </c>
      <c r="R185" s="56"/>
      <c r="U185" s="56" t="str">
        <f>IF(AND(AB16=1,U184=AB183),AA184,IF(U184=AC184,AD185,IF(OR(AND(AB19&lt;Preisliste!G176,X19&lt;&gt;0,AND(AB17=2,AB18&lt;Preisliste!G171))),AC185,IF(U184=AD184,AB185,""))))</f>
        <v/>
      </c>
      <c r="V185" s="355" t="str">
        <f>IF(U185=AA185,V181+V182+V183+V184,IF(AND(U185=AD185,U183=AC183),V181+V182+V183+V184,IF(U185=AB185,V184/100*Haftungsausschluß!M43,IF(U185=AC185,V181+V182+V183+V184,IF(AND(U185=AD185,U183=AE183),V183+V184,"")))))</f>
        <v/>
      </c>
      <c r="AA185" s="55" t="str">
        <f>VLOOKUP(1700,Sprachindex!$A:$Z,Erhebungsbogen!$Y$20,FALSE)</f>
        <v>Endsumme exkl. MwSt.</v>
      </c>
      <c r="AB185" s="55" t="str">
        <f>"+ " &amp;Haftungsausschluß!M43&amp; " % " &amp; VLOOKUP(2116,Sprachindex!$A:$Z,Erhebungsbogen!$Y$20,FALSE)</f>
        <v>+ 8.1 % MwSt.</v>
      </c>
      <c r="AC185" s="55" t="str">
        <f>VLOOKUP(1873,Sprachindex!$A:$Z,Erhebungsbogen!$Y$20,FALSE)</f>
        <v>Zwischensumme</v>
      </c>
      <c r="AD185" s="55" t="str">
        <f>VLOOKUP(1701,Sprachindex!$A:$Z,Erhebungsbogen!$Y$20,FALSE)</f>
        <v>Endsumme inkl. MwSt.</v>
      </c>
    </row>
    <row r="186" spans="2:53">
      <c r="B186" s="91">
        <v>1</v>
      </c>
      <c r="R186" s="56"/>
      <c r="U186" s="56" t="str">
        <f>IF(U185=AC185,AA186,IF(U185=AC185,AC186,IF(U185=AB185,AB186,"")))</f>
        <v/>
      </c>
      <c r="V186" s="355" t="str">
        <f>IF(U186=AB186,V184+V185,IF(U186=AA186,V185/100*Haftungsausschluß!M43,""))</f>
        <v/>
      </c>
      <c r="AA186" s="55" t="str">
        <f>"+ " &amp;Haftungsausschluß!M43&amp; " % " &amp; VLOOKUP(2116,Sprachindex!$A:$Z,Erhebungsbogen!$Y$20,FALSE)</f>
        <v>+ 8.1 % MwSt.</v>
      </c>
      <c r="AB186" s="55" t="str">
        <f>VLOOKUP(1701,Sprachindex!$A:$Z,Erhebungsbogen!$Y$20,FALSE)</f>
        <v>Endsumme inkl. MwSt.</v>
      </c>
    </row>
    <row r="187" spans="2:53">
      <c r="B187" s="91">
        <v>1</v>
      </c>
      <c r="R187" s="56"/>
      <c r="U187" s="56" t="str">
        <f>IF(U186=AA186,AA187,"")</f>
        <v/>
      </c>
      <c r="V187" s="355" t="str">
        <f>IF(U187=AA187,V185+V186,"")</f>
        <v/>
      </c>
      <c r="AA187" s="55" t="str">
        <f>VLOOKUP(1701,Sprachindex!$A:$Z,Erhebungsbogen!$Y$20,FALSE)</f>
        <v>Endsumme inkl. MwSt.</v>
      </c>
    </row>
    <row r="188" spans="2:53">
      <c r="B188" s="91">
        <v>1</v>
      </c>
      <c r="U188" s="56"/>
      <c r="V188" s="357"/>
    </row>
    <row r="189" spans="2:53">
      <c r="B189" s="91">
        <v>1</v>
      </c>
      <c r="C189" s="512"/>
      <c r="D189" s="512"/>
      <c r="E189" s="512"/>
      <c r="F189" s="512"/>
      <c r="G189" s="512"/>
      <c r="H189" s="512"/>
      <c r="I189" s="512"/>
      <c r="J189" s="512"/>
      <c r="K189" s="512"/>
      <c r="L189" s="512"/>
      <c r="M189" s="512"/>
      <c r="N189" s="512"/>
      <c r="O189" s="512"/>
      <c r="P189" s="512"/>
      <c r="Q189" s="512"/>
      <c r="R189" s="512"/>
      <c r="S189" s="512"/>
      <c r="T189" s="512"/>
      <c r="U189" s="512"/>
    </row>
    <row r="190" spans="2:53">
      <c r="B190" s="91">
        <v>1</v>
      </c>
      <c r="C190" s="512" t="str">
        <f>VLOOKUP(2234,Sprachindex!$A:$Z,Erhebungsbogen!$Y$20,FALSE)</f>
        <v>Hinweis: Angebotsgültigkeit 1 Monat; Lieferzeit auf Anfrage; kein Montagematerial enthalten</v>
      </c>
      <c r="D190" s="512"/>
      <c r="E190" s="512"/>
      <c r="F190" s="512"/>
      <c r="G190" s="512"/>
      <c r="H190" s="512"/>
      <c r="I190" s="512"/>
      <c r="J190" s="512"/>
      <c r="K190" s="512"/>
      <c r="L190" s="512"/>
      <c r="M190" s="512"/>
      <c r="N190" s="512"/>
      <c r="O190" s="512"/>
      <c r="P190" s="512"/>
      <c r="Q190" s="512"/>
      <c r="R190" s="512"/>
      <c r="S190" s="512"/>
      <c r="T190" s="512"/>
      <c r="U190" s="512"/>
    </row>
    <row r="191" spans="2:53"/>
  </sheetData>
  <sheetProtection sheet="1" objects="1" selectLockedCells="1" autoFilter="0"/>
  <autoFilter ref="B20:B190" xr:uid="{22C6CA63-9127-4190-B9A3-0A61B6276C03}"/>
  <sortState xmlns:xlrd2="http://schemas.microsoft.com/office/spreadsheetml/2017/richdata2" ref="G21:T110">
    <sortCondition ref="G21"/>
  </sortState>
  <mergeCells count="174">
    <mergeCell ref="G134:T134"/>
    <mergeCell ref="G135:T135"/>
    <mergeCell ref="G138:T138"/>
    <mergeCell ref="G137:T137"/>
    <mergeCell ref="G139:T139"/>
    <mergeCell ref="G43:T43"/>
    <mergeCell ref="G44:T44"/>
    <mergeCell ref="G45:T45"/>
    <mergeCell ref="G46:T46"/>
    <mergeCell ref="G47:T47"/>
    <mergeCell ref="G49:T49"/>
    <mergeCell ref="G51:T51"/>
    <mergeCell ref="G61:T61"/>
    <mergeCell ref="G62:T62"/>
    <mergeCell ref="G63:T63"/>
    <mergeCell ref="G64:T64"/>
    <mergeCell ref="G65:T65"/>
    <mergeCell ref="G66:T66"/>
    <mergeCell ref="G67:T67"/>
    <mergeCell ref="G68:T68"/>
    <mergeCell ref="G69:T69"/>
    <mergeCell ref="G71:T71"/>
    <mergeCell ref="G70:T70"/>
    <mergeCell ref="G72:T72"/>
    <mergeCell ref="D16:I16"/>
    <mergeCell ref="J1:V3"/>
    <mergeCell ref="D6:I6"/>
    <mergeCell ref="D8:I8"/>
    <mergeCell ref="D10:I10"/>
    <mergeCell ref="D12:I12"/>
    <mergeCell ref="D14:I14"/>
    <mergeCell ref="U8:V8"/>
    <mergeCell ref="S6:V6"/>
    <mergeCell ref="U5:V5"/>
    <mergeCell ref="G20:T20"/>
    <mergeCell ref="G50:T50"/>
    <mergeCell ref="G52:T52"/>
    <mergeCell ref="G21:T21"/>
    <mergeCell ref="G22:T22"/>
    <mergeCell ref="G23:T23"/>
    <mergeCell ref="G24:T24"/>
    <mergeCell ref="G25:T25"/>
    <mergeCell ref="G26:T26"/>
    <mergeCell ref="G28:T28"/>
    <mergeCell ref="G27:T27"/>
    <mergeCell ref="G29:T29"/>
    <mergeCell ref="G30:T30"/>
    <mergeCell ref="G32:T32"/>
    <mergeCell ref="G31:T31"/>
    <mergeCell ref="G33:T33"/>
    <mergeCell ref="G34:T34"/>
    <mergeCell ref="G35:T35"/>
    <mergeCell ref="G36:T36"/>
    <mergeCell ref="G37:T37"/>
    <mergeCell ref="G38:T38"/>
    <mergeCell ref="G39:T39"/>
    <mergeCell ref="G40:T40"/>
    <mergeCell ref="G41:T41"/>
    <mergeCell ref="G42:T42"/>
    <mergeCell ref="G53:T53"/>
    <mergeCell ref="G54:T54"/>
    <mergeCell ref="G55:T55"/>
    <mergeCell ref="G56:T56"/>
    <mergeCell ref="G58:T58"/>
    <mergeCell ref="G59:T59"/>
    <mergeCell ref="G57:T57"/>
    <mergeCell ref="G60:T60"/>
    <mergeCell ref="G48:T48"/>
    <mergeCell ref="G73:T73"/>
    <mergeCell ref="G74:T74"/>
    <mergeCell ref="G75:T75"/>
    <mergeCell ref="G76:T76"/>
    <mergeCell ref="G77:T77"/>
    <mergeCell ref="G78:T78"/>
    <mergeCell ref="G79:T79"/>
    <mergeCell ref="G80:T80"/>
    <mergeCell ref="G81:T81"/>
    <mergeCell ref="G82:T82"/>
    <mergeCell ref="G83:T83"/>
    <mergeCell ref="G84:T84"/>
    <mergeCell ref="G85:T85"/>
    <mergeCell ref="G86:T86"/>
    <mergeCell ref="G87:T87"/>
    <mergeCell ref="G88:T88"/>
    <mergeCell ref="G89:T89"/>
    <mergeCell ref="G90:T90"/>
    <mergeCell ref="G92:T92"/>
    <mergeCell ref="G93:T93"/>
    <mergeCell ref="G94:T94"/>
    <mergeCell ref="G95:T95"/>
    <mergeCell ref="G97:T97"/>
    <mergeCell ref="G98:T98"/>
    <mergeCell ref="G99:T99"/>
    <mergeCell ref="G100:T100"/>
    <mergeCell ref="G91:T91"/>
    <mergeCell ref="G96:T96"/>
    <mergeCell ref="G101:T101"/>
    <mergeCell ref="G102:T102"/>
    <mergeCell ref="G103:T103"/>
    <mergeCell ref="G104:T104"/>
    <mergeCell ref="G105:T105"/>
    <mergeCell ref="G106:T106"/>
    <mergeCell ref="G107:T107"/>
    <mergeCell ref="G108:T108"/>
    <mergeCell ref="G109:T109"/>
    <mergeCell ref="G133:T133"/>
    <mergeCell ref="G110:T110"/>
    <mergeCell ref="G111:T111"/>
    <mergeCell ref="G112:T112"/>
    <mergeCell ref="G113:T113"/>
    <mergeCell ref="G114:T114"/>
    <mergeCell ref="G115:T115"/>
    <mergeCell ref="G117:T117"/>
    <mergeCell ref="G118:T118"/>
    <mergeCell ref="G119:T119"/>
    <mergeCell ref="G116:T116"/>
    <mergeCell ref="G141:T141"/>
    <mergeCell ref="G136:T136"/>
    <mergeCell ref="G147:T147"/>
    <mergeCell ref="G148:T148"/>
    <mergeCell ref="G149:T149"/>
    <mergeCell ref="G152:T152"/>
    <mergeCell ref="G151:T151"/>
    <mergeCell ref="G146:T146"/>
    <mergeCell ref="G120:T120"/>
    <mergeCell ref="G122:T122"/>
    <mergeCell ref="G124:T124"/>
    <mergeCell ref="G123:T123"/>
    <mergeCell ref="G127:T127"/>
    <mergeCell ref="G128:T128"/>
    <mergeCell ref="G129:T129"/>
    <mergeCell ref="G130:T130"/>
    <mergeCell ref="G132:T132"/>
    <mergeCell ref="G131:T131"/>
    <mergeCell ref="G145:T145"/>
    <mergeCell ref="G121:T121"/>
    <mergeCell ref="G126:T126"/>
    <mergeCell ref="G125:T125"/>
    <mergeCell ref="G150:T150"/>
    <mergeCell ref="G140:T140"/>
    <mergeCell ref="G162:T162"/>
    <mergeCell ref="G163:T163"/>
    <mergeCell ref="G156:T156"/>
    <mergeCell ref="G142:T142"/>
    <mergeCell ref="G144:T144"/>
    <mergeCell ref="G143:T143"/>
    <mergeCell ref="G160:T160"/>
    <mergeCell ref="G155:T155"/>
    <mergeCell ref="G154:T154"/>
    <mergeCell ref="G153:T153"/>
    <mergeCell ref="C190:U190"/>
    <mergeCell ref="C189:U189"/>
    <mergeCell ref="D17:I17"/>
    <mergeCell ref="G179:T179"/>
    <mergeCell ref="G180:T180"/>
    <mergeCell ref="G164:T164"/>
    <mergeCell ref="G165:T165"/>
    <mergeCell ref="G170:T170"/>
    <mergeCell ref="G171:T171"/>
    <mergeCell ref="G172:T172"/>
    <mergeCell ref="G167:T167"/>
    <mergeCell ref="G168:T168"/>
    <mergeCell ref="G169:T169"/>
    <mergeCell ref="G173:T173"/>
    <mergeCell ref="G174:T174"/>
    <mergeCell ref="G175:T175"/>
    <mergeCell ref="G176:T176"/>
    <mergeCell ref="G177:T177"/>
    <mergeCell ref="G178:T178"/>
    <mergeCell ref="G166:T166"/>
    <mergeCell ref="G157:T157"/>
    <mergeCell ref="G158:T158"/>
    <mergeCell ref="G159:T159"/>
    <mergeCell ref="G161:T161"/>
  </mergeCells>
  <conditionalFormatting sqref="D6:I6">
    <cfRule type="cellIs" dxfId="410" priority="43" operator="equal">
      <formula>0</formula>
    </cfRule>
  </conditionalFormatting>
  <conditionalFormatting sqref="D8:I8">
    <cfRule type="cellIs" dxfId="409" priority="42" operator="equal">
      <formula>0</formula>
    </cfRule>
  </conditionalFormatting>
  <conditionalFormatting sqref="D10:I10">
    <cfRule type="cellIs" dxfId="408" priority="41" operator="equal">
      <formula>0</formula>
    </cfRule>
  </conditionalFormatting>
  <conditionalFormatting sqref="D12:I12">
    <cfRule type="cellIs" dxfId="407" priority="40" operator="equal">
      <formula>0</formula>
    </cfRule>
  </conditionalFormatting>
  <conditionalFormatting sqref="D14:I14">
    <cfRule type="cellIs" dxfId="406" priority="39" operator="equal">
      <formula>0</formula>
    </cfRule>
  </conditionalFormatting>
  <conditionalFormatting sqref="D16:I17">
    <cfRule type="cellIs" dxfId="405" priority="12" operator="equal">
      <formula>0</formula>
    </cfRule>
  </conditionalFormatting>
  <conditionalFormatting sqref="S6 W6:X6 S7:X7 S8:U8 W8:X8 S9:X16">
    <cfRule type="expression" dxfId="404" priority="37">
      <formula>$AB$17=1</formula>
    </cfRule>
  </conditionalFormatting>
  <conditionalFormatting sqref="S183:V183">
    <cfRule type="expression" dxfId="403" priority="8">
      <formula>$U$183=$AE$183</formula>
    </cfRule>
    <cfRule type="expression" dxfId="402" priority="9">
      <formula>$U$183=$AF$183</formula>
    </cfRule>
    <cfRule type="expression" dxfId="401" priority="11">
      <formula>$U$183=$AA$183</formula>
    </cfRule>
  </conditionalFormatting>
  <conditionalFormatting sqref="S184:V184">
    <cfRule type="expression" dxfId="400" priority="6">
      <formula>$U$184=$AD$184</formula>
    </cfRule>
    <cfRule type="expression" dxfId="399" priority="7">
      <formula>$U$184=$AA$184</formula>
    </cfRule>
  </conditionalFormatting>
  <conditionalFormatting sqref="S185:V185">
    <cfRule type="expression" dxfId="398" priority="3">
      <formula>$U$185=$AC$185</formula>
    </cfRule>
    <cfRule type="expression" dxfId="397" priority="4">
      <formula>$U$185=$AD$185</formula>
    </cfRule>
    <cfRule type="expression" dxfId="396" priority="5">
      <formula>$U$185=$AA$185</formula>
    </cfRule>
  </conditionalFormatting>
  <conditionalFormatting sqref="S186:V186">
    <cfRule type="expression" dxfId="395" priority="2">
      <formula>$U$186=$AB$186</formula>
    </cfRule>
  </conditionalFormatting>
  <conditionalFormatting sqref="S187:V187">
    <cfRule type="expression" dxfId="394" priority="1">
      <formula>$U$187=$AA$187</formula>
    </cfRule>
  </conditionalFormatting>
  <pageMargins left="0.11811023622047245" right="0.19685039370078741" top="0.11811023622047245" bottom="0.11811023622047245" header="0.31496062992125984" footer="7.874015748031496E-2"/>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227" r:id="rId4" name="Option Button 11">
              <controlPr defaultSize="0" autoFill="0" autoLine="0" autoPict="0">
                <anchor moveWithCells="1">
                  <from>
                    <xdr:col>23</xdr:col>
                    <xdr:colOff>114300</xdr:colOff>
                    <xdr:row>15</xdr:row>
                    <xdr:rowOff>19050</xdr:rowOff>
                  </from>
                  <to>
                    <xdr:col>24</xdr:col>
                    <xdr:colOff>628650</xdr:colOff>
                    <xdr:row>15</xdr:row>
                    <xdr:rowOff>152400</xdr:rowOff>
                  </to>
                </anchor>
              </controlPr>
            </control>
          </mc:Choice>
        </mc:AlternateContent>
        <mc:AlternateContent xmlns:mc="http://schemas.openxmlformats.org/markup-compatibility/2006">
          <mc:Choice Requires="x14">
            <control shapeId="9228" r:id="rId5" name="Option Button 12">
              <controlPr defaultSize="0" autoFill="0" autoLine="0" autoPict="0">
                <anchor moveWithCells="1">
                  <from>
                    <xdr:col>23</xdr:col>
                    <xdr:colOff>114300</xdr:colOff>
                    <xdr:row>16</xdr:row>
                    <xdr:rowOff>19050</xdr:rowOff>
                  </from>
                  <to>
                    <xdr:col>24</xdr:col>
                    <xdr:colOff>628650</xdr:colOff>
                    <xdr:row>16</xdr:row>
                    <xdr:rowOff>152400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562D519D-57A8-4AF9-AD92-51321C4A04A2}">
            <xm:f>Erhebungsbogen!$W$36=""</xm:f>
            <x14:dxf>
              <border>
                <left style="thin">
                  <color auto="1"/>
                </left>
                <vertical/>
                <horizontal/>
              </border>
            </x14:dxf>
          </x14:cfRule>
          <xm:sqref>U20:U180</xm:sqref>
        </x14:conditionalFormatting>
        <x14:conditionalFormatting xmlns:xm="http://schemas.microsoft.com/office/excel/2006/main">
          <x14:cfRule type="expression" priority="24" id="{AE5CA56E-E1E7-4C68-B35A-E71F3BB4B5F5}">
            <xm:f>Erhebungsbogen!$W$36=""</xm:f>
            <x14:dxf>
              <font>
                <color theme="0"/>
              </font>
              <fill>
                <patternFill>
                  <bgColor theme="0"/>
                </patternFill>
              </fill>
              <border>
                <left/>
                <right/>
                <top/>
                <bottom/>
              </border>
            </x14:dxf>
          </x14:cfRule>
          <xm:sqref>U20:V180</xm:sqref>
        </x14:conditionalFormatting>
        <x14:conditionalFormatting xmlns:xm="http://schemas.microsoft.com/office/excel/2006/main">
          <x14:cfRule type="expression" priority="10" id="{9DFAACEE-5655-46CD-AFF0-52E2C016EBC3}">
            <xm:f>Erhebungsbogen!$W$36=""</xm:f>
            <x14:dxf>
              <font>
                <color theme="0"/>
              </font>
              <fill>
                <patternFill>
                  <bgColor theme="0"/>
                </patternFill>
              </fill>
              <border>
                <left/>
                <right/>
                <top/>
                <bottom/>
              </border>
            </x14:dxf>
          </x14:cfRule>
          <xm:sqref>U181:V187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ACF0B-2D0D-4D40-BF73-985F15BC8E8D}">
  <sheetPr codeName="Tabelle15">
    <pageSetUpPr fitToPage="1"/>
  </sheetPr>
  <dimension ref="A1:CF191"/>
  <sheetViews>
    <sheetView showGridLines="0" workbookViewId="0">
      <selection activeCell="V18" sqref="V18"/>
    </sheetView>
  </sheetViews>
  <sheetFormatPr baseColWidth="10" defaultColWidth="0" defaultRowHeight="12.75" zeroHeight="1"/>
  <cols>
    <col min="1" max="1" width="1.7109375" style="55" customWidth="1"/>
    <col min="2" max="5" width="7.7109375" style="55" customWidth="1"/>
    <col min="6" max="6" width="9.7109375" style="55" customWidth="1"/>
    <col min="7" max="13" width="5.7109375" style="55" customWidth="1"/>
    <col min="14" max="17" width="5.5703125" style="55" customWidth="1"/>
    <col min="18" max="20" width="5.7109375" style="55" customWidth="1"/>
    <col min="21" max="21" width="13.42578125" style="55" customWidth="1"/>
    <col min="22" max="22" width="14.28515625" style="55" customWidth="1"/>
    <col min="23" max="24" width="5.7109375" style="55" customWidth="1"/>
    <col min="25" max="25" width="9.7109375" style="55" bestFit="1" customWidth="1"/>
    <col min="26" max="26" width="7.42578125" style="55" hidden="1" customWidth="1"/>
    <col min="27" max="27" width="18.7109375" style="55" hidden="1" customWidth="1"/>
    <col min="28" max="28" width="18.5703125" style="55" hidden="1" customWidth="1"/>
    <col min="29" max="29" width="38.7109375" style="55" hidden="1" customWidth="1"/>
    <col min="30" max="32" width="18.5703125" style="55" hidden="1" customWidth="1"/>
    <col min="33" max="34" width="5.7109375" style="55" hidden="1" customWidth="1"/>
    <col min="35" max="35" width="13.28515625" style="55" hidden="1" customWidth="1"/>
    <col min="36" max="78" width="5.7109375" style="55" hidden="1" customWidth="1"/>
    <col min="79" max="16384" width="11.42578125" style="55" hidden="1"/>
  </cols>
  <sheetData>
    <row r="1" spans="3:43" s="21" customFormat="1" ht="14.25" customHeight="1">
      <c r="J1" s="519" t="str">
        <f>VLOOKUP(2121,Sprachindex!$A:$Z,Erhebungsbogen!$Y$20,FALSE)</f>
        <v>Stückliste</v>
      </c>
      <c r="K1" s="519"/>
      <c r="L1" s="519"/>
      <c r="M1" s="519"/>
      <c r="N1" s="519"/>
      <c r="O1" s="519"/>
      <c r="P1" s="519"/>
      <c r="Q1" s="519"/>
      <c r="R1" s="519"/>
      <c r="S1" s="519"/>
      <c r="T1" s="519"/>
      <c r="U1" s="519"/>
      <c r="V1" s="519"/>
    </row>
    <row r="2" spans="3:43" s="21" customFormat="1" ht="14.25" customHeight="1">
      <c r="J2" s="519"/>
      <c r="K2" s="519"/>
      <c r="L2" s="519"/>
      <c r="M2" s="519"/>
      <c r="N2" s="519"/>
      <c r="O2" s="519"/>
      <c r="P2" s="519"/>
      <c r="Q2" s="519"/>
      <c r="R2" s="519"/>
      <c r="S2" s="519"/>
      <c r="T2" s="519"/>
      <c r="U2" s="519"/>
      <c r="V2" s="519"/>
    </row>
    <row r="3" spans="3:43" s="21" customFormat="1" ht="14.25" customHeight="1">
      <c r="J3" s="519"/>
      <c r="K3" s="519"/>
      <c r="L3" s="519"/>
      <c r="M3" s="519"/>
      <c r="N3" s="519"/>
      <c r="O3" s="519"/>
      <c r="P3" s="519"/>
      <c r="Q3" s="519"/>
      <c r="R3" s="519"/>
      <c r="S3" s="519"/>
      <c r="T3" s="519"/>
      <c r="U3" s="519"/>
      <c r="V3" s="519"/>
    </row>
    <row r="4" spans="3:43" s="21" customFormat="1" ht="14.25" customHeight="1">
      <c r="V4" s="53" t="str">
        <f>VLOOKUP(1741,Sprachindex!$A:$Z,Erhebungsbogen!$Y$20,FALSE) &amp; " 2"</f>
        <v>KALKULATION 2</v>
      </c>
      <c r="Y4" s="53"/>
      <c r="Z4" s="53"/>
      <c r="AA4" s="53"/>
      <c r="AB4" s="53"/>
      <c r="AC4" s="53">
        <f>IF(V181&lt;1000,10,14)</f>
        <v>10</v>
      </c>
      <c r="AD4" s="53"/>
      <c r="AE4" s="53"/>
      <c r="AF4" s="53"/>
      <c r="AH4" s="53"/>
      <c r="AI4" s="54"/>
      <c r="AJ4" s="54"/>
      <c r="AK4" s="54"/>
      <c r="AL4" s="54"/>
      <c r="AM4" s="54"/>
      <c r="AN4" s="54"/>
      <c r="AO4" s="54"/>
      <c r="AP4" s="54"/>
      <c r="AQ4" s="54"/>
    </row>
    <row r="5" spans="3:43">
      <c r="C5" s="21"/>
      <c r="D5" s="48" t="str">
        <f>VLOOKUP(393,Sprachindex!$A:$Z,Erhebungsbogen!$Y$20,FALSE)</f>
        <v>Firma / Besteller:</v>
      </c>
      <c r="E5" s="21"/>
      <c r="F5" s="21"/>
      <c r="G5" s="21"/>
      <c r="H5" s="21"/>
      <c r="I5" s="21"/>
      <c r="T5" s="56" t="str">
        <f>VLOOKUP(1429,Sprachindex!$A:$Z,Erhebungsbogen!$Y$20,FALSE)</f>
        <v>Bearbeiter:</v>
      </c>
      <c r="U5" s="521">
        <f>Kalk1!U43</f>
        <v>0</v>
      </c>
      <c r="V5" s="521"/>
      <c r="AC5" s="55">
        <f>IF('HWS Partner'!C79&gt;=1,4,0)</f>
        <v>0</v>
      </c>
      <c r="AG5" s="21"/>
    </row>
    <row r="6" spans="3:43">
      <c r="C6" s="40" t="str">
        <f>VLOOKUP(622,Sprachindex!$A:$Z,Erhebungsbogen!$Y$20,FALSE)</f>
        <v>Name:</v>
      </c>
      <c r="D6" s="513">
        <f>Kalk2!D5</f>
        <v>0</v>
      </c>
      <c r="E6" s="513"/>
      <c r="F6" s="513"/>
      <c r="G6" s="513"/>
      <c r="H6" s="513"/>
      <c r="I6" s="513"/>
      <c r="S6" s="520" t="s">
        <v>18593</v>
      </c>
      <c r="T6" s="520"/>
      <c r="U6" s="520"/>
      <c r="V6" s="520"/>
      <c r="Y6" s="77"/>
      <c r="Z6" s="77"/>
      <c r="AA6" s="77"/>
      <c r="AB6" s="77"/>
      <c r="AC6" s="77"/>
      <c r="AD6" s="77"/>
      <c r="AE6" s="77"/>
      <c r="AF6" s="77"/>
      <c r="AG6" s="21"/>
      <c r="AH6" s="77"/>
    </row>
    <row r="7" spans="3:43" ht="1.5" customHeight="1">
      <c r="C7" s="40"/>
      <c r="D7" s="21"/>
      <c r="E7" s="21"/>
      <c r="F7" s="21"/>
      <c r="G7" s="21"/>
      <c r="H7" s="21"/>
      <c r="I7" s="21"/>
    </row>
    <row r="8" spans="3:43">
      <c r="C8" s="40" t="str">
        <f>VLOOKUP(884,Sprachindex!$A:$Z,Erhebungsbogen!$Y$20,FALSE)</f>
        <v>Straße:</v>
      </c>
      <c r="D8" s="513">
        <f>Kalk2!D7</f>
        <v>0</v>
      </c>
      <c r="E8" s="513"/>
      <c r="F8" s="513"/>
      <c r="G8" s="513"/>
      <c r="H8" s="513"/>
      <c r="I8" s="513"/>
      <c r="T8" s="57" t="s">
        <v>4485</v>
      </c>
      <c r="U8" s="520" t="str">
        <f>IF(Kalk2!K9&gt;"",Kalk2!K9,"")</f>
        <v/>
      </c>
      <c r="V8" s="520"/>
      <c r="Y8" s="57"/>
      <c r="Z8" s="57"/>
      <c r="AA8" s="57"/>
      <c r="AB8" s="57"/>
      <c r="AC8" s="57"/>
      <c r="AD8" s="57"/>
      <c r="AE8" s="57"/>
      <c r="AF8" s="57"/>
      <c r="AG8" s="57"/>
      <c r="AH8" s="57"/>
    </row>
    <row r="9" spans="3:43" ht="1.5" customHeight="1">
      <c r="C9" s="40"/>
      <c r="D9" s="21"/>
      <c r="E9" s="21"/>
      <c r="F9" s="21"/>
      <c r="G9" s="21"/>
      <c r="H9" s="21"/>
      <c r="I9" s="21"/>
      <c r="S9" s="56"/>
    </row>
    <row r="10" spans="3:43">
      <c r="C10" s="40" t="str">
        <f>VLOOKUP(641,Sprachindex!$A:$Z,Erhebungsbogen!$Y$20,FALSE)</f>
        <v>Ort:</v>
      </c>
      <c r="D10" s="513">
        <f>Kalk2!D9</f>
        <v>0</v>
      </c>
      <c r="E10" s="513"/>
      <c r="F10" s="513"/>
      <c r="G10" s="513"/>
      <c r="H10" s="513"/>
      <c r="I10" s="513"/>
      <c r="S10" s="56" t="str">
        <f>IF(Kalk2!AA11,"x","")</f>
        <v/>
      </c>
      <c r="T10" s="55" t="s">
        <v>18111</v>
      </c>
    </row>
    <row r="11" spans="3:43" ht="1.5" customHeight="1">
      <c r="C11" s="40"/>
      <c r="D11" s="21"/>
      <c r="E11" s="21"/>
      <c r="F11" s="21"/>
      <c r="G11" s="21"/>
      <c r="H11" s="21"/>
      <c r="I11" s="21"/>
      <c r="S11" s="56"/>
    </row>
    <row r="12" spans="3:43">
      <c r="C12" s="40" t="str">
        <f>VLOOKUP(901,Sprachindex!$A:$Z,Erhebungsbogen!$Y$20,FALSE)</f>
        <v>Telefon:</v>
      </c>
      <c r="D12" s="513">
        <f>Kalk2!D11</f>
        <v>0</v>
      </c>
      <c r="E12" s="513"/>
      <c r="F12" s="513"/>
      <c r="G12" s="513"/>
      <c r="H12" s="513"/>
      <c r="I12" s="513"/>
      <c r="S12" s="56" t="str">
        <f>IF(Kalk2!AA13,"x","")</f>
        <v/>
      </c>
      <c r="T12" s="55" t="s">
        <v>21823</v>
      </c>
    </row>
    <row r="13" spans="3:43" ht="1.5" customHeight="1">
      <c r="C13" s="40"/>
      <c r="D13" s="21"/>
      <c r="E13" s="21"/>
      <c r="F13" s="21"/>
      <c r="G13" s="21"/>
      <c r="H13" s="21"/>
      <c r="I13" s="21"/>
      <c r="S13" s="56"/>
    </row>
    <row r="14" spans="3:43">
      <c r="C14" s="40" t="str">
        <f>VLOOKUP(1698,Sprachindex!$A:$Z,Erhebungsbogen!$Y$20,FALSE)</f>
        <v>eMail:</v>
      </c>
      <c r="D14" s="513">
        <f>Kalk2!D13</f>
        <v>0</v>
      </c>
      <c r="E14" s="513"/>
      <c r="F14" s="513"/>
      <c r="G14" s="513"/>
      <c r="H14" s="513"/>
      <c r="I14" s="513"/>
      <c r="S14" s="56" t="str">
        <f>IF(Kalk2!AA15,"x","")</f>
        <v/>
      </c>
      <c r="T14" s="55" t="s">
        <v>18752</v>
      </c>
      <c r="X14" s="90" t="s">
        <v>20247</v>
      </c>
    </row>
    <row r="15" spans="3:43" ht="1.5" customHeight="1">
      <c r="C15" s="40"/>
      <c r="D15" s="21"/>
      <c r="E15" s="21"/>
      <c r="F15" s="21"/>
      <c r="G15" s="21"/>
      <c r="H15" s="21"/>
      <c r="I15" s="21"/>
      <c r="S15" s="56"/>
      <c r="AJ15" s="55" t="b">
        <v>1</v>
      </c>
    </row>
    <row r="16" spans="3:43">
      <c r="C16" s="40" t="str">
        <f>VLOOKUP(203,Sprachindex!$A:$Z,Erhebungsbogen!$Y$20,FALSE)</f>
        <v>Bauvorhaben:</v>
      </c>
      <c r="D16" s="513">
        <f>Kalk2!D15</f>
        <v>0</v>
      </c>
      <c r="E16" s="513"/>
      <c r="F16" s="513"/>
      <c r="G16" s="513"/>
      <c r="H16" s="513"/>
      <c r="I16" s="513"/>
      <c r="S16" s="56" t="str">
        <f>IF(Kalk2!AA16,"x","")</f>
        <v/>
      </c>
      <c r="T16" s="55" t="s">
        <v>19831</v>
      </c>
      <c r="Y16" s="55" t="str">
        <f>VLOOKUP(1705,Sprachindex!$A:$Z,Erhebungsbogen!$Y$20,FALSE)</f>
        <v>exkl. MwSt.</v>
      </c>
      <c r="AB16" s="262">
        <v>1</v>
      </c>
      <c r="AC16" s="55" t="s">
        <v>20247</v>
      </c>
    </row>
    <row r="17" spans="2:43">
      <c r="C17" s="40" t="str">
        <f>VLOOKUP(660,Sprachindex!$A:$Z,Erhebungsbogen!$Y$20,FALSE)</f>
        <v>Pos.</v>
      </c>
      <c r="D17" s="513">
        <f>Kalk2!D16</f>
        <v>0</v>
      </c>
      <c r="E17" s="513"/>
      <c r="F17" s="513"/>
      <c r="G17" s="513"/>
      <c r="H17" s="513"/>
      <c r="I17" s="513"/>
      <c r="Y17" s="55" t="str">
        <f>VLOOKUP(1740,Sprachindex!$A:$Z,Erhebungsbogen!$Y$20,FALSE)</f>
        <v>inkl. MwSt.</v>
      </c>
      <c r="AB17" s="262">
        <f>IF(AND(Kalk2!AA5=2,OR(Kalk2!AA11,Kalk2!AA13,Kalk2!AA15,Kalk2!AA16)),2,1)</f>
        <v>1</v>
      </c>
      <c r="AC17" s="55" t="s">
        <v>18593</v>
      </c>
    </row>
    <row r="18" spans="2:43">
      <c r="U18" s="56" t="str">
        <f>VLOOKUP(286,Sprachindex!$A:$Z,Erhebungsbogen!$Y$20,FALSE)</f>
        <v>Datum:</v>
      </c>
      <c r="V18" s="264">
        <f ca="1">TODAY()</f>
        <v>45408</v>
      </c>
      <c r="X18" s="265">
        <f>SUM(AC4:AC5)</f>
        <v>10</v>
      </c>
      <c r="Y18" s="55" t="str">
        <f>VLOOKUP(1790,Sprachindex!$A:$Z,Erhebungsbogen!$Y$20,FALSE)</f>
        <v>Rabatt</v>
      </c>
      <c r="AB18" s="263">
        <f>SUM(Z21:Z180)</f>
        <v>0</v>
      </c>
      <c r="AC18" s="55" t="s">
        <v>22191</v>
      </c>
    </row>
    <row r="19" spans="2:43" ht="13.5" thickBot="1">
      <c r="X19" s="314">
        <f>IF(X18&gt;0,X18*-1,X18)</f>
        <v>-10</v>
      </c>
      <c r="AB19" s="262">
        <f>SUM(V21:V180)</f>
        <v>0</v>
      </c>
      <c r="AC19" s="55" t="s">
        <v>22192</v>
      </c>
    </row>
    <row r="20" spans="2:43" ht="38.25" customHeight="1" thickBot="1">
      <c r="B20" s="61" t="str">
        <f>VLOOKUP(1839,Sprachindex!$A:$Z,Erhebungsbogen!$Y$20,FALSE)</f>
        <v>Stück</v>
      </c>
      <c r="C20" s="58" t="str">
        <f>VLOOKUP(552,Sprachindex!$A:$Z,Erhebungsbogen!$Y$20,FALSE)</f>
        <v>Länge</v>
      </c>
      <c r="D20" s="58" t="str">
        <f>VLOOKUP(1716,Sprachindex!$A:$Z,Erhebungsbogen!$Y$20,FALSE)</f>
        <v>Gesamt Länge</v>
      </c>
      <c r="E20" s="58" t="str">
        <f>VLOOKUP(332,Sprachindex!$A:$Z,Erhebungsbogen!$Y$20,FALSE)</f>
        <v>Einheit</v>
      </c>
      <c r="F20" s="59" t="str">
        <f>VLOOKUP(177,Sprachindex!$A:$Z,Erhebungsbogen!$Y$20,FALSE)</f>
        <v>Artikel-Nr.</v>
      </c>
      <c r="G20" s="518" t="str">
        <f>VLOOKUP(234,Sprachindex!$A:$Z,Erhebungsbogen!$Y$20,FALSE)</f>
        <v>Bezeichnung</v>
      </c>
      <c r="H20" s="518"/>
      <c r="I20" s="518"/>
      <c r="J20" s="518"/>
      <c r="K20" s="518"/>
      <c r="L20" s="518"/>
      <c r="M20" s="518"/>
      <c r="N20" s="518"/>
      <c r="O20" s="518"/>
      <c r="P20" s="518"/>
      <c r="Q20" s="518"/>
      <c r="R20" s="518"/>
      <c r="S20" s="518"/>
      <c r="T20" s="518"/>
      <c r="U20" s="58" t="str">
        <f>VLOOKUP(1788,Sprachindex!$A:$Z,Erhebungsbogen!$Y$20,FALSE)</f>
        <v>Preis pro lfm od. Stk</v>
      </c>
      <c r="V20" s="58" t="str">
        <f>VLOOKUP(1787,Sprachindex!$A:$Z,Erhebungsbogen!$Y$20,FALSE)</f>
        <v>Preis exkl.MwSt</v>
      </c>
      <c r="W20" s="85"/>
      <c r="X20" s="85"/>
      <c r="Y20" s="85"/>
      <c r="Z20" s="85"/>
      <c r="AA20" s="85"/>
      <c r="AB20" s="85"/>
      <c r="AC20" s="85"/>
      <c r="AD20" s="85"/>
      <c r="AE20" s="85"/>
      <c r="AF20" s="85"/>
      <c r="AG20" s="65" t="s">
        <v>22078</v>
      </c>
    </row>
    <row r="21" spans="2:43" ht="24.95" customHeight="1">
      <c r="B21" s="92">
        <f>IF(AG21=1,AL21,0)*Kalk2!$H$37</f>
        <v>0</v>
      </c>
      <c r="C21" s="60">
        <v>750</v>
      </c>
      <c r="D21" s="60"/>
      <c r="E21" s="60" t="str">
        <f>VLOOKUP(1600,Sprachindex!$A:$Z,Erhebungsbogen!$Y$20,FALSE)</f>
        <v>[Stk]</v>
      </c>
      <c r="F21" s="60" t="s">
        <v>21961</v>
      </c>
      <c r="G21" s="514" t="str">
        <f>VLOOKUP(1592,Sprachindex!$A:$Z,Erhebungsbogen!$Y$20,FALSE) &amp; IF(AND(Kalk2!$AA$5=2,Kalk2!AA11),", " &amp; VLOOKUP(1645,Sprachindex!$A:$Z,Erhebungsbogen!$Y$20,FALSE) &amp; " " &amp; $U$8,", "&amp; VLOOKUP(1648,Sprachindex!$A:$Z,Erhebungsbogen!$Y$20,FALSE))</f>
        <v>Abdeckung V 25, entgratet, blank</v>
      </c>
      <c r="H21" s="514"/>
      <c r="I21" s="514"/>
      <c r="J21" s="514"/>
      <c r="K21" s="514"/>
      <c r="L21" s="514"/>
      <c r="M21" s="514"/>
      <c r="N21" s="514"/>
      <c r="O21" s="514"/>
      <c r="P21" s="514"/>
      <c r="Q21" s="514"/>
      <c r="R21" s="514"/>
      <c r="S21" s="514"/>
      <c r="T21" s="514"/>
      <c r="U21" s="353">
        <f>IF(AND(Kalk2!$AA$5=2,Kalk2!AA11),VLOOKUP(F21,Preisliste!C:G,5,FALSE),VLOOKUP(F21,Preisliste!C:G,4,FALSE))</f>
        <v>28.9</v>
      </c>
      <c r="V21" s="353">
        <f>U21*B21</f>
        <v>0</v>
      </c>
      <c r="W21" s="86"/>
      <c r="X21" s="86"/>
      <c r="Y21" s="86"/>
      <c r="Z21" s="143">
        <f>IF(AND(Kalk2!$AA$5=2,Kalk2!$AA$11),(VLOOKUP(F21,Preisliste!C:G,5,FALSE)-VLOOKUP(F21,Preisliste!C:G,4,FALSE))*B21,0)</f>
        <v>0</v>
      </c>
      <c r="AB21" s="86"/>
      <c r="AC21" s="86"/>
      <c r="AD21" s="86"/>
      <c r="AE21" s="86"/>
      <c r="AF21" s="86"/>
      <c r="AG21" s="55">
        <f>IF(AND(AH21&gt;0,AL21&gt;0,AP21&gt;0,AND(Kalk2!$H$28&gt;0,Kalk2!$H$29&gt;Kalk2!$B$1)),1,0)</f>
        <v>0</v>
      </c>
      <c r="AH21" s="66">
        <f>IF(Kalk2!$AA$19=1,1,0)</f>
        <v>0</v>
      </c>
      <c r="AI21" s="55">
        <v>25</v>
      </c>
      <c r="AK21" s="55" t="s">
        <v>22079</v>
      </c>
      <c r="AL21" s="66">
        <f>IF(AND(Kalk2!$AA$18=2,Kalk2!$AF$18=2),2,IF(OR(Kalk2!$AA$18=2,Kalk2!$AF$18=2),1,0))</f>
        <v>0</v>
      </c>
      <c r="AM21" s="55" t="s">
        <v>22094</v>
      </c>
      <c r="AO21" s="55" t="s">
        <v>22079</v>
      </c>
      <c r="AP21" s="66">
        <f>IF(Kalk2!$AI$51=AQ21,1,0)</f>
        <v>1</v>
      </c>
      <c r="AQ21" s="55">
        <v>750</v>
      </c>
    </row>
    <row r="22" spans="2:43" ht="24.95" customHeight="1">
      <c r="B22" s="93">
        <f>IF(AG22=1,AL22,0)*Kalk2!$H$37</f>
        <v>0</v>
      </c>
      <c r="C22" s="60">
        <v>1350</v>
      </c>
      <c r="D22" s="60"/>
      <c r="E22" s="60" t="str">
        <f>VLOOKUP(1600,Sprachindex!$A:$Z,Erhebungsbogen!$Y$20,FALSE)</f>
        <v>[Stk]</v>
      </c>
      <c r="F22" s="60" t="s">
        <v>21962</v>
      </c>
      <c r="G22" s="514" t="str">
        <f>VLOOKUP(1592,Sprachindex!$A:$Z,Erhebungsbogen!$Y$20,FALSE) &amp; IF(AND(Kalk2!$AA$5=2,Kalk2!AA11),", " &amp; VLOOKUP(1645,Sprachindex!$A:$Z,Erhebungsbogen!$Y$20,FALSE) &amp; " " &amp; $U$8,", "&amp; VLOOKUP(1648,Sprachindex!$A:$Z,Erhebungsbogen!$Y$20,FALSE))</f>
        <v>Abdeckung V 25, entgratet, blank</v>
      </c>
      <c r="H22" s="514"/>
      <c r="I22" s="514"/>
      <c r="J22" s="514"/>
      <c r="K22" s="514"/>
      <c r="L22" s="514"/>
      <c r="M22" s="514"/>
      <c r="N22" s="514"/>
      <c r="O22" s="514"/>
      <c r="P22" s="514"/>
      <c r="Q22" s="514"/>
      <c r="R22" s="514"/>
      <c r="S22" s="514"/>
      <c r="T22" s="514"/>
      <c r="U22" s="352">
        <f>IF(AND(Kalk2!$AA$5=2,Kalk2!$AA$11),VLOOKUP(F22,Preisliste!C:G,5,FALSE),VLOOKUP(F22,Preisliste!C:G,4,FALSE))</f>
        <v>33.799999999999997</v>
      </c>
      <c r="V22" s="352">
        <f>U22*B22</f>
        <v>0</v>
      </c>
      <c r="W22" s="86"/>
      <c r="X22" s="86"/>
      <c r="Y22" s="86"/>
      <c r="Z22" s="143">
        <f>IF(AND(Kalk2!$AA$5=2,Kalk2!$AA$11),(VLOOKUP(F22,Preisliste!C:G,5,FALSE)-VLOOKUP(F22,Preisliste!C:G,4,FALSE))*B22,0)</f>
        <v>0</v>
      </c>
      <c r="AB22" s="86"/>
      <c r="AC22" s="86"/>
      <c r="AD22" s="86"/>
      <c r="AE22" s="86"/>
      <c r="AF22" s="86"/>
      <c r="AG22" s="55">
        <f>IF(AND(AH22&gt;0,AL22&gt;0,AP22=1),1,0)</f>
        <v>0</v>
      </c>
      <c r="AH22" s="66">
        <f>IF(Kalk2!$AA$19=1,1,0)</f>
        <v>0</v>
      </c>
      <c r="AI22" s="55">
        <v>25</v>
      </c>
      <c r="AK22" s="55" t="s">
        <v>22079</v>
      </c>
      <c r="AL22" s="66">
        <f>IF(AND(Kalk2!$AA$18=2,Kalk2!$AF$18=2),2,IF(OR(Kalk2!$AA$18=2,Kalk2!$AF$18=2),1,0))</f>
        <v>0</v>
      </c>
      <c r="AM22" s="55" t="s">
        <v>22094</v>
      </c>
      <c r="AO22" s="55" t="s">
        <v>22079</v>
      </c>
      <c r="AP22" s="66">
        <f>IF(Kalk2!$AI$51=AQ22,1,0)</f>
        <v>0</v>
      </c>
      <c r="AQ22" s="55">
        <v>1350</v>
      </c>
    </row>
    <row r="23" spans="2:43" ht="24.95" customHeight="1">
      <c r="B23" s="93">
        <f>IF(AG23=1,AL23,0)*Kalk2!$H$37</f>
        <v>0</v>
      </c>
      <c r="C23" s="60">
        <v>1750</v>
      </c>
      <c r="D23" s="60"/>
      <c r="E23" s="60" t="str">
        <f>VLOOKUP(1600,Sprachindex!$A:$Z,Erhebungsbogen!$Y$20,FALSE)</f>
        <v>[Stk]</v>
      </c>
      <c r="F23" s="60" t="s">
        <v>21986</v>
      </c>
      <c r="G23" s="514" t="str">
        <f>VLOOKUP(1592,Sprachindex!$A:$Z,Erhebungsbogen!$Y$20,FALSE) &amp; IF(AND(Kalk2!$AA$5=2,Kalk2!AA11),", " &amp; VLOOKUP(1645,Sprachindex!$A:$Z,Erhebungsbogen!$Y$20,FALSE) &amp; " " &amp; $U$8,", "&amp; VLOOKUP(1648,Sprachindex!$A:$Z,Erhebungsbogen!$Y$20,FALSE))</f>
        <v>Abdeckung V 25, entgratet, blank</v>
      </c>
      <c r="H23" s="514"/>
      <c r="I23" s="514"/>
      <c r="J23" s="514"/>
      <c r="K23" s="514"/>
      <c r="L23" s="514"/>
      <c r="M23" s="514"/>
      <c r="N23" s="514"/>
      <c r="O23" s="514"/>
      <c r="P23" s="514"/>
      <c r="Q23" s="514"/>
      <c r="R23" s="514"/>
      <c r="S23" s="514"/>
      <c r="T23" s="514"/>
      <c r="U23" s="352">
        <f>IF(AND(Kalk2!$AA$5=2,Kalk2!$AA$11),VLOOKUP(F23,Preisliste!C:G,5,FALSE),VLOOKUP(F23,Preisliste!C:G,4,FALSE))</f>
        <v>45.4</v>
      </c>
      <c r="V23" s="352">
        <f t="shared" ref="V23:V48" si="0">U23*B23</f>
        <v>0</v>
      </c>
      <c r="W23" s="86"/>
      <c r="X23" s="86"/>
      <c r="Y23" s="86"/>
      <c r="Z23" s="143">
        <f>IF(AND(Kalk2!$AA$5=2,Kalk2!$AA$11),(VLOOKUP(F23,Preisliste!C:G,5,FALSE)-VLOOKUP(F23,Preisliste!C:G,4,FALSE))*B23,0)</f>
        <v>0</v>
      </c>
      <c r="AB23" s="86"/>
      <c r="AC23" s="86"/>
      <c r="AD23" s="86"/>
      <c r="AE23" s="86"/>
      <c r="AF23" s="86"/>
      <c r="AG23" s="55">
        <f t="shared" ref="AG23:AG44" si="1">IF(AND(AH23&gt;0,AL23&gt;0,AP23=1),1,0)</f>
        <v>0</v>
      </c>
      <c r="AH23" s="66">
        <f>IF(Kalk2!$AA$19=1,1,0)</f>
        <v>0</v>
      </c>
      <c r="AI23" s="55">
        <v>25</v>
      </c>
      <c r="AK23" s="55" t="s">
        <v>22079</v>
      </c>
      <c r="AL23" s="66">
        <f>IF(AND(Kalk2!$AA$18=2,Kalk2!$AF$18=2),2,IF(OR(Kalk2!$AA$18=2,Kalk2!$AF$18=2),1,0))</f>
        <v>0</v>
      </c>
      <c r="AM23" s="55" t="s">
        <v>22094</v>
      </c>
      <c r="AO23" s="55" t="s">
        <v>22079</v>
      </c>
      <c r="AP23" s="66">
        <f>IF(Kalk2!$AI$51=AQ23,1,0)</f>
        <v>0</v>
      </c>
      <c r="AQ23" s="55">
        <v>1750</v>
      </c>
    </row>
    <row r="24" spans="2:43" ht="24.95" customHeight="1">
      <c r="B24" s="93">
        <f>IF(AG24=1,AL24,0)*Kalk2!$H$37</f>
        <v>0</v>
      </c>
      <c r="C24" s="60">
        <v>2150</v>
      </c>
      <c r="D24" s="60"/>
      <c r="E24" s="60" t="str">
        <f>VLOOKUP(1600,Sprachindex!$A:$Z,Erhebungsbogen!$Y$20,FALSE)</f>
        <v>[Stk]</v>
      </c>
      <c r="F24" s="60" t="s">
        <v>21987</v>
      </c>
      <c r="G24" s="514" t="str">
        <f>VLOOKUP(1592,Sprachindex!$A:$Z,Erhebungsbogen!$Y$20,FALSE) &amp; IF(AND(Kalk2!$AA$5=2,Kalk2!AA11),", " &amp; VLOOKUP(1645,Sprachindex!$A:$Z,Erhebungsbogen!$Y$20,FALSE) &amp; " " &amp; $U$8,", "&amp; VLOOKUP(1648,Sprachindex!$A:$Z,Erhebungsbogen!$Y$20,FALSE))</f>
        <v>Abdeckung V 25, entgratet, blank</v>
      </c>
      <c r="H24" s="514"/>
      <c r="I24" s="514"/>
      <c r="J24" s="514"/>
      <c r="K24" s="514"/>
      <c r="L24" s="514"/>
      <c r="M24" s="514"/>
      <c r="N24" s="514"/>
      <c r="O24" s="514"/>
      <c r="P24" s="514"/>
      <c r="Q24" s="514"/>
      <c r="R24" s="514"/>
      <c r="S24" s="514"/>
      <c r="T24" s="514"/>
      <c r="U24" s="352">
        <f>IF(AND(Kalk2!$AA$5=2,Kalk2!$AA$11),VLOOKUP(F24,Preisliste!C:G,5,FALSE),VLOOKUP(F24,Preisliste!C:G,4,FALSE))</f>
        <v>57.9</v>
      </c>
      <c r="V24" s="352">
        <f t="shared" si="0"/>
        <v>0</v>
      </c>
      <c r="W24" s="86"/>
      <c r="Y24" s="86"/>
      <c r="Z24" s="143">
        <f>IF(AND(Kalk2!$AA$5=2,Kalk2!$AA$11),(VLOOKUP(F24,Preisliste!C:G,5,FALSE)-VLOOKUP(F24,Preisliste!C:G,4,FALSE))*B24,0)</f>
        <v>0</v>
      </c>
      <c r="AB24" s="86"/>
      <c r="AC24" s="86"/>
      <c r="AD24" s="86"/>
      <c r="AE24" s="86"/>
      <c r="AF24" s="86"/>
      <c r="AG24" s="55">
        <f t="shared" si="1"/>
        <v>0</v>
      </c>
      <c r="AH24" s="66">
        <f>IF(Kalk2!$AA$19=1,1,0)</f>
        <v>0</v>
      </c>
      <c r="AI24" s="55">
        <v>25</v>
      </c>
      <c r="AK24" s="55" t="s">
        <v>22079</v>
      </c>
      <c r="AL24" s="66">
        <f>IF(AND(Kalk2!$AA$18=2,Kalk2!$AF$18=2),2,IF(OR(Kalk2!$AA$18=2,Kalk2!$AF$18=2),1,0))</f>
        <v>0</v>
      </c>
      <c r="AM24" s="55" t="s">
        <v>22094</v>
      </c>
      <c r="AO24" s="55" t="s">
        <v>22079</v>
      </c>
      <c r="AP24" s="66">
        <f>IF(Kalk2!$AI$51=AQ24,1,0)</f>
        <v>0</v>
      </c>
      <c r="AQ24" s="55">
        <v>2150</v>
      </c>
    </row>
    <row r="25" spans="2:43" ht="24.95" customHeight="1">
      <c r="B25" s="93">
        <f>IF(AG25=1,AL25,0)*Kalk2!$H$37</f>
        <v>0</v>
      </c>
      <c r="C25" s="60">
        <v>750</v>
      </c>
      <c r="D25" s="60"/>
      <c r="E25" s="60" t="str">
        <f>VLOOKUP(1600,Sprachindex!$A:$Z,Erhebungsbogen!$Y$20,FALSE)</f>
        <v>[Stk]</v>
      </c>
      <c r="F25" s="60" t="s">
        <v>21963</v>
      </c>
      <c r="G25" s="514" t="str">
        <f>VLOOKUP(1610,Sprachindex!$A:$Z,Erhebungsbogen!$Y$20,FALSE) &amp; IF(AND(Kalk2!$AA$5=2,Kalk2!AA11),", " &amp; VLOOKUP(1645,Sprachindex!$A:$Z,Erhebungsbogen!$Y$20,FALSE) &amp; " " &amp; $U$8,", "&amp; VLOOKUP(1648,Sprachindex!$A:$Z,Erhebungsbogen!$Y$20,FALSE))</f>
        <v>Abdeckung V 50, gebohrt und entgratet, blank</v>
      </c>
      <c r="H25" s="514"/>
      <c r="I25" s="514"/>
      <c r="J25" s="514"/>
      <c r="K25" s="514"/>
      <c r="L25" s="514"/>
      <c r="M25" s="514"/>
      <c r="N25" s="514"/>
      <c r="O25" s="514"/>
      <c r="P25" s="514"/>
      <c r="Q25" s="514"/>
      <c r="R25" s="514"/>
      <c r="S25" s="514"/>
      <c r="T25" s="514"/>
      <c r="U25" s="352">
        <f>IF(AND(Kalk2!$AA$5=2,Kalk2!$AA$11),VLOOKUP(F25,Preisliste!C:G,5,FALSE),VLOOKUP(F25,Preisliste!C:G,4,FALSE))</f>
        <v>27.8</v>
      </c>
      <c r="V25" s="352">
        <f t="shared" si="0"/>
        <v>0</v>
      </c>
      <c r="W25" s="86"/>
      <c r="X25" s="86"/>
      <c r="Y25" s="86"/>
      <c r="Z25" s="143">
        <f>IF(AND(Kalk2!$AA$5=2,Kalk2!$AA$11),(VLOOKUP(F25,Preisliste!C:G,5,FALSE)-VLOOKUP(F25,Preisliste!C:G,4,FALSE))*B25,0)</f>
        <v>0</v>
      </c>
      <c r="AB25" s="86"/>
      <c r="AC25" s="86"/>
      <c r="AD25" s="86"/>
      <c r="AE25" s="86"/>
      <c r="AF25" s="86"/>
      <c r="AG25" s="55">
        <f t="shared" si="1"/>
        <v>0</v>
      </c>
      <c r="AH25" s="66">
        <f>IF(OR(Kalk2!$AA$19=2,Kalk2!$AA$19=3),1,0)</f>
        <v>1</v>
      </c>
      <c r="AI25" s="55">
        <v>50</v>
      </c>
      <c r="AK25" s="55" t="s">
        <v>22079</v>
      </c>
      <c r="AL25" s="66">
        <f>IF(AND(Kalk2!$AA$18=2,Kalk2!$AF$18=2),2,IF(OR(Kalk2!$AA$18=2,Kalk2!$AF$18=2),1,0))</f>
        <v>0</v>
      </c>
      <c r="AM25" s="55" t="s">
        <v>22094</v>
      </c>
      <c r="AO25" s="55" t="s">
        <v>22079</v>
      </c>
      <c r="AP25" s="66">
        <f>IF(Kalk2!$AI$51=AQ25,1,0)</f>
        <v>1</v>
      </c>
      <c r="AQ25" s="55">
        <v>750</v>
      </c>
    </row>
    <row r="26" spans="2:43" ht="24.95" customHeight="1">
      <c r="B26" s="93">
        <f>IF(AG26=1,AL26,0)*Kalk2!$H$37</f>
        <v>0</v>
      </c>
      <c r="C26" s="60">
        <v>1350</v>
      </c>
      <c r="D26" s="60"/>
      <c r="E26" s="60" t="str">
        <f>VLOOKUP(1600,Sprachindex!$A:$Z,Erhebungsbogen!$Y$20,FALSE)</f>
        <v>[Stk]</v>
      </c>
      <c r="F26" s="60" t="s">
        <v>21964</v>
      </c>
      <c r="G26" s="514" t="str">
        <f>VLOOKUP(1610,Sprachindex!$A:$Z,Erhebungsbogen!$Y$20,FALSE) &amp; IF(AND(Kalk2!$AA$5=2,Kalk2!AA11),", " &amp; VLOOKUP(1645,Sprachindex!$A:$Z,Erhebungsbogen!$Y$20,FALSE) &amp; " " &amp; $U$8,", "&amp; VLOOKUP(1648,Sprachindex!$A:$Z,Erhebungsbogen!$Y$20,FALSE))</f>
        <v>Abdeckung V 50, gebohrt und entgratet, blank</v>
      </c>
      <c r="H26" s="514"/>
      <c r="I26" s="514"/>
      <c r="J26" s="514"/>
      <c r="K26" s="514"/>
      <c r="L26" s="514"/>
      <c r="M26" s="514"/>
      <c r="N26" s="514"/>
      <c r="O26" s="514"/>
      <c r="P26" s="514"/>
      <c r="Q26" s="514"/>
      <c r="R26" s="514"/>
      <c r="S26" s="514"/>
      <c r="T26" s="514"/>
      <c r="U26" s="352">
        <f>IF(AND(Kalk2!$AA$5=2,Kalk2!$AA$11),VLOOKUP(F26,Preisliste!C:G,5,FALSE),VLOOKUP(F26,Preisliste!C:G,4,FALSE))</f>
        <v>33.65</v>
      </c>
      <c r="V26" s="352">
        <f t="shared" si="0"/>
        <v>0</v>
      </c>
      <c r="W26" s="86"/>
      <c r="X26" s="86"/>
      <c r="Y26" s="86"/>
      <c r="Z26" s="143">
        <f>IF(AND(Kalk2!$AA$5=2,Kalk2!$AA$11),(VLOOKUP(F26,Preisliste!C:G,5,FALSE)-VLOOKUP(F26,Preisliste!C:G,4,FALSE))*B26,0)</f>
        <v>0</v>
      </c>
      <c r="AB26" s="86"/>
      <c r="AC26" s="86"/>
      <c r="AD26" s="86"/>
      <c r="AE26" s="86"/>
      <c r="AF26" s="86"/>
      <c r="AG26" s="55">
        <f t="shared" si="1"/>
        <v>0</v>
      </c>
      <c r="AH26" s="66">
        <f>IF(OR(Kalk2!$AA$19=2,Kalk2!$AA$19=3),1,0)</f>
        <v>1</v>
      </c>
      <c r="AI26" s="55">
        <v>50</v>
      </c>
      <c r="AK26" s="55" t="s">
        <v>22079</v>
      </c>
      <c r="AL26" s="66">
        <f>IF(AND(Kalk2!$AA$18=2,Kalk2!$AF$18=2),2,IF(OR(Kalk2!$AA$18=2,Kalk2!$AF$18=2),1,0))</f>
        <v>0</v>
      </c>
      <c r="AM26" s="55" t="s">
        <v>22094</v>
      </c>
      <c r="AO26" s="55" t="s">
        <v>22079</v>
      </c>
      <c r="AP26" s="66">
        <f>IF(Kalk2!$AI$51=AQ26,1,0)</f>
        <v>0</v>
      </c>
      <c r="AQ26" s="55">
        <v>1350</v>
      </c>
    </row>
    <row r="27" spans="2:43" ht="24.95" customHeight="1">
      <c r="B27" s="93">
        <f>IF(AG27=1,AL27,0)*Kalk2!$H$37</f>
        <v>0</v>
      </c>
      <c r="C27" s="60">
        <v>1750</v>
      </c>
      <c r="D27" s="60"/>
      <c r="E27" s="60" t="str">
        <f>VLOOKUP(1600,Sprachindex!$A:$Z,Erhebungsbogen!$Y$20,FALSE)</f>
        <v>[Stk]</v>
      </c>
      <c r="F27" s="60" t="s">
        <v>21965</v>
      </c>
      <c r="G27" s="514" t="str">
        <f>VLOOKUP(1610,Sprachindex!$A:$Z,Erhebungsbogen!$Y$20,FALSE) &amp; IF(AND(Kalk2!$AA$5=2,Kalk2!AA11),", " &amp; VLOOKUP(1645,Sprachindex!$A:$Z,Erhebungsbogen!$Y$20,FALSE) &amp; " " &amp; $U$8,", "&amp; VLOOKUP(1648,Sprachindex!$A:$Z,Erhebungsbogen!$Y$20,FALSE))</f>
        <v>Abdeckung V 50, gebohrt und entgratet, blank</v>
      </c>
      <c r="H27" s="514"/>
      <c r="I27" s="514"/>
      <c r="J27" s="514"/>
      <c r="K27" s="514"/>
      <c r="L27" s="514"/>
      <c r="M27" s="514"/>
      <c r="N27" s="514"/>
      <c r="O27" s="514"/>
      <c r="P27" s="514"/>
      <c r="Q27" s="514"/>
      <c r="R27" s="514"/>
      <c r="S27" s="514"/>
      <c r="T27" s="514"/>
      <c r="U27" s="352">
        <f>IF(AND(Kalk2!$AA$5=2,Kalk2!$AA$11),VLOOKUP(F27,Preisliste!C:G,5,FALSE),VLOOKUP(F27,Preisliste!C:G,4,FALSE))</f>
        <v>37.5</v>
      </c>
      <c r="V27" s="352">
        <f t="shared" si="0"/>
        <v>0</v>
      </c>
      <c r="W27" s="86"/>
      <c r="X27" s="86"/>
      <c r="Y27" s="86"/>
      <c r="Z27" s="143">
        <f>IF(AND(Kalk2!$AA$5=2,Kalk2!$AA$11),(VLOOKUP(F27,Preisliste!C:G,5,FALSE)-VLOOKUP(F27,Preisliste!C:G,4,FALSE))*B27,0)</f>
        <v>0</v>
      </c>
      <c r="AB27" s="86"/>
      <c r="AC27" s="86"/>
      <c r="AD27" s="86"/>
      <c r="AE27" s="86"/>
      <c r="AF27" s="86"/>
      <c r="AG27" s="55">
        <f t="shared" si="1"/>
        <v>0</v>
      </c>
      <c r="AH27" s="66">
        <f>IF(OR(Kalk2!$AA$19=2,Kalk2!$AA$19=3),1,0)</f>
        <v>1</v>
      </c>
      <c r="AI27" s="55">
        <v>50</v>
      </c>
      <c r="AK27" s="55" t="s">
        <v>22079</v>
      </c>
      <c r="AL27" s="66">
        <f>IF(AND(Kalk2!$AA$18=2,Kalk2!$AF$18=2),2,IF(OR(Kalk2!$AA$18=2,Kalk2!$AF$18=2),1,0))</f>
        <v>0</v>
      </c>
      <c r="AM27" s="55" t="s">
        <v>22094</v>
      </c>
      <c r="AO27" s="55" t="s">
        <v>22079</v>
      </c>
      <c r="AP27" s="66">
        <f>IF(Kalk2!$AI$51=AQ27,1,0)</f>
        <v>0</v>
      </c>
      <c r="AQ27" s="55">
        <v>1750</v>
      </c>
    </row>
    <row r="28" spans="2:43" ht="24.95" customHeight="1">
      <c r="B28" s="93">
        <f>IF(AG28=1,AL28,0)*Kalk2!$H$37</f>
        <v>0</v>
      </c>
      <c r="C28" s="60">
        <v>2150</v>
      </c>
      <c r="D28" s="60"/>
      <c r="E28" s="60" t="str">
        <f>VLOOKUP(1600,Sprachindex!$A:$Z,Erhebungsbogen!$Y$20,FALSE)</f>
        <v>[Stk]</v>
      </c>
      <c r="F28" s="60" t="s">
        <v>21966</v>
      </c>
      <c r="G28" s="514" t="str">
        <f>VLOOKUP(1610,Sprachindex!$A:$Z,Erhebungsbogen!$Y$20,FALSE) &amp; IF(AND(Kalk2!$AA$5=2,Kalk2!AA11),", " &amp; VLOOKUP(1645,Sprachindex!$A:$Z,Erhebungsbogen!$Y$20,FALSE) &amp; " " &amp; $U$8,", "&amp; VLOOKUP(1648,Sprachindex!$A:$Z,Erhebungsbogen!$Y$20,FALSE))</f>
        <v>Abdeckung V 50, gebohrt und entgratet, blank</v>
      </c>
      <c r="H28" s="514"/>
      <c r="I28" s="514"/>
      <c r="J28" s="514"/>
      <c r="K28" s="514"/>
      <c r="L28" s="514"/>
      <c r="M28" s="514"/>
      <c r="N28" s="514"/>
      <c r="O28" s="514"/>
      <c r="P28" s="514"/>
      <c r="Q28" s="514"/>
      <c r="R28" s="514"/>
      <c r="S28" s="514"/>
      <c r="T28" s="514"/>
      <c r="U28" s="352">
        <f>IF(AND(Kalk2!$AA$5=2,Kalk2!$AA$11),VLOOKUP(F28,Preisliste!C:G,5,FALSE),VLOOKUP(F28,Preisliste!C:G,4,FALSE))</f>
        <v>41.4</v>
      </c>
      <c r="V28" s="352">
        <f t="shared" si="0"/>
        <v>0</v>
      </c>
      <c r="W28" s="86"/>
      <c r="X28" s="86"/>
      <c r="Y28" s="86"/>
      <c r="Z28" s="143">
        <f>IF(AND(Kalk2!$AA$5=2,Kalk2!$AA$11),(VLOOKUP(F28,Preisliste!C:G,5,FALSE)-VLOOKUP(F28,Preisliste!C:G,4,FALSE))*B28,0)</f>
        <v>0</v>
      </c>
      <c r="AB28" s="86"/>
      <c r="AC28" s="86"/>
      <c r="AD28" s="86"/>
      <c r="AE28" s="86"/>
      <c r="AF28" s="86"/>
      <c r="AG28" s="55">
        <f t="shared" si="1"/>
        <v>0</v>
      </c>
      <c r="AH28" s="66">
        <f>IF(OR(Kalk2!$AA$19=2,Kalk2!$AA$19=3),1,0)</f>
        <v>1</v>
      </c>
      <c r="AI28" s="55">
        <v>50</v>
      </c>
      <c r="AK28" s="55" t="s">
        <v>22079</v>
      </c>
      <c r="AL28" s="66">
        <f>IF(AND(Kalk2!$AA$18=2,Kalk2!$AF$18=2),2,IF(OR(Kalk2!$AA$18=2,Kalk2!$AF$18=2),1,0))</f>
        <v>0</v>
      </c>
      <c r="AM28" s="55" t="s">
        <v>22094</v>
      </c>
      <c r="AO28" s="55" t="s">
        <v>22079</v>
      </c>
      <c r="AP28" s="66">
        <f>IF(Kalk2!$AI$51=AQ28,1,0)</f>
        <v>0</v>
      </c>
      <c r="AQ28" s="55">
        <v>2150</v>
      </c>
    </row>
    <row r="29" spans="2:43" ht="24.95" customHeight="1">
      <c r="B29" s="93">
        <f>IF(AG29=1,AL29,0)*Kalk2!$H$37</f>
        <v>0</v>
      </c>
      <c r="C29" s="60">
        <v>750</v>
      </c>
      <c r="D29" s="60"/>
      <c r="E29" s="60" t="str">
        <f>VLOOKUP(1600,Sprachindex!$A:$Z,Erhebungsbogen!$Y$20,FALSE)</f>
        <v>[Stk]</v>
      </c>
      <c r="F29" s="60" t="s">
        <v>21967</v>
      </c>
      <c r="G29" s="514" t="str">
        <f>VLOOKUP(1611,Sprachindex!$A:$Z,Erhebungsbogen!$Y$20,FALSE) &amp; IF(AND(Kalk2!$AA$5=2,Kalk2!AA11),", " &amp; VLOOKUP(1645,Sprachindex!$A:$Z,Erhebungsbogen!$Y$20,FALSE) &amp; " " &amp; $U$8,", "&amp; VLOOKUP(1648,Sprachindex!$A:$Z,Erhebungsbogen!$Y$20,FALSE))</f>
        <v>Abdeckung V 80, gebohrt und entgratet, blank</v>
      </c>
      <c r="H29" s="514"/>
      <c r="I29" s="514"/>
      <c r="J29" s="514"/>
      <c r="K29" s="514"/>
      <c r="L29" s="514"/>
      <c r="M29" s="514"/>
      <c r="N29" s="514"/>
      <c r="O29" s="514"/>
      <c r="P29" s="514"/>
      <c r="Q29" s="514"/>
      <c r="R29" s="514"/>
      <c r="S29" s="514"/>
      <c r="T29" s="514"/>
      <c r="U29" s="352">
        <f>IF(AND(Kalk2!$AA$5=2,Kalk2!$AA$11),VLOOKUP(F29,Preisliste!C:G,5,FALSE),VLOOKUP(F29,Preisliste!C:G,4,FALSE))</f>
        <v>34.950000000000003</v>
      </c>
      <c r="V29" s="352">
        <f t="shared" si="0"/>
        <v>0</v>
      </c>
      <c r="W29" s="86"/>
      <c r="X29" s="86"/>
      <c r="Y29" s="86"/>
      <c r="Z29" s="143">
        <f>IF(AND(Kalk2!$AA$5=2,Kalk2!$AA$11),(VLOOKUP(F29,Preisliste!C:G,5,FALSE)-VLOOKUP(F29,Preisliste!C:G,4,FALSE))*B29,0)</f>
        <v>0</v>
      </c>
      <c r="AB29" s="86"/>
      <c r="AC29" s="86"/>
      <c r="AD29" s="86"/>
      <c r="AE29" s="86"/>
      <c r="AF29" s="86"/>
      <c r="AG29" s="55">
        <f t="shared" si="1"/>
        <v>0</v>
      </c>
      <c r="AH29" s="66">
        <f>IF(Kalk2!$AA$19=4,1,0)</f>
        <v>0</v>
      </c>
      <c r="AI29" s="55">
        <v>80</v>
      </c>
      <c r="AK29" s="55" t="s">
        <v>22079</v>
      </c>
      <c r="AL29" s="66">
        <f>IF(AND(Kalk2!$AA$18=2,Kalk2!$AF$18=2),2,IF(OR(Kalk2!$AA$18=2,Kalk2!$AF$18=2),1,0))</f>
        <v>0</v>
      </c>
      <c r="AM29" s="55" t="s">
        <v>22094</v>
      </c>
      <c r="AO29" s="55" t="s">
        <v>22079</v>
      </c>
      <c r="AP29" s="66">
        <f>IF(Kalk2!$AI$51=AQ29,1,0)</f>
        <v>1</v>
      </c>
      <c r="AQ29" s="55">
        <v>750</v>
      </c>
    </row>
    <row r="30" spans="2:43" ht="24.95" customHeight="1">
      <c r="B30" s="93">
        <f>IF(AG30=1,AL30,0)*Kalk2!$H$37</f>
        <v>0</v>
      </c>
      <c r="C30" s="60">
        <v>1350</v>
      </c>
      <c r="D30" s="60"/>
      <c r="E30" s="60" t="str">
        <f>VLOOKUP(1600,Sprachindex!$A:$Z,Erhebungsbogen!$Y$20,FALSE)</f>
        <v>[Stk]</v>
      </c>
      <c r="F30" s="60" t="s">
        <v>21968</v>
      </c>
      <c r="G30" s="514" t="str">
        <f>VLOOKUP(1611,Sprachindex!$A:$Z,Erhebungsbogen!$Y$20,FALSE) &amp; IF(AND(Kalk2!$AA$5=2,Kalk2!AA11),", " &amp; VLOOKUP(1645,Sprachindex!$A:$Z,Erhebungsbogen!$Y$20,FALSE) &amp; " " &amp; $U$8,", "&amp; VLOOKUP(1648,Sprachindex!$A:$Z,Erhebungsbogen!$Y$20,FALSE))</f>
        <v>Abdeckung V 80, gebohrt und entgratet, blank</v>
      </c>
      <c r="H30" s="514"/>
      <c r="I30" s="514"/>
      <c r="J30" s="514"/>
      <c r="K30" s="514"/>
      <c r="L30" s="514"/>
      <c r="M30" s="514"/>
      <c r="N30" s="514"/>
      <c r="O30" s="514"/>
      <c r="P30" s="514"/>
      <c r="Q30" s="514"/>
      <c r="R30" s="514"/>
      <c r="S30" s="514"/>
      <c r="T30" s="514"/>
      <c r="U30" s="352">
        <f>IF(AND(Kalk2!$AA$5=2,Kalk2!$AA$11),VLOOKUP(F30,Preisliste!C:G,5,FALSE),VLOOKUP(F30,Preisliste!C:G,4,FALSE))</f>
        <v>46.4</v>
      </c>
      <c r="V30" s="352">
        <f t="shared" si="0"/>
        <v>0</v>
      </c>
      <c r="W30" s="86"/>
      <c r="X30" s="86"/>
      <c r="Y30" s="86"/>
      <c r="Z30" s="143">
        <f>IF(AND(Kalk2!$AA$5=2,Kalk2!$AA$11),(VLOOKUP(F30,Preisliste!C:G,5,FALSE)-VLOOKUP(F30,Preisliste!C:G,4,FALSE))*B30,0)</f>
        <v>0</v>
      </c>
      <c r="AB30" s="86"/>
      <c r="AC30" s="86"/>
      <c r="AD30" s="86"/>
      <c r="AE30" s="86"/>
      <c r="AF30" s="86"/>
      <c r="AG30" s="55">
        <f t="shared" si="1"/>
        <v>0</v>
      </c>
      <c r="AH30" s="66">
        <f>IF(Kalk2!$AA$19=4,1,0)</f>
        <v>0</v>
      </c>
      <c r="AI30" s="55">
        <v>80</v>
      </c>
      <c r="AK30" s="55" t="s">
        <v>22079</v>
      </c>
      <c r="AL30" s="66">
        <f>IF(AND(Kalk2!$AA$18=2,Kalk2!$AF$18=2),2,IF(OR(Kalk2!$AA$18=2,Kalk2!$AF$18=2),1,0))</f>
        <v>0</v>
      </c>
      <c r="AM30" s="55" t="s">
        <v>22094</v>
      </c>
      <c r="AO30" s="55" t="s">
        <v>22079</v>
      </c>
      <c r="AP30" s="66">
        <f>IF(Kalk2!$AI$51=AQ30,1,0)</f>
        <v>0</v>
      </c>
      <c r="AQ30" s="55">
        <v>1350</v>
      </c>
    </row>
    <row r="31" spans="2:43" ht="24.95" customHeight="1">
      <c r="B31" s="93">
        <f>IF(AG31=1,AL31,0)*Kalk2!$H$37</f>
        <v>0</v>
      </c>
      <c r="C31" s="60">
        <v>1750</v>
      </c>
      <c r="D31" s="60"/>
      <c r="E31" s="60" t="str">
        <f>VLOOKUP(1600,Sprachindex!$A:$Z,Erhebungsbogen!$Y$20,FALSE)</f>
        <v>[Stk]</v>
      </c>
      <c r="F31" s="60" t="s">
        <v>21969</v>
      </c>
      <c r="G31" s="514" t="str">
        <f>VLOOKUP(1611,Sprachindex!$A:$Z,Erhebungsbogen!$Y$20,FALSE) &amp; IF(AND(Kalk2!$AA$5=2,Kalk2!AA11),", " &amp; VLOOKUP(1645,Sprachindex!$A:$Z,Erhebungsbogen!$Y$20,FALSE) &amp; " " &amp; $U$8,", "&amp; VLOOKUP(1648,Sprachindex!$A:$Z,Erhebungsbogen!$Y$20,FALSE))</f>
        <v>Abdeckung V 80, gebohrt und entgratet, blank</v>
      </c>
      <c r="H31" s="514"/>
      <c r="I31" s="514"/>
      <c r="J31" s="514"/>
      <c r="K31" s="514"/>
      <c r="L31" s="514"/>
      <c r="M31" s="514"/>
      <c r="N31" s="514"/>
      <c r="O31" s="514"/>
      <c r="P31" s="514"/>
      <c r="Q31" s="514"/>
      <c r="R31" s="514"/>
      <c r="S31" s="514"/>
      <c r="T31" s="514"/>
      <c r="U31" s="352">
        <f>IF(AND(Kalk2!$AA$5=2,Kalk2!$AA$11),VLOOKUP(F31,Preisliste!C:G,5,FALSE),VLOOKUP(F31,Preisliste!C:G,4,FALSE))</f>
        <v>54.05</v>
      </c>
      <c r="V31" s="352">
        <f t="shared" si="0"/>
        <v>0</v>
      </c>
      <c r="W31" s="86"/>
      <c r="X31" s="86"/>
      <c r="Y31" s="86"/>
      <c r="Z31" s="143">
        <f>IF(AND(Kalk2!$AA$5=2,Kalk2!$AA$11),(VLOOKUP(F31,Preisliste!C:G,5,FALSE)-VLOOKUP(F31,Preisliste!C:G,4,FALSE))*B31,0)</f>
        <v>0</v>
      </c>
      <c r="AB31" s="86"/>
      <c r="AC31" s="86"/>
      <c r="AD31" s="86"/>
      <c r="AE31" s="86"/>
      <c r="AF31" s="86"/>
      <c r="AG31" s="55">
        <f t="shared" si="1"/>
        <v>0</v>
      </c>
      <c r="AH31" s="66">
        <f>IF(Kalk2!$AA$19=4,1,0)</f>
        <v>0</v>
      </c>
      <c r="AI31" s="55">
        <v>80</v>
      </c>
      <c r="AK31" s="55" t="s">
        <v>22079</v>
      </c>
      <c r="AL31" s="66">
        <f>IF(AND(Kalk2!$AA$18=2,Kalk2!$AF$18=2),2,IF(OR(Kalk2!$AA$18=2,Kalk2!$AF$18=2),1,0))</f>
        <v>0</v>
      </c>
      <c r="AM31" s="55" t="s">
        <v>22094</v>
      </c>
      <c r="AO31" s="55" t="s">
        <v>22079</v>
      </c>
      <c r="AP31" s="66">
        <f>IF(Kalk2!$AI$51=AQ31,1,0)</f>
        <v>0</v>
      </c>
      <c r="AQ31" s="55">
        <v>1750</v>
      </c>
    </row>
    <row r="32" spans="2:43" ht="24.95" customHeight="1">
      <c r="B32" s="93">
        <f>IF(AG32=1,AL32,0)*Kalk2!$H$37</f>
        <v>0</v>
      </c>
      <c r="C32" s="60">
        <v>2150</v>
      </c>
      <c r="D32" s="60"/>
      <c r="E32" s="60" t="str">
        <f>VLOOKUP(1600,Sprachindex!$A:$Z,Erhebungsbogen!$Y$20,FALSE)</f>
        <v>[Stk]</v>
      </c>
      <c r="F32" s="60" t="s">
        <v>21970</v>
      </c>
      <c r="G32" s="514" t="str">
        <f>VLOOKUP(1611,Sprachindex!$A:$Z,Erhebungsbogen!$Y$20,FALSE) &amp; IF(AND(Kalk2!$AA$5=2,Kalk2!AA11),", " &amp; VLOOKUP(1645,Sprachindex!$A:$Z,Erhebungsbogen!$Y$20,FALSE) &amp; " " &amp; $U$8,", "&amp; VLOOKUP(1648,Sprachindex!$A:$Z,Erhebungsbogen!$Y$20,FALSE))</f>
        <v>Abdeckung V 80, gebohrt und entgratet, blank</v>
      </c>
      <c r="H32" s="514"/>
      <c r="I32" s="514"/>
      <c r="J32" s="514"/>
      <c r="K32" s="514"/>
      <c r="L32" s="514"/>
      <c r="M32" s="514"/>
      <c r="N32" s="514"/>
      <c r="O32" s="514"/>
      <c r="P32" s="514"/>
      <c r="Q32" s="514"/>
      <c r="R32" s="514"/>
      <c r="S32" s="514"/>
      <c r="T32" s="514"/>
      <c r="U32" s="352">
        <f>IF(AND(Kalk2!$AA$5=2,Kalk2!$AA$11),VLOOKUP(F32,Preisliste!C:G,5,FALSE),VLOOKUP(F32,Preisliste!C:G,4,FALSE))</f>
        <v>61.65</v>
      </c>
      <c r="V32" s="352">
        <f t="shared" si="0"/>
        <v>0</v>
      </c>
      <c r="W32" s="86"/>
      <c r="X32" s="86"/>
      <c r="Y32" s="86"/>
      <c r="Z32" s="143">
        <f>IF(AND(Kalk2!$AA$5=2,Kalk2!$AA$11),(VLOOKUP(F32,Preisliste!C:G,5,FALSE)-VLOOKUP(F32,Preisliste!C:G,4,FALSE))*B32,0)</f>
        <v>0</v>
      </c>
      <c r="AB32" s="86"/>
      <c r="AC32" s="86"/>
      <c r="AD32" s="86"/>
      <c r="AE32" s="86"/>
      <c r="AF32" s="86"/>
      <c r="AG32" s="55">
        <f t="shared" si="1"/>
        <v>0</v>
      </c>
      <c r="AH32" s="66">
        <f>IF(Kalk2!$AA$19=4,1,0)</f>
        <v>0</v>
      </c>
      <c r="AI32" s="55">
        <v>80</v>
      </c>
      <c r="AK32" s="55" t="s">
        <v>22079</v>
      </c>
      <c r="AL32" s="66">
        <f>IF(AND(Kalk2!$AA$18=2,Kalk2!$AF$18=2),2,IF(OR(Kalk2!$AA$18=2,Kalk2!$AF$18=2),1,0))</f>
        <v>0</v>
      </c>
      <c r="AM32" s="55" t="s">
        <v>22094</v>
      </c>
      <c r="AO32" s="55" t="s">
        <v>22079</v>
      </c>
      <c r="AP32" s="66">
        <f>IF(Kalk2!$AI$51=AQ32,1,0)</f>
        <v>0</v>
      </c>
      <c r="AQ32" s="55">
        <v>2150</v>
      </c>
    </row>
    <row r="33" spans="2:54" ht="24.95" customHeight="1">
      <c r="B33" s="93">
        <f>IF(AG33=1,AL33,0)*Kalk2!$H$37</f>
        <v>0</v>
      </c>
      <c r="C33" s="60">
        <v>750</v>
      </c>
      <c r="D33" s="60"/>
      <c r="E33" s="60" t="str">
        <f>VLOOKUP(1600,Sprachindex!$A:$Z,Erhebungsbogen!$Y$20,FALSE)</f>
        <v>[Stk]</v>
      </c>
      <c r="F33" s="60" t="s">
        <v>21951</v>
      </c>
      <c r="G33" s="514" t="str">
        <f>VLOOKUP(1593,Sprachindex!$A:$Z,Erhebungsbogen!$Y$20,FALSE) &amp; IF(AND(Kalk2!$AA$5=2,Kalk2!AA11),", " &amp; VLOOKUP(1645,Sprachindex!$A:$Z,Erhebungsbogen!$Y$20,FALSE) &amp; " " &amp; $U$8,", "&amp; VLOOKUP(1648,Sprachindex!$A:$Z,Erhebungsbogen!$Y$20,FALSE))</f>
        <v>Abdeckung VO 25, entgratet, blank</v>
      </c>
      <c r="H33" s="514"/>
      <c r="I33" s="514"/>
      <c r="J33" s="514"/>
      <c r="K33" s="514"/>
      <c r="L33" s="514"/>
      <c r="M33" s="514"/>
      <c r="N33" s="514"/>
      <c r="O33" s="514"/>
      <c r="P33" s="514"/>
      <c r="Q33" s="514"/>
      <c r="R33" s="514"/>
      <c r="S33" s="514"/>
      <c r="T33" s="514"/>
      <c r="U33" s="352">
        <f>IF(AND(Kalk2!$AA$5=2,Kalk2!$AA$11),VLOOKUP(F33,Preisliste!C:G,5,FALSE),VLOOKUP(F33,Preisliste!C:G,4,FALSE))</f>
        <v>103.1</v>
      </c>
      <c r="V33" s="352">
        <f t="shared" si="0"/>
        <v>0</v>
      </c>
      <c r="W33" s="86"/>
      <c r="X33" s="86"/>
      <c r="Y33" s="86"/>
      <c r="Z33" s="143">
        <f>IF(AND(Kalk2!$AA$5=2,Kalk2!$AA$11),(VLOOKUP(F33,Preisliste!C:G,5,FALSE)-VLOOKUP(F33,Preisliste!C:G,4,FALSE))*B33,0)</f>
        <v>0</v>
      </c>
      <c r="AB33" s="86"/>
      <c r="AC33" s="86"/>
      <c r="AD33" s="86"/>
      <c r="AE33" s="86"/>
      <c r="AF33" s="86"/>
      <c r="AG33" s="55">
        <f t="shared" si="1"/>
        <v>0</v>
      </c>
      <c r="AH33" s="66">
        <f>IF(Kalk2!$AA$19=1,1,0)</f>
        <v>0</v>
      </c>
      <c r="AI33" s="55">
        <v>25</v>
      </c>
      <c r="AK33" s="55" t="s">
        <v>22079</v>
      </c>
      <c r="AL33" s="66">
        <f>IF(AND(Kalk2!$AA$18=3,Kalk2!$AF$18=3),2,IF(OR(Kalk2!$AA$18=3,Kalk2!$AF$18=3),1,0))</f>
        <v>0</v>
      </c>
      <c r="AM33" s="55" t="s">
        <v>22095</v>
      </c>
      <c r="AO33" s="55" t="s">
        <v>22079</v>
      </c>
      <c r="AP33" s="66">
        <f>IF(Kalk2!$AI$51=AQ33,1,0)</f>
        <v>1</v>
      </c>
      <c r="AQ33" s="55">
        <v>750</v>
      </c>
    </row>
    <row r="34" spans="2:54" ht="24.95" customHeight="1">
      <c r="B34" s="93">
        <f>IF(AG34=1,AL34,0)*Kalk2!$H$37</f>
        <v>0</v>
      </c>
      <c r="C34" s="60">
        <v>1350</v>
      </c>
      <c r="D34" s="60"/>
      <c r="E34" s="60" t="str">
        <f>VLOOKUP(1600,Sprachindex!$A:$Z,Erhebungsbogen!$Y$20,FALSE)</f>
        <v>[Stk]</v>
      </c>
      <c r="F34" s="60" t="s">
        <v>21952</v>
      </c>
      <c r="G34" s="514" t="str">
        <f>VLOOKUP(1593,Sprachindex!$A:$Z,Erhebungsbogen!$Y$20,FALSE) &amp; IF(AND(Kalk2!$AA$5=2,Kalk2!AA11),", " &amp; VLOOKUP(1645,Sprachindex!$A:$Z,Erhebungsbogen!$Y$20,FALSE) &amp; " " &amp; $U$8,", "&amp; VLOOKUP(1648,Sprachindex!$A:$Z,Erhebungsbogen!$Y$20,FALSE))</f>
        <v>Abdeckung VO 25, entgratet, blank</v>
      </c>
      <c r="H34" s="514"/>
      <c r="I34" s="514"/>
      <c r="J34" s="514"/>
      <c r="K34" s="514"/>
      <c r="L34" s="514"/>
      <c r="M34" s="514"/>
      <c r="N34" s="514"/>
      <c r="O34" s="514"/>
      <c r="P34" s="514"/>
      <c r="Q34" s="514"/>
      <c r="R34" s="514"/>
      <c r="S34" s="514"/>
      <c r="T34" s="514"/>
      <c r="U34" s="352">
        <f>IF(AND(Kalk2!$AA$5=2,Kalk2!$AA$11),VLOOKUP(F34,Preisliste!C:G,5,FALSE),VLOOKUP(F34,Preisliste!C:G,4,FALSE))</f>
        <v>108</v>
      </c>
      <c r="V34" s="352">
        <f t="shared" si="0"/>
        <v>0</v>
      </c>
      <c r="W34" s="86"/>
      <c r="X34" s="86"/>
      <c r="Y34" s="86"/>
      <c r="Z34" s="143">
        <f>IF(AND(Kalk2!$AA$5=2,Kalk2!$AA$11),(VLOOKUP(F34,Preisliste!C:G,5,FALSE)-VLOOKUP(F34,Preisliste!C:G,4,FALSE))*B34,0)</f>
        <v>0</v>
      </c>
      <c r="AB34" s="86"/>
      <c r="AC34" s="86"/>
      <c r="AD34" s="86"/>
      <c r="AE34" s="86"/>
      <c r="AF34" s="86"/>
      <c r="AG34" s="55">
        <f t="shared" si="1"/>
        <v>0</v>
      </c>
      <c r="AH34" s="66">
        <f>IF(Kalk2!$AA$19=1,1,0)</f>
        <v>0</v>
      </c>
      <c r="AI34" s="55">
        <v>25</v>
      </c>
      <c r="AK34" s="55" t="s">
        <v>22079</v>
      </c>
      <c r="AL34" s="66">
        <f>IF(AND(Kalk2!$AA$18=3,Kalk2!$AF$18=3),2,IF(OR(Kalk2!$AA$18=3,Kalk2!$AF$18=3),1,0))</f>
        <v>0</v>
      </c>
      <c r="AM34" s="55" t="s">
        <v>22095</v>
      </c>
      <c r="AO34" s="55" t="s">
        <v>22079</v>
      </c>
      <c r="AP34" s="66">
        <f>IF(Kalk2!$AI$51=AQ34,1,0)</f>
        <v>0</v>
      </c>
      <c r="AQ34" s="55">
        <v>1350</v>
      </c>
    </row>
    <row r="35" spans="2:54" ht="24.95" customHeight="1">
      <c r="B35" s="93">
        <f>IF(AG35=1,AL35,0)*Kalk2!$H$37</f>
        <v>0</v>
      </c>
      <c r="C35" s="60">
        <v>1750</v>
      </c>
      <c r="D35" s="60"/>
      <c r="E35" s="60" t="str">
        <f>VLOOKUP(1600,Sprachindex!$A:$Z,Erhebungsbogen!$Y$20,FALSE)</f>
        <v>[Stk]</v>
      </c>
      <c r="F35" s="60" t="s">
        <v>21988</v>
      </c>
      <c r="G35" s="514" t="str">
        <f>VLOOKUP(1593,Sprachindex!$A:$Z,Erhebungsbogen!$Y$20,FALSE) &amp; IF(AND(Kalk2!$AA$5=2,Kalk2!AA11),", " &amp; VLOOKUP(1645,Sprachindex!$A:$Z,Erhebungsbogen!$Y$20,FALSE) &amp; " " &amp; $U$8,", "&amp; VLOOKUP(1648,Sprachindex!$A:$Z,Erhebungsbogen!$Y$20,FALSE))</f>
        <v>Abdeckung VO 25, entgratet, blank</v>
      </c>
      <c r="H35" s="514"/>
      <c r="I35" s="514"/>
      <c r="J35" s="514"/>
      <c r="K35" s="514"/>
      <c r="L35" s="514"/>
      <c r="M35" s="514"/>
      <c r="N35" s="514"/>
      <c r="O35" s="514"/>
      <c r="P35" s="514"/>
      <c r="Q35" s="514"/>
      <c r="R35" s="514"/>
      <c r="S35" s="514"/>
      <c r="T35" s="514"/>
      <c r="U35" s="352">
        <f>IF(AND(Kalk2!$AA$5=2,Kalk2!$AA$11),VLOOKUP(F35,Preisliste!C:G,5,FALSE),VLOOKUP(F35,Preisliste!C:G,4,FALSE))</f>
        <v>113.85</v>
      </c>
      <c r="V35" s="352">
        <f t="shared" si="0"/>
        <v>0</v>
      </c>
      <c r="W35" s="86"/>
      <c r="X35" s="86"/>
      <c r="Y35" s="86"/>
      <c r="Z35" s="143">
        <f>IF(AND(Kalk2!$AA$5=2,Kalk2!$AA$11),(VLOOKUP(F35,Preisliste!C:G,5,FALSE)-VLOOKUP(F35,Preisliste!C:G,4,FALSE))*B35,0)</f>
        <v>0</v>
      </c>
      <c r="AB35" s="86"/>
      <c r="AC35" s="86"/>
      <c r="AD35" s="86"/>
      <c r="AE35" s="86"/>
      <c r="AF35" s="86"/>
      <c r="AG35" s="55">
        <f t="shared" si="1"/>
        <v>0</v>
      </c>
      <c r="AH35" s="66">
        <f>IF(Kalk2!$AA$19=1,1,0)</f>
        <v>0</v>
      </c>
      <c r="AI35" s="55">
        <v>25</v>
      </c>
      <c r="AK35" s="55" t="s">
        <v>22079</v>
      </c>
      <c r="AL35" s="66">
        <f>IF(AND(Kalk2!$AA$18=3,Kalk2!$AF$18=3),2,IF(OR(Kalk2!$AA$18=3,Kalk2!$AF$18=3),1,0))</f>
        <v>0</v>
      </c>
      <c r="AM35" s="55" t="s">
        <v>22095</v>
      </c>
      <c r="AO35" s="55" t="s">
        <v>22079</v>
      </c>
      <c r="AP35" s="66">
        <f>IF(Kalk2!$AI$51=AQ35,1,0)</f>
        <v>0</v>
      </c>
      <c r="AQ35" s="55">
        <v>1750</v>
      </c>
    </row>
    <row r="36" spans="2:54" ht="24.95" customHeight="1">
      <c r="B36" s="93">
        <f>IF(AG36=1,AL36,0)*Kalk2!$H$37</f>
        <v>0</v>
      </c>
      <c r="C36" s="60">
        <v>2150</v>
      </c>
      <c r="D36" s="60"/>
      <c r="E36" s="60" t="str">
        <f>VLOOKUP(1600,Sprachindex!$A:$Z,Erhebungsbogen!$Y$20,FALSE)</f>
        <v>[Stk]</v>
      </c>
      <c r="F36" s="60" t="s">
        <v>22642</v>
      </c>
      <c r="G36" s="514" t="str">
        <f>VLOOKUP(1593,Sprachindex!$A:$Z,Erhebungsbogen!$Y$20,FALSE) &amp; IF(AND(Kalk2!$AA$5=2,Kalk2!AA11),", " &amp; VLOOKUP(1645,Sprachindex!$A:$Z,Erhebungsbogen!$Y$20,FALSE) &amp; " " &amp; $U$8,", "&amp; VLOOKUP(1648,Sprachindex!$A:$Z,Erhebungsbogen!$Y$20,FALSE))</f>
        <v>Abdeckung VO 25, entgratet, blank</v>
      </c>
      <c r="H36" s="514"/>
      <c r="I36" s="514"/>
      <c r="J36" s="514"/>
      <c r="K36" s="514"/>
      <c r="L36" s="514"/>
      <c r="M36" s="514"/>
      <c r="N36" s="514"/>
      <c r="O36" s="514"/>
      <c r="P36" s="514"/>
      <c r="Q36" s="514"/>
      <c r="R36" s="514"/>
      <c r="S36" s="514"/>
      <c r="T36" s="514"/>
      <c r="U36" s="352">
        <f>IF(AND(Kalk2!$AA$5=2,Kalk2!$AA$11),VLOOKUP(F36,Preisliste!C:G,5,FALSE),VLOOKUP(F36,Preisliste!C:G,4,FALSE))</f>
        <v>119.8</v>
      </c>
      <c r="V36" s="352">
        <f t="shared" si="0"/>
        <v>0</v>
      </c>
      <c r="W36" s="86"/>
      <c r="X36" s="86"/>
      <c r="Y36" s="86"/>
      <c r="Z36" s="143">
        <f>IF(AND(Kalk2!$AA$5=2,Kalk2!$AA$11),(VLOOKUP(F36,Preisliste!C:G,5,FALSE)-VLOOKUP(F36,Preisliste!C:G,4,FALSE))*B36,0)</f>
        <v>0</v>
      </c>
      <c r="AB36" s="86"/>
      <c r="AC36" s="86"/>
      <c r="AD36" s="86"/>
      <c r="AE36" s="86"/>
      <c r="AF36" s="86"/>
      <c r="AG36" s="55">
        <f t="shared" si="1"/>
        <v>0</v>
      </c>
      <c r="AH36" s="66">
        <f>IF(Kalk2!$AA$19=1,1,0)</f>
        <v>0</v>
      </c>
      <c r="AI36" s="55">
        <v>25</v>
      </c>
      <c r="AK36" s="55" t="s">
        <v>22079</v>
      </c>
      <c r="AL36" s="66">
        <f>IF(AND(Kalk2!$AA$18=3,Kalk2!$AF$18=3),2,IF(OR(Kalk2!$AA$18=3,Kalk2!$AF$18=3),1,0))</f>
        <v>0</v>
      </c>
      <c r="AM36" s="55" t="s">
        <v>22095</v>
      </c>
      <c r="AO36" s="55" t="s">
        <v>22079</v>
      </c>
      <c r="AP36" s="66">
        <f>IF(Kalk2!$AI$51=AQ36,1,0)</f>
        <v>0</v>
      </c>
      <c r="AQ36" s="55">
        <v>2150</v>
      </c>
    </row>
    <row r="37" spans="2:54" ht="24.95" customHeight="1">
      <c r="B37" s="93">
        <f>IF(AG37=1,AL37,0)*Kalk2!$H$37</f>
        <v>0</v>
      </c>
      <c r="C37" s="60">
        <v>750</v>
      </c>
      <c r="D37" s="60"/>
      <c r="E37" s="60" t="str">
        <f>VLOOKUP(1600,Sprachindex!$A:$Z,Erhebungsbogen!$Y$20,FALSE)</f>
        <v>[Stk]</v>
      </c>
      <c r="F37" s="60" t="s">
        <v>21953</v>
      </c>
      <c r="G37" s="514" t="str">
        <f>VLOOKUP(1613,Sprachindex!$A:$Z,Erhebungsbogen!$Y$20,FALSE) &amp; IF(AND(Kalk2!$AA$5=2,Kalk2!AA11),", " &amp; VLOOKUP(1645,Sprachindex!$A:$Z,Erhebungsbogen!$Y$20,FALSE) &amp; " " &amp; $U$8,", "&amp; VLOOKUP(1648,Sprachindex!$A:$Z,Erhebungsbogen!$Y$20,FALSE))</f>
        <v>Abdeckung VO 50, gebohrt und entgratet, blank</v>
      </c>
      <c r="H37" s="514"/>
      <c r="I37" s="514"/>
      <c r="J37" s="514"/>
      <c r="K37" s="514"/>
      <c r="L37" s="514"/>
      <c r="M37" s="514"/>
      <c r="N37" s="514"/>
      <c r="O37" s="514"/>
      <c r="P37" s="514"/>
      <c r="Q37" s="514"/>
      <c r="R37" s="514"/>
      <c r="S37" s="514"/>
      <c r="T37" s="514"/>
      <c r="U37" s="352">
        <f>IF(AND(Kalk2!$AA$5=2,Kalk2!$AA$11),VLOOKUP(F37,Preisliste!C:G,5,FALSE),VLOOKUP(F37,Preisliste!C:G,4,FALSE))</f>
        <v>109.25</v>
      </c>
      <c r="V37" s="352">
        <f t="shared" si="0"/>
        <v>0</v>
      </c>
      <c r="W37" s="86"/>
      <c r="X37" s="86"/>
      <c r="Y37" s="86"/>
      <c r="Z37" s="143">
        <f>IF(AND(Kalk2!$AA$5=2,Kalk2!$AA$11),(VLOOKUP(F37,Preisliste!C:G,5,FALSE)-VLOOKUP(F37,Preisliste!C:G,4,FALSE))*B37,0)</f>
        <v>0</v>
      </c>
      <c r="AB37" s="86"/>
      <c r="AC37" s="86"/>
      <c r="AD37" s="86"/>
      <c r="AE37" s="86"/>
      <c r="AF37" s="86"/>
      <c r="AG37" s="55">
        <f t="shared" si="1"/>
        <v>0</v>
      </c>
      <c r="AH37" s="66">
        <f>IF(OR(Kalk2!$AA$19=2,Kalk2!$AA$19=3),1,0)</f>
        <v>1</v>
      </c>
      <c r="AI37" s="55">
        <v>50</v>
      </c>
      <c r="AK37" s="55" t="s">
        <v>22079</v>
      </c>
      <c r="AL37" s="66">
        <f>IF(AND(Kalk2!$AA$18=3,Kalk2!$AF$18=3),2,IF(OR(Kalk2!$AA$18=3,Kalk2!$AF$18=3),1,0))</f>
        <v>0</v>
      </c>
      <c r="AM37" s="55" t="s">
        <v>22095</v>
      </c>
      <c r="AO37" s="55" t="s">
        <v>22079</v>
      </c>
      <c r="AP37" s="66">
        <f>IF(Kalk2!$AI$51=AQ37,1,0)</f>
        <v>1</v>
      </c>
      <c r="AQ37" s="55">
        <v>750</v>
      </c>
    </row>
    <row r="38" spans="2:54" ht="24.95" customHeight="1">
      <c r="B38" s="93">
        <f>IF(AG38=1,AL38,0)*Kalk2!$H$37</f>
        <v>0</v>
      </c>
      <c r="C38" s="60">
        <v>1350</v>
      </c>
      <c r="D38" s="60"/>
      <c r="E38" s="60" t="str">
        <f>VLOOKUP(1600,Sprachindex!$A:$Z,Erhebungsbogen!$Y$20,FALSE)</f>
        <v>[Stk]</v>
      </c>
      <c r="F38" s="60" t="s">
        <v>21954</v>
      </c>
      <c r="G38" s="514" t="str">
        <f>VLOOKUP(1613,Sprachindex!$A:$Z,Erhebungsbogen!$Y$20,FALSE) &amp; IF(AND(Kalk2!$AA$5=2,Kalk2!AA11),", " &amp; VLOOKUP(1645,Sprachindex!$A:$Z,Erhebungsbogen!$Y$20,FALSE) &amp; " " &amp; $U$8,", "&amp; VLOOKUP(1648,Sprachindex!$A:$Z,Erhebungsbogen!$Y$20,FALSE))</f>
        <v>Abdeckung VO 50, gebohrt und entgratet, blank</v>
      </c>
      <c r="H38" s="514"/>
      <c r="I38" s="514"/>
      <c r="J38" s="514"/>
      <c r="K38" s="514"/>
      <c r="L38" s="514"/>
      <c r="M38" s="514"/>
      <c r="N38" s="514"/>
      <c r="O38" s="514"/>
      <c r="P38" s="514"/>
      <c r="Q38" s="514"/>
      <c r="R38" s="514"/>
      <c r="S38" s="514"/>
      <c r="T38" s="514"/>
      <c r="U38" s="352">
        <f>IF(AND(Kalk2!$AA$5=2,Kalk2!$AA$11),VLOOKUP(F38,Preisliste!C:G,5,FALSE),VLOOKUP(F38,Preisliste!C:G,4,FALSE))</f>
        <v>115.25</v>
      </c>
      <c r="V38" s="352">
        <f t="shared" si="0"/>
        <v>0</v>
      </c>
      <c r="W38" s="86"/>
      <c r="X38" s="86"/>
      <c r="Y38" s="86"/>
      <c r="Z38" s="143">
        <f>IF(AND(Kalk2!$AA$5=2,Kalk2!$AA$11),(VLOOKUP(F38,Preisliste!C:G,5,FALSE)-VLOOKUP(F38,Preisliste!C:G,4,FALSE))*B38,0)</f>
        <v>0</v>
      </c>
      <c r="AB38" s="86"/>
      <c r="AC38" s="86"/>
      <c r="AD38" s="86"/>
      <c r="AE38" s="86"/>
      <c r="AF38" s="86"/>
      <c r="AG38" s="55">
        <f t="shared" si="1"/>
        <v>0</v>
      </c>
      <c r="AH38" s="66">
        <f>IF(OR(Kalk2!$AA$19=2,Kalk2!$AA$19=3),1,0)</f>
        <v>1</v>
      </c>
      <c r="AI38" s="55">
        <v>50</v>
      </c>
      <c r="AK38" s="55" t="s">
        <v>22079</v>
      </c>
      <c r="AL38" s="66">
        <f>IF(AND(Kalk2!$AA$18=3,Kalk2!$AF$18=3),2,IF(OR(Kalk2!$AA$18=3,Kalk2!$AF$18=3),1,0))</f>
        <v>0</v>
      </c>
      <c r="AM38" s="55" t="s">
        <v>22095</v>
      </c>
      <c r="AO38" s="55" t="s">
        <v>22079</v>
      </c>
      <c r="AP38" s="66">
        <f>IF(Kalk2!$AI$51=AQ38,1,0)</f>
        <v>0</v>
      </c>
      <c r="AQ38" s="55">
        <v>1350</v>
      </c>
    </row>
    <row r="39" spans="2:54" ht="24.95" customHeight="1">
      <c r="B39" s="93">
        <f>IF(AG39=1,AL39,0)*Kalk2!$H$37</f>
        <v>0</v>
      </c>
      <c r="C39" s="60">
        <v>1750</v>
      </c>
      <c r="D39" s="60"/>
      <c r="E39" s="60" t="str">
        <f>VLOOKUP(1600,Sprachindex!$A:$Z,Erhebungsbogen!$Y$20,FALSE)</f>
        <v>[Stk]</v>
      </c>
      <c r="F39" s="60" t="s">
        <v>21955</v>
      </c>
      <c r="G39" s="514" t="str">
        <f>VLOOKUP(1613,Sprachindex!$A:$Z,Erhebungsbogen!$Y$20,FALSE) &amp; IF(AND(Kalk2!$AA$5=2,Kalk2!AA11),", " &amp; VLOOKUP(1645,Sprachindex!$A:$Z,Erhebungsbogen!$Y$20,FALSE) &amp; " " &amp; $U$8,", "&amp; VLOOKUP(1648,Sprachindex!$A:$Z,Erhebungsbogen!$Y$20,FALSE))</f>
        <v>Abdeckung VO 50, gebohrt und entgratet, blank</v>
      </c>
      <c r="H39" s="514"/>
      <c r="I39" s="514"/>
      <c r="J39" s="514"/>
      <c r="K39" s="514"/>
      <c r="L39" s="514"/>
      <c r="M39" s="514"/>
      <c r="N39" s="514"/>
      <c r="O39" s="514"/>
      <c r="P39" s="514"/>
      <c r="Q39" s="514"/>
      <c r="R39" s="514"/>
      <c r="S39" s="514"/>
      <c r="T39" s="514"/>
      <c r="U39" s="352">
        <f>IF(AND(Kalk2!$AA$5=2,Kalk2!$AA$11),VLOOKUP(F39,Preisliste!C:G,5,FALSE),VLOOKUP(F39,Preisliste!C:G,4,FALSE))</f>
        <v>118.9</v>
      </c>
      <c r="V39" s="352">
        <f t="shared" si="0"/>
        <v>0</v>
      </c>
      <c r="W39" s="86"/>
      <c r="X39" s="86"/>
      <c r="Y39" s="86"/>
      <c r="Z39" s="143">
        <f>IF(AND(Kalk2!$AA$5=2,Kalk2!$AA$11),(VLOOKUP(F39,Preisliste!C:G,5,FALSE)-VLOOKUP(F39,Preisliste!C:G,4,FALSE))*B39,0)</f>
        <v>0</v>
      </c>
      <c r="AB39" s="86"/>
      <c r="AC39" s="86"/>
      <c r="AD39" s="86"/>
      <c r="AE39" s="86"/>
      <c r="AF39" s="86"/>
      <c r="AG39" s="55">
        <f t="shared" si="1"/>
        <v>0</v>
      </c>
      <c r="AH39" s="66">
        <f>IF(OR(Kalk2!$AA$19=2,Kalk2!$AA$19=3),1,0)</f>
        <v>1</v>
      </c>
      <c r="AI39" s="55">
        <v>50</v>
      </c>
      <c r="AK39" s="55" t="s">
        <v>22079</v>
      </c>
      <c r="AL39" s="66">
        <f>IF(AND(Kalk2!$AA$18=3,Kalk2!$AF$18=3),2,IF(OR(Kalk2!$AA$18=3,Kalk2!$AF$18=3),1,0))</f>
        <v>0</v>
      </c>
      <c r="AM39" s="55" t="s">
        <v>22095</v>
      </c>
      <c r="AO39" s="55" t="s">
        <v>22079</v>
      </c>
      <c r="AP39" s="66">
        <f>IF(Kalk2!$AI$51=AQ39,1,0)</f>
        <v>0</v>
      </c>
      <c r="AQ39" s="55">
        <v>1750</v>
      </c>
    </row>
    <row r="40" spans="2:54" ht="24.95" customHeight="1">
      <c r="B40" s="93">
        <f>IF(AG40=1,AL40,0)*Kalk2!$H$37</f>
        <v>0</v>
      </c>
      <c r="C40" s="60">
        <v>2150</v>
      </c>
      <c r="D40" s="60"/>
      <c r="E40" s="60" t="str">
        <f>VLOOKUP(1600,Sprachindex!$A:$Z,Erhebungsbogen!$Y$20,FALSE)</f>
        <v>[Stk]</v>
      </c>
      <c r="F40" s="60" t="s">
        <v>21956</v>
      </c>
      <c r="G40" s="514" t="str">
        <f>VLOOKUP(1613,Sprachindex!$A:$Z,Erhebungsbogen!$Y$20,FALSE) &amp; IF(AND(Kalk2!$AA$5=2,Kalk2!AA11),", " &amp; VLOOKUP(1645,Sprachindex!$A:$Z,Erhebungsbogen!$Y$20,FALSE) &amp; " " &amp; $U$8,", "&amp; VLOOKUP(1648,Sprachindex!$A:$Z,Erhebungsbogen!$Y$20,FALSE))</f>
        <v>Abdeckung VO 50, gebohrt und entgratet, blank</v>
      </c>
      <c r="H40" s="514"/>
      <c r="I40" s="514"/>
      <c r="J40" s="514"/>
      <c r="K40" s="514"/>
      <c r="L40" s="514"/>
      <c r="M40" s="514"/>
      <c r="N40" s="514"/>
      <c r="O40" s="514"/>
      <c r="P40" s="514"/>
      <c r="Q40" s="514"/>
      <c r="R40" s="514"/>
      <c r="S40" s="514"/>
      <c r="T40" s="514"/>
      <c r="U40" s="352">
        <f>IF(AND(Kalk2!$AA$5=2,Kalk2!$AA$11),VLOOKUP(F40,Preisliste!C:G,5,FALSE),VLOOKUP(F40,Preisliste!C:G,4,FALSE))</f>
        <v>122.75</v>
      </c>
      <c r="V40" s="352">
        <f t="shared" si="0"/>
        <v>0</v>
      </c>
      <c r="W40" s="86"/>
      <c r="X40" s="86"/>
      <c r="Y40" s="86"/>
      <c r="Z40" s="143">
        <f>IF(AND(Kalk2!$AA$5=2,Kalk2!$AA$11),(VLOOKUP(F40,Preisliste!C:G,5,FALSE)-VLOOKUP(F40,Preisliste!C:G,4,FALSE))*B40,0)</f>
        <v>0</v>
      </c>
      <c r="AB40" s="86"/>
      <c r="AC40" s="86"/>
      <c r="AD40" s="86"/>
      <c r="AE40" s="86"/>
      <c r="AF40" s="86"/>
      <c r="AG40" s="55">
        <f t="shared" si="1"/>
        <v>0</v>
      </c>
      <c r="AH40" s="66">
        <f>IF(OR(Kalk2!$AA$19=2,Kalk2!$AA$19=3),1,0)</f>
        <v>1</v>
      </c>
      <c r="AI40" s="55">
        <v>50</v>
      </c>
      <c r="AK40" s="55" t="s">
        <v>22079</v>
      </c>
      <c r="AL40" s="66">
        <f>IF(AND(Kalk2!$AA$18=3,Kalk2!$AF$18=3),2,IF(OR(Kalk2!$AA$18=3,Kalk2!$AF$18=3),1,0))</f>
        <v>0</v>
      </c>
      <c r="AM40" s="55" t="s">
        <v>22095</v>
      </c>
      <c r="AO40" s="55" t="s">
        <v>22079</v>
      </c>
      <c r="AP40" s="66">
        <f>IF(Kalk2!$AI$51=AQ40,1,0)</f>
        <v>0</v>
      </c>
      <c r="AQ40" s="55">
        <v>2150</v>
      </c>
    </row>
    <row r="41" spans="2:54" ht="24.95" customHeight="1">
      <c r="B41" s="93">
        <f>IF(AG41=1,AL41,0)*Kalk2!$H$37</f>
        <v>0</v>
      </c>
      <c r="C41" s="60">
        <v>750</v>
      </c>
      <c r="D41" s="60"/>
      <c r="E41" s="60" t="str">
        <f>VLOOKUP(1600,Sprachindex!$A:$Z,Erhebungsbogen!$Y$20,FALSE)</f>
        <v>[Stk]</v>
      </c>
      <c r="F41" s="60" t="s">
        <v>21957</v>
      </c>
      <c r="G41" s="514" t="str">
        <f>VLOOKUP(1614,Sprachindex!$A:$Z,Erhebungsbogen!$Y$20,FALSE) &amp; IF(AND(Kalk2!$AA$5=2,Kalk2!AA11),", " &amp; VLOOKUP(1645,Sprachindex!$A:$Z,Erhebungsbogen!$Y$20,FALSE) &amp; " " &amp; $U$8,", "&amp; VLOOKUP(1648,Sprachindex!$A:$Z,Erhebungsbogen!$Y$20,FALSE))</f>
        <v>Abdeckung VO 80, gebohrt und entgratet, blank</v>
      </c>
      <c r="H41" s="514"/>
      <c r="I41" s="514"/>
      <c r="J41" s="514"/>
      <c r="K41" s="514"/>
      <c r="L41" s="514"/>
      <c r="M41" s="514"/>
      <c r="N41" s="514"/>
      <c r="O41" s="514"/>
      <c r="P41" s="514"/>
      <c r="Q41" s="514"/>
      <c r="R41" s="514"/>
      <c r="S41" s="514"/>
      <c r="T41" s="514"/>
      <c r="U41" s="352">
        <f>IF(AND(Kalk2!$AA$5=2,Kalk2!$AA$11),VLOOKUP(F41,Preisliste!C:G,5,FALSE),VLOOKUP(F41,Preisliste!C:G,4,FALSE))</f>
        <v>116.35</v>
      </c>
      <c r="V41" s="352">
        <f t="shared" si="0"/>
        <v>0</v>
      </c>
      <c r="W41" s="86"/>
      <c r="X41" s="86"/>
      <c r="Y41" s="86"/>
      <c r="Z41" s="143">
        <f>IF(AND(Kalk2!$AA$5=2,Kalk2!$AA$11),(VLOOKUP(F41,Preisliste!C:G,5,FALSE)-VLOOKUP(F41,Preisliste!C:G,4,FALSE))*B41,0)</f>
        <v>0</v>
      </c>
      <c r="AB41" s="86"/>
      <c r="AC41" s="86"/>
      <c r="AD41" s="86"/>
      <c r="AE41" s="86"/>
      <c r="AF41" s="86"/>
      <c r="AG41" s="55">
        <f t="shared" si="1"/>
        <v>0</v>
      </c>
      <c r="AH41" s="66">
        <f>IF(Kalk2!$AA$19=4,1,0)</f>
        <v>0</v>
      </c>
      <c r="AI41" s="55">
        <v>80</v>
      </c>
      <c r="AK41" s="55" t="s">
        <v>22079</v>
      </c>
      <c r="AL41" s="66">
        <f>IF(AND(Kalk2!$AA$18=3,Kalk2!$AF$18=3),2,IF(OR(Kalk2!$AA$18=3,Kalk2!$AF$18=3),1,0))</f>
        <v>0</v>
      </c>
      <c r="AM41" s="55" t="s">
        <v>22095</v>
      </c>
      <c r="AO41" s="55" t="s">
        <v>22079</v>
      </c>
      <c r="AP41" s="66">
        <f>IF(Kalk2!$AI$51=AQ41,1,0)</f>
        <v>1</v>
      </c>
      <c r="AQ41" s="55">
        <v>750</v>
      </c>
    </row>
    <row r="42" spans="2:54" ht="24.95" customHeight="1">
      <c r="B42" s="93">
        <f>IF(AG42=1,AL42,0)*Kalk2!$H$37</f>
        <v>0</v>
      </c>
      <c r="C42" s="60">
        <v>1350</v>
      </c>
      <c r="D42" s="60"/>
      <c r="E42" s="60" t="str">
        <f>VLOOKUP(1600,Sprachindex!$A:$Z,Erhebungsbogen!$Y$20,FALSE)</f>
        <v>[Stk]</v>
      </c>
      <c r="F42" s="60" t="s">
        <v>21958</v>
      </c>
      <c r="G42" s="514" t="str">
        <f>VLOOKUP(1614,Sprachindex!$A:$Z,Erhebungsbogen!$Y$20,FALSE) &amp; IF(AND(Kalk2!$AA$5=2,Kalk2!AA11),", " &amp; VLOOKUP(1645,Sprachindex!$A:$Z,Erhebungsbogen!$Y$20,FALSE) &amp; " " &amp; $U$8,", "&amp; VLOOKUP(1648,Sprachindex!$A:$Z,Erhebungsbogen!$Y$20,FALSE))</f>
        <v>Abdeckung VO 80, gebohrt und entgratet, blank</v>
      </c>
      <c r="H42" s="514"/>
      <c r="I42" s="514"/>
      <c r="J42" s="514"/>
      <c r="K42" s="514"/>
      <c r="L42" s="514"/>
      <c r="M42" s="514"/>
      <c r="N42" s="514"/>
      <c r="O42" s="514"/>
      <c r="P42" s="514"/>
      <c r="Q42" s="514"/>
      <c r="R42" s="514"/>
      <c r="S42" s="514"/>
      <c r="T42" s="514"/>
      <c r="U42" s="352">
        <f>IF(AND(Kalk2!$AA$5=2,Kalk2!$AA$11),VLOOKUP(F42,Preisliste!C:G,5,FALSE),VLOOKUP(F42,Preisliste!C:G,4,FALSE))</f>
        <v>127.7</v>
      </c>
      <c r="V42" s="352">
        <f t="shared" si="0"/>
        <v>0</v>
      </c>
      <c r="W42" s="86"/>
      <c r="X42" s="86"/>
      <c r="Y42" s="86"/>
      <c r="Z42" s="143">
        <f>IF(AND(Kalk2!$AA$5=2,Kalk2!$AA$11),(VLOOKUP(F42,Preisliste!C:G,5,FALSE)-VLOOKUP(F42,Preisliste!C:G,4,FALSE))*B42,0)</f>
        <v>0</v>
      </c>
      <c r="AB42" s="86"/>
      <c r="AC42" s="86"/>
      <c r="AD42" s="86"/>
      <c r="AE42" s="86"/>
      <c r="AF42" s="86"/>
      <c r="AG42" s="55">
        <f t="shared" si="1"/>
        <v>0</v>
      </c>
      <c r="AH42" s="66">
        <f>IF(Kalk2!$AA$19=4,1,0)</f>
        <v>0</v>
      </c>
      <c r="AI42" s="55">
        <v>80</v>
      </c>
      <c r="AK42" s="55" t="s">
        <v>22079</v>
      </c>
      <c r="AL42" s="66">
        <f>IF(AND(Kalk2!$AA$18=3,Kalk2!$AF$18=3),2,IF(OR(Kalk2!$AA$18=3,Kalk2!$AF$18=3),1,0))</f>
        <v>0</v>
      </c>
      <c r="AM42" s="55" t="s">
        <v>22095</v>
      </c>
      <c r="AO42" s="55" t="s">
        <v>22079</v>
      </c>
      <c r="AP42" s="66">
        <f>IF(Kalk2!$AI$51=AQ42,1,0)</f>
        <v>0</v>
      </c>
      <c r="AQ42" s="55">
        <v>1350</v>
      </c>
    </row>
    <row r="43" spans="2:54" ht="24.95" customHeight="1">
      <c r="B43" s="93">
        <f>IF(AG43=1,AL43,0)*Kalk2!$H$37</f>
        <v>0</v>
      </c>
      <c r="C43" s="60">
        <v>1750</v>
      </c>
      <c r="D43" s="60"/>
      <c r="E43" s="60" t="str">
        <f>VLOOKUP(1600,Sprachindex!$A:$Z,Erhebungsbogen!$Y$20,FALSE)</f>
        <v>[Stk]</v>
      </c>
      <c r="F43" s="60" t="s">
        <v>21959</v>
      </c>
      <c r="G43" s="514" t="str">
        <f>VLOOKUP(1614,Sprachindex!$A:$Z,Erhebungsbogen!$Y$20,FALSE) &amp; IF(AND(Kalk2!$AA$5=2,Kalk2!AA11),", " &amp; VLOOKUP(1645,Sprachindex!$A:$Z,Erhebungsbogen!$Y$20,FALSE) &amp; " " &amp; $U$8,", "&amp; VLOOKUP(1648,Sprachindex!$A:$Z,Erhebungsbogen!$Y$20,FALSE))</f>
        <v>Abdeckung VO 80, gebohrt und entgratet, blank</v>
      </c>
      <c r="H43" s="514"/>
      <c r="I43" s="514"/>
      <c r="J43" s="514"/>
      <c r="K43" s="514"/>
      <c r="L43" s="514"/>
      <c r="M43" s="514"/>
      <c r="N43" s="514"/>
      <c r="O43" s="514"/>
      <c r="P43" s="514"/>
      <c r="Q43" s="514"/>
      <c r="R43" s="514"/>
      <c r="S43" s="514"/>
      <c r="T43" s="514"/>
      <c r="U43" s="352">
        <f>IF(AND(Kalk2!$AA$5=2,Kalk2!$AA$11),VLOOKUP(F43,Preisliste!C:G,5,FALSE),VLOOKUP(F43,Preisliste!C:G,4,FALSE))</f>
        <v>135.44999999999999</v>
      </c>
      <c r="V43" s="352">
        <f t="shared" si="0"/>
        <v>0</v>
      </c>
      <c r="W43" s="86"/>
      <c r="X43" s="86"/>
      <c r="Y43" s="86"/>
      <c r="Z43" s="143">
        <f>IF(AND(Kalk2!$AA$5=2,Kalk2!$AA$11),(VLOOKUP(F43,Preisliste!C:G,5,FALSE)-VLOOKUP(F43,Preisliste!C:G,4,FALSE))*B43,0)</f>
        <v>0</v>
      </c>
      <c r="AB43" s="86"/>
      <c r="AC43" s="86"/>
      <c r="AD43" s="86"/>
      <c r="AE43" s="86"/>
      <c r="AF43" s="86"/>
      <c r="AG43" s="55">
        <f t="shared" si="1"/>
        <v>0</v>
      </c>
      <c r="AH43" s="66">
        <f>IF(Kalk2!$AA$19=4,1,0)</f>
        <v>0</v>
      </c>
      <c r="AI43" s="55">
        <v>80</v>
      </c>
      <c r="AK43" s="55" t="s">
        <v>22079</v>
      </c>
      <c r="AL43" s="66">
        <f>IF(AND(Kalk2!$AA$18=3,Kalk2!$AF$18=3),2,IF(OR(Kalk2!$AA$18=3,Kalk2!$AF$18=3),1,0))</f>
        <v>0</v>
      </c>
      <c r="AM43" s="55" t="s">
        <v>22095</v>
      </c>
      <c r="AO43" s="55" t="s">
        <v>22079</v>
      </c>
      <c r="AP43" s="66">
        <f>IF(Kalk2!$AI$51=AQ43,1,0)</f>
        <v>0</v>
      </c>
      <c r="AQ43" s="55">
        <v>1750</v>
      </c>
    </row>
    <row r="44" spans="2:54" ht="24.95" customHeight="1">
      <c r="B44" s="93">
        <f>IF(AG44=1,AL44,0)*Kalk2!$H$37</f>
        <v>0</v>
      </c>
      <c r="C44" s="60">
        <v>2150</v>
      </c>
      <c r="D44" s="60"/>
      <c r="E44" s="60" t="str">
        <f>VLOOKUP(1600,Sprachindex!$A:$Z,Erhebungsbogen!$Y$20,FALSE)</f>
        <v>[Stk]</v>
      </c>
      <c r="F44" s="60" t="s">
        <v>21960</v>
      </c>
      <c r="G44" s="514" t="str">
        <f>VLOOKUP(1614,Sprachindex!$A:$Z,Erhebungsbogen!$Y$20,FALSE) &amp; IF(AND(Kalk2!$AA$5=2,Kalk2!AA11),", " &amp; VLOOKUP(1645,Sprachindex!$A:$Z,Erhebungsbogen!$Y$20,FALSE) &amp; " " &amp; $U$8,", "&amp; VLOOKUP(1648,Sprachindex!$A:$Z,Erhebungsbogen!$Y$20,FALSE))</f>
        <v>Abdeckung VO 80, gebohrt und entgratet, blank</v>
      </c>
      <c r="H44" s="514"/>
      <c r="I44" s="514"/>
      <c r="J44" s="514"/>
      <c r="K44" s="514"/>
      <c r="L44" s="514"/>
      <c r="M44" s="514"/>
      <c r="N44" s="514"/>
      <c r="O44" s="514"/>
      <c r="P44" s="514"/>
      <c r="Q44" s="514"/>
      <c r="R44" s="514"/>
      <c r="S44" s="514"/>
      <c r="T44" s="514"/>
      <c r="U44" s="352">
        <f>IF(AND(Kalk2!$AA$5=2,Kalk2!$AA$11),VLOOKUP(F44,Preisliste!C:G,5,FALSE),VLOOKUP(F44,Preisliste!C:G,4,FALSE))</f>
        <v>143.05000000000001</v>
      </c>
      <c r="V44" s="352">
        <f t="shared" si="0"/>
        <v>0</v>
      </c>
      <c r="W44" s="86"/>
      <c r="X44" s="86"/>
      <c r="Y44" s="86"/>
      <c r="Z44" s="143">
        <f>IF(AND(Kalk2!$AA$5=2,Kalk2!$AA$11),(VLOOKUP(F44,Preisliste!C:G,5,FALSE)-VLOOKUP(F44,Preisliste!C:G,4,FALSE))*B44,0)</f>
        <v>0</v>
      </c>
      <c r="AB44" s="86"/>
      <c r="AC44" s="86"/>
      <c r="AD44" s="86"/>
      <c r="AE44" s="86"/>
      <c r="AF44" s="86"/>
      <c r="AG44" s="55">
        <f t="shared" si="1"/>
        <v>0</v>
      </c>
      <c r="AH44" s="66">
        <f>IF(Kalk2!$AA$19=4,1,0)</f>
        <v>0</v>
      </c>
      <c r="AI44" s="55">
        <v>80</v>
      </c>
      <c r="AK44" s="55" t="s">
        <v>22079</v>
      </c>
      <c r="AL44" s="66">
        <f>IF(AND(Kalk2!$AA$18=3,Kalk2!$AF$18=3),2,IF(OR(Kalk2!$AA$18=3,Kalk2!$AF$18=3),1,0))</f>
        <v>0</v>
      </c>
      <c r="AM44" s="55" t="s">
        <v>22095</v>
      </c>
      <c r="AO44" s="55" t="s">
        <v>22079</v>
      </c>
      <c r="AP44" s="66">
        <f>IF(Kalk2!$AI$51=AQ44,1,0)</f>
        <v>0</v>
      </c>
      <c r="AQ44" s="55">
        <v>2150</v>
      </c>
    </row>
    <row r="45" spans="2:54" ht="24.95" customHeight="1">
      <c r="B45" s="93">
        <f>IF(AG45=1,AL45,0)</f>
        <v>0</v>
      </c>
      <c r="C45" s="60"/>
      <c r="D45" s="60"/>
      <c r="E45" s="60" t="str">
        <f>VLOOKUP(1600,Sprachindex!$A:$Z,Erhebungsbogen!$Y$20,FALSE)</f>
        <v>[Stk]</v>
      </c>
      <c r="F45" s="60" t="s">
        <v>25459</v>
      </c>
      <c r="G45" s="514" t="str">
        <f>VLOOKUP(1625,Sprachindex!$A:$Z,Erhebungsbogen!$Y$20,FALSE) &amp; " (2 " &amp; VLOOKUP(1837,Sprachindex!$A:$Z,Erhebungsbogen!$Y$20,FALSE) &amp; ")"</f>
        <v>Aufpreis Ausfräsung Seitenteile für Dammbalken (2 Stk)</v>
      </c>
      <c r="H45" s="514"/>
      <c r="I45" s="514"/>
      <c r="J45" s="514"/>
      <c r="K45" s="514"/>
      <c r="L45" s="514"/>
      <c r="M45" s="514"/>
      <c r="N45" s="514"/>
      <c r="O45" s="514"/>
      <c r="P45" s="514"/>
      <c r="Q45" s="514"/>
      <c r="R45" s="514"/>
      <c r="S45" s="514"/>
      <c r="T45" s="514"/>
      <c r="U45" s="352">
        <f>Preisliste!F26</f>
        <v>0</v>
      </c>
      <c r="V45" s="352">
        <f t="shared" si="0"/>
        <v>0</v>
      </c>
      <c r="W45" s="86"/>
      <c r="X45" s="86"/>
      <c r="Y45" s="86"/>
      <c r="Z45" s="86"/>
      <c r="AA45" s="86"/>
      <c r="AB45" s="86"/>
      <c r="AC45" s="86"/>
      <c r="AD45" s="86"/>
      <c r="AE45" s="86"/>
      <c r="AF45" s="86"/>
      <c r="AG45" s="55">
        <f>IF(Kalk2!$AA$23,1,0)</f>
        <v>0</v>
      </c>
      <c r="AK45" s="55" t="s">
        <v>22100</v>
      </c>
      <c r="AL45" s="66">
        <f>Kalk2!$X$24*Kalk2!$H$37</f>
        <v>0</v>
      </c>
      <c r="AM45" s="55" t="s">
        <v>20872</v>
      </c>
    </row>
    <row r="46" spans="2:54" ht="24.95" customHeight="1">
      <c r="B46" s="93">
        <f t="shared" ref="B46:B48" si="2">IF(AG46=1,AL46,0)</f>
        <v>0</v>
      </c>
      <c r="C46" s="60"/>
      <c r="D46" s="60"/>
      <c r="E46" s="60" t="str">
        <f>VLOOKUP(1600,Sprachindex!$A:$Z,Erhebungsbogen!$Y$20,FALSE)</f>
        <v>[Stk]</v>
      </c>
      <c r="F46" s="60" t="s">
        <v>25460</v>
      </c>
      <c r="G46" s="514" t="str">
        <f>VLOOKUP(1626,Sprachindex!$A:$Z,Erhebungsbogen!$Y$20,FALSE) &amp; " + " &amp; VLOOKUP(1608,Sprachindex!$A:$Z,Erhebungsbogen!$Y$20,FALSE) &amp; " (2 " &amp; VLOOKUP(1837,Sprachindex!$A:$Z,Erhebungsbogen!$Y$20,FALSE) &amp; ")"</f>
        <v>Aufpreis Längenänderung Seitenteile + Abdeckung (2 Stk)</v>
      </c>
      <c r="H46" s="515"/>
      <c r="I46" s="515"/>
      <c r="J46" s="515"/>
      <c r="K46" s="515"/>
      <c r="L46" s="515"/>
      <c r="M46" s="515"/>
      <c r="N46" s="515"/>
      <c r="O46" s="515"/>
      <c r="P46" s="515"/>
      <c r="Q46" s="515"/>
      <c r="R46" s="515"/>
      <c r="S46" s="515"/>
      <c r="T46" s="516"/>
      <c r="U46" s="352">
        <f>Preisliste!F27</f>
        <v>0</v>
      </c>
      <c r="V46" s="352">
        <f t="shared" si="0"/>
        <v>0</v>
      </c>
      <c r="W46" s="86"/>
      <c r="X46" s="86"/>
      <c r="Y46" s="86"/>
      <c r="Z46" s="86"/>
      <c r="AA46" s="86"/>
      <c r="AB46" s="86"/>
      <c r="AC46" s="86"/>
      <c r="AD46" s="86"/>
      <c r="AE46" s="86"/>
      <c r="AF46" s="86"/>
      <c r="AG46" s="55">
        <f>IF(Kalk2!$AA$22,1,0)</f>
        <v>0</v>
      </c>
      <c r="AK46" s="55" t="s">
        <v>22100</v>
      </c>
      <c r="AL46" s="66">
        <f>Kalk2!$Q$25*Kalk2!$H$37</f>
        <v>0</v>
      </c>
      <c r="AM46" s="55" t="s">
        <v>20872</v>
      </c>
    </row>
    <row r="47" spans="2:54" ht="24.95" customHeight="1">
      <c r="B47" s="93">
        <f t="shared" si="2"/>
        <v>0</v>
      </c>
      <c r="C47" s="60"/>
      <c r="D47" s="60"/>
      <c r="E47" s="60" t="str">
        <f>VLOOKUP(1594,Sprachindex!$A:$Z,Erhebungsbogen!$Y$20,FALSE)</f>
        <v>[EH]</v>
      </c>
      <c r="F47" s="60" t="s">
        <v>25458</v>
      </c>
      <c r="G47" s="514" t="str">
        <f>VLOOKUP(1627,Sprachindex!$A:$Z,Erhebungsbogen!$Y$20,FALSE)</f>
        <v>Aufpreis Planungsstunde</v>
      </c>
      <c r="H47" s="514"/>
      <c r="I47" s="514"/>
      <c r="J47" s="514"/>
      <c r="K47" s="514"/>
      <c r="L47" s="514"/>
      <c r="M47" s="514"/>
      <c r="N47" s="514"/>
      <c r="O47" s="514"/>
      <c r="P47" s="514"/>
      <c r="Q47" s="514"/>
      <c r="R47" s="514"/>
      <c r="S47" s="514"/>
      <c r="T47" s="514"/>
      <c r="U47" s="352">
        <f>Preisliste!F28</f>
        <v>0</v>
      </c>
      <c r="V47" s="352">
        <f t="shared" si="0"/>
        <v>0</v>
      </c>
      <c r="W47" s="86"/>
      <c r="X47" s="86"/>
      <c r="Y47" s="86"/>
      <c r="Z47" s="86"/>
      <c r="AA47" s="86"/>
      <c r="AB47" s="86"/>
      <c r="AC47" s="86"/>
      <c r="AD47" s="86"/>
      <c r="AE47" s="86"/>
      <c r="AF47" s="86"/>
      <c r="AG47" s="55">
        <f>IF(Kalk2!$AA$24,1,0)</f>
        <v>0</v>
      </c>
      <c r="AK47" s="55" t="s">
        <v>22100</v>
      </c>
      <c r="AL47" s="66">
        <f>Kalk2!$X$25*Kalk2!$H$37</f>
        <v>0</v>
      </c>
      <c r="AM47" s="55" t="s">
        <v>22102</v>
      </c>
      <c r="BA47" s="56" t="s">
        <v>7662</v>
      </c>
      <c r="BB47" s="55" t="s">
        <v>22113</v>
      </c>
    </row>
    <row r="48" spans="2:54" ht="24.95" customHeight="1">
      <c r="B48" s="93">
        <f t="shared" si="2"/>
        <v>0</v>
      </c>
      <c r="C48" s="60"/>
      <c r="D48" s="60"/>
      <c r="E48" s="60" t="str">
        <f>VLOOKUP(1594,Sprachindex!$A:$Z,Erhebungsbogen!$Y$20,FALSE)</f>
        <v>[EH]</v>
      </c>
      <c r="F48" s="60" t="s">
        <v>25461</v>
      </c>
      <c r="G48" s="514" t="str">
        <f>VLOOKUP(2259,Sprachindex!$A:$Z,Erhebungsbogen!$Y$20,FALSE)</f>
        <v>Ausfräsungen Dammbalken</v>
      </c>
      <c r="H48" s="514"/>
      <c r="I48" s="514"/>
      <c r="J48" s="514"/>
      <c r="K48" s="514"/>
      <c r="L48" s="514"/>
      <c r="M48" s="514"/>
      <c r="N48" s="514"/>
      <c r="O48" s="514"/>
      <c r="P48" s="514"/>
      <c r="Q48" s="514"/>
      <c r="R48" s="514"/>
      <c r="S48" s="514"/>
      <c r="T48" s="514"/>
      <c r="U48" s="352">
        <f>Preisliste!F161</f>
        <v>80</v>
      </c>
      <c r="V48" s="352">
        <f t="shared" si="0"/>
        <v>0</v>
      </c>
      <c r="W48" s="86"/>
      <c r="X48" s="86"/>
      <c r="Y48" s="86"/>
      <c r="Z48" s="86"/>
      <c r="AA48" s="86"/>
      <c r="AB48" s="86"/>
      <c r="AC48" s="86"/>
      <c r="AD48" s="86"/>
      <c r="AE48" s="86"/>
      <c r="AF48" s="86"/>
      <c r="AG48" s="55">
        <f>IF(Kalk3!$AA$21,1,0)</f>
        <v>0</v>
      </c>
      <c r="AK48" s="55" t="s">
        <v>22100</v>
      </c>
      <c r="AL48" s="66">
        <f>Kalk3!$Q$24*Kalk3!$H$37</f>
        <v>0</v>
      </c>
      <c r="AM48" s="55" t="s">
        <v>22102</v>
      </c>
      <c r="BA48" s="56"/>
    </row>
    <row r="49" spans="2:84" ht="24.95" customHeight="1">
      <c r="B49" s="94">
        <f t="shared" ref="B49:B51" si="3">IF(AG49=1,AL49,0)</f>
        <v>0</v>
      </c>
      <c r="C49" s="60"/>
      <c r="D49" s="60">
        <f t="shared" ref="D49:D50" si="4">B49</f>
        <v>0</v>
      </c>
      <c r="E49" s="60" t="str">
        <f>VLOOKUP(1596,Sprachindex!$A:$Z,Erhebungsbogen!$Y$20,FALSE)</f>
        <v>[lfm]</v>
      </c>
      <c r="F49" s="60" t="s">
        <v>21943</v>
      </c>
      <c r="G49" s="514" t="str">
        <f>VLOOKUP(1649,Sprachindex!$A:$Z,Erhebungsbogen!$Y$20,FALSE) &amp; " [" &amp; VLOOKUP(992,Sprachindex!$A:$Z,Erhebungsbogen!$Y$20,FALSE) &amp; " =1 "&amp; VLOOKUP(1512,Sprachindex!$A:$Z,Erhebungsbogen!$Y$20,FALSE) &amp; "]"</f>
        <v>Bodendichtung 25 [VPE =1 lfm]</v>
      </c>
      <c r="H49" s="514"/>
      <c r="I49" s="514"/>
      <c r="J49" s="514"/>
      <c r="K49" s="514"/>
      <c r="L49" s="514"/>
      <c r="M49" s="514"/>
      <c r="N49" s="514"/>
      <c r="O49" s="514"/>
      <c r="P49" s="514"/>
      <c r="Q49" s="514"/>
      <c r="R49" s="514"/>
      <c r="S49" s="514"/>
      <c r="T49" s="514"/>
      <c r="U49" s="352">
        <f>VLOOKUP(F49,Preisliste!C:F,4,FALSE)</f>
        <v>29.7</v>
      </c>
      <c r="V49" s="352">
        <f>U49*D49</f>
        <v>0</v>
      </c>
      <c r="W49" s="86"/>
      <c r="X49" s="86"/>
      <c r="Y49" s="86"/>
      <c r="Z49" s="86"/>
      <c r="AA49" s="86"/>
      <c r="AB49" s="86"/>
      <c r="AC49" s="86"/>
      <c r="AD49" s="86"/>
      <c r="AE49" s="86"/>
      <c r="AF49" s="86"/>
      <c r="AG49" s="55">
        <f>IF(AND(Kalk2!$AA$19=1,Kalk2!$AA$29=FALSE,AND(Kalk2!H28&gt;0,Kalk2!H29&gt;Kalk2!B1)),1,0)</f>
        <v>0</v>
      </c>
      <c r="AK49" s="55" t="s">
        <v>22100</v>
      </c>
      <c r="AL49" s="66">
        <f>Kalk2!$AH$45</f>
        <v>0</v>
      </c>
      <c r="AM49" s="55" t="s">
        <v>17115</v>
      </c>
      <c r="BA49" s="56" t="s">
        <v>22111</v>
      </c>
      <c r="BB49" s="55" t="s">
        <v>22112</v>
      </c>
    </row>
    <row r="50" spans="2:84" ht="24.95" customHeight="1">
      <c r="B50" s="94">
        <f t="shared" si="3"/>
        <v>0</v>
      </c>
      <c r="C50" s="60"/>
      <c r="D50" s="60">
        <f t="shared" si="4"/>
        <v>0</v>
      </c>
      <c r="E50" s="60" t="str">
        <f>VLOOKUP(1596,Sprachindex!$A:$Z,Erhebungsbogen!$Y$20,FALSE)</f>
        <v>[lfm]</v>
      </c>
      <c r="F50" s="60" t="s">
        <v>21944</v>
      </c>
      <c r="G50" s="514" t="str">
        <f>VLOOKUP(1650,Sprachindex!$A:$Z,Erhebungsbogen!$Y$20,FALSE) &amp; " [" &amp; VLOOKUP(992,Sprachindex!$A:$Z,Erhebungsbogen!$Y$20,FALSE) &amp; " =1 "&amp; VLOOKUP(1512,Sprachindex!$A:$Z,Erhebungsbogen!$Y$20,FALSE) &amp; "]"</f>
        <v>Bodendichtung 50 [VPE =1 lfm]</v>
      </c>
      <c r="H50" s="514"/>
      <c r="I50" s="514"/>
      <c r="J50" s="514"/>
      <c r="K50" s="514"/>
      <c r="L50" s="514"/>
      <c r="M50" s="514"/>
      <c r="N50" s="514"/>
      <c r="O50" s="514"/>
      <c r="P50" s="514"/>
      <c r="Q50" s="514"/>
      <c r="R50" s="514"/>
      <c r="S50" s="514"/>
      <c r="T50" s="514"/>
      <c r="U50" s="352">
        <f>VLOOKUP(F50,Preisliste!C:F,4,FALSE)</f>
        <v>29.7</v>
      </c>
      <c r="V50" s="352">
        <f t="shared" ref="V50:V51" si="5">U50*D50</f>
        <v>0</v>
      </c>
      <c r="W50" s="86"/>
      <c r="X50" s="86"/>
      <c r="Y50" s="86"/>
      <c r="Z50" s="86"/>
      <c r="AA50" s="86"/>
      <c r="AB50" s="86"/>
      <c r="AC50" s="86"/>
      <c r="AD50" s="86"/>
      <c r="AE50" s="86"/>
      <c r="AF50" s="86"/>
      <c r="AG50" s="244">
        <f>IF(AND(OR(Kalk2!$AA$19=2,Kalk2!$AA$19=3),Kalk2!$AA$29=FALSE,AND(Kalk2!H28&gt;0,Kalk2!H29&gt;0)),1,0)</f>
        <v>0</v>
      </c>
      <c r="AK50" s="55" t="s">
        <v>22100</v>
      </c>
      <c r="AL50" s="66">
        <f>Kalk2!$AH$45</f>
        <v>0</v>
      </c>
      <c r="AM50" s="55" t="s">
        <v>17115</v>
      </c>
    </row>
    <row r="51" spans="2:84" ht="24.95" customHeight="1">
      <c r="B51" s="94">
        <f t="shared" si="3"/>
        <v>0</v>
      </c>
      <c r="C51" s="60"/>
      <c r="D51" s="60">
        <f>B51</f>
        <v>0</v>
      </c>
      <c r="E51" s="60" t="str">
        <f>VLOOKUP(1596,Sprachindex!$A:$Z,Erhebungsbogen!$Y$20,FALSE)</f>
        <v>[lfm]</v>
      </c>
      <c r="F51" s="60" t="s">
        <v>21945</v>
      </c>
      <c r="G51" s="514" t="str">
        <f>VLOOKUP(1651,Sprachindex!$A:$Z,Erhebungsbogen!$Y$20,FALSE) &amp; " [" &amp; VLOOKUP(992,Sprachindex!$A:$Z,Erhebungsbogen!$Y$20,FALSE) &amp; " =1 "&amp; VLOOKUP(1512,Sprachindex!$A:$Z,Erhebungsbogen!$Y$20,FALSE) &amp; "]"</f>
        <v>Bodendichtung 80 [VPE =1 lfm]</v>
      </c>
      <c r="H51" s="514"/>
      <c r="I51" s="514"/>
      <c r="J51" s="514"/>
      <c r="K51" s="514"/>
      <c r="L51" s="514"/>
      <c r="M51" s="514"/>
      <c r="N51" s="514"/>
      <c r="O51" s="514"/>
      <c r="P51" s="514"/>
      <c r="Q51" s="514"/>
      <c r="R51" s="514"/>
      <c r="S51" s="514"/>
      <c r="T51" s="514"/>
      <c r="U51" s="352">
        <f>VLOOKUP(F51,Preisliste!C:F,4,FALSE)</f>
        <v>47.9</v>
      </c>
      <c r="V51" s="352">
        <f t="shared" si="5"/>
        <v>0</v>
      </c>
      <c r="W51" s="86"/>
      <c r="X51" s="86"/>
      <c r="Y51" s="86"/>
      <c r="Z51" s="86"/>
      <c r="AA51" s="86"/>
      <c r="AB51" s="86"/>
      <c r="AC51" s="86"/>
      <c r="AD51" s="86"/>
      <c r="AE51" s="86"/>
      <c r="AF51" s="86"/>
      <c r="AG51" s="55">
        <f>IF(AND(Kalk2!$AA$19=4,Kalk2!$AA$29=FALSE,AND(Kalk2!H28&gt;0,Kalk2!H29&gt;Kalk2!B1)),1,0)</f>
        <v>0</v>
      </c>
      <c r="AK51" s="55" t="s">
        <v>22100</v>
      </c>
      <c r="AL51" s="66">
        <f>Kalk2!$AH$45</f>
        <v>0</v>
      </c>
      <c r="AM51" s="55" t="s">
        <v>17115</v>
      </c>
    </row>
    <row r="52" spans="2:84" ht="24.95" customHeight="1">
      <c r="B52" s="93">
        <f>IF(AG52=1,CE52,0)</f>
        <v>0</v>
      </c>
      <c r="C52" s="60"/>
      <c r="D52" s="60"/>
      <c r="E52" s="60" t="str">
        <f>VLOOKUP(1600,Sprachindex!$A:$Z,Erhebungsbogen!$Y$20,FALSE)</f>
        <v>[Stk]</v>
      </c>
      <c r="F52" s="60" t="s">
        <v>21934</v>
      </c>
      <c r="G52" s="514" t="str">
        <f>VLOOKUP(1653,Sprachindex!$A:$Z,Erhebungsbogen!$Y$20,FALSE)</f>
        <v>Bodenhülse 50/80 Aluminium beschichtet inkl. Deckel mit Dichtung</v>
      </c>
      <c r="H52" s="514"/>
      <c r="I52" s="514"/>
      <c r="J52" s="514"/>
      <c r="K52" s="514"/>
      <c r="L52" s="514"/>
      <c r="M52" s="514"/>
      <c r="N52" s="514"/>
      <c r="O52" s="514"/>
      <c r="P52" s="514"/>
      <c r="Q52" s="514"/>
      <c r="R52" s="514"/>
      <c r="S52" s="514"/>
      <c r="T52" s="514"/>
      <c r="U52" s="352">
        <f>VLOOKUP(F52,Preisliste!C:F,4,FALSE)</f>
        <v>439.95</v>
      </c>
      <c r="V52" s="352">
        <f t="shared" ref="V52:V55" si="6">U52*B52</f>
        <v>0</v>
      </c>
      <c r="W52" s="86"/>
      <c r="X52" s="86"/>
      <c r="Y52" s="86"/>
      <c r="Z52" s="86"/>
      <c r="AA52" s="86"/>
      <c r="AB52" s="86"/>
      <c r="AC52" s="86"/>
      <c r="AD52" s="86"/>
      <c r="AE52" s="86"/>
      <c r="AF52" s="86"/>
      <c r="AG52" s="55">
        <f>IF(AND(BS52=1,CE52&gt;0),1,0)</f>
        <v>0</v>
      </c>
      <c r="AH52" s="55">
        <f>(Kalk2!$H$33-1)*Kalk2!$H$37</f>
        <v>0</v>
      </c>
      <c r="AI52" s="55" t="s">
        <v>22103</v>
      </c>
      <c r="AL52" s="55">
        <f>(Kalk2!$H$33-1)*Kalk2!$H$37</f>
        <v>0</v>
      </c>
      <c r="AM52" s="55" t="s">
        <v>22114</v>
      </c>
      <c r="AP52" s="55">
        <f>IF(OR(Kalk2!$AA$19=2,Kalk2!$AA$19=3),1,0)</f>
        <v>1</v>
      </c>
      <c r="AQ52" s="55">
        <v>50</v>
      </c>
      <c r="AT52" s="55">
        <f>IF(Kalk2!$AA$19=4,1,0)</f>
        <v>0</v>
      </c>
      <c r="AU52" s="55">
        <v>80</v>
      </c>
      <c r="AX52" s="55">
        <f>IF(AND(AP52=1,Kalk2!$O$20&gt;0),Kalk2!$O$20,0)</f>
        <v>0</v>
      </c>
      <c r="AY52" s="55" t="s">
        <v>22110</v>
      </c>
      <c r="BB52" s="55">
        <f>IF(AND(AP52=1,Kalk2!$O$21&gt;0),Kalk2!$O$21,0)</f>
        <v>0</v>
      </c>
      <c r="BC52" s="55" t="s">
        <v>22080</v>
      </c>
      <c r="BG52" s="55">
        <f>IF(AND(AT52=1,Kalk2!$AA$20=2),'STK2'!AL52,0)</f>
        <v>0</v>
      </c>
      <c r="BH52" s="55" t="s">
        <v>22105</v>
      </c>
      <c r="BK52" s="55">
        <f>IF(AND(AT52=1,BG52=0,Kalk2!$O$20&gt;0),Kalk2!$O$20,0)</f>
        <v>0</v>
      </c>
      <c r="BL52" s="55" t="s">
        <v>22109</v>
      </c>
      <c r="BO52" s="55">
        <f>IF(AND(AT52=1,BG52=0,Kalk2!$O$21&gt;0),Kalk2!$O$21,0)</f>
        <v>0</v>
      </c>
      <c r="BP52" s="55" t="s">
        <v>22108</v>
      </c>
      <c r="BS52" s="55">
        <f>IF(Kalk2!$AA$17=1,1,0)</f>
        <v>1</v>
      </c>
      <c r="BT52" s="55" t="s">
        <v>22082</v>
      </c>
      <c r="BX52" s="55">
        <f>IF(AP52=1,AH52-BB52,0)</f>
        <v>0</v>
      </c>
      <c r="BY52" s="55" t="s">
        <v>22106</v>
      </c>
      <c r="CA52" s="55">
        <f>IF(AND(AT52=1,BG52=0),AL52-BK52-BO52,0)</f>
        <v>0</v>
      </c>
      <c r="CB52" s="55" t="s">
        <v>22107</v>
      </c>
      <c r="CD52" s="55" t="s">
        <v>22100</v>
      </c>
      <c r="CE52" s="55">
        <f>IF(CA52&lt;0,0,BX52+CA52)</f>
        <v>0</v>
      </c>
      <c r="CF52" s="55" t="s">
        <v>20872</v>
      </c>
    </row>
    <row r="53" spans="2:84" ht="24.95" customHeight="1">
      <c r="B53" s="93">
        <f>IF(AG53=1,CE53,0)</f>
        <v>0</v>
      </c>
      <c r="C53" s="60"/>
      <c r="D53" s="60"/>
      <c r="E53" s="60" t="str">
        <f>VLOOKUP(1600,Sprachindex!$A:$Z,Erhebungsbogen!$Y$20,FALSE)</f>
        <v>[Stk]</v>
      </c>
      <c r="F53" s="60" t="s">
        <v>21935</v>
      </c>
      <c r="G53" s="514" t="str">
        <f>VLOOKUP(1654,Sprachindex!$A:$Z,Erhebungsbogen!$Y$20,FALSE)</f>
        <v>Bodenhülse 50/80 Edelstahl beschichtet inkl. Deckel mit Dichtung</v>
      </c>
      <c r="H53" s="514"/>
      <c r="I53" s="514"/>
      <c r="J53" s="514"/>
      <c r="K53" s="514"/>
      <c r="L53" s="514"/>
      <c r="M53" s="514"/>
      <c r="N53" s="514"/>
      <c r="O53" s="514"/>
      <c r="P53" s="514"/>
      <c r="Q53" s="514"/>
      <c r="R53" s="514"/>
      <c r="S53" s="514"/>
      <c r="T53" s="514"/>
      <c r="U53" s="352">
        <f>VLOOKUP(F53,Preisliste!C:F,4,FALSE)</f>
        <v>767.55</v>
      </c>
      <c r="V53" s="352">
        <f t="shared" si="6"/>
        <v>0</v>
      </c>
      <c r="W53" s="86"/>
      <c r="X53" s="86"/>
      <c r="Y53" s="86"/>
      <c r="Z53" s="86"/>
      <c r="AA53" s="86"/>
      <c r="AB53" s="86"/>
      <c r="AC53" s="86"/>
      <c r="AD53" s="86"/>
      <c r="AE53" s="86"/>
      <c r="AF53" s="86"/>
      <c r="AG53" s="55">
        <f t="shared" ref="AG53:AG55" si="7">IF(AND(BS53=1,CE53&gt;0),1,0)</f>
        <v>0</v>
      </c>
      <c r="AH53" s="55">
        <f>(Kalk2!$H$33-1)*Kalk2!$H$37</f>
        <v>0</v>
      </c>
      <c r="AI53" s="55" t="s">
        <v>22103</v>
      </c>
      <c r="AL53" s="55">
        <f>(Kalk2!$H$33-1)*Kalk2!$H$37</f>
        <v>0</v>
      </c>
      <c r="AM53" s="55" t="s">
        <v>22114</v>
      </c>
      <c r="AP53" s="55">
        <f>IF(OR(Kalk2!$AA$19=2,Kalk2!$AA$19=3),1,0)</f>
        <v>1</v>
      </c>
      <c r="AQ53" s="55">
        <v>50</v>
      </c>
      <c r="AT53" s="55">
        <f>IF(Kalk2!$AA$19=4,1,0)</f>
        <v>0</v>
      </c>
      <c r="AU53" s="55">
        <v>80</v>
      </c>
      <c r="AX53" s="55">
        <f>IF(AND(AP53=1,Kalk2!$O$20&gt;0),Kalk2!$O$20,0)</f>
        <v>0</v>
      </c>
      <c r="AY53" s="55" t="s">
        <v>22110</v>
      </c>
      <c r="BB53" s="55">
        <f>IF(AND(AP53=1,Kalk2!$O$21&gt;0),Kalk2!$O$21,0)</f>
        <v>0</v>
      </c>
      <c r="BC53" s="55" t="s">
        <v>22080</v>
      </c>
      <c r="BG53" s="55">
        <f>IF(AND(AT53=1,Kalk2!$AA$20=2),'STK2'!AL53,0)</f>
        <v>0</v>
      </c>
      <c r="BH53" s="55" t="s">
        <v>22105</v>
      </c>
      <c r="BK53" s="55">
        <f>IF(AND(AT53=1,BG53=0,Kalk2!$O$20&gt;0),Kalk2!$O$20,0)</f>
        <v>0</v>
      </c>
      <c r="BL53" s="55" t="s">
        <v>22109</v>
      </c>
      <c r="BO53" s="55">
        <f>IF(AND(AT53=1,BG53=0,Kalk2!$O$21&gt;0),Kalk2!$O$21,0)</f>
        <v>0</v>
      </c>
      <c r="BP53" s="55" t="s">
        <v>22108</v>
      </c>
      <c r="BS53" s="55">
        <f>IF(Kalk2!$AA$17=2,1,0)</f>
        <v>0</v>
      </c>
      <c r="BT53" s="55" t="s">
        <v>22104</v>
      </c>
      <c r="BX53" s="55">
        <f>IF(AP53=1,AH53-AX53-BB53,0)</f>
        <v>0</v>
      </c>
      <c r="BY53" s="55" t="s">
        <v>22106</v>
      </c>
      <c r="CA53" s="55">
        <f>IF(AND(AT53=1,BG53=0),AL53-BK53-BO53,0)</f>
        <v>0</v>
      </c>
      <c r="CB53" s="55" t="s">
        <v>22107</v>
      </c>
      <c r="CD53" s="55" t="s">
        <v>22100</v>
      </c>
      <c r="CE53" s="55">
        <f>IF(CA53&lt;0,0,BX53+CA53)</f>
        <v>0</v>
      </c>
      <c r="CF53" s="55" t="s">
        <v>20872</v>
      </c>
    </row>
    <row r="54" spans="2:84" ht="24.95" customHeight="1">
      <c r="B54" s="93">
        <f>IF(AG54=1,CE54,0)</f>
        <v>0</v>
      </c>
      <c r="C54" s="60"/>
      <c r="D54" s="60"/>
      <c r="E54" s="60" t="str">
        <f>VLOOKUP(1600,Sprachindex!$A:$Z,Erhebungsbogen!$Y$20,FALSE)</f>
        <v>[Stk]</v>
      </c>
      <c r="F54" s="60" t="s">
        <v>21936</v>
      </c>
      <c r="G54" s="514" t="str">
        <f>VLOOKUP(2122,Sprachindex!$A:$Z,Erhebungsbogen!$Y$20,FALSE)</f>
        <v>Bodenhülse (GROSS) 50 Vario und 80 beschichtet inkl. Aluminiumdeckel und Dichtung</v>
      </c>
      <c r="H54" s="514"/>
      <c r="I54" s="514"/>
      <c r="J54" s="514"/>
      <c r="K54" s="514"/>
      <c r="L54" s="514"/>
      <c r="M54" s="514"/>
      <c r="N54" s="514"/>
      <c r="O54" s="514"/>
      <c r="P54" s="514"/>
      <c r="Q54" s="514"/>
      <c r="R54" s="514"/>
      <c r="S54" s="514"/>
      <c r="T54" s="514"/>
      <c r="U54" s="352">
        <f>VLOOKUP(F54,Preisliste!C:F,4,FALSE)</f>
        <v>850.8</v>
      </c>
      <c r="V54" s="352">
        <f t="shared" si="6"/>
        <v>0</v>
      </c>
      <c r="W54" s="86"/>
      <c r="X54" s="86"/>
      <c r="Y54" s="86"/>
      <c r="Z54" s="86"/>
      <c r="AA54" s="86"/>
      <c r="AB54" s="86"/>
      <c r="AC54" s="86"/>
      <c r="AD54" s="86"/>
      <c r="AE54" s="86"/>
      <c r="AF54" s="86"/>
      <c r="AG54" s="55">
        <f t="shared" si="7"/>
        <v>0</v>
      </c>
      <c r="AH54" s="55">
        <f>(Kalk2!$H$33-1)*Kalk2!$H$37</f>
        <v>0</v>
      </c>
      <c r="AI54" s="55" t="s">
        <v>22103</v>
      </c>
      <c r="AL54" s="55">
        <f>(Kalk2!$H$33-1)*Kalk2!$H$37</f>
        <v>0</v>
      </c>
      <c r="AM54" s="55" t="s">
        <v>22114</v>
      </c>
      <c r="AP54" s="55">
        <f>IF(OR(Kalk2!$AA$19=2,Kalk2!$AA$19=3),1,0)</f>
        <v>1</v>
      </c>
      <c r="AQ54" s="55">
        <v>50</v>
      </c>
      <c r="AT54" s="55">
        <f>IF(Kalk2!$AA$19=4,1,0)</f>
        <v>0</v>
      </c>
      <c r="AU54" s="55">
        <v>80</v>
      </c>
      <c r="BB54" s="55">
        <f>IF(AND(AP54=1,Kalk2!$O$21&gt;0),Kalk2!$O$21,0)</f>
        <v>0</v>
      </c>
      <c r="BC54" s="55" t="s">
        <v>22080</v>
      </c>
      <c r="BG54" s="55">
        <f>IF(AND(AT54=1,Kalk2!$AA$20=2),'STK2'!AL54,0)</f>
        <v>0</v>
      </c>
      <c r="BH54" s="55" t="s">
        <v>22105</v>
      </c>
      <c r="BK54" s="55">
        <f>IF(AND(AT54=1,BG54=0,Kalk2!$O$20&gt;0),Kalk2!$O$20,0)</f>
        <v>0</v>
      </c>
      <c r="BL54" s="55" t="s">
        <v>22109</v>
      </c>
      <c r="BO54" s="55">
        <f>IF(AND(AT54=1,BG54=0,Kalk2!$O$21&gt;0),Kalk2!$O$21,0)</f>
        <v>0</v>
      </c>
      <c r="BP54" s="55" t="s">
        <v>22108</v>
      </c>
      <c r="BS54" s="55">
        <f>IF(Kalk2!$AA$17=1,1,0)</f>
        <v>1</v>
      </c>
      <c r="BT54" s="55" t="s">
        <v>22082</v>
      </c>
      <c r="BX54" s="55">
        <f>AX54+BB54</f>
        <v>0</v>
      </c>
      <c r="BY54" s="55" t="s">
        <v>22106</v>
      </c>
      <c r="CA54" s="55">
        <f>BG54+BK54+BO54</f>
        <v>0</v>
      </c>
      <c r="CB54" s="55" t="s">
        <v>22107</v>
      </c>
      <c r="CD54" s="55" t="s">
        <v>22100</v>
      </c>
      <c r="CE54" s="55">
        <f>BX54+CA54</f>
        <v>0</v>
      </c>
      <c r="CF54" s="55" t="s">
        <v>20872</v>
      </c>
    </row>
    <row r="55" spans="2:84" ht="24.95" customHeight="1">
      <c r="B55" s="93">
        <f>IF(AG55=1,CE55,0)</f>
        <v>0</v>
      </c>
      <c r="C55" s="60"/>
      <c r="D55" s="60"/>
      <c r="E55" s="60" t="str">
        <f>VLOOKUP(1600,Sprachindex!$A:$Z,Erhebungsbogen!$Y$20,FALSE)</f>
        <v>[Stk]</v>
      </c>
      <c r="F55" s="60" t="s">
        <v>21937</v>
      </c>
      <c r="G55" s="514" t="str">
        <f>VLOOKUP(2123,Sprachindex!$A:$Z,Erhebungsbogen!$Y$20,FALSE)</f>
        <v>Bodenhülse (GROSS) 50 Vario und 80 beschichtet inkl. Edelstahldeckel und Dichtung</v>
      </c>
      <c r="H55" s="514"/>
      <c r="I55" s="514"/>
      <c r="J55" s="514"/>
      <c r="K55" s="514"/>
      <c r="L55" s="514"/>
      <c r="M55" s="514"/>
      <c r="N55" s="514"/>
      <c r="O55" s="514"/>
      <c r="P55" s="514"/>
      <c r="Q55" s="514"/>
      <c r="R55" s="514"/>
      <c r="S55" s="514"/>
      <c r="T55" s="514"/>
      <c r="U55" s="352">
        <f>VLOOKUP(F55,Preisliste!C:F,4,FALSE)</f>
        <v>1090.3</v>
      </c>
      <c r="V55" s="352">
        <f t="shared" si="6"/>
        <v>0</v>
      </c>
      <c r="W55" s="86"/>
      <c r="X55" s="86"/>
      <c r="Y55" s="86"/>
      <c r="Z55" s="86"/>
      <c r="AA55" s="86"/>
      <c r="AB55" s="86"/>
      <c r="AC55" s="86"/>
      <c r="AD55" s="86"/>
      <c r="AE55" s="86"/>
      <c r="AF55" s="86"/>
      <c r="AG55" s="55">
        <f t="shared" si="7"/>
        <v>0</v>
      </c>
      <c r="AH55" s="55">
        <f>(Kalk2!$H$33-1)*Kalk2!$H$37</f>
        <v>0</v>
      </c>
      <c r="AI55" s="55" t="s">
        <v>22103</v>
      </c>
      <c r="AL55" s="55">
        <f>(Kalk2!$H$33-1)*Kalk2!$H$37</f>
        <v>0</v>
      </c>
      <c r="AM55" s="55" t="s">
        <v>22114</v>
      </c>
      <c r="AP55" s="55">
        <f>IF(OR(Kalk2!$AA$19=2,Kalk2!$AA$19=3),1,0)</f>
        <v>1</v>
      </c>
      <c r="AQ55" s="55">
        <v>50</v>
      </c>
      <c r="AT55" s="55">
        <f>IF(Kalk2!$AA$19=4,1,0)</f>
        <v>0</v>
      </c>
      <c r="AU55" s="55">
        <v>80</v>
      </c>
      <c r="AX55" s="55">
        <f>IF(AND(AP55=1,Kalk2!$O$20&gt;0),Kalk2!$O$20,0)</f>
        <v>0</v>
      </c>
      <c r="AY55" s="55" t="s">
        <v>22110</v>
      </c>
      <c r="BB55" s="55">
        <f>IF(AND(AP55=1,Kalk2!$O$21&gt;0),Kalk2!$O$21,0)</f>
        <v>0</v>
      </c>
      <c r="BC55" s="55" t="s">
        <v>22080</v>
      </c>
      <c r="BG55" s="55">
        <f>IF(AND(AT55=1,Kalk2!$AA$20=2),'STK2'!AL55,0)</f>
        <v>0</v>
      </c>
      <c r="BH55" s="55" t="s">
        <v>22105</v>
      </c>
      <c r="BK55" s="55">
        <f>IF(AND(AT55=1,BG55=0,Kalk2!$O$20&gt;0),Kalk2!$O$20,0)</f>
        <v>0</v>
      </c>
      <c r="BL55" s="55" t="s">
        <v>22109</v>
      </c>
      <c r="BO55" s="55">
        <f>IF(AND(AT55=1,BG55=0,Kalk2!$O$21&gt;0),Kalk2!$O$21,0)</f>
        <v>0</v>
      </c>
      <c r="BP55" s="55" t="s">
        <v>22108</v>
      </c>
      <c r="BS55" s="55">
        <f>IF(Kalk2!$AA$17=2,1,0)</f>
        <v>0</v>
      </c>
      <c r="BT55" s="55" t="s">
        <v>22104</v>
      </c>
      <c r="BX55" s="55">
        <f>AX55+BB55</f>
        <v>0</v>
      </c>
      <c r="BY55" s="55" t="s">
        <v>22106</v>
      </c>
      <c r="CA55" s="55">
        <f>BG55+BK55+BO55</f>
        <v>0</v>
      </c>
      <c r="CB55" s="55" t="s">
        <v>22107</v>
      </c>
      <c r="CD55" s="55" t="s">
        <v>22100</v>
      </c>
      <c r="CE55" s="55">
        <f>BX55+CA55</f>
        <v>0</v>
      </c>
      <c r="CF55" s="55" t="s">
        <v>20872</v>
      </c>
    </row>
    <row r="56" spans="2:84" ht="24.95" customHeight="1">
      <c r="B56" s="93">
        <f>IF(AG56=1,AH56*AL56,0)</f>
        <v>0</v>
      </c>
      <c r="C56" s="138">
        <f>IF(AG56=1,AT56,0)</f>
        <v>0</v>
      </c>
      <c r="D56" s="60">
        <f>B56*C56/1000</f>
        <v>0</v>
      </c>
      <c r="E56" s="60" t="str">
        <f>VLOOKUP(1598,Sprachindex!$A:$Z,Erhebungsbogen!$Y$20,FALSE)</f>
        <v>[mm]</v>
      </c>
      <c r="F56" s="60" t="s">
        <v>21877</v>
      </c>
      <c r="G56" s="514" t="str">
        <f>VLOOKUP(1660,Sprachindex!$A:$Z,Erhebungsbogen!$Y$20,FALSE) &amp; IF(AND(Kalk2!$AA$5=2,Kalk2!$AA$15),", " &amp; VLOOKUP(1645,Sprachindex!$A:$Z,Erhebungsbogen!$Y$20,FALSE) &amp; " " &amp; $U$8,", "&amp; VLOOKUP(1648,Sprachindex!$A:$Z,Erhebungsbogen!$Y$20,FALSE)) &amp; " (" &amp; ROUNDUP(C56/1000*Preisliste!I36,2) &amp; " " &amp; VLOOKUP(1744,Sprachindex!$A:$Z,Erhebungsbogen!$Y$20,FALSE) &amp; ")"</f>
        <v>Dammbalken 25/200 exkl. Dichtung, gesägt und entgratet, blank (0 kg/Stk)</v>
      </c>
      <c r="H56" s="514"/>
      <c r="I56" s="514"/>
      <c r="J56" s="514"/>
      <c r="K56" s="514"/>
      <c r="L56" s="514"/>
      <c r="M56" s="514"/>
      <c r="N56" s="514"/>
      <c r="O56" s="514"/>
      <c r="P56" s="514"/>
      <c r="Q56" s="514"/>
      <c r="R56" s="514"/>
      <c r="S56" s="514"/>
      <c r="T56" s="514"/>
      <c r="U56" s="352">
        <f>IF(AND(Kalk2!$AA$5=2,Kalk2!$AA$15),VLOOKUP(F56,Preisliste!C:G,5,FALSE),VLOOKUP(F56,Preisliste!C:G,4,FALSE))</f>
        <v>104.55</v>
      </c>
      <c r="V56" s="352">
        <f>U56*D56</f>
        <v>0</v>
      </c>
      <c r="W56" s="86"/>
      <c r="X56" s="86"/>
      <c r="Y56" s="86"/>
      <c r="Z56" s="143">
        <f>IF(AND(Kalk2!$AA$5=2,Kalk2!$AA$15),(VLOOKUP(F56,Preisliste!C:G,5,FALSE)-VLOOKUP(F56,Preisliste!C:G,4,FALSE))*D56/1000,0)</f>
        <v>0</v>
      </c>
      <c r="AA56" s="86"/>
      <c r="AB56" s="86"/>
      <c r="AC56" s="86"/>
      <c r="AD56" s="86"/>
      <c r="AE56" s="86"/>
      <c r="AF56" s="86"/>
      <c r="AG56" s="55">
        <f>IF(Kalk2!$AA$19=1,1,0)</f>
        <v>0</v>
      </c>
      <c r="AH56" s="66">
        <f>Kalk2!$H$33*Kalk2!$H$37</f>
        <v>1</v>
      </c>
      <c r="AI56" s="55" t="s">
        <v>22081</v>
      </c>
      <c r="AK56" s="55" t="s">
        <v>22079</v>
      </c>
      <c r="AL56" s="66">
        <f>Kalk2!$AH$40</f>
        <v>0</v>
      </c>
      <c r="AM56" s="55" t="s">
        <v>22096</v>
      </c>
      <c r="AT56" s="66">
        <f>Kalk2!$AH$38</f>
        <v>0</v>
      </c>
      <c r="AU56" s="55" t="s">
        <v>21845</v>
      </c>
    </row>
    <row r="57" spans="2:84" ht="24.95" customHeight="1">
      <c r="B57" s="93">
        <f t="shared" ref="B57:B58" si="8">IF(AG57=1,AH57*AL57,0)</f>
        <v>0</v>
      </c>
      <c r="C57" s="138">
        <f>IF(AG57=1,AT57,0)</f>
        <v>0</v>
      </c>
      <c r="D57" s="60">
        <f t="shared" ref="D57:D59" si="9">B57*C57/1000</f>
        <v>0</v>
      </c>
      <c r="E57" s="60" t="str">
        <f>VLOOKUP(1598,Sprachindex!$A:$Z,Erhebungsbogen!$Y$20,FALSE)</f>
        <v>[mm]</v>
      </c>
      <c r="F57" s="60" t="s">
        <v>21878</v>
      </c>
      <c r="G57" s="514" t="str">
        <f>VLOOKUP(1661,Sprachindex!$A:$Z,Erhebungsbogen!$Y$20,FALSE) &amp; IF(AND(Kalk2!$AA$5=2,Kalk2!$AA$15),", " &amp; VLOOKUP(1645,Sprachindex!$A:$Z,Erhebungsbogen!$Y$20,FALSE) &amp; " " &amp; $U$8,", "&amp; VLOOKUP(1648,Sprachindex!$A:$Z,Erhebungsbogen!$Y$20,FALSE)) &amp; " (" &amp; ROUNDUP(C57/1000*Preisliste!I37,2) &amp; " " &amp; VLOOKUP(1744,Sprachindex!$A:$Z,Erhebungsbogen!$Y$20,FALSE) &amp; ")"</f>
        <v>Dammbalken 50/150 exkl. Dichtung, gesägt und entgratet, blank (0 kg/Stk)</v>
      </c>
      <c r="H57" s="514"/>
      <c r="I57" s="514"/>
      <c r="J57" s="514"/>
      <c r="K57" s="514"/>
      <c r="L57" s="514"/>
      <c r="M57" s="514"/>
      <c r="N57" s="514"/>
      <c r="O57" s="514"/>
      <c r="P57" s="514"/>
      <c r="Q57" s="514"/>
      <c r="R57" s="514"/>
      <c r="S57" s="514"/>
      <c r="T57" s="514"/>
      <c r="U57" s="352">
        <f>IF(AND(Kalk2!$AA$5=2,Kalk2!$AA$15),VLOOKUP(F57,Preisliste!C:G,5,FALSE),VLOOKUP(F57,Preisliste!C:G,4,FALSE))</f>
        <v>138.30000000000001</v>
      </c>
      <c r="V57" s="352">
        <f t="shared" ref="V57:V59" si="10">U57*D57</f>
        <v>0</v>
      </c>
      <c r="W57" s="86"/>
      <c r="X57" s="86"/>
      <c r="Y57" s="86"/>
      <c r="Z57" s="143">
        <f>IF(AND(Kalk2!$AA$5=2,Kalk2!$AA$15),(VLOOKUP(F57,Preisliste!C:G,5,FALSE)-VLOOKUP(F57,Preisliste!C:G,4,FALSE))*D57/1000,0)</f>
        <v>0</v>
      </c>
      <c r="AA57" s="86"/>
      <c r="AB57" s="86"/>
      <c r="AC57" s="86"/>
      <c r="AD57" s="86"/>
      <c r="AE57" s="86"/>
      <c r="AF57" s="86"/>
      <c r="AG57" s="244">
        <f>IF(AND(Kalk2!$AA$19=2,AND(Kalk2!H28&gt;0,Kalk2!H29&gt;0)),1,0)</f>
        <v>0</v>
      </c>
      <c r="AH57" s="66">
        <f>Kalk2!$H$33*Kalk2!$H$37</f>
        <v>1</v>
      </c>
      <c r="AI57" s="55" t="s">
        <v>22081</v>
      </c>
      <c r="AK57" s="55" t="s">
        <v>22079</v>
      </c>
      <c r="AL57" s="66">
        <f>Kalk2!$AH$40</f>
        <v>0</v>
      </c>
      <c r="AM57" s="55" t="s">
        <v>22096</v>
      </c>
      <c r="AT57" s="66">
        <f>Kalk2!$AH$38</f>
        <v>0</v>
      </c>
      <c r="AU57" s="55" t="s">
        <v>21845</v>
      </c>
    </row>
    <row r="58" spans="2:84" ht="24.95" customHeight="1">
      <c r="B58" s="93">
        <f t="shared" si="8"/>
        <v>0</v>
      </c>
      <c r="C58" s="138">
        <f>IF(AG58=1,AT58,0)</f>
        <v>0</v>
      </c>
      <c r="D58" s="141">
        <f t="shared" si="9"/>
        <v>0</v>
      </c>
      <c r="E58" s="60" t="str">
        <f>VLOOKUP(1598,Sprachindex!$A:$Z,Erhebungsbogen!$Y$20,FALSE)</f>
        <v>[mm]</v>
      </c>
      <c r="F58" s="60" t="s">
        <v>21879</v>
      </c>
      <c r="G58" s="514" t="str">
        <f>VLOOKUP(1662,Sprachindex!$A:$Z,Erhebungsbogen!$Y$20,FALSE) &amp; IF(AND(Kalk2!$AA$5=2,Kalk2!$AA$15),", " &amp; VLOOKUP(1645,Sprachindex!$A:$Z,Erhebungsbogen!$Y$20,FALSE) &amp; " " &amp; $U$8,", "&amp; VLOOKUP(1648,Sprachindex!$A:$Z,Erhebungsbogen!$Y$20,FALSE)) &amp; " (" &amp; ROUNDUP(C58/1000*Preisliste!I38,2) &amp; " " &amp; VLOOKUP(1744,Sprachindex!$A:$Z,Erhebungsbogen!$Y$20,FALSE) &amp; ")"</f>
        <v>Dammbalken 50/200 exkl. Dichtung, gesägt und entgratet, blank (0 kg/Stk)</v>
      </c>
      <c r="H58" s="514"/>
      <c r="I58" s="514"/>
      <c r="J58" s="514"/>
      <c r="K58" s="514"/>
      <c r="L58" s="514"/>
      <c r="M58" s="514"/>
      <c r="N58" s="514"/>
      <c r="O58" s="514"/>
      <c r="P58" s="514"/>
      <c r="Q58" s="514"/>
      <c r="R58" s="514"/>
      <c r="S58" s="514"/>
      <c r="T58" s="514"/>
      <c r="U58" s="352">
        <f>IF(AND(Kalk2!$AA$5=2,Kalk2!$AA$15),VLOOKUP(F58,Preisliste!C:G,5,FALSE),VLOOKUP(F58,Preisliste!C:G,4,FALSE))</f>
        <v>132.1</v>
      </c>
      <c r="V58" s="352">
        <f t="shared" si="10"/>
        <v>0</v>
      </c>
      <c r="W58" s="86"/>
      <c r="X58" s="86"/>
      <c r="Y58" s="86"/>
      <c r="Z58" s="143">
        <f>IF(AND(Kalk2!$AA$5=2,Kalk2!$AA$15),(VLOOKUP(F58,Preisliste!C:G,5,FALSE)-VLOOKUP(F58,Preisliste!C:G,4,FALSE))*D58/1000,0)</f>
        <v>0</v>
      </c>
      <c r="AA58" s="86"/>
      <c r="AB58" s="86"/>
      <c r="AC58" s="86"/>
      <c r="AD58" s="86"/>
      <c r="AE58" s="86"/>
      <c r="AF58" s="86"/>
      <c r="AG58" s="55">
        <f>IF(Kalk2!$AA$19=3,1,0)</f>
        <v>1</v>
      </c>
      <c r="AH58" s="66">
        <f>Kalk2!$H$33*Kalk2!$H$37</f>
        <v>1</v>
      </c>
      <c r="AI58" s="55" t="s">
        <v>22081</v>
      </c>
      <c r="AK58" s="55" t="s">
        <v>22079</v>
      </c>
      <c r="AL58" s="66">
        <f>Kalk2!$AH$40</f>
        <v>0</v>
      </c>
      <c r="AM58" s="55" t="s">
        <v>22096</v>
      </c>
      <c r="AT58" s="66">
        <f>Kalk2!$AH$38</f>
        <v>0</v>
      </c>
      <c r="AU58" s="55" t="s">
        <v>21845</v>
      </c>
    </row>
    <row r="59" spans="2:84" ht="24.95" customHeight="1">
      <c r="B59" s="93">
        <f>IF(AG59=1,AH59*AL59,0)</f>
        <v>0</v>
      </c>
      <c r="C59" s="138">
        <f>IF(AG59=1,AT59,0)</f>
        <v>0</v>
      </c>
      <c r="D59" s="60">
        <f t="shared" si="9"/>
        <v>0</v>
      </c>
      <c r="E59" s="60" t="str">
        <f>VLOOKUP(1598,Sprachindex!$A:$Z,Erhebungsbogen!$Y$20,FALSE)</f>
        <v>[mm]</v>
      </c>
      <c r="F59" s="60" t="s">
        <v>21880</v>
      </c>
      <c r="G59" s="514" t="str">
        <f>VLOOKUP(1663,Sprachindex!$A:$Z,Erhebungsbogen!$Y$20,FALSE) &amp; IF(AND(Kalk2!$AA$5=2,Kalk2!$AA$15),", " &amp; VLOOKUP(1645,Sprachindex!$A:$Z,Erhebungsbogen!$Y$20,FALSE) &amp; " " &amp; $U$8,", "&amp; VLOOKUP(1648,Sprachindex!$A:$Z,Erhebungsbogen!$Y$20,FALSE)) &amp; " (" &amp; ROUNDUP(C59/1000*Preisliste!I39,2) &amp; " " &amp; VLOOKUP(1744,Sprachindex!$A:$Z,Erhebungsbogen!$Y$20,FALSE) &amp; ")"</f>
        <v>Dammbalken 80/200 exkl. Dichtung, gesägt und entgratet, blank (0 kg/Stk)</v>
      </c>
      <c r="H59" s="514"/>
      <c r="I59" s="514"/>
      <c r="J59" s="514"/>
      <c r="K59" s="514"/>
      <c r="L59" s="514"/>
      <c r="M59" s="514"/>
      <c r="N59" s="514"/>
      <c r="O59" s="514"/>
      <c r="P59" s="514"/>
      <c r="Q59" s="514"/>
      <c r="R59" s="514"/>
      <c r="S59" s="514"/>
      <c r="T59" s="514"/>
      <c r="U59" s="352">
        <f>IF(AND(Kalk2!$AA$5=2,Kalk2!$AA$15),VLOOKUP(F59,Preisliste!C:G,5,FALSE),VLOOKUP(F59,Preisliste!C:G,4,FALSE))</f>
        <v>203.05</v>
      </c>
      <c r="V59" s="352">
        <f t="shared" si="10"/>
        <v>0</v>
      </c>
      <c r="W59" s="86"/>
      <c r="X59" s="86"/>
      <c r="Y59" s="86"/>
      <c r="Z59" s="143">
        <f>IF(AND(Kalk2!$AA$5=2,Kalk2!$AA$15),(VLOOKUP(F59,Preisliste!C:G,5,FALSE)-VLOOKUP(F59,Preisliste!C:G,4,FALSE))*D59/1000,0)</f>
        <v>0</v>
      </c>
      <c r="AA59" s="86"/>
      <c r="AB59" s="86"/>
      <c r="AC59" s="86"/>
      <c r="AD59" s="86"/>
      <c r="AE59" s="86"/>
      <c r="AF59" s="86"/>
      <c r="AG59" s="55">
        <f>IF(Kalk2!$AA$19=4,1,0)</f>
        <v>0</v>
      </c>
      <c r="AH59" s="66">
        <f>Kalk2!$H$33*Kalk2!$H$37</f>
        <v>1</v>
      </c>
      <c r="AI59" s="55" t="s">
        <v>22081</v>
      </c>
      <c r="AK59" s="55" t="s">
        <v>22079</v>
      </c>
      <c r="AL59" s="66">
        <f>Kalk2!$AH$40</f>
        <v>0</v>
      </c>
      <c r="AM59" s="55" t="s">
        <v>22096</v>
      </c>
      <c r="AT59" s="66">
        <f>Kalk2!$AH$38</f>
        <v>0</v>
      </c>
      <c r="AU59" s="55" t="s">
        <v>21845</v>
      </c>
    </row>
    <row r="60" spans="2:84" ht="24.95" customHeight="1">
      <c r="B60" s="94">
        <f>IF(AG60=1,AL60,0)</f>
        <v>0</v>
      </c>
      <c r="C60" s="60"/>
      <c r="D60" s="60">
        <f>B60</f>
        <v>0</v>
      </c>
      <c r="E60" s="60" t="str">
        <f>VLOOKUP(1601,Sprachindex!$A:$Z,Erhebungsbogen!$Y$20,FALSE)</f>
        <v>[VPE]</v>
      </c>
      <c r="F60" s="60" t="s">
        <v>21947</v>
      </c>
      <c r="G60" s="514" t="str">
        <f>VLOOKUP(1664,Sprachindex!$A:$Z,Erhebungsbogen!$Y$20,FALSE) &amp; " [" &amp; VLOOKUP(992,Sprachindex!$A:$Z,Erhebungsbogen!$Y$20,FALSE) &amp; " =25 "&amp; VLOOKUP(1512,Sprachindex!$A:$Z,Erhebungsbogen!$Y$20,FALSE) &amp; "]"</f>
        <v>Dammbalkendichtung (25) [VPE =25 lfm]</v>
      </c>
      <c r="H60" s="514"/>
      <c r="I60" s="514"/>
      <c r="J60" s="514"/>
      <c r="K60" s="514"/>
      <c r="L60" s="514"/>
      <c r="M60" s="514"/>
      <c r="N60" s="514"/>
      <c r="O60" s="514"/>
      <c r="P60" s="514"/>
      <c r="Q60" s="514"/>
      <c r="R60" s="514"/>
      <c r="S60" s="514"/>
      <c r="T60" s="514"/>
      <c r="U60" s="352">
        <f>VLOOKUP(F60,Preisliste!C:F,4,FALSE)</f>
        <v>72.599999999999994</v>
      </c>
      <c r="V60" s="352">
        <f t="shared" ref="V60:V61" si="11">U60*D60</f>
        <v>0</v>
      </c>
      <c r="W60" s="86"/>
      <c r="X60" s="86"/>
      <c r="Y60" s="86"/>
      <c r="Z60" s="86"/>
      <c r="AA60" s="86"/>
      <c r="AB60" s="86"/>
      <c r="AC60" s="86"/>
      <c r="AD60" s="86"/>
      <c r="AE60" s="86"/>
      <c r="AF60" s="86"/>
      <c r="AG60" s="55">
        <f>IF(Kalk2!$AA$19=1,1,0)</f>
        <v>0</v>
      </c>
      <c r="AK60" s="55" t="s">
        <v>22100</v>
      </c>
      <c r="AL60" s="66">
        <f>Kalk2!$AH$43</f>
        <v>0</v>
      </c>
      <c r="AM60" s="55" t="s">
        <v>12148</v>
      </c>
    </row>
    <row r="61" spans="2:84" ht="24.95" customHeight="1">
      <c r="B61" s="94">
        <f>IF(AG61=1,AL61,0)</f>
        <v>0</v>
      </c>
      <c r="C61" s="60"/>
      <c r="D61" s="60">
        <f>B61</f>
        <v>0</v>
      </c>
      <c r="E61" s="60" t="str">
        <f>VLOOKUP(1601,Sprachindex!$A:$Z,Erhebungsbogen!$Y$20,FALSE)</f>
        <v>[VPE]</v>
      </c>
      <c r="F61" s="60" t="s">
        <v>21946</v>
      </c>
      <c r="G61" s="514" t="str">
        <f>VLOOKUP(1665,Sprachindex!$A:$Z,Erhebungsbogen!$Y$20,FALSE) &amp; " [" &amp; VLOOKUP(992,Sprachindex!$A:$Z,Erhebungsbogen!$Y$20,FALSE) &amp; " =25 "&amp; VLOOKUP(1512,Sprachindex!$A:$Z,Erhebungsbogen!$Y$20,FALSE) &amp; "]"</f>
        <v>Dammbalkendichtung (50+80) [VPE =25 lfm]</v>
      </c>
      <c r="H61" s="514"/>
      <c r="I61" s="514"/>
      <c r="J61" s="514"/>
      <c r="K61" s="514"/>
      <c r="L61" s="514"/>
      <c r="M61" s="514"/>
      <c r="N61" s="514"/>
      <c r="O61" s="514"/>
      <c r="P61" s="514"/>
      <c r="Q61" s="514"/>
      <c r="R61" s="514"/>
      <c r="S61" s="514"/>
      <c r="T61" s="514"/>
      <c r="U61" s="352">
        <f>VLOOKUP(F61,Preisliste!C:F,4,FALSE)</f>
        <v>73.45</v>
      </c>
      <c r="V61" s="352">
        <f t="shared" si="11"/>
        <v>0</v>
      </c>
      <c r="W61" s="86"/>
      <c r="X61" s="86"/>
      <c r="Y61" s="86"/>
      <c r="Z61" s="86"/>
      <c r="AA61" s="86"/>
      <c r="AB61" s="86"/>
      <c r="AC61" s="86"/>
      <c r="AD61" s="86"/>
      <c r="AE61" s="86"/>
      <c r="AF61" s="86"/>
      <c r="AG61" s="55">
        <f>IF(AND(OR(Kalk2!$AA$19=2,Kalk2!$AA$19=3,Kalk2!$AA$19=4),AND(Kalk2!H28&gt;0,Kalk2!H29&gt;0)),1,0)</f>
        <v>0</v>
      </c>
      <c r="AK61" s="55" t="s">
        <v>22100</v>
      </c>
      <c r="AL61" s="66">
        <f>Kalk2!$AH$43</f>
        <v>0</v>
      </c>
      <c r="AM61" s="55" t="s">
        <v>12148</v>
      </c>
    </row>
    <row r="62" spans="2:84" ht="24.95" customHeight="1">
      <c r="B62" s="93">
        <v>1</v>
      </c>
      <c r="C62" s="60"/>
      <c r="D62" s="60"/>
      <c r="E62" s="60" t="str">
        <f>VLOOKUP(1600,Sprachindex!$A:$Z,Erhebungsbogen!$Y$20,FALSE)</f>
        <v>[Stk]</v>
      </c>
      <c r="F62" s="60" t="s">
        <v>21977</v>
      </c>
      <c r="G62" s="514" t="str">
        <f>VLOOKUP(1666,Sprachindex!$A:$Z,Erhebungsbogen!$Y$20,FALSE)</f>
        <v>Dammbalkenhaken</v>
      </c>
      <c r="H62" s="514"/>
      <c r="I62" s="514"/>
      <c r="J62" s="514"/>
      <c r="K62" s="514"/>
      <c r="L62" s="514"/>
      <c r="M62" s="514"/>
      <c r="N62" s="514"/>
      <c r="O62" s="514"/>
      <c r="P62" s="514"/>
      <c r="Q62" s="514"/>
      <c r="R62" s="514"/>
      <c r="S62" s="514"/>
      <c r="T62" s="514"/>
      <c r="U62" s="352">
        <f>VLOOKUP(F62,Preisliste!C:F,4,FALSE)</f>
        <v>0</v>
      </c>
      <c r="V62" s="352">
        <f t="shared" ref="V62" si="12">U62*B62</f>
        <v>0</v>
      </c>
      <c r="W62" s="86"/>
      <c r="X62" s="86"/>
      <c r="Y62" s="86"/>
      <c r="Z62" s="86"/>
      <c r="AA62" s="86"/>
      <c r="AB62" s="86"/>
      <c r="AC62" s="86"/>
      <c r="AD62" s="86"/>
      <c r="AE62" s="86"/>
      <c r="AF62" s="86"/>
    </row>
    <row r="63" spans="2:84" ht="24.95" customHeight="1">
      <c r="B63" s="94">
        <f t="shared" ref="B63:B65" si="13">IF(AG63=1,AL63,0)</f>
        <v>0</v>
      </c>
      <c r="C63" s="60"/>
      <c r="D63" s="60">
        <f t="shared" ref="D63:D67" si="14">B63</f>
        <v>0</v>
      </c>
      <c r="E63" s="60" t="str">
        <f>VLOOKUP(1596,Sprachindex!$A:$Z,Erhebungsbogen!$Y$20,FALSE)</f>
        <v>[lfm]</v>
      </c>
      <c r="F63" s="60" t="s">
        <v>21974</v>
      </c>
      <c r="G63" s="514" t="str">
        <f>VLOOKUP(1672,Sprachindex!$A:$Z,Erhebungsbogen!$Y$20,FALSE) &amp; " [" &amp; VLOOKUP(992,Sprachindex!$A:$Z,Erhebungsbogen!$Y$20,FALSE) &amp; " =1 "&amp; VLOOKUP(1512,Sprachindex!$A:$Z,Erhebungsbogen!$Y$20,FALSE) &amp; "]"</f>
        <v>Dauerbodendichtung 25 [VPE =1 lfm]</v>
      </c>
      <c r="H63" s="514"/>
      <c r="I63" s="514"/>
      <c r="J63" s="514"/>
      <c r="K63" s="514"/>
      <c r="L63" s="514"/>
      <c r="M63" s="514"/>
      <c r="N63" s="514"/>
      <c r="O63" s="514"/>
      <c r="P63" s="514"/>
      <c r="Q63" s="514"/>
      <c r="R63" s="514"/>
      <c r="S63" s="514"/>
      <c r="T63" s="514"/>
      <c r="U63" s="352">
        <f>VLOOKUP(F63,Preisliste!C:F,4,FALSE)</f>
        <v>38.1</v>
      </c>
      <c r="V63" s="352">
        <f t="shared" ref="V63:V65" si="15">U63*D63</f>
        <v>0</v>
      </c>
      <c r="W63" s="86"/>
      <c r="X63" s="86"/>
      <c r="Y63" s="86"/>
      <c r="Z63" s="86"/>
      <c r="AA63" s="86"/>
      <c r="AB63" s="86"/>
      <c r="AC63" s="86"/>
      <c r="AD63" s="86"/>
      <c r="AE63" s="86"/>
      <c r="AF63" s="86"/>
      <c r="AG63" s="55">
        <f>IF(AND(Kalk2!$AA$19=1,Kalk2!$AA$29),1,0)</f>
        <v>0</v>
      </c>
      <c r="AK63" s="55" t="s">
        <v>22100</v>
      </c>
      <c r="AL63" s="66">
        <f>Kalk2!$AH$45</f>
        <v>0</v>
      </c>
      <c r="AM63" s="55" t="s">
        <v>17115</v>
      </c>
    </row>
    <row r="64" spans="2:84" ht="24.95" customHeight="1">
      <c r="B64" s="94">
        <f t="shared" si="13"/>
        <v>0</v>
      </c>
      <c r="C64" s="60"/>
      <c r="D64" s="60">
        <f t="shared" si="14"/>
        <v>0</v>
      </c>
      <c r="E64" s="60" t="str">
        <f>VLOOKUP(1596,Sprachindex!$A:$Z,Erhebungsbogen!$Y$20,FALSE)</f>
        <v>[lfm]</v>
      </c>
      <c r="F64" s="60" t="s">
        <v>21949</v>
      </c>
      <c r="G64" s="514" t="str">
        <f>VLOOKUP(1673,Sprachindex!$A:$Z,Erhebungsbogen!$Y$20,FALSE) &amp; " [" &amp; VLOOKUP(992,Sprachindex!$A:$Z,Erhebungsbogen!$Y$20,FALSE) &amp; " =1 "&amp; VLOOKUP(1512,Sprachindex!$A:$Z,Erhebungsbogen!$Y$20,FALSE) &amp; "]"</f>
        <v>Dauerbodendichtung 50 [VPE =1 lfm]</v>
      </c>
      <c r="H64" s="514"/>
      <c r="I64" s="514"/>
      <c r="J64" s="514"/>
      <c r="K64" s="514"/>
      <c r="L64" s="514"/>
      <c r="M64" s="514"/>
      <c r="N64" s="514"/>
      <c r="O64" s="514"/>
      <c r="P64" s="514"/>
      <c r="Q64" s="514"/>
      <c r="R64" s="514"/>
      <c r="S64" s="514"/>
      <c r="T64" s="514"/>
      <c r="U64" s="352">
        <f>VLOOKUP(F64,Preisliste!C:F,4,FALSE)</f>
        <v>58.65</v>
      </c>
      <c r="V64" s="352">
        <f t="shared" si="15"/>
        <v>0</v>
      </c>
      <c r="W64" s="86"/>
      <c r="X64" s="86"/>
      <c r="Y64" s="86"/>
      <c r="Z64" s="86"/>
      <c r="AA64" s="86"/>
      <c r="AB64" s="86"/>
      <c r="AC64" s="86"/>
      <c r="AD64" s="86"/>
      <c r="AE64" s="86"/>
      <c r="AF64" s="86"/>
      <c r="AG64" s="55">
        <f>IF(AND(OR(Kalk2!$AA$19=2,Kalk2!$AA$19=3),Kalk2!$AA$29),1,0)</f>
        <v>0</v>
      </c>
      <c r="AK64" s="55" t="s">
        <v>22100</v>
      </c>
      <c r="AL64" s="66">
        <f>Kalk2!$AH$45</f>
        <v>0</v>
      </c>
      <c r="AM64" s="55" t="s">
        <v>17115</v>
      </c>
    </row>
    <row r="65" spans="2:53" ht="24.95" customHeight="1">
      <c r="B65" s="94">
        <f t="shared" si="13"/>
        <v>0</v>
      </c>
      <c r="C65" s="60"/>
      <c r="D65" s="60">
        <f t="shared" si="14"/>
        <v>0</v>
      </c>
      <c r="E65" s="60" t="str">
        <f>VLOOKUP(1596,Sprachindex!$A:$Z,Erhebungsbogen!$Y$20,FALSE)</f>
        <v>[lfm]</v>
      </c>
      <c r="F65" s="60" t="s">
        <v>21950</v>
      </c>
      <c r="G65" s="514" t="str">
        <f>VLOOKUP(1674,Sprachindex!$A:$Z,Erhebungsbogen!$Y$20,FALSE) &amp; " [" &amp; VLOOKUP(992,Sprachindex!$A:$Z,Erhebungsbogen!$Y$20,FALSE) &amp; " =1 "&amp; VLOOKUP(1512,Sprachindex!$A:$Z,Erhebungsbogen!$Y$20,FALSE) &amp; "]"</f>
        <v>Dauerbodendichtung 80 [VPE =1 lfm]</v>
      </c>
      <c r="H65" s="514"/>
      <c r="I65" s="514"/>
      <c r="J65" s="514"/>
      <c r="K65" s="514"/>
      <c r="L65" s="514"/>
      <c r="M65" s="514"/>
      <c r="N65" s="514"/>
      <c r="O65" s="514"/>
      <c r="P65" s="514"/>
      <c r="Q65" s="514"/>
      <c r="R65" s="514"/>
      <c r="S65" s="514"/>
      <c r="T65" s="514"/>
      <c r="U65" s="352">
        <f>VLOOKUP(F65,Preisliste!C:F,4,FALSE)</f>
        <v>99.05</v>
      </c>
      <c r="V65" s="352">
        <f t="shared" si="15"/>
        <v>0</v>
      </c>
      <c r="W65" s="86"/>
      <c r="X65" s="86"/>
      <c r="Y65" s="86"/>
      <c r="Z65" s="86"/>
      <c r="AA65" s="86"/>
      <c r="AB65" s="86"/>
      <c r="AC65" s="86"/>
      <c r="AD65" s="86"/>
      <c r="AE65" s="86"/>
      <c r="AF65" s="86"/>
      <c r="AG65" s="55">
        <f>IF(AND(Kalk2!$AA$19=4,Kalk2!$AA$29),1,0)</f>
        <v>0</v>
      </c>
      <c r="AK65" s="55" t="s">
        <v>22100</v>
      </c>
      <c r="AL65" s="66">
        <f>Kalk2!$AH$45</f>
        <v>0</v>
      </c>
      <c r="AM65" s="55" t="s">
        <v>17115</v>
      </c>
    </row>
    <row r="66" spans="2:53" ht="24.95" customHeight="1">
      <c r="B66" s="93">
        <f>IF(AND(AG66&gt;0,AL66&gt;0),AL66,0)</f>
        <v>0</v>
      </c>
      <c r="C66" s="60"/>
      <c r="D66" s="60">
        <f t="shared" si="14"/>
        <v>0</v>
      </c>
      <c r="E66" s="60" t="str">
        <f>VLOOKUP(1600,Sprachindex!$A:$Z,Erhebungsbogen!$Y$20,FALSE)</f>
        <v>[Stk]</v>
      </c>
      <c r="F66" s="60" t="s">
        <v>21978</v>
      </c>
      <c r="G66" s="514" t="str">
        <f>VLOOKUP(1681,Sprachindex!$A:$Z,Erhebungsbogen!$Y$20,FALSE)</f>
        <v>Dichtungsroller 25/50</v>
      </c>
      <c r="H66" s="515"/>
      <c r="I66" s="515"/>
      <c r="J66" s="515"/>
      <c r="K66" s="515"/>
      <c r="L66" s="515"/>
      <c r="M66" s="515"/>
      <c r="N66" s="515"/>
      <c r="O66" s="515"/>
      <c r="P66" s="515"/>
      <c r="Q66" s="515"/>
      <c r="R66" s="515"/>
      <c r="S66" s="515"/>
      <c r="T66" s="516"/>
      <c r="U66" s="352">
        <f>VLOOKUP(F66,Preisliste!C:F,4,FALSE)</f>
        <v>49.75</v>
      </c>
      <c r="V66" s="352">
        <f t="shared" ref="V66:V129" si="16">U66*B66</f>
        <v>0</v>
      </c>
      <c r="W66" s="86"/>
      <c r="X66" s="86"/>
      <c r="Y66" s="86"/>
      <c r="Z66" s="86"/>
      <c r="AA66" s="86"/>
      <c r="AB66" s="86"/>
      <c r="AC66" s="86"/>
      <c r="AD66" s="86"/>
      <c r="AE66" s="86"/>
      <c r="AF66" s="86"/>
      <c r="AG66" s="55">
        <f>IF(AND(Kalk2!$AA$33,Kalk2!$Q$36&gt;0),1,0)</f>
        <v>0</v>
      </c>
      <c r="AK66" s="55" t="s">
        <v>22100</v>
      </c>
      <c r="AL66" s="66">
        <f>Kalk2!Q36*Kalk2!$H$37</f>
        <v>3</v>
      </c>
      <c r="AM66" s="55" t="s">
        <v>20872</v>
      </c>
    </row>
    <row r="67" spans="2:53" ht="24.95" customHeight="1">
      <c r="B67" s="93">
        <f>IF(AND(AG67&gt;0,AL67&gt;0),AL67,0)</f>
        <v>0</v>
      </c>
      <c r="C67" s="60"/>
      <c r="D67" s="60">
        <f t="shared" si="14"/>
        <v>0</v>
      </c>
      <c r="E67" s="60" t="str">
        <f>VLOOKUP(1600,Sprachindex!$A:$Z,Erhebungsbogen!$Y$20,FALSE)</f>
        <v>[Stk]</v>
      </c>
      <c r="F67" s="60" t="s">
        <v>21979</v>
      </c>
      <c r="G67" s="514" t="str">
        <f>VLOOKUP(1682,Sprachindex!$A:$Z,Erhebungsbogen!$Y$20,FALSE)</f>
        <v>Dichtungsroller 80</v>
      </c>
      <c r="H67" s="515"/>
      <c r="I67" s="515"/>
      <c r="J67" s="515"/>
      <c r="K67" s="515"/>
      <c r="L67" s="515"/>
      <c r="M67" s="515"/>
      <c r="N67" s="515"/>
      <c r="O67" s="515"/>
      <c r="P67" s="515"/>
      <c r="Q67" s="515"/>
      <c r="R67" s="515"/>
      <c r="S67" s="515"/>
      <c r="T67" s="516"/>
      <c r="U67" s="352">
        <f>VLOOKUP(F67,Preisliste!C:F,4,FALSE)</f>
        <v>49.75</v>
      </c>
      <c r="V67" s="352">
        <f t="shared" si="16"/>
        <v>0</v>
      </c>
      <c r="W67" s="86"/>
      <c r="X67" s="86"/>
      <c r="Y67" s="86"/>
      <c r="Z67" s="86"/>
      <c r="AA67" s="86"/>
      <c r="AB67" s="86"/>
      <c r="AC67" s="86"/>
      <c r="AD67" s="86"/>
      <c r="AE67" s="86"/>
      <c r="AF67" s="86"/>
      <c r="AG67" s="55">
        <f>IF(AND(Kalk2!$AA$34,Kalk2!$Q$37&gt;0),1,0)</f>
        <v>0</v>
      </c>
      <c r="AK67" s="55" t="s">
        <v>22100</v>
      </c>
      <c r="AL67" s="66">
        <f>Kalk2!Q37*Kalk2!$H$37</f>
        <v>4</v>
      </c>
      <c r="AM67" s="55" t="s">
        <v>20872</v>
      </c>
    </row>
    <row r="68" spans="2:53" ht="24.95" customHeight="1">
      <c r="B68" s="93">
        <f>IF(AG68=1,AZ68,0)</f>
        <v>0</v>
      </c>
      <c r="C68" s="60">
        <v>750</v>
      </c>
      <c r="D68" s="60"/>
      <c r="E68" s="60" t="str">
        <f>VLOOKUP(1600,Sprachindex!$A:$Z,Erhebungsbogen!$Y$20,FALSE)</f>
        <v>[Stk]</v>
      </c>
      <c r="F68" s="60" t="s">
        <v>21884</v>
      </c>
      <c r="G68" s="514" t="str">
        <f>VLOOKUP(2124,Sprachindex!$A:$Z,Erhebungsbogen!$Y$20,FALSE) &amp; IF(AND(Kalk2!$AA$5=2,Kalk2!$AA$13),", " &amp; VLOOKUP(1645,Sprachindex!$A:$Z,Erhebungsbogen!$Y$20,FALSE) &amp; " " &amp; $U$8,", "&amp; VLOOKUP(1648,Sprachindex!$A:$Z,Erhebungsbogen!$Y$20,FALSE))</f>
        <v>Grundprofil 25 (H-Profil v.d.L.) exkl. Dichtung, gebohrt und entgratet, blank</v>
      </c>
      <c r="H68" s="514"/>
      <c r="I68" s="514"/>
      <c r="J68" s="514"/>
      <c r="K68" s="514"/>
      <c r="L68" s="514"/>
      <c r="M68" s="514"/>
      <c r="N68" s="514"/>
      <c r="O68" s="514"/>
      <c r="P68" s="514"/>
      <c r="Q68" s="514"/>
      <c r="R68" s="514"/>
      <c r="S68" s="514"/>
      <c r="T68" s="514"/>
      <c r="U68" s="352">
        <f>IF(AND(Kalk2!$AA$5=2,Kalk2!$AA$13),VLOOKUP(F68,Preisliste!C:G,5,FALSE),VLOOKUP(F68,Preisliste!C:G,4,FALSE))</f>
        <v>95</v>
      </c>
      <c r="V68" s="352">
        <f t="shared" si="16"/>
        <v>0</v>
      </c>
      <c r="W68" s="86"/>
      <c r="X68" s="86"/>
      <c r="Y68" s="86"/>
      <c r="Z68" s="143">
        <f>IF(AND(Kalk2!$AA$5=2,Kalk2!$AA$13),(VLOOKUP(F68,Preisliste!C:G,5,FALSE)-VLOOKUP(F68,Preisliste!C:G,4,FALSE))*B68,0)</f>
        <v>0</v>
      </c>
      <c r="AA68" s="86"/>
      <c r="AB68" s="86"/>
      <c r="AC68" s="86"/>
      <c r="AD68" s="86"/>
      <c r="AE68" s="86"/>
      <c r="AF68" s="86"/>
      <c r="AG68" s="55">
        <f>IF(AND(AH68=1,AL68=1,AP68=1,AND(Kalk2!H28&gt;0,Kalk2!H29&gt;Kalk2!B1)),1,0)</f>
        <v>0</v>
      </c>
      <c r="AH68" s="66">
        <f>IF(Kalk2!$AA$19=1,1,0)</f>
        <v>0</v>
      </c>
      <c r="AI68" s="55">
        <v>25</v>
      </c>
      <c r="AK68" s="55" t="s">
        <v>22079</v>
      </c>
      <c r="AL68" s="66">
        <f>IF(OR(Kalk2!$AA$7=1,Kalk2!$AA$9=1),1,0)</f>
        <v>1</v>
      </c>
      <c r="AM68" s="55" t="s">
        <v>22083</v>
      </c>
      <c r="AO68" s="55" t="s">
        <v>22079</v>
      </c>
      <c r="AP68" s="66">
        <f>IF(Kalk2!$AI$51=AQ68,1,0)</f>
        <v>1</v>
      </c>
      <c r="AQ68" s="55">
        <v>750</v>
      </c>
      <c r="AU68" s="66">
        <f>IF(Kalk2!$AA$7=1,1,0)</f>
        <v>1</v>
      </c>
      <c r="AV68" s="55" t="s">
        <v>19882</v>
      </c>
      <c r="AW68" s="66">
        <f>IF(Kalk2!$AA$9=1,1,0)</f>
        <v>1</v>
      </c>
      <c r="AX68" s="55" t="s">
        <v>20310</v>
      </c>
      <c r="AY68" s="55" t="s">
        <v>22100</v>
      </c>
      <c r="AZ68" s="66">
        <f>(AU68+AW68)*Kalk2!$H$37</f>
        <v>2</v>
      </c>
      <c r="BA68" s="55" t="s">
        <v>22101</v>
      </c>
    </row>
    <row r="69" spans="2:53" ht="24.95" customHeight="1">
      <c r="B69" s="93">
        <f t="shared" ref="B69:B82" si="17">IF(AG69=1,AZ69,0)</f>
        <v>0</v>
      </c>
      <c r="C69" s="60">
        <v>1350</v>
      </c>
      <c r="D69" s="60"/>
      <c r="E69" s="60" t="str">
        <f>VLOOKUP(1600,Sprachindex!$A:$Z,Erhebungsbogen!$Y$20,FALSE)</f>
        <v>[Stk]</v>
      </c>
      <c r="F69" s="60" t="s">
        <v>21885</v>
      </c>
      <c r="G69" s="514" t="str">
        <f>VLOOKUP(2124,Sprachindex!$A:$Z,Erhebungsbogen!$Y$20,FALSE) &amp; IF(AND(Kalk2!$AA$5=2,Kalk2!$AA$13),", " &amp; VLOOKUP(1645,Sprachindex!$A:$Z,Erhebungsbogen!$Y$20,FALSE) &amp; " " &amp; $U$8,", "&amp; VLOOKUP(1648,Sprachindex!$A:$Z,Erhebungsbogen!$Y$20,FALSE))</f>
        <v>Grundprofil 25 (H-Profil v.d.L.) exkl. Dichtung, gebohrt und entgratet, blank</v>
      </c>
      <c r="H69" s="514"/>
      <c r="I69" s="514"/>
      <c r="J69" s="514"/>
      <c r="K69" s="514"/>
      <c r="L69" s="514"/>
      <c r="M69" s="514"/>
      <c r="N69" s="514"/>
      <c r="O69" s="514"/>
      <c r="P69" s="514"/>
      <c r="Q69" s="514"/>
      <c r="R69" s="514"/>
      <c r="S69" s="514"/>
      <c r="T69" s="514"/>
      <c r="U69" s="352">
        <f>IF(AND(Kalk2!$AA$5=2,Kalk2!$AA$13),VLOOKUP(F69,Preisliste!C:G,5,FALSE),VLOOKUP(F69,Preisliste!C:G,4,FALSE))</f>
        <v>149.85</v>
      </c>
      <c r="V69" s="352">
        <f t="shared" si="16"/>
        <v>0</v>
      </c>
      <c r="W69" s="86"/>
      <c r="X69" s="86"/>
      <c r="Y69" s="86"/>
      <c r="Z69" s="143">
        <f>IF(AND(Kalk2!$AA$5=2,Kalk2!$AA$13),(VLOOKUP(F69,Preisliste!C:G,5,FALSE)-VLOOKUP(F69,Preisliste!C:G,4,FALSE))*B69,0)</f>
        <v>0</v>
      </c>
      <c r="AA69" s="86"/>
      <c r="AB69" s="86"/>
      <c r="AC69" s="86"/>
      <c r="AD69" s="86"/>
      <c r="AE69" s="86"/>
      <c r="AF69" s="86"/>
      <c r="AG69" s="55">
        <f t="shared" ref="AG69:AG72" si="18">IF(AND(AH69=1,AL69=1,AP69=1),1,0)</f>
        <v>0</v>
      </c>
      <c r="AH69" s="66">
        <f>IF(Kalk2!$AA$19=1,1,0)</f>
        <v>0</v>
      </c>
      <c r="AI69" s="55">
        <v>25</v>
      </c>
      <c r="AK69" s="55" t="s">
        <v>22079</v>
      </c>
      <c r="AL69" s="66">
        <f>IF(OR(Kalk2!$AA$7=1,Kalk2!$AA$9=1),1,0)</f>
        <v>1</v>
      </c>
      <c r="AM69" s="55" t="s">
        <v>22083</v>
      </c>
      <c r="AO69" s="55" t="s">
        <v>22079</v>
      </c>
      <c r="AP69" s="66">
        <f>IF(Kalk2!$AI$51=AQ69,1,0)</f>
        <v>0</v>
      </c>
      <c r="AQ69" s="55">
        <v>1350</v>
      </c>
      <c r="AU69" s="66">
        <f>IF(Kalk2!$AA$7=1,1,0)</f>
        <v>1</v>
      </c>
      <c r="AV69" s="55" t="s">
        <v>19882</v>
      </c>
      <c r="AW69" s="66">
        <f>IF(Kalk2!$AA$9=1,1,0)</f>
        <v>1</v>
      </c>
      <c r="AX69" s="55" t="s">
        <v>20310</v>
      </c>
      <c r="AY69" s="55" t="s">
        <v>22100</v>
      </c>
      <c r="AZ69" s="66">
        <f>(AU69+AW69)*Kalk2!$H$37</f>
        <v>2</v>
      </c>
      <c r="BA69" s="55" t="s">
        <v>22101</v>
      </c>
    </row>
    <row r="70" spans="2:53" ht="24.95" customHeight="1">
      <c r="B70" s="93">
        <f t="shared" si="17"/>
        <v>0</v>
      </c>
      <c r="C70" s="60">
        <v>1750</v>
      </c>
      <c r="D70" s="60"/>
      <c r="E70" s="60" t="str">
        <f>VLOOKUP(1600,Sprachindex!$A:$Z,Erhebungsbogen!$Y$20,FALSE)</f>
        <v>[Stk]</v>
      </c>
      <c r="F70" s="60" t="s">
        <v>21984</v>
      </c>
      <c r="G70" s="514" t="str">
        <f>VLOOKUP(2124,Sprachindex!$A:$Z,Erhebungsbogen!$Y$20,FALSE) &amp; IF(AND(Kalk2!$AA$5=2,Kalk2!$AA$13),", " &amp; VLOOKUP(1645,Sprachindex!$A:$Z,Erhebungsbogen!$Y$20,FALSE) &amp; " " &amp; $U$8,", "&amp; VLOOKUP(1648,Sprachindex!$A:$Z,Erhebungsbogen!$Y$20,FALSE))</f>
        <v>Grundprofil 25 (H-Profil v.d.L.) exkl. Dichtung, gebohrt und entgratet, blank</v>
      </c>
      <c r="H70" s="514"/>
      <c r="I70" s="514"/>
      <c r="J70" s="514"/>
      <c r="K70" s="514"/>
      <c r="L70" s="514"/>
      <c r="M70" s="514"/>
      <c r="N70" s="514"/>
      <c r="O70" s="514"/>
      <c r="P70" s="514"/>
      <c r="Q70" s="514"/>
      <c r="R70" s="514"/>
      <c r="S70" s="514"/>
      <c r="T70" s="514"/>
      <c r="U70" s="352">
        <f>IF(AND(Kalk2!$AA$5=2,Kalk2!$AA$13),VLOOKUP(F70,Preisliste!C:G,5,FALSE),VLOOKUP(F70,Preisliste!C:G,4,FALSE))</f>
        <v>186.4</v>
      </c>
      <c r="V70" s="352">
        <f t="shared" si="16"/>
        <v>0</v>
      </c>
      <c r="W70" s="86"/>
      <c r="X70" s="86"/>
      <c r="Y70" s="86"/>
      <c r="Z70" s="143">
        <f>IF(AND(Kalk2!$AA$5=2,Kalk2!$AA$13),(VLOOKUP(F70,Preisliste!C:G,5,FALSE)-VLOOKUP(F70,Preisliste!C:G,4,FALSE))*B70,0)</f>
        <v>0</v>
      </c>
      <c r="AA70" s="86"/>
      <c r="AB70" s="86"/>
      <c r="AC70" s="86"/>
      <c r="AD70" s="86"/>
      <c r="AE70" s="86"/>
      <c r="AF70" s="86"/>
      <c r="AG70" s="55">
        <f t="shared" si="18"/>
        <v>0</v>
      </c>
      <c r="AH70" s="66">
        <f>IF(Kalk2!$AA$19=1,1,0)</f>
        <v>0</v>
      </c>
      <c r="AI70" s="55">
        <v>25</v>
      </c>
      <c r="AK70" s="55" t="s">
        <v>22079</v>
      </c>
      <c r="AL70" s="66">
        <f>IF(OR(Kalk2!$AA$7=1,Kalk2!$AA$9=1),1,0)</f>
        <v>1</v>
      </c>
      <c r="AM70" s="55" t="s">
        <v>22083</v>
      </c>
      <c r="AO70" s="55" t="s">
        <v>22079</v>
      </c>
      <c r="AP70" s="66">
        <f>IF(Kalk2!$AI$51=AQ70,1,0)</f>
        <v>0</v>
      </c>
      <c r="AQ70" s="55">
        <v>1750</v>
      </c>
      <c r="AU70" s="66">
        <f>IF(Kalk2!$AA$7=1,1,0)</f>
        <v>1</v>
      </c>
      <c r="AV70" s="55" t="s">
        <v>19882</v>
      </c>
      <c r="AW70" s="66">
        <f>IF(Kalk2!$AA$9=1,1,0)</f>
        <v>1</v>
      </c>
      <c r="AX70" s="55" t="s">
        <v>20310</v>
      </c>
      <c r="AY70" s="55" t="s">
        <v>22100</v>
      </c>
      <c r="AZ70" s="66">
        <f>(AU70+AW70)*Kalk2!$H$37</f>
        <v>2</v>
      </c>
      <c r="BA70" s="55" t="s">
        <v>22101</v>
      </c>
    </row>
    <row r="71" spans="2:53" ht="24.95" customHeight="1">
      <c r="B71" s="93">
        <f t="shared" si="17"/>
        <v>0</v>
      </c>
      <c r="C71" s="60">
        <v>2150</v>
      </c>
      <c r="D71" s="60"/>
      <c r="E71" s="60" t="str">
        <f>VLOOKUP(1600,Sprachindex!$A:$Z,Erhebungsbogen!$Y$20,FALSE)</f>
        <v>[Stk]</v>
      </c>
      <c r="F71" s="60" t="s">
        <v>21985</v>
      </c>
      <c r="G71" s="514" t="str">
        <f>VLOOKUP(2124,Sprachindex!$A:$Z,Erhebungsbogen!$Y$20,FALSE) &amp; IF(AND(Kalk2!$AA$5=2,Kalk2!$AA$13),", " &amp; VLOOKUP(1645,Sprachindex!$A:$Z,Erhebungsbogen!$Y$20,FALSE) &amp; " " &amp; $U$8,", "&amp; VLOOKUP(1648,Sprachindex!$A:$Z,Erhebungsbogen!$Y$20,FALSE))</f>
        <v>Grundprofil 25 (H-Profil v.d.L.) exkl. Dichtung, gebohrt und entgratet, blank</v>
      </c>
      <c r="H71" s="514"/>
      <c r="I71" s="514"/>
      <c r="J71" s="514"/>
      <c r="K71" s="514"/>
      <c r="L71" s="514"/>
      <c r="M71" s="514"/>
      <c r="N71" s="514"/>
      <c r="O71" s="514"/>
      <c r="P71" s="514"/>
      <c r="Q71" s="514"/>
      <c r="R71" s="514"/>
      <c r="S71" s="514"/>
      <c r="T71" s="514"/>
      <c r="U71" s="352">
        <f>IF(AND(Kalk2!$AA$5=2,Kalk2!$AA$13),VLOOKUP(F71,Preisliste!C:G,5,FALSE),VLOOKUP(F71,Preisliste!C:G,4,FALSE))</f>
        <v>222.9</v>
      </c>
      <c r="V71" s="352">
        <f t="shared" si="16"/>
        <v>0</v>
      </c>
      <c r="W71" s="86"/>
      <c r="X71" s="86"/>
      <c r="Y71" s="86"/>
      <c r="Z71" s="143">
        <f>IF(AND(Kalk2!$AA$5=2,Kalk2!$AA$13),(VLOOKUP(F71,Preisliste!C:G,5,FALSE)-VLOOKUP(F71,Preisliste!C:G,4,FALSE))*B71,0)</f>
        <v>0</v>
      </c>
      <c r="AA71" s="86"/>
      <c r="AB71" s="86"/>
      <c r="AC71" s="86"/>
      <c r="AD71" s="86"/>
      <c r="AE71" s="86"/>
      <c r="AF71" s="86"/>
      <c r="AG71" s="55">
        <f t="shared" si="18"/>
        <v>0</v>
      </c>
      <c r="AH71" s="66">
        <f>IF(Kalk2!$AA$19=1,1,0)</f>
        <v>0</v>
      </c>
      <c r="AI71" s="55">
        <v>25</v>
      </c>
      <c r="AK71" s="55" t="s">
        <v>22079</v>
      </c>
      <c r="AL71" s="66">
        <f>IF(OR(Kalk2!$AA$7=1,Kalk2!$AA$9=1),1,0)</f>
        <v>1</v>
      </c>
      <c r="AM71" s="55" t="s">
        <v>22083</v>
      </c>
      <c r="AO71" s="55" t="s">
        <v>22079</v>
      </c>
      <c r="AP71" s="66">
        <f>IF(Kalk2!$AI$51=AQ71,1,0)</f>
        <v>0</v>
      </c>
      <c r="AQ71" s="55">
        <v>2150</v>
      </c>
      <c r="AU71" s="66">
        <f>IF(Kalk2!$AA$7=1,1,0)</f>
        <v>1</v>
      </c>
      <c r="AV71" s="55" t="s">
        <v>19882</v>
      </c>
      <c r="AW71" s="66">
        <f>IF(Kalk2!$AA$9=1,1,0)</f>
        <v>1</v>
      </c>
      <c r="AX71" s="55" t="s">
        <v>20310</v>
      </c>
      <c r="AY71" s="55" t="s">
        <v>22100</v>
      </c>
      <c r="AZ71" s="66">
        <f>(AU71+AW71)*Kalk2!$H$37</f>
        <v>2</v>
      </c>
      <c r="BA71" s="55" t="s">
        <v>22101</v>
      </c>
    </row>
    <row r="72" spans="2:53" ht="24.95" customHeight="1">
      <c r="B72" s="93">
        <f t="shared" si="17"/>
        <v>0</v>
      </c>
      <c r="C72" s="60">
        <f>IF(AG72=1,AS72,0)</f>
        <v>0</v>
      </c>
      <c r="D72" s="60"/>
      <c r="E72" s="60" t="str">
        <f>VLOOKUP(1600,Sprachindex!$A:$Z,Erhebungsbogen!$Y$20,FALSE)</f>
        <v>[Stk]</v>
      </c>
      <c r="F72" s="60" t="s">
        <v>21883</v>
      </c>
      <c r="G72" s="514" t="str">
        <f>VLOOKUP(2125,Sprachindex!$A:$Z,Erhebungsbogen!$Y$20,FALSE)</f>
        <v>Grundprofil 25 (H-Profil v.d.L.) Sonderlänge exkl. Dichtung, (Stangenware)</v>
      </c>
      <c r="H72" s="514"/>
      <c r="I72" s="514"/>
      <c r="J72" s="514"/>
      <c r="K72" s="514"/>
      <c r="L72" s="514"/>
      <c r="M72" s="514"/>
      <c r="N72" s="514"/>
      <c r="O72" s="514"/>
      <c r="P72" s="514"/>
      <c r="Q72" s="514"/>
      <c r="R72" s="514"/>
      <c r="S72" s="514"/>
      <c r="T72" s="514"/>
      <c r="U72" s="352">
        <f>IF(AND(Kalk2!$AA$5=2,Kalk2!$AA$13),VLOOKUP(F72,Preisliste!C:G,5,FALSE),VLOOKUP(F72,Preisliste!C:G,4,FALSE))</f>
        <v>72</v>
      </c>
      <c r="V72" s="352">
        <f>U72*C72*B72/1000</f>
        <v>0</v>
      </c>
      <c r="W72" s="86"/>
      <c r="X72" s="86"/>
      <c r="Y72" s="86"/>
      <c r="Z72" s="143">
        <f>IF(AND(Kalk2!$AA$5=2,Kalk2!$AA$13),(VLOOKUP(F72,Preisliste!C:G,5,FALSE)-VLOOKUP(F72,Preisliste!C:G,4,FALSE))*B72,0)</f>
        <v>0</v>
      </c>
      <c r="AA72" s="86"/>
      <c r="AB72" s="86"/>
      <c r="AC72" s="86"/>
      <c r="AD72" s="86"/>
      <c r="AE72" s="86"/>
      <c r="AF72" s="86"/>
      <c r="AG72" s="55">
        <f t="shared" si="18"/>
        <v>0</v>
      </c>
      <c r="AH72" s="66">
        <f>IF(Kalk2!$AA$19=1,1,0)</f>
        <v>0</v>
      </c>
      <c r="AI72" s="55">
        <v>25</v>
      </c>
      <c r="AK72" s="55" t="s">
        <v>22079</v>
      </c>
      <c r="AL72" s="66">
        <f>IF(OR(Kalk2!$AA$7=1,Kalk2!$AA$9=1),1,0)</f>
        <v>1</v>
      </c>
      <c r="AM72" s="55" t="s">
        <v>22083</v>
      </c>
      <c r="AO72" s="55" t="s">
        <v>22079</v>
      </c>
      <c r="AP72" s="66">
        <f>IF(Kalk2!$AH$52&gt;AQ72,1,0)</f>
        <v>0</v>
      </c>
      <c r="AQ72" s="55">
        <v>2150</v>
      </c>
      <c r="AR72" s="55" t="s">
        <v>22084</v>
      </c>
      <c r="AS72" s="66">
        <f>Kalk2!$AH$52</f>
        <v>0</v>
      </c>
      <c r="AU72" s="66">
        <f>IF(Kalk2!$AA$7=1,1,0)</f>
        <v>1</v>
      </c>
      <c r="AV72" s="55" t="s">
        <v>19882</v>
      </c>
      <c r="AW72" s="66">
        <f>IF(Kalk2!$AA$9=1,1,0)</f>
        <v>1</v>
      </c>
      <c r="AX72" s="55" t="s">
        <v>20310</v>
      </c>
      <c r="AY72" s="55" t="s">
        <v>22100</v>
      </c>
      <c r="AZ72" s="66">
        <f>(AU72+AW72)*Kalk2!$H$37</f>
        <v>2</v>
      </c>
      <c r="BA72" s="55" t="s">
        <v>22101</v>
      </c>
    </row>
    <row r="73" spans="2:53" ht="24.95" customHeight="1">
      <c r="B73" s="93">
        <f t="shared" si="17"/>
        <v>0</v>
      </c>
      <c r="C73" s="60">
        <v>750</v>
      </c>
      <c r="D73" s="60"/>
      <c r="E73" s="60" t="str">
        <f>VLOOKUP(1600,Sprachindex!$A:$Z,Erhebungsbogen!$Y$20,FALSE)</f>
        <v>[Stk]</v>
      </c>
      <c r="F73" s="60" t="s">
        <v>21896</v>
      </c>
      <c r="G73" s="514" t="str">
        <f>VLOOKUP(1717,Sprachindex!$A:$Z,Erhebungsbogen!$Y$20,FALSE) &amp; IF(AND(Kalk2!$AA$5=2,Kalk2!$AA$13),", " &amp; VLOOKUP(1645,Sprachindex!$A:$Z,Erhebungsbogen!$Y$20,FALSE) &amp; " " &amp; $U$8,", "&amp; VLOOKUP(1648,Sprachindex!$A:$Z,Erhebungsbogen!$Y$20,FALSE))</f>
        <v>Grundprofil 50 (H-Profil v.d.L.) exkl. Dichtung, gebohrt und entgratet, blank</v>
      </c>
      <c r="H73" s="514"/>
      <c r="I73" s="514"/>
      <c r="J73" s="514"/>
      <c r="K73" s="514"/>
      <c r="L73" s="514"/>
      <c r="M73" s="514"/>
      <c r="N73" s="514"/>
      <c r="O73" s="514"/>
      <c r="P73" s="514"/>
      <c r="Q73" s="514"/>
      <c r="R73" s="514"/>
      <c r="S73" s="514"/>
      <c r="T73" s="514"/>
      <c r="U73" s="352">
        <f>IF(AND(Kalk2!$AA$5=2,Kalk2!$AA$13),VLOOKUP(F73,Preisliste!C:G,5,FALSE),VLOOKUP(F73,Preisliste!C:G,4,FALSE))</f>
        <v>144.85</v>
      </c>
      <c r="V73" s="352">
        <f t="shared" si="16"/>
        <v>0</v>
      </c>
      <c r="W73" s="86"/>
      <c r="X73" s="86"/>
      <c r="Y73" s="86"/>
      <c r="Z73" s="143">
        <f>IF(AND(Kalk2!$AA$5=2,Kalk2!$AA$13),(VLOOKUP(F73,Preisliste!C:G,5,FALSE)-VLOOKUP(F73,Preisliste!C:G,4,FALSE))*B73,0)</f>
        <v>0</v>
      </c>
      <c r="AA73" s="86"/>
      <c r="AB73" s="86"/>
      <c r="AC73" s="86"/>
      <c r="AD73" s="86"/>
      <c r="AE73" s="86"/>
      <c r="AF73" s="86"/>
      <c r="AG73" s="250">
        <f>IF(AND(AH73=1,AL73=1,AP73=1,AND(Kalk2!H28&gt;0,Kalk2!H29&gt;0)),1,0)</f>
        <v>0</v>
      </c>
      <c r="AH73" s="66">
        <f>IF(OR(Kalk2!$AA$19=2,Kalk2!$AA$19=3),1,0)</f>
        <v>1</v>
      </c>
      <c r="AI73" s="55">
        <v>50</v>
      </c>
      <c r="AK73" s="55" t="s">
        <v>22079</v>
      </c>
      <c r="AL73" s="66">
        <f>IF(OR(Kalk2!$AA$7=1,Kalk2!$AA$9=1),1,0)</f>
        <v>1</v>
      </c>
      <c r="AM73" s="55" t="s">
        <v>22083</v>
      </c>
      <c r="AO73" s="55" t="s">
        <v>22079</v>
      </c>
      <c r="AP73" s="250">
        <f>IF(Kalk2!$AI$51=AQ73,1,0)</f>
        <v>1</v>
      </c>
      <c r="AQ73" s="55">
        <v>750</v>
      </c>
      <c r="AU73" s="66">
        <f>IF(Kalk2!$AA$7=1,1,0)</f>
        <v>1</v>
      </c>
      <c r="AV73" s="55" t="s">
        <v>19882</v>
      </c>
      <c r="AW73" s="66">
        <f>IF(Kalk2!$AA$9=1,1,0)</f>
        <v>1</v>
      </c>
      <c r="AX73" s="55" t="s">
        <v>20310</v>
      </c>
      <c r="AY73" s="55" t="s">
        <v>22100</v>
      </c>
      <c r="AZ73" s="66">
        <f>(AU73+AW73)*Kalk2!$H$37</f>
        <v>2</v>
      </c>
      <c r="BA73" s="55" t="s">
        <v>22101</v>
      </c>
    </row>
    <row r="74" spans="2:53" ht="24.95" customHeight="1">
      <c r="B74" s="93">
        <f t="shared" si="17"/>
        <v>0</v>
      </c>
      <c r="C74" s="60">
        <v>1350</v>
      </c>
      <c r="D74" s="60"/>
      <c r="E74" s="60" t="str">
        <f>VLOOKUP(1600,Sprachindex!$A:$Z,Erhebungsbogen!$Y$20,FALSE)</f>
        <v>[Stk]</v>
      </c>
      <c r="F74" s="60" t="s">
        <v>21897</v>
      </c>
      <c r="G74" s="514" t="str">
        <f>VLOOKUP(1717,Sprachindex!$A:$Z,Erhebungsbogen!$Y$20,FALSE) &amp; IF(AND(Kalk2!$AA$5=2,Kalk2!$AA$13),", " &amp; VLOOKUP(1645,Sprachindex!$A:$Z,Erhebungsbogen!$Y$20,FALSE) &amp; " " &amp; $U$8,", "&amp; VLOOKUP(1648,Sprachindex!$A:$Z,Erhebungsbogen!$Y$20,FALSE))</f>
        <v>Grundprofil 50 (H-Profil v.d.L.) exkl. Dichtung, gebohrt und entgratet, blank</v>
      </c>
      <c r="H74" s="514"/>
      <c r="I74" s="514"/>
      <c r="J74" s="514"/>
      <c r="K74" s="514"/>
      <c r="L74" s="514"/>
      <c r="M74" s="514"/>
      <c r="N74" s="514"/>
      <c r="O74" s="514"/>
      <c r="P74" s="514"/>
      <c r="Q74" s="514"/>
      <c r="R74" s="514"/>
      <c r="S74" s="514"/>
      <c r="T74" s="514"/>
      <c r="U74" s="352">
        <f>IF(AND(Kalk2!$AA$5=2,Kalk2!$AA$13),VLOOKUP(F74,Preisliste!C:G,5,FALSE),VLOOKUP(F74,Preisliste!C:G,4,FALSE))</f>
        <v>228.1</v>
      </c>
      <c r="V74" s="352">
        <f t="shared" si="16"/>
        <v>0</v>
      </c>
      <c r="W74" s="86"/>
      <c r="X74" s="86"/>
      <c r="Y74" s="86"/>
      <c r="Z74" s="143">
        <f>IF(AND(Kalk2!$AA$5=2,Kalk2!$AA$13),(VLOOKUP(F74,Preisliste!C:G,5,FALSE)-VLOOKUP(F74,Preisliste!C:G,4,FALSE))*B74,0)</f>
        <v>0</v>
      </c>
      <c r="AA74" s="86"/>
      <c r="AB74" s="86"/>
      <c r="AC74" s="86"/>
      <c r="AD74" s="86"/>
      <c r="AE74" s="86"/>
      <c r="AF74" s="86"/>
      <c r="AG74" s="244">
        <f>IF(AND(AH74=1,AL74=1,AP74=1,AND(Kalk2!H28&gt;0,Kalk2!H29&gt;0)),1,0)</f>
        <v>0</v>
      </c>
      <c r="AH74" s="66">
        <f>IF(OR(Kalk2!$AA$19=2,Kalk2!$AA$19=3),1,0)</f>
        <v>1</v>
      </c>
      <c r="AI74" s="55">
        <v>50</v>
      </c>
      <c r="AK74" s="55" t="s">
        <v>22079</v>
      </c>
      <c r="AL74" s="66">
        <f>IF(OR(Kalk2!$AA$7=1,Kalk2!$AA$9=1),1,0)</f>
        <v>1</v>
      </c>
      <c r="AM74" s="55" t="s">
        <v>22083</v>
      </c>
      <c r="AO74" s="55" t="s">
        <v>22079</v>
      </c>
      <c r="AP74" s="66">
        <f>IF(Kalk2!$AI$51=AQ74,1,0)</f>
        <v>0</v>
      </c>
      <c r="AQ74" s="55">
        <v>1350</v>
      </c>
      <c r="AU74" s="66">
        <f>IF(Kalk2!$AA$7=1,1,0)</f>
        <v>1</v>
      </c>
      <c r="AV74" s="55" t="s">
        <v>19882</v>
      </c>
      <c r="AW74" s="66">
        <f>IF(Kalk2!$AA$9=1,1,0)</f>
        <v>1</v>
      </c>
      <c r="AX74" s="55" t="s">
        <v>20310</v>
      </c>
      <c r="AY74" s="55" t="s">
        <v>22100</v>
      </c>
      <c r="AZ74" s="66">
        <f>(AU74+AW74)*Kalk2!$H$37</f>
        <v>2</v>
      </c>
      <c r="BA74" s="55" t="s">
        <v>22101</v>
      </c>
    </row>
    <row r="75" spans="2:53" ht="24.95" customHeight="1">
      <c r="B75" s="93">
        <f t="shared" si="17"/>
        <v>0</v>
      </c>
      <c r="C75" s="60">
        <v>1750</v>
      </c>
      <c r="D75" s="60"/>
      <c r="E75" s="60" t="str">
        <f>VLOOKUP(1600,Sprachindex!$A:$Z,Erhebungsbogen!$Y$20,FALSE)</f>
        <v>[Stk]</v>
      </c>
      <c r="F75" s="60" t="s">
        <v>21898</v>
      </c>
      <c r="G75" s="514" t="str">
        <f>VLOOKUP(1717,Sprachindex!$A:$Z,Erhebungsbogen!$Y$20,FALSE) &amp; IF(AND(Kalk2!$AA$5=2,Kalk2!$AA$13),", " &amp; VLOOKUP(1645,Sprachindex!$A:$Z,Erhebungsbogen!$Y$20,FALSE) &amp; " " &amp; $U$8,", "&amp; VLOOKUP(1648,Sprachindex!$A:$Z,Erhebungsbogen!$Y$20,FALSE))</f>
        <v>Grundprofil 50 (H-Profil v.d.L.) exkl. Dichtung, gebohrt und entgratet, blank</v>
      </c>
      <c r="H75" s="514"/>
      <c r="I75" s="514"/>
      <c r="J75" s="514"/>
      <c r="K75" s="514"/>
      <c r="L75" s="514"/>
      <c r="M75" s="514"/>
      <c r="N75" s="514"/>
      <c r="O75" s="514"/>
      <c r="P75" s="514"/>
      <c r="Q75" s="514"/>
      <c r="R75" s="514"/>
      <c r="S75" s="514"/>
      <c r="T75" s="514"/>
      <c r="U75" s="352">
        <f>IF(AND(Kalk2!$AA$5=2,Kalk2!$AA$13),VLOOKUP(F75,Preisliste!C:G,5,FALSE),VLOOKUP(F75,Preisliste!C:G,4,FALSE))</f>
        <v>284.14999999999998</v>
      </c>
      <c r="V75" s="352">
        <f t="shared" si="16"/>
        <v>0</v>
      </c>
      <c r="W75" s="86"/>
      <c r="X75" s="86"/>
      <c r="Y75" s="86"/>
      <c r="Z75" s="143">
        <f>IF(AND(Kalk2!$AA$5=2,Kalk2!$AA$13),(VLOOKUP(F75,Preisliste!C:G,5,FALSE)-VLOOKUP(F75,Preisliste!C:G,4,FALSE))*B75,0)</f>
        <v>0</v>
      </c>
      <c r="AA75" s="86"/>
      <c r="AB75" s="86"/>
      <c r="AC75" s="86"/>
      <c r="AD75" s="86"/>
      <c r="AE75" s="86"/>
      <c r="AF75" s="86"/>
      <c r="AG75" s="55">
        <f t="shared" ref="AG75:AG77" si="19">IF(AND(AH75=1,AL75=1,AP75=1),1,0)</f>
        <v>0</v>
      </c>
      <c r="AH75" s="66">
        <f>IF(OR(Kalk2!$AA$19=2,Kalk2!$AA$19=3),1,0)</f>
        <v>1</v>
      </c>
      <c r="AI75" s="55">
        <v>50</v>
      </c>
      <c r="AK75" s="55" t="s">
        <v>22079</v>
      </c>
      <c r="AL75" s="66">
        <f>IF(OR(Kalk2!$AA$7=1,Kalk2!$AA$9=1),1,0)</f>
        <v>1</v>
      </c>
      <c r="AM75" s="55" t="s">
        <v>22083</v>
      </c>
      <c r="AO75" s="55" t="s">
        <v>22079</v>
      </c>
      <c r="AP75" s="66">
        <f>IF(Kalk2!$AI$51=AQ75,1,0)</f>
        <v>0</v>
      </c>
      <c r="AQ75" s="55">
        <v>1750</v>
      </c>
      <c r="AU75" s="66">
        <f>IF(Kalk2!$AA$7=1,1,0)</f>
        <v>1</v>
      </c>
      <c r="AV75" s="55" t="s">
        <v>19882</v>
      </c>
      <c r="AW75" s="66">
        <f>IF(Kalk2!$AA$9=1,1,0)</f>
        <v>1</v>
      </c>
      <c r="AX75" s="55" t="s">
        <v>20310</v>
      </c>
      <c r="AY75" s="55" t="s">
        <v>22100</v>
      </c>
      <c r="AZ75" s="66">
        <f>(AU75+AW75)*Kalk2!$H$37</f>
        <v>2</v>
      </c>
      <c r="BA75" s="55" t="s">
        <v>22101</v>
      </c>
    </row>
    <row r="76" spans="2:53" ht="24.95" customHeight="1">
      <c r="B76" s="93">
        <f t="shared" si="17"/>
        <v>0</v>
      </c>
      <c r="C76" s="60">
        <v>2150</v>
      </c>
      <c r="D76" s="60"/>
      <c r="E76" s="60" t="str">
        <f>VLOOKUP(1600,Sprachindex!$A:$Z,Erhebungsbogen!$Y$20,FALSE)</f>
        <v>[Stk]</v>
      </c>
      <c r="F76" s="60" t="s">
        <v>21899</v>
      </c>
      <c r="G76" s="514" t="str">
        <f>VLOOKUP(1717,Sprachindex!$A:$Z,Erhebungsbogen!$Y$20,FALSE) &amp; IF(AND(Kalk2!$AA$5=2,Kalk2!$AA$13),", " &amp; VLOOKUP(1645,Sprachindex!$A:$Z,Erhebungsbogen!$Y$20,FALSE) &amp; " " &amp; $U$8,", "&amp; VLOOKUP(1648,Sprachindex!$A:$Z,Erhebungsbogen!$Y$20,FALSE))</f>
        <v>Grundprofil 50 (H-Profil v.d.L.) exkl. Dichtung, gebohrt und entgratet, blank</v>
      </c>
      <c r="H76" s="514"/>
      <c r="I76" s="514"/>
      <c r="J76" s="514"/>
      <c r="K76" s="514"/>
      <c r="L76" s="514"/>
      <c r="M76" s="514"/>
      <c r="N76" s="514"/>
      <c r="O76" s="514"/>
      <c r="P76" s="514"/>
      <c r="Q76" s="514"/>
      <c r="R76" s="514"/>
      <c r="S76" s="514"/>
      <c r="T76" s="514"/>
      <c r="U76" s="352">
        <f>IF(AND(Kalk2!$AA$5=2,Kalk2!$AA$13),VLOOKUP(F76,Preisliste!C:G,5,FALSE),VLOOKUP(F76,Preisliste!C:G,4,FALSE))</f>
        <v>340.25</v>
      </c>
      <c r="V76" s="352">
        <f t="shared" si="16"/>
        <v>0</v>
      </c>
      <c r="W76" s="86"/>
      <c r="X76" s="86"/>
      <c r="Y76" s="86"/>
      <c r="Z76" s="143">
        <f>IF(AND(Kalk2!$AA$5=2,Kalk2!$AA$13),(VLOOKUP(F76,Preisliste!C:G,5,FALSE)-VLOOKUP(F76,Preisliste!C:G,4,FALSE))*B76,0)</f>
        <v>0</v>
      </c>
      <c r="AA76" s="86"/>
      <c r="AB76" s="86"/>
      <c r="AC76" s="86"/>
      <c r="AD76" s="86"/>
      <c r="AE76" s="86"/>
      <c r="AF76" s="86"/>
      <c r="AG76" s="55">
        <f t="shared" si="19"/>
        <v>0</v>
      </c>
      <c r="AH76" s="66">
        <f>IF(OR(Kalk2!$AA$19=2,Kalk2!$AA$19=3),1,0)</f>
        <v>1</v>
      </c>
      <c r="AI76" s="55">
        <v>50</v>
      </c>
      <c r="AK76" s="55" t="s">
        <v>22079</v>
      </c>
      <c r="AL76" s="66">
        <f>IF(OR(Kalk2!$AA$7=1,Kalk2!$AA$9=1),1,0)</f>
        <v>1</v>
      </c>
      <c r="AM76" s="55" t="s">
        <v>22083</v>
      </c>
      <c r="AO76" s="55" t="s">
        <v>22079</v>
      </c>
      <c r="AP76" s="66">
        <f>IF(Kalk2!$AI$51=AQ76,1,0)</f>
        <v>0</v>
      </c>
      <c r="AQ76" s="55">
        <v>2150</v>
      </c>
      <c r="AU76" s="66">
        <f>IF(Kalk2!$AA$7=1,1,0)</f>
        <v>1</v>
      </c>
      <c r="AV76" s="55" t="s">
        <v>19882</v>
      </c>
      <c r="AW76" s="66">
        <f>IF(Kalk2!$AA$9=1,1,0)</f>
        <v>1</v>
      </c>
      <c r="AX76" s="55" t="s">
        <v>20310</v>
      </c>
      <c r="AY76" s="55" t="s">
        <v>22100</v>
      </c>
      <c r="AZ76" s="66">
        <f>(AU76+AW76)*Kalk2!$H$37</f>
        <v>2</v>
      </c>
      <c r="BA76" s="55" t="s">
        <v>22101</v>
      </c>
    </row>
    <row r="77" spans="2:53" ht="24.95" customHeight="1">
      <c r="B77" s="93">
        <f t="shared" si="17"/>
        <v>0</v>
      </c>
      <c r="C77" s="60">
        <f>IF(AG77=1,AS77,0)</f>
        <v>0</v>
      </c>
      <c r="D77" s="60"/>
      <c r="E77" s="60" t="str">
        <f>VLOOKUP(1600,Sprachindex!$A:$Z,Erhebungsbogen!$Y$20,FALSE)</f>
        <v>[Stk]</v>
      </c>
      <c r="F77" s="60" t="s">
        <v>21900</v>
      </c>
      <c r="G77" s="514" t="str">
        <f>VLOOKUP(1718,Sprachindex!$A:$Z,Erhebungsbogen!$Y$20,FALSE)</f>
        <v>Grundprofil 50 (H-Profil v.d.L.) Sonderlänge exkl. Dichtung, (Stangenware)</v>
      </c>
      <c r="H77" s="514"/>
      <c r="I77" s="514"/>
      <c r="J77" s="514"/>
      <c r="K77" s="514"/>
      <c r="L77" s="514"/>
      <c r="M77" s="514"/>
      <c r="N77" s="514"/>
      <c r="O77" s="514"/>
      <c r="P77" s="514"/>
      <c r="Q77" s="514"/>
      <c r="R77" s="514"/>
      <c r="S77" s="514"/>
      <c r="T77" s="514"/>
      <c r="U77" s="352">
        <f>IF(AND(Kalk2!$AA$5=2,Kalk2!$AA$13),VLOOKUP(F77,Preisliste!C:G,5,FALSE),VLOOKUP(F77,Preisliste!C:G,4,FALSE))</f>
        <v>148.5</v>
      </c>
      <c r="V77" s="352">
        <f>U77*C77*B77/1000</f>
        <v>0</v>
      </c>
      <c r="W77" s="86"/>
      <c r="X77" s="86"/>
      <c r="Y77" s="86"/>
      <c r="Z77" s="143">
        <f>IF(AND(Kalk2!$AA$5=2,Kalk2!$AA$13),(VLOOKUP(F77,Preisliste!C:G,5,FALSE)-VLOOKUP(F77,Preisliste!C:G,4,FALSE))*B77,0)</f>
        <v>0</v>
      </c>
      <c r="AA77" s="86"/>
      <c r="AB77" s="86"/>
      <c r="AC77" s="86"/>
      <c r="AD77" s="86"/>
      <c r="AE77" s="86"/>
      <c r="AF77" s="86"/>
      <c r="AG77" s="55">
        <f t="shared" si="19"/>
        <v>0</v>
      </c>
      <c r="AH77" s="66">
        <f>IF(OR(Kalk2!$AA$19=2,Kalk2!$AA$19=3),1,0)</f>
        <v>1</v>
      </c>
      <c r="AI77" s="55">
        <v>50</v>
      </c>
      <c r="AK77" s="55" t="s">
        <v>22079</v>
      </c>
      <c r="AL77" s="66">
        <f>IF(OR(Kalk2!$AA$7=1,Kalk2!$AA$9=1),1,0)</f>
        <v>1</v>
      </c>
      <c r="AM77" s="55" t="s">
        <v>22083</v>
      </c>
      <c r="AO77" s="55" t="s">
        <v>22079</v>
      </c>
      <c r="AP77" s="66">
        <f>IF(Kalk2!$AH$52&gt;AQ77,1,0)</f>
        <v>0</v>
      </c>
      <c r="AQ77" s="55">
        <v>2150</v>
      </c>
      <c r="AR77" s="55" t="s">
        <v>22084</v>
      </c>
      <c r="AS77" s="66">
        <f>Kalk2!$AH$52</f>
        <v>0</v>
      </c>
      <c r="AU77" s="66">
        <f>IF(Kalk2!$AA$7=1,1,0)</f>
        <v>1</v>
      </c>
      <c r="AV77" s="55" t="s">
        <v>19882</v>
      </c>
      <c r="AW77" s="66">
        <f>IF(Kalk2!$AA$9=1,1,0)</f>
        <v>1</v>
      </c>
      <c r="AX77" s="55" t="s">
        <v>20310</v>
      </c>
      <c r="AY77" s="55" t="s">
        <v>22100</v>
      </c>
      <c r="AZ77" s="66">
        <f>(AU77+AW77)*Kalk2!$H$37</f>
        <v>2</v>
      </c>
      <c r="BA77" s="55" t="s">
        <v>22101</v>
      </c>
    </row>
    <row r="78" spans="2:53" ht="24.95" customHeight="1">
      <c r="B78" s="93">
        <f t="shared" si="17"/>
        <v>0</v>
      </c>
      <c r="C78" s="60">
        <v>750</v>
      </c>
      <c r="D78" s="60"/>
      <c r="E78" s="60" t="str">
        <f>VLOOKUP(1600,Sprachindex!$A:$Z,Erhebungsbogen!$Y$20,FALSE)</f>
        <v>[Stk]</v>
      </c>
      <c r="F78" s="60" t="s">
        <v>21901</v>
      </c>
      <c r="G78" s="514" t="str">
        <f>VLOOKUP(1720,Sprachindex!$A:$Z,Erhebungsbogen!$Y$20,FALSE) &amp; IF(AND(Kalk2!$AA$5=2,Kalk2!$AA$13),", " &amp; VLOOKUP(1645,Sprachindex!$A:$Z,Erhebungsbogen!$Y$20,FALSE) &amp; " " &amp; $U$8,", "&amp; VLOOKUP(1648,Sprachindex!$A:$Z,Erhebungsbogen!$Y$20,FALSE))</f>
        <v>Grundprofil 80 (H-Profil v.d.L.) exkl. Dichtung, gebohrt und entgratet, blank</v>
      </c>
      <c r="H78" s="514"/>
      <c r="I78" s="514"/>
      <c r="J78" s="514"/>
      <c r="K78" s="514"/>
      <c r="L78" s="514"/>
      <c r="M78" s="514"/>
      <c r="N78" s="514"/>
      <c r="O78" s="514"/>
      <c r="P78" s="514"/>
      <c r="Q78" s="514"/>
      <c r="R78" s="514"/>
      <c r="S78" s="514"/>
      <c r="T78" s="514"/>
      <c r="U78" s="352">
        <f>IF(AND(Kalk2!$AA$5=2,Kalk2!$AA$13),VLOOKUP(F78,Preisliste!C:G,5,FALSE),VLOOKUP(F78,Preisliste!C:G,4,FALSE))</f>
        <v>160.5</v>
      </c>
      <c r="V78" s="352">
        <f t="shared" si="16"/>
        <v>0</v>
      </c>
      <c r="W78" s="86"/>
      <c r="X78" s="86"/>
      <c r="Y78" s="86"/>
      <c r="Z78" s="143">
        <f>IF(AND(Kalk2!$AA$5=2,Kalk2!$AA$13),(VLOOKUP(F78,Preisliste!C:G,5,FALSE)-VLOOKUP(F78,Preisliste!C:G,4,FALSE))*B78,0)</f>
        <v>0</v>
      </c>
      <c r="AA78" s="86"/>
      <c r="AB78" s="86"/>
      <c r="AC78" s="86"/>
      <c r="AD78" s="86"/>
      <c r="AE78" s="86"/>
      <c r="AF78" s="86"/>
      <c r="AG78" s="55">
        <f>IF(AND(AH78=1,AL78=1,AP78=1,AND(Kalk2!H28&gt;0,Kalk2!H29&gt;Kalk2!B1)),1,0)</f>
        <v>0</v>
      </c>
      <c r="AH78" s="66">
        <f>IF(Kalk2!$AA$19=4,1,0)</f>
        <v>0</v>
      </c>
      <c r="AI78" s="55">
        <v>80</v>
      </c>
      <c r="AK78" s="55" t="s">
        <v>22079</v>
      </c>
      <c r="AL78" s="66">
        <f>IF(OR(Kalk2!$AA$7=1,Kalk2!$AA$9=1),1,0)</f>
        <v>1</v>
      </c>
      <c r="AM78" s="55" t="s">
        <v>22083</v>
      </c>
      <c r="AO78" s="55" t="s">
        <v>22079</v>
      </c>
      <c r="AP78" s="66">
        <f>IF(Kalk2!$AI$51=AQ78,1,0)</f>
        <v>1</v>
      </c>
      <c r="AQ78" s="55">
        <v>750</v>
      </c>
      <c r="AU78" s="66">
        <f>IF(Kalk2!$AA$7=1,1,0)</f>
        <v>1</v>
      </c>
      <c r="AV78" s="55" t="s">
        <v>19882</v>
      </c>
      <c r="AW78" s="66">
        <f>IF(Kalk2!$AA$9=1,1,0)</f>
        <v>1</v>
      </c>
      <c r="AX78" s="55" t="s">
        <v>20310</v>
      </c>
      <c r="AY78" s="55" t="s">
        <v>22100</v>
      </c>
      <c r="AZ78" s="66">
        <f>(AU78+AW78)*Kalk2!$H$37</f>
        <v>2</v>
      </c>
      <c r="BA78" s="55" t="s">
        <v>22101</v>
      </c>
    </row>
    <row r="79" spans="2:53" ht="24.95" customHeight="1">
      <c r="B79" s="93">
        <f t="shared" si="17"/>
        <v>0</v>
      </c>
      <c r="C79" s="60">
        <v>1350</v>
      </c>
      <c r="D79" s="60"/>
      <c r="E79" s="60" t="str">
        <f>VLOOKUP(1600,Sprachindex!$A:$Z,Erhebungsbogen!$Y$20,FALSE)</f>
        <v>[Stk]</v>
      </c>
      <c r="F79" s="60" t="s">
        <v>21902</v>
      </c>
      <c r="G79" s="514" t="str">
        <f>VLOOKUP(1720,Sprachindex!$A:$Z,Erhebungsbogen!$Y$20,FALSE) &amp; IF(AND(Kalk2!$AA$5=2,Kalk2!$AA$13),", " &amp; VLOOKUP(1645,Sprachindex!$A:$Z,Erhebungsbogen!$Y$20,FALSE) &amp; " " &amp; $U$8,", "&amp; VLOOKUP(1648,Sprachindex!$A:$Z,Erhebungsbogen!$Y$20,FALSE))</f>
        <v>Grundprofil 80 (H-Profil v.d.L.) exkl. Dichtung, gebohrt und entgratet, blank</v>
      </c>
      <c r="H79" s="514"/>
      <c r="I79" s="514"/>
      <c r="J79" s="514"/>
      <c r="K79" s="514"/>
      <c r="L79" s="514"/>
      <c r="M79" s="514"/>
      <c r="N79" s="514"/>
      <c r="O79" s="514"/>
      <c r="P79" s="514"/>
      <c r="Q79" s="514"/>
      <c r="R79" s="514"/>
      <c r="S79" s="514"/>
      <c r="T79" s="514"/>
      <c r="U79" s="352">
        <f>IF(AND(Kalk2!$AA$5=2,Kalk2!$AA$13),VLOOKUP(F79,Preisliste!C:G,5,FALSE),VLOOKUP(F79,Preisliste!C:G,4,FALSE))</f>
        <v>256.5</v>
      </c>
      <c r="V79" s="352">
        <f t="shared" si="16"/>
        <v>0</v>
      </c>
      <c r="W79" s="86"/>
      <c r="X79" s="86"/>
      <c r="Y79" s="86"/>
      <c r="Z79" s="143">
        <f>IF(AND(Kalk2!$AA$5=2,Kalk2!$AA$13),(VLOOKUP(F79,Preisliste!C:G,5,FALSE)-VLOOKUP(F79,Preisliste!C:G,4,FALSE))*B79,0)</f>
        <v>0</v>
      </c>
      <c r="AA79" s="86"/>
      <c r="AB79" s="86"/>
      <c r="AC79" s="86"/>
      <c r="AD79" s="86"/>
      <c r="AE79" s="86"/>
      <c r="AF79" s="86"/>
      <c r="AG79" s="55">
        <f t="shared" ref="AG79:AG82" si="20">IF(AND(AH79=1,AL79=1,AP79=1),1,0)</f>
        <v>0</v>
      </c>
      <c r="AH79" s="66">
        <f>IF(Kalk2!$AA$19=4,1,0)</f>
        <v>0</v>
      </c>
      <c r="AI79" s="55">
        <v>80</v>
      </c>
      <c r="AK79" s="55" t="s">
        <v>22079</v>
      </c>
      <c r="AL79" s="66">
        <f>IF(OR(Kalk2!$AA$7=1,Kalk2!$AA$9=1),1,0)</f>
        <v>1</v>
      </c>
      <c r="AM79" s="55" t="s">
        <v>22083</v>
      </c>
      <c r="AO79" s="55" t="s">
        <v>22079</v>
      </c>
      <c r="AP79" s="66">
        <f>IF(Kalk2!$AI$51=AQ79,1,0)</f>
        <v>0</v>
      </c>
      <c r="AQ79" s="55">
        <v>1350</v>
      </c>
      <c r="AU79" s="66">
        <f>IF(Kalk2!$AA$7=1,1,0)</f>
        <v>1</v>
      </c>
      <c r="AV79" s="55" t="s">
        <v>19882</v>
      </c>
      <c r="AW79" s="66">
        <f>IF(Kalk2!$AA$9=1,1,0)</f>
        <v>1</v>
      </c>
      <c r="AX79" s="55" t="s">
        <v>20310</v>
      </c>
      <c r="AY79" s="55" t="s">
        <v>22100</v>
      </c>
      <c r="AZ79" s="66">
        <f>(AU79+AW79)*Kalk2!$H$37</f>
        <v>2</v>
      </c>
      <c r="BA79" s="55" t="s">
        <v>22101</v>
      </c>
    </row>
    <row r="80" spans="2:53" ht="24.95" customHeight="1">
      <c r="B80" s="93">
        <f t="shared" si="17"/>
        <v>0</v>
      </c>
      <c r="C80" s="60">
        <v>1750</v>
      </c>
      <c r="D80" s="60"/>
      <c r="E80" s="60" t="str">
        <f>VLOOKUP(1600,Sprachindex!$A:$Z,Erhebungsbogen!$Y$20,FALSE)</f>
        <v>[Stk]</v>
      </c>
      <c r="F80" s="60" t="s">
        <v>21903</v>
      </c>
      <c r="G80" s="514" t="str">
        <f>VLOOKUP(1720,Sprachindex!$A:$Z,Erhebungsbogen!$Y$20,FALSE) &amp; IF(AND(Kalk2!$AA$5=2,Kalk2!$AA$13),", " &amp; VLOOKUP(1645,Sprachindex!$A:$Z,Erhebungsbogen!$Y$20,FALSE) &amp; " " &amp; $U$8,", "&amp; VLOOKUP(1648,Sprachindex!$A:$Z,Erhebungsbogen!$Y$20,FALSE))</f>
        <v>Grundprofil 80 (H-Profil v.d.L.) exkl. Dichtung, gebohrt und entgratet, blank</v>
      </c>
      <c r="H80" s="514"/>
      <c r="I80" s="514"/>
      <c r="J80" s="514"/>
      <c r="K80" s="514"/>
      <c r="L80" s="514"/>
      <c r="M80" s="514"/>
      <c r="N80" s="514"/>
      <c r="O80" s="514"/>
      <c r="P80" s="514"/>
      <c r="Q80" s="514"/>
      <c r="R80" s="514"/>
      <c r="S80" s="514"/>
      <c r="T80" s="514"/>
      <c r="U80" s="352">
        <f>IF(AND(Kalk2!$AA$5=2,Kalk2!$AA$13),VLOOKUP(F80,Preisliste!C:G,5,FALSE),VLOOKUP(F80,Preisliste!C:G,4,FALSE))</f>
        <v>320.85000000000002</v>
      </c>
      <c r="V80" s="352">
        <f t="shared" si="16"/>
        <v>0</v>
      </c>
      <c r="W80" s="86"/>
      <c r="X80" s="86"/>
      <c r="Y80" s="86"/>
      <c r="Z80" s="143">
        <f>IF(AND(Kalk2!$AA$5=2,Kalk2!$AA$13),(VLOOKUP(F80,Preisliste!C:G,5,FALSE)-VLOOKUP(F80,Preisliste!C:G,4,FALSE))*B80,0)</f>
        <v>0</v>
      </c>
      <c r="AA80" s="86"/>
      <c r="AB80" s="86"/>
      <c r="AC80" s="86"/>
      <c r="AD80" s="86"/>
      <c r="AE80" s="86"/>
      <c r="AF80" s="86"/>
      <c r="AG80" s="55">
        <f t="shared" si="20"/>
        <v>0</v>
      </c>
      <c r="AH80" s="66">
        <f>IF(Kalk2!$AA$19=4,1,0)</f>
        <v>0</v>
      </c>
      <c r="AI80" s="55">
        <v>80</v>
      </c>
      <c r="AK80" s="55" t="s">
        <v>22079</v>
      </c>
      <c r="AL80" s="66">
        <f>IF(OR(Kalk2!$AA$7=1,Kalk2!$AA$9=1),1,0)</f>
        <v>1</v>
      </c>
      <c r="AM80" s="55" t="s">
        <v>22083</v>
      </c>
      <c r="AO80" s="55" t="s">
        <v>22079</v>
      </c>
      <c r="AP80" s="66">
        <f>IF(Kalk2!$AI$51=AQ80,1,0)</f>
        <v>0</v>
      </c>
      <c r="AQ80" s="55">
        <v>1750</v>
      </c>
      <c r="AU80" s="66">
        <f>IF(Kalk2!$AA$7=1,1,0)</f>
        <v>1</v>
      </c>
      <c r="AV80" s="55" t="s">
        <v>19882</v>
      </c>
      <c r="AW80" s="66">
        <f>IF(Kalk2!$AA$9=1,1,0)</f>
        <v>1</v>
      </c>
      <c r="AX80" s="55" t="s">
        <v>20310</v>
      </c>
      <c r="AY80" s="55" t="s">
        <v>22100</v>
      </c>
      <c r="AZ80" s="66">
        <f>(AU80+AW80)*Kalk2!$H$37</f>
        <v>2</v>
      </c>
      <c r="BA80" s="55" t="s">
        <v>22101</v>
      </c>
    </row>
    <row r="81" spans="2:53" ht="24.95" customHeight="1">
      <c r="B81" s="93">
        <f t="shared" si="17"/>
        <v>0</v>
      </c>
      <c r="C81" s="60">
        <v>2150</v>
      </c>
      <c r="D81" s="60"/>
      <c r="E81" s="60" t="str">
        <f>VLOOKUP(1600,Sprachindex!$A:$Z,Erhebungsbogen!$Y$20,FALSE)</f>
        <v>[Stk]</v>
      </c>
      <c r="F81" s="60" t="s">
        <v>21904</v>
      </c>
      <c r="G81" s="514" t="str">
        <f>VLOOKUP(1720,Sprachindex!$A:$Z,Erhebungsbogen!$Y$20,FALSE) &amp; IF(AND(Kalk2!$AA$5=2,Kalk2!$AA$13),", " &amp; VLOOKUP(1645,Sprachindex!$A:$Z,Erhebungsbogen!$Y$20,FALSE) &amp; " " &amp; $U$8,", "&amp; VLOOKUP(1648,Sprachindex!$A:$Z,Erhebungsbogen!$Y$20,FALSE))</f>
        <v>Grundprofil 80 (H-Profil v.d.L.) exkl. Dichtung, gebohrt und entgratet, blank</v>
      </c>
      <c r="H81" s="514"/>
      <c r="I81" s="514"/>
      <c r="J81" s="514"/>
      <c r="K81" s="514"/>
      <c r="L81" s="514"/>
      <c r="M81" s="514"/>
      <c r="N81" s="514"/>
      <c r="O81" s="514"/>
      <c r="P81" s="514"/>
      <c r="Q81" s="514"/>
      <c r="R81" s="514"/>
      <c r="S81" s="514"/>
      <c r="T81" s="514"/>
      <c r="U81" s="352">
        <f>IF(AND(Kalk2!$AA$5=2,Kalk2!$AA$13),VLOOKUP(F81,Preisliste!C:G,5,FALSE),VLOOKUP(F81,Preisliste!C:G,4,FALSE))</f>
        <v>385.4</v>
      </c>
      <c r="V81" s="352">
        <f t="shared" si="16"/>
        <v>0</v>
      </c>
      <c r="W81" s="86"/>
      <c r="X81" s="86"/>
      <c r="Y81" s="86"/>
      <c r="Z81" s="143">
        <f>IF(AND(Kalk2!$AA$5=2,Kalk2!$AA$13),(VLOOKUP(F81,Preisliste!C:G,5,FALSE)-VLOOKUP(F81,Preisliste!C:G,4,FALSE))*B81,0)</f>
        <v>0</v>
      </c>
      <c r="AA81" s="86"/>
      <c r="AB81" s="86"/>
      <c r="AC81" s="86"/>
      <c r="AD81" s="86"/>
      <c r="AE81" s="86"/>
      <c r="AF81" s="86"/>
      <c r="AG81" s="55">
        <f t="shared" si="20"/>
        <v>0</v>
      </c>
      <c r="AH81" s="66">
        <f>IF(Kalk2!$AA$19=4,1,0)</f>
        <v>0</v>
      </c>
      <c r="AI81" s="55">
        <v>80</v>
      </c>
      <c r="AK81" s="55" t="s">
        <v>22079</v>
      </c>
      <c r="AL81" s="66">
        <f>IF(OR(Kalk2!$AA$7=1,Kalk2!$AA$9=1),1,0)</f>
        <v>1</v>
      </c>
      <c r="AM81" s="55" t="s">
        <v>22083</v>
      </c>
      <c r="AO81" s="55" t="s">
        <v>22079</v>
      </c>
      <c r="AP81" s="66">
        <f>IF(Kalk2!$AI$51=AQ81,1,0)</f>
        <v>0</v>
      </c>
      <c r="AQ81" s="55">
        <v>2150</v>
      </c>
      <c r="AU81" s="66">
        <f>IF(Kalk2!$AA$7=1,1,0)</f>
        <v>1</v>
      </c>
      <c r="AV81" s="55" t="s">
        <v>19882</v>
      </c>
      <c r="AW81" s="66">
        <f>IF(Kalk2!$AA$9=1,1,0)</f>
        <v>1</v>
      </c>
      <c r="AX81" s="55" t="s">
        <v>20310</v>
      </c>
      <c r="AY81" s="55" t="s">
        <v>22100</v>
      </c>
      <c r="AZ81" s="66">
        <f>(AU81+AW81)*Kalk2!$H$37</f>
        <v>2</v>
      </c>
      <c r="BA81" s="55" t="s">
        <v>22101</v>
      </c>
    </row>
    <row r="82" spans="2:53" ht="24.95" customHeight="1">
      <c r="B82" s="93">
        <f t="shared" si="17"/>
        <v>0</v>
      </c>
      <c r="C82" s="60">
        <f>IF(AG82=1,AS82,0)</f>
        <v>0</v>
      </c>
      <c r="D82" s="60"/>
      <c r="E82" s="60" t="str">
        <f>VLOOKUP(1600,Sprachindex!$A:$Z,Erhebungsbogen!$Y$20,FALSE)</f>
        <v>[Stk]</v>
      </c>
      <c r="F82" s="60" t="s">
        <v>21905</v>
      </c>
      <c r="G82" s="514" t="str">
        <f>VLOOKUP(1721,Sprachindex!$A:$Z,Erhebungsbogen!$Y$20,FALSE)</f>
        <v>Grundprofil 80 (H-Profil v.d.L.) Sonderlänge exkl. Dichtung, (Stangenware)</v>
      </c>
      <c r="H82" s="514"/>
      <c r="I82" s="514"/>
      <c r="J82" s="514"/>
      <c r="K82" s="514"/>
      <c r="L82" s="514"/>
      <c r="M82" s="514"/>
      <c r="N82" s="514"/>
      <c r="O82" s="514"/>
      <c r="P82" s="514"/>
      <c r="Q82" s="514"/>
      <c r="R82" s="514"/>
      <c r="S82" s="514"/>
      <c r="T82" s="514"/>
      <c r="U82" s="352">
        <f>IF(AND(Kalk2!$AA$5=2,Kalk2!$AA$13),VLOOKUP(F82,Preisliste!C:G,5,FALSE),VLOOKUP(F82,Preisliste!C:G,4,FALSE))</f>
        <v>162.25</v>
      </c>
      <c r="V82" s="352">
        <f>U82*C82*B82/1000</f>
        <v>0</v>
      </c>
      <c r="W82" s="86"/>
      <c r="X82" s="86"/>
      <c r="Y82" s="86"/>
      <c r="Z82" s="143">
        <f>IF(AND(Kalk2!$AA$5=2,Kalk2!$AA$13),(VLOOKUP(F82,Preisliste!C:G,5,FALSE)-VLOOKUP(F82,Preisliste!C:G,4,FALSE))*B82,0)</f>
        <v>0</v>
      </c>
      <c r="AA82" s="86"/>
      <c r="AB82" s="86"/>
      <c r="AC82" s="86"/>
      <c r="AD82" s="86"/>
      <c r="AE82" s="86"/>
      <c r="AF82" s="86"/>
      <c r="AG82" s="55">
        <f t="shared" si="20"/>
        <v>0</v>
      </c>
      <c r="AH82" s="66">
        <f>IF(Kalk2!$AA$19=4,1,0)</f>
        <v>0</v>
      </c>
      <c r="AI82" s="55">
        <v>80</v>
      </c>
      <c r="AK82" s="55" t="s">
        <v>22079</v>
      </c>
      <c r="AL82" s="66">
        <f>IF(OR(Kalk2!$AA$7=1,Kalk2!$AA$9=1),1,0)</f>
        <v>1</v>
      </c>
      <c r="AM82" s="55" t="s">
        <v>22083</v>
      </c>
      <c r="AO82" s="55" t="s">
        <v>22079</v>
      </c>
      <c r="AP82" s="66">
        <f>IF(Kalk2!$AH$52&gt;AQ82,1,0)</f>
        <v>0</v>
      </c>
      <c r="AQ82" s="55">
        <v>2150</v>
      </c>
      <c r="AR82" s="55" t="s">
        <v>22084</v>
      </c>
      <c r="AS82" s="66">
        <f>Kalk2!$AH$52</f>
        <v>0</v>
      </c>
      <c r="AU82" s="66">
        <f>IF(Kalk2!$AA$7=1,1,0)</f>
        <v>1</v>
      </c>
      <c r="AV82" s="55" t="s">
        <v>19882</v>
      </c>
      <c r="AW82" s="66">
        <f>IF(Kalk2!$AA$9=1,1,0)</f>
        <v>1</v>
      </c>
      <c r="AX82" s="55" t="s">
        <v>20310</v>
      </c>
      <c r="AY82" s="55" t="s">
        <v>22100</v>
      </c>
      <c r="AZ82" s="66">
        <f>(AU82+AW82)*Kalk2!$H$37</f>
        <v>2</v>
      </c>
      <c r="BA82" s="55" t="s">
        <v>22101</v>
      </c>
    </row>
    <row r="83" spans="2:53" ht="24.95" customHeight="1">
      <c r="B83" s="94">
        <f>IF(AG83=1,AL83,0)</f>
        <v>0</v>
      </c>
      <c r="C83" s="60"/>
      <c r="D83" s="60">
        <f>B83</f>
        <v>0</v>
      </c>
      <c r="E83" s="60" t="str">
        <f>VLOOKUP(1601,Sprachindex!$A:$Z,Erhebungsbogen!$Y$20,FALSE)</f>
        <v>[VPE]</v>
      </c>
      <c r="F83" s="60" t="s">
        <v>21948</v>
      </c>
      <c r="G83" s="514" t="str">
        <f>VLOOKUP(1723,Sprachindex!$A:$Z,Erhebungsbogen!$Y$20,FALSE) &amp; " [" &amp; VLOOKUP(992,Sprachindex!$A:$Z,Erhebungsbogen!$Y$20,FALSE) &amp; " =10 "&amp; VLOOKUP(1512,Sprachindex!$A:$Z,Erhebungsbogen!$Y$20,FALSE) &amp; "]"</f>
        <v>Grundprofildichtung [VPE =10 lfm]</v>
      </c>
      <c r="H83" s="514"/>
      <c r="I83" s="514"/>
      <c r="J83" s="514"/>
      <c r="K83" s="514"/>
      <c r="L83" s="514"/>
      <c r="M83" s="514"/>
      <c r="N83" s="514"/>
      <c r="O83" s="514"/>
      <c r="P83" s="514"/>
      <c r="Q83" s="514"/>
      <c r="R83" s="514"/>
      <c r="S83" s="514"/>
      <c r="T83" s="514"/>
      <c r="U83" s="352">
        <f>VLOOKUP(F83,Preisliste!C:F,4,FALSE)</f>
        <v>67.05</v>
      </c>
      <c r="V83" s="352">
        <f t="shared" ref="V83" si="21">U83*D83</f>
        <v>0</v>
      </c>
      <c r="W83" s="86"/>
      <c r="X83" s="86"/>
      <c r="Y83" s="86"/>
      <c r="Z83" s="86"/>
      <c r="AA83" s="86"/>
      <c r="AB83" s="86"/>
      <c r="AC83" s="86"/>
      <c r="AD83" s="86"/>
      <c r="AE83" s="86"/>
      <c r="AF83" s="86"/>
      <c r="AG83" s="244">
        <f>IF(AND(Kalk2!H28&gt;0,Kalk2!H29&gt;0),1,0)</f>
        <v>0</v>
      </c>
      <c r="AK83" s="55" t="s">
        <v>22100</v>
      </c>
      <c r="AL83" s="66">
        <f>Kalk2!AH54</f>
        <v>0</v>
      </c>
      <c r="AM83" s="55" t="s">
        <v>12148</v>
      </c>
    </row>
    <row r="84" spans="2:53" ht="24.95" customHeight="1">
      <c r="B84" s="93">
        <f>IF(AG84=1,AU84,0)</f>
        <v>0</v>
      </c>
      <c r="C84" s="60"/>
      <c r="D84" s="60"/>
      <c r="E84" s="60" t="str">
        <f>VLOOKUP(1599,Sprachindex!$A:$Z,Erhebungsbogen!$Y$20,FALSE)</f>
        <v>[Paar]</v>
      </c>
      <c r="F84" s="60" t="s">
        <v>21972</v>
      </c>
      <c r="G84" s="514" t="str">
        <f>VLOOKUP(1724,Sprachindex!$A:$Z,Erhebungsbogen!$Y$20,FALSE)</f>
        <v>Halterung für Dammbalken</v>
      </c>
      <c r="H84" s="514"/>
      <c r="I84" s="514"/>
      <c r="J84" s="514"/>
      <c r="K84" s="514"/>
      <c r="L84" s="514"/>
      <c r="M84" s="514"/>
      <c r="N84" s="514"/>
      <c r="O84" s="514"/>
      <c r="P84" s="514"/>
      <c r="Q84" s="514"/>
      <c r="R84" s="514"/>
      <c r="S84" s="514"/>
      <c r="T84" s="514"/>
      <c r="U84" s="352">
        <f>VLOOKUP(F84,Preisliste!C:F,4,FALSE)</f>
        <v>215.75</v>
      </c>
      <c r="V84" s="352">
        <f t="shared" si="16"/>
        <v>0</v>
      </c>
      <c r="W84" s="86"/>
      <c r="X84" s="86"/>
      <c r="Y84" s="86"/>
      <c r="Z84" s="86"/>
      <c r="AA84" s="86"/>
      <c r="AB84" s="86"/>
      <c r="AC84" s="86"/>
      <c r="AD84" s="86"/>
      <c r="AE84" s="86"/>
      <c r="AF84" s="86"/>
      <c r="AG84" s="55">
        <f>IF(Kalk2!$AA$30,1,0)</f>
        <v>0</v>
      </c>
      <c r="AL84" s="66">
        <f>IF(Kalk2!AA19=1,12,IF(Kalk2!AA19=2,7,IF(Kalk2!AA19=3,6,IF(Kalk2!AA19=4,4,0))))</f>
        <v>6</v>
      </c>
      <c r="AM84" s="55" t="s">
        <v>22116</v>
      </c>
      <c r="AP84" s="66">
        <f>Kalk2!AH41</f>
        <v>0</v>
      </c>
      <c r="AQ84" s="55" t="s">
        <v>22117</v>
      </c>
      <c r="AU84" s="66">
        <f>ROUNDUP(AP84/AL84,0)</f>
        <v>0</v>
      </c>
      <c r="AV84" s="55" t="s">
        <v>22118</v>
      </c>
      <c r="AX84" s="21"/>
    </row>
    <row r="85" spans="2:53" ht="24.95" customHeight="1">
      <c r="B85" s="93">
        <f>IF(AND(AG85&gt;0,AL85&gt;0),AL85,0)</f>
        <v>0</v>
      </c>
      <c r="C85" s="60"/>
      <c r="D85" s="60"/>
      <c r="E85" s="60" t="str">
        <f>VLOOKUP(1600,Sprachindex!$A:$Z,Erhebungsbogen!$Y$20,FALSE)</f>
        <v>[Stk]</v>
      </c>
      <c r="F85" s="60" t="s">
        <v>21976</v>
      </c>
      <c r="G85" s="514" t="str">
        <f>VLOOKUP(2126,Sprachindex!$A:$Z,Erhebungsbogen!$Y$20,FALSE)</f>
        <v>Hebehilfe für Bodenhülsendeckel</v>
      </c>
      <c r="H85" s="514"/>
      <c r="I85" s="514"/>
      <c r="J85" s="514"/>
      <c r="K85" s="514"/>
      <c r="L85" s="514"/>
      <c r="M85" s="514"/>
      <c r="N85" s="514"/>
      <c r="O85" s="514"/>
      <c r="P85" s="514"/>
      <c r="Q85" s="514"/>
      <c r="R85" s="514"/>
      <c r="S85" s="514"/>
      <c r="T85" s="514"/>
      <c r="U85" s="352">
        <f>VLOOKUP(F85,Preisliste!C:F,4,FALSE)</f>
        <v>131.5</v>
      </c>
      <c r="V85" s="352">
        <f t="shared" si="16"/>
        <v>0</v>
      </c>
      <c r="W85" s="86"/>
      <c r="X85" s="86"/>
      <c r="Y85" s="86"/>
      <c r="Z85" s="86"/>
      <c r="AA85" s="86"/>
      <c r="AB85" s="86"/>
      <c r="AC85" s="86"/>
      <c r="AD85" s="86"/>
      <c r="AE85" s="86"/>
      <c r="AF85" s="86"/>
      <c r="AG85" s="55">
        <f>IF(AND(Kalk2!$AA$32,Kalk2!Q35&gt;0),1,0)</f>
        <v>0</v>
      </c>
      <c r="AK85" s="55" t="s">
        <v>22100</v>
      </c>
      <c r="AL85" s="66">
        <f>Kalk2!Q35*Kalk2!$H$37</f>
        <v>1</v>
      </c>
      <c r="AM85" s="55" t="s">
        <v>20872</v>
      </c>
      <c r="AX85" s="21"/>
    </row>
    <row r="86" spans="2:53" ht="24.95" customHeight="1">
      <c r="B86" s="93">
        <f>IF(AG86=1,AL86,0)</f>
        <v>0</v>
      </c>
      <c r="C86" s="60"/>
      <c r="D86" s="60"/>
      <c r="E86" s="60" t="str">
        <f>VLOOKUP(1600,Sprachindex!$A:$Z,Erhebungsbogen!$Y$20,FALSE)</f>
        <v>[Stk]</v>
      </c>
      <c r="F86" s="60" t="s">
        <v>21973</v>
      </c>
      <c r="G86" s="514" t="str">
        <f>VLOOKUP(2127,Sprachindex!$A:$Z,Erhebungsbogen!$Y$20,FALSE) &amp; IF(AND(Kalk2!$AA$5=2,Kalk2!$AA$16),", " &amp; VLOOKUP(1645,Sprachindex!$A:$Z,Erhebungsbogen!$Y$20,FALSE) &amp; " " &amp; $U$8,"")</f>
        <v>Lagerabdeckung (Mittelteil)</v>
      </c>
      <c r="H86" s="514"/>
      <c r="I86" s="514"/>
      <c r="J86" s="514"/>
      <c r="K86" s="514"/>
      <c r="L86" s="514"/>
      <c r="M86" s="514"/>
      <c r="N86" s="514"/>
      <c r="O86" s="514"/>
      <c r="P86" s="514"/>
      <c r="Q86" s="514"/>
      <c r="R86" s="514"/>
      <c r="S86" s="514"/>
      <c r="T86" s="514"/>
      <c r="U86" s="352">
        <f>IF(AND(Kalk2!$AA$5=2,Kalk2!$AA$16),VLOOKUP(F86,Preisliste!C:G,5,FALSE),VLOOKUP(F86,Preisliste!C:G,4,FALSE))</f>
        <v>125.7</v>
      </c>
      <c r="V86" s="352">
        <f t="shared" si="16"/>
        <v>0</v>
      </c>
      <c r="W86" s="86"/>
      <c r="X86" s="86"/>
      <c r="Y86" s="86"/>
      <c r="Z86" s="143">
        <f>IF(AND(Kalk2!$AA$5=2,Kalk2!$AA$16),(VLOOKUP(F86,Preisliste!C:G,5,FALSE)-VLOOKUP(F86,Preisliste!C:G,4,FALSE))*B86,0)</f>
        <v>0</v>
      </c>
      <c r="AA86" s="86"/>
      <c r="AB86" s="86"/>
      <c r="AC86" s="86"/>
      <c r="AD86" s="86"/>
      <c r="AE86" s="86"/>
      <c r="AF86" s="86"/>
      <c r="AG86" s="55">
        <f>IF(Kalk2!$AA$31,1,0)</f>
        <v>0</v>
      </c>
      <c r="AK86" s="55" t="s">
        <v>22100</v>
      </c>
      <c r="AL86" s="55">
        <f>ROUNDUP(((Kalk2!AH38+50)/445),0)*Kalk2!AH55</f>
        <v>0</v>
      </c>
      <c r="AM86" s="55" t="s">
        <v>20872</v>
      </c>
      <c r="AX86" s="21"/>
    </row>
    <row r="87" spans="2:53" ht="24.95" customHeight="1">
      <c r="B87" s="93">
        <f>IF(AG87=1,AL87,0)</f>
        <v>0</v>
      </c>
      <c r="C87" s="60"/>
      <c r="D87" s="60"/>
      <c r="E87" s="60" t="str">
        <f>VLOOKUP(1600,Sprachindex!$A:$Z,Erhebungsbogen!$Y$20,FALSE)</f>
        <v>[Stk]</v>
      </c>
      <c r="F87" s="60" t="s">
        <v>21975</v>
      </c>
      <c r="G87" s="514" t="str">
        <f>VLOOKUP(2128,Sprachindex!$A:$Z,Erhebungsbogen!$Y$20,FALSE) &amp; IF(AND(Kalk2!$AA$5=2,Kalk2!$AA$16),", " &amp; VLOOKUP(1645,Sprachindex!$A:$Z,Erhebungsbogen!$Y$20,FALSE) &amp; " " &amp; $U$8,"")</f>
        <v>Lagerabdeckung (Seitenteil)</v>
      </c>
      <c r="H87" s="514"/>
      <c r="I87" s="514"/>
      <c r="J87" s="514"/>
      <c r="K87" s="514"/>
      <c r="L87" s="514"/>
      <c r="M87" s="514"/>
      <c r="N87" s="514"/>
      <c r="O87" s="514"/>
      <c r="P87" s="514"/>
      <c r="Q87" s="514"/>
      <c r="R87" s="514"/>
      <c r="S87" s="514"/>
      <c r="T87" s="514"/>
      <c r="U87" s="352">
        <f>IF(AND(Kalk2!$AA$5=2,Kalk2!$AA$16),VLOOKUP(F87,Preisliste!C:G,5,FALSE),VLOOKUP(F87,Preisliste!C:G,4,FALSE))</f>
        <v>49.35</v>
      </c>
      <c r="V87" s="352">
        <f t="shared" si="16"/>
        <v>0</v>
      </c>
      <c r="W87" s="86"/>
      <c r="X87" s="86"/>
      <c r="Y87" s="86"/>
      <c r="Z87" s="143">
        <f>IF(AND(Kalk2!$AA$5=2,Kalk2!$AA$16),(VLOOKUP(F87,Preisliste!C:G,5,FALSE)-VLOOKUP(F87,Preisliste!C:G,4,FALSE))*B87,0)</f>
        <v>0</v>
      </c>
      <c r="AA87" s="86"/>
      <c r="AB87" s="86"/>
      <c r="AC87" s="86"/>
      <c r="AD87" s="86"/>
      <c r="AE87" s="86"/>
      <c r="AF87" s="86"/>
      <c r="AG87" s="55">
        <f>IF(Kalk2!$AA$31,1,0)</f>
        <v>0</v>
      </c>
      <c r="AK87" s="55" t="s">
        <v>22100</v>
      </c>
      <c r="AL87" s="55">
        <f>2*Kalk2!AH55</f>
        <v>0</v>
      </c>
      <c r="AM87" s="55" t="s">
        <v>20872</v>
      </c>
      <c r="AX87" s="21"/>
    </row>
    <row r="88" spans="2:53" ht="24.95" customHeight="1">
      <c r="B88" s="93">
        <f>IF(AND(AG88=1,AU88=1),AL88,0)</f>
        <v>0</v>
      </c>
      <c r="C88" s="60">
        <v>750</v>
      </c>
      <c r="D88" s="60"/>
      <c r="E88" s="60" t="str">
        <f>VLOOKUP(1600,Sprachindex!$A:$Z,Erhebungsbogen!$Y$20,FALSE)</f>
        <v>[Stk]</v>
      </c>
      <c r="F88" s="60" t="s">
        <v>21938</v>
      </c>
      <c r="G88" s="514" t="str">
        <f>VLOOKUP(1774,Sprachindex!$A:$Z,Erhebungsbogen!$Y$20,FALSE)</f>
        <v>Niederhalter inkl. Spannstück, Verbundanker und Gewindestange</v>
      </c>
      <c r="H88" s="514"/>
      <c r="I88" s="514"/>
      <c r="J88" s="514"/>
      <c r="K88" s="514"/>
      <c r="L88" s="514"/>
      <c r="M88" s="514"/>
      <c r="N88" s="514"/>
      <c r="O88" s="514"/>
      <c r="P88" s="514"/>
      <c r="Q88" s="514"/>
      <c r="R88" s="514"/>
      <c r="S88" s="514"/>
      <c r="T88" s="514"/>
      <c r="U88" s="352">
        <f>VLOOKUP(F88,Preisliste!C:F,4,FALSE)</f>
        <v>458.8</v>
      </c>
      <c r="V88" s="352">
        <f t="shared" si="16"/>
        <v>0</v>
      </c>
      <c r="W88" s="86"/>
      <c r="X88" s="86"/>
      <c r="Y88" s="86"/>
      <c r="Z88" s="86"/>
      <c r="AA88" s="86"/>
      <c r="AB88" s="86"/>
      <c r="AC88" s="86"/>
      <c r="AD88" s="86"/>
      <c r="AE88" s="86"/>
      <c r="AF88" s="86"/>
      <c r="AG88" s="55">
        <f>IF(AND(AL88&gt;0,AU88=1),1,0)</f>
        <v>0</v>
      </c>
      <c r="AL88" s="66">
        <f>IF(AND(Kalk2!$AA$26,Kalk2!$Q$29&gt;0),Kalk2!$Q$29,0)*Kalk2!$H$37</f>
        <v>0</v>
      </c>
      <c r="AM88" s="55" t="s">
        <v>20872</v>
      </c>
      <c r="AT88" s="55" t="s">
        <v>22079</v>
      </c>
      <c r="AU88" s="66">
        <f>IF(Kalk2!$AI$51=AV88,1,0)</f>
        <v>1</v>
      </c>
      <c r="AV88" s="55">
        <v>750</v>
      </c>
      <c r="AX88" s="21"/>
    </row>
    <row r="89" spans="2:53" ht="24.95" customHeight="1">
      <c r="B89" s="93">
        <f>IF(AND(AG89=1,AU89=1),AL89,0)</f>
        <v>0</v>
      </c>
      <c r="C89" s="60">
        <v>1350</v>
      </c>
      <c r="D89" s="60"/>
      <c r="E89" s="60" t="str">
        <f>VLOOKUP(1600,Sprachindex!$A:$Z,Erhebungsbogen!$Y$20,FALSE)</f>
        <v>[Stk]</v>
      </c>
      <c r="F89" s="60" t="s">
        <v>21939</v>
      </c>
      <c r="G89" s="514" t="str">
        <f>VLOOKUP(1774,Sprachindex!$A:$Z,Erhebungsbogen!$Y$20,FALSE)</f>
        <v>Niederhalter inkl. Spannstück, Verbundanker und Gewindestange</v>
      </c>
      <c r="H89" s="514"/>
      <c r="I89" s="514"/>
      <c r="J89" s="514"/>
      <c r="K89" s="514"/>
      <c r="L89" s="514"/>
      <c r="M89" s="514"/>
      <c r="N89" s="514"/>
      <c r="O89" s="514"/>
      <c r="P89" s="514"/>
      <c r="Q89" s="514"/>
      <c r="R89" s="514"/>
      <c r="S89" s="514"/>
      <c r="T89" s="514"/>
      <c r="U89" s="352">
        <f>VLOOKUP(F89,Preisliste!C:F,4,FALSE)</f>
        <v>498.35</v>
      </c>
      <c r="V89" s="352">
        <f t="shared" si="16"/>
        <v>0</v>
      </c>
      <c r="W89" s="86"/>
      <c r="X89" s="86"/>
      <c r="Y89" s="86"/>
      <c r="Z89" s="86"/>
      <c r="AA89" s="86"/>
      <c r="AB89" s="86"/>
      <c r="AC89" s="86"/>
      <c r="AD89" s="86"/>
      <c r="AE89" s="86"/>
      <c r="AF89" s="86"/>
      <c r="AG89" s="55">
        <f>IF(AND(AL89&gt;0,AU89=1),1,0)</f>
        <v>0</v>
      </c>
      <c r="AL89" s="66">
        <f>IF(AND(Kalk2!$AA$26,Kalk2!$Q$29&gt;0),Kalk2!$Q$29,0)*Kalk2!$H$37</f>
        <v>0</v>
      </c>
      <c r="AM89" s="55" t="s">
        <v>20872</v>
      </c>
      <c r="AT89" s="55" t="s">
        <v>22079</v>
      </c>
      <c r="AU89" s="66">
        <f>IF(Kalk2!$AI$51=AV89,1,0)</f>
        <v>0</v>
      </c>
      <c r="AV89" s="55">
        <v>1350</v>
      </c>
    </row>
    <row r="90" spans="2:53" ht="24.95" customHeight="1">
      <c r="B90" s="93">
        <f>IF(AND(AG90=1,AU90=1),AL90,0)</f>
        <v>0</v>
      </c>
      <c r="C90" s="60">
        <v>1750</v>
      </c>
      <c r="D90" s="60"/>
      <c r="E90" s="60" t="str">
        <f>VLOOKUP(1600,Sprachindex!$A:$Z,Erhebungsbogen!$Y$20,FALSE)</f>
        <v>[Stk]</v>
      </c>
      <c r="F90" s="60" t="s">
        <v>21940</v>
      </c>
      <c r="G90" s="514" t="str">
        <f>VLOOKUP(1774,Sprachindex!$A:$Z,Erhebungsbogen!$Y$20,FALSE)</f>
        <v>Niederhalter inkl. Spannstück, Verbundanker und Gewindestange</v>
      </c>
      <c r="H90" s="514"/>
      <c r="I90" s="514"/>
      <c r="J90" s="514"/>
      <c r="K90" s="514"/>
      <c r="L90" s="514"/>
      <c r="M90" s="514"/>
      <c r="N90" s="514"/>
      <c r="O90" s="514"/>
      <c r="P90" s="514"/>
      <c r="Q90" s="514"/>
      <c r="R90" s="514"/>
      <c r="S90" s="514"/>
      <c r="T90" s="514"/>
      <c r="U90" s="352">
        <f>VLOOKUP(F90,Preisliste!C:F,4,FALSE)</f>
        <v>555.6</v>
      </c>
      <c r="V90" s="352">
        <f t="shared" si="16"/>
        <v>0</v>
      </c>
      <c r="W90" s="86"/>
      <c r="X90" s="86"/>
      <c r="Y90" s="86"/>
      <c r="Z90" s="86"/>
      <c r="AA90" s="86"/>
      <c r="AB90" s="86"/>
      <c r="AC90" s="86"/>
      <c r="AD90" s="86"/>
      <c r="AE90" s="86"/>
      <c r="AF90" s="86"/>
      <c r="AG90" s="55">
        <f>IF(AND(AL90&gt;0,AU90=1),1,0)</f>
        <v>0</v>
      </c>
      <c r="AL90" s="66">
        <f>IF(AND(Kalk2!$AA$26,Kalk2!$Q$29&gt;0),Kalk2!$Q$29,0)*Kalk2!$H$37</f>
        <v>0</v>
      </c>
      <c r="AM90" s="55" t="s">
        <v>20872</v>
      </c>
      <c r="AT90" s="55" t="s">
        <v>22079</v>
      </c>
      <c r="AU90" s="66">
        <f>IF(Kalk2!$AI$51=AV90,1,0)</f>
        <v>0</v>
      </c>
      <c r="AV90" s="55">
        <v>1750</v>
      </c>
    </row>
    <row r="91" spans="2:53" ht="24.95" customHeight="1">
      <c r="B91" s="93">
        <f>IF(AG91=1,AY91,0)</f>
        <v>0</v>
      </c>
      <c r="C91" s="60">
        <v>750</v>
      </c>
      <c r="D91" s="60"/>
      <c r="E91" s="60" t="str">
        <f>VLOOKUP(1600,Sprachindex!$A:$Z,Erhebungsbogen!$Y$20,FALSE)</f>
        <v>[Stk]</v>
      </c>
      <c r="F91" s="60" t="s">
        <v>21906</v>
      </c>
      <c r="G91" s="514" t="str">
        <f>VLOOKUP(1794,Sprachindex!$A:$Z,Erhebungsbogen!$Y$20,FALSE) &amp; " ( " &amp;Preisliste!H71 &amp; " " &amp; VLOOKUP(1744,Sprachindex!$A:$Z,Erhebungsbogen!$Y$20,FALSE) &amp; ")"</f>
        <v>Rundprofil 50 exkl. Dichtung, gebohrt und entgratet ( 7,801 kg/Stk)</v>
      </c>
      <c r="H91" s="514"/>
      <c r="I91" s="514"/>
      <c r="J91" s="514"/>
      <c r="K91" s="514"/>
      <c r="L91" s="514"/>
      <c r="M91" s="514"/>
      <c r="N91" s="514"/>
      <c r="O91" s="514"/>
      <c r="P91" s="514"/>
      <c r="Q91" s="514"/>
      <c r="R91" s="514"/>
      <c r="S91" s="514"/>
      <c r="T91" s="514"/>
      <c r="U91" s="352">
        <f>VLOOKUP(F91,Preisliste!C:F,4,FALSE)</f>
        <v>369.95</v>
      </c>
      <c r="V91" s="352">
        <f t="shared" si="16"/>
        <v>0</v>
      </c>
      <c r="W91" s="86"/>
      <c r="X91" s="86"/>
      <c r="Y91" s="86"/>
      <c r="Z91" s="86"/>
      <c r="AA91" s="86"/>
      <c r="AB91" s="86"/>
      <c r="AC91" s="86"/>
      <c r="AD91" s="86"/>
      <c r="AE91" s="86"/>
      <c r="AF91" s="86"/>
      <c r="AG91" s="55">
        <f>IF(AND(AH91=1,(AL91-AO91)&gt;0,AU91=1),1,0)</f>
        <v>0</v>
      </c>
      <c r="AH91" s="66">
        <f>IF(OR(Kalk2!$AA$19=2,Kalk2!$AA$19=3),1,0)</f>
        <v>1</v>
      </c>
      <c r="AI91" s="55">
        <v>50</v>
      </c>
      <c r="AL91" s="66">
        <f>IF(Kalk2!$AA$20=1,Kalk2!$H$33-1,0)</f>
        <v>0</v>
      </c>
      <c r="AM91" s="55" t="s">
        <v>22119</v>
      </c>
      <c r="AO91" s="66">
        <f>IF(Kalk2!$O$20&gt;0,Kalk2!$O$20,0)</f>
        <v>0</v>
      </c>
      <c r="AP91" s="55" t="s">
        <v>22121</v>
      </c>
      <c r="AQ91" s="66">
        <f>IF(Kalk2!$O$21&gt;0,Kalk2!$O$21,0)</f>
        <v>0</v>
      </c>
      <c r="AR91" s="55" t="s">
        <v>22120</v>
      </c>
      <c r="AT91" s="55" t="s">
        <v>22079</v>
      </c>
      <c r="AU91" s="66">
        <f>IF(Kalk2!$AI$51=$AV$91,1,0)</f>
        <v>1</v>
      </c>
      <c r="AV91" s="55">
        <v>750</v>
      </c>
      <c r="AX91" s="55" t="s">
        <v>22100</v>
      </c>
      <c r="AY91" s="66">
        <f>IF((AL91-AO91-AQ91)&lt;0,0,AL91-AO91-AQ91)*Kalk2!$H$37</f>
        <v>0</v>
      </c>
      <c r="AZ91" s="55" t="s">
        <v>20872</v>
      </c>
    </row>
    <row r="92" spans="2:53" ht="24.95" customHeight="1">
      <c r="B92" s="93">
        <f t="shared" ref="B92:B100" si="22">IF(AG92=1,AY92,0)</f>
        <v>0</v>
      </c>
      <c r="C92" s="60">
        <v>1350</v>
      </c>
      <c r="D92" s="60"/>
      <c r="E92" s="60" t="str">
        <f>VLOOKUP(1600,Sprachindex!$A:$Z,Erhebungsbogen!$Y$20,FALSE)</f>
        <v>[Stk]</v>
      </c>
      <c r="F92" s="60" t="s">
        <v>21907</v>
      </c>
      <c r="G92" s="514" t="str">
        <f>VLOOKUP(1794,Sprachindex!$A:$Z,Erhebungsbogen!$Y$20,FALSE) &amp; " ( " &amp;Preisliste!H72 &amp; " " &amp; VLOOKUP(1744,Sprachindex!$A:$Z,Erhebungsbogen!$Y$20,FALSE) &amp; ")"</f>
        <v>Rundprofil 50 exkl. Dichtung, gebohrt und entgratet ( 14,041 kg/Stk)</v>
      </c>
      <c r="H92" s="514"/>
      <c r="I92" s="514"/>
      <c r="J92" s="514"/>
      <c r="K92" s="514"/>
      <c r="L92" s="514"/>
      <c r="M92" s="514"/>
      <c r="N92" s="514"/>
      <c r="O92" s="514"/>
      <c r="P92" s="514"/>
      <c r="Q92" s="514"/>
      <c r="R92" s="514"/>
      <c r="S92" s="514"/>
      <c r="T92" s="514"/>
      <c r="U92" s="352">
        <f>VLOOKUP(F92,Preisliste!C:F,4,FALSE)</f>
        <v>440.6</v>
      </c>
      <c r="V92" s="352">
        <f t="shared" si="16"/>
        <v>0</v>
      </c>
      <c r="W92" s="86"/>
      <c r="X92" s="86"/>
      <c r="Y92" s="86"/>
      <c r="Z92" s="86"/>
      <c r="AA92" s="86"/>
      <c r="AB92" s="86"/>
      <c r="AC92" s="86"/>
      <c r="AD92" s="86"/>
      <c r="AE92" s="86"/>
      <c r="AF92" s="86"/>
      <c r="AG92" s="55">
        <f t="shared" ref="AG92:AG100" si="23">IF(AND(AH92=1,(AL92-AO92)&gt;0,AU92=1),1,0)</f>
        <v>0</v>
      </c>
      <c r="AH92" s="66">
        <f>IF(OR(Kalk2!$AA$19=2,Kalk2!$AA$19=3),1,0)</f>
        <v>1</v>
      </c>
      <c r="AI92" s="55">
        <v>50</v>
      </c>
      <c r="AL92" s="66">
        <f>IF(Kalk2!$AA$20=1,Kalk2!$H$33-1,0)</f>
        <v>0</v>
      </c>
      <c r="AM92" s="55" t="s">
        <v>22119</v>
      </c>
      <c r="AO92" s="66">
        <f>IF(Kalk2!$O$20&gt;0,Kalk2!$O$20,0)</f>
        <v>0</v>
      </c>
      <c r="AP92" s="55" t="s">
        <v>22121</v>
      </c>
      <c r="AQ92" s="66">
        <f>IF(Kalk2!$O$21&gt;0,Kalk2!$O$21,0)</f>
        <v>0</v>
      </c>
      <c r="AR92" s="55" t="s">
        <v>22120</v>
      </c>
      <c r="AT92" s="55" t="s">
        <v>22079</v>
      </c>
      <c r="AU92" s="66">
        <f>IF(Kalk2!$AI$51=AV92,1,0)</f>
        <v>0</v>
      </c>
      <c r="AV92" s="55">
        <v>1350</v>
      </c>
      <c r="AX92" s="55" t="s">
        <v>22100</v>
      </c>
      <c r="AY92" s="66">
        <f>IF((AL92-AO92-AQ92)&lt;0,0,AL92-AO92-AQ92)*Kalk2!$H$37</f>
        <v>0</v>
      </c>
      <c r="AZ92" s="55" t="s">
        <v>20872</v>
      </c>
    </row>
    <row r="93" spans="2:53" ht="24.95" customHeight="1">
      <c r="B93" s="93">
        <f t="shared" si="22"/>
        <v>0</v>
      </c>
      <c r="C93" s="60">
        <v>1750</v>
      </c>
      <c r="D93" s="60"/>
      <c r="E93" s="60" t="str">
        <f>VLOOKUP(1600,Sprachindex!$A:$Z,Erhebungsbogen!$Y$20,FALSE)</f>
        <v>[Stk]</v>
      </c>
      <c r="F93" s="60" t="s">
        <v>21908</v>
      </c>
      <c r="G93" s="514" t="str">
        <f>VLOOKUP(1794,Sprachindex!$A:$Z,Erhebungsbogen!$Y$20,FALSE) &amp; " ( " &amp;Preisliste!H73 &amp; " " &amp; VLOOKUP(1744,Sprachindex!$A:$Z,Erhebungsbogen!$Y$20,FALSE) &amp; ")"</f>
        <v>Rundprofil 50 exkl. Dichtung, gebohrt und entgratet ( 18,202 kg/Stk)</v>
      </c>
      <c r="H93" s="514"/>
      <c r="I93" s="514"/>
      <c r="J93" s="514"/>
      <c r="K93" s="514"/>
      <c r="L93" s="514"/>
      <c r="M93" s="514"/>
      <c r="N93" s="514"/>
      <c r="O93" s="514"/>
      <c r="P93" s="514"/>
      <c r="Q93" s="514"/>
      <c r="R93" s="514"/>
      <c r="S93" s="514"/>
      <c r="T93" s="514"/>
      <c r="U93" s="352">
        <f>VLOOKUP(F93,Preisliste!C:F,4,FALSE)</f>
        <v>509.75</v>
      </c>
      <c r="V93" s="352">
        <f t="shared" si="16"/>
        <v>0</v>
      </c>
      <c r="W93" s="86"/>
      <c r="X93" s="86"/>
      <c r="Y93" s="86"/>
      <c r="Z93" s="86"/>
      <c r="AA93" s="86"/>
      <c r="AB93" s="86"/>
      <c r="AC93" s="86"/>
      <c r="AD93" s="86"/>
      <c r="AE93" s="86"/>
      <c r="AF93" s="86"/>
      <c r="AG93" s="55">
        <f t="shared" si="23"/>
        <v>0</v>
      </c>
      <c r="AH93" s="66">
        <f>IF(OR(Kalk2!$AA$19=2,Kalk2!$AA$19=3),1,0)</f>
        <v>1</v>
      </c>
      <c r="AI93" s="55">
        <v>50</v>
      </c>
      <c r="AL93" s="66">
        <f>IF(Kalk2!$AA$20=1,Kalk2!$H$33-1,0)</f>
        <v>0</v>
      </c>
      <c r="AM93" s="55" t="s">
        <v>22119</v>
      </c>
      <c r="AO93" s="66">
        <f>IF(Kalk2!$O$20&gt;0,Kalk2!$O$20,0)</f>
        <v>0</v>
      </c>
      <c r="AP93" s="55" t="s">
        <v>22121</v>
      </c>
      <c r="AQ93" s="66">
        <f>IF(Kalk2!$O$21&gt;0,Kalk2!$O$21,0)</f>
        <v>0</v>
      </c>
      <c r="AR93" s="55" t="s">
        <v>22120</v>
      </c>
      <c r="AT93" s="55" t="s">
        <v>22079</v>
      </c>
      <c r="AU93" s="66">
        <f>IF(Kalk2!$AI$51=AV93,1,0)</f>
        <v>0</v>
      </c>
      <c r="AV93" s="55">
        <v>1750</v>
      </c>
      <c r="AX93" s="55" t="s">
        <v>22100</v>
      </c>
      <c r="AY93" s="66">
        <f>IF((AL93-AO93-AQ93)&lt;0,0,AL93-AO93-AQ93)*Kalk2!$H$37</f>
        <v>0</v>
      </c>
      <c r="AZ93" s="55" t="s">
        <v>20872</v>
      </c>
    </row>
    <row r="94" spans="2:53" ht="24.95" customHeight="1">
      <c r="B94" s="93">
        <f t="shared" si="22"/>
        <v>0</v>
      </c>
      <c r="C94" s="60">
        <v>2150</v>
      </c>
      <c r="D94" s="60"/>
      <c r="E94" s="60" t="str">
        <f>VLOOKUP(1600,Sprachindex!$A:$Z,Erhebungsbogen!$Y$20,FALSE)</f>
        <v>[Stk]</v>
      </c>
      <c r="F94" s="60" t="s">
        <v>21909</v>
      </c>
      <c r="G94" s="514" t="str">
        <f>VLOOKUP(1794,Sprachindex!$A:$Z,Erhebungsbogen!$Y$20,FALSE) &amp; " ( " &amp;Preisliste!H74 &amp; " " &amp; VLOOKUP(1744,Sprachindex!$A:$Z,Erhebungsbogen!$Y$20,FALSE) &amp; ")"</f>
        <v>Rundprofil 50 exkl. Dichtung, gebohrt und entgratet ( 22,362 kg/Stk)</v>
      </c>
      <c r="H94" s="514"/>
      <c r="I94" s="514"/>
      <c r="J94" s="514"/>
      <c r="K94" s="514"/>
      <c r="L94" s="514"/>
      <c r="M94" s="514"/>
      <c r="N94" s="514"/>
      <c r="O94" s="514"/>
      <c r="P94" s="514"/>
      <c r="Q94" s="514"/>
      <c r="R94" s="514"/>
      <c r="S94" s="514"/>
      <c r="T94" s="514"/>
      <c r="U94" s="352">
        <f>VLOOKUP(F94,Preisliste!C:F,4,FALSE)</f>
        <v>554.29999999999995</v>
      </c>
      <c r="V94" s="352">
        <f t="shared" si="16"/>
        <v>0</v>
      </c>
      <c r="W94" s="86"/>
      <c r="X94" s="86"/>
      <c r="Y94" s="86"/>
      <c r="Z94" s="86"/>
      <c r="AA94" s="86"/>
      <c r="AB94" s="86"/>
      <c r="AC94" s="86"/>
      <c r="AD94" s="86"/>
      <c r="AE94" s="86"/>
      <c r="AF94" s="86"/>
      <c r="AG94" s="55">
        <f t="shared" si="23"/>
        <v>0</v>
      </c>
      <c r="AH94" s="66">
        <f>IF(OR(Kalk2!$AA$19=2,Kalk2!$AA$19=3),1,0)</f>
        <v>1</v>
      </c>
      <c r="AI94" s="55">
        <v>50</v>
      </c>
      <c r="AL94" s="66">
        <f>IF(Kalk2!$AA$20=1,Kalk2!$H$33-1,0)</f>
        <v>0</v>
      </c>
      <c r="AM94" s="55" t="s">
        <v>22119</v>
      </c>
      <c r="AO94" s="66">
        <f>IF(Kalk2!$O$20&gt;0,Kalk2!$O$20,0)</f>
        <v>0</v>
      </c>
      <c r="AP94" s="55" t="s">
        <v>22121</v>
      </c>
      <c r="AQ94" s="66">
        <f>IF(Kalk2!$O$21&gt;0,Kalk2!$O$21,0)</f>
        <v>0</v>
      </c>
      <c r="AR94" s="55" t="s">
        <v>22120</v>
      </c>
      <c r="AT94" s="55" t="s">
        <v>22079</v>
      </c>
      <c r="AU94" s="66">
        <f>IF(Kalk2!$AI$51=AV94,1,0)</f>
        <v>0</v>
      </c>
      <c r="AV94" s="55">
        <v>2150</v>
      </c>
      <c r="AX94" s="55" t="s">
        <v>22100</v>
      </c>
      <c r="AY94" s="66">
        <f>IF((AL94-AO94-AQ94)&lt;0,0,AL94-AO94-AQ94)*Kalk2!$H$37</f>
        <v>0</v>
      </c>
      <c r="AZ94" s="55" t="s">
        <v>20872</v>
      </c>
    </row>
    <row r="95" spans="2:53" ht="24.95" customHeight="1">
      <c r="B95" s="93">
        <f t="shared" si="22"/>
        <v>0</v>
      </c>
      <c r="C95" s="60">
        <f>IF(AG95=1,AW95,0)</f>
        <v>0</v>
      </c>
      <c r="D95" s="60"/>
      <c r="E95" s="60" t="str">
        <f>VLOOKUP(1600,Sprachindex!$A:$Z,Erhebungsbogen!$Y$20,FALSE)</f>
        <v>[Stk]</v>
      </c>
      <c r="F95" s="60" t="s">
        <v>21826</v>
      </c>
      <c r="G95" s="514" t="str">
        <f>VLOOKUP(1795,Sprachindex!$A:$Z,Erhebungsbogen!$Y$20,FALSE) &amp; " (" &amp; ROUNDUP(C95/1000*Preisliste!I75,2) &amp; " " &amp; VLOOKUP(1744,Sprachindex!$A:$Z,Erhebungsbogen!$Y$20,FALSE) &amp; ")"</f>
        <v>Rundprofil 50 Sonderlänge exkl. Dichtung, (Stangenware) (0 kg/Stk)</v>
      </c>
      <c r="H95" s="514"/>
      <c r="I95" s="514"/>
      <c r="J95" s="514"/>
      <c r="K95" s="514"/>
      <c r="L95" s="514"/>
      <c r="M95" s="514"/>
      <c r="N95" s="514"/>
      <c r="O95" s="514"/>
      <c r="P95" s="514"/>
      <c r="Q95" s="514"/>
      <c r="R95" s="514"/>
      <c r="S95" s="514"/>
      <c r="T95" s="514"/>
      <c r="U95" s="354">
        <f>VLOOKUP(F95,Preisliste!C:F,4,FALSE)</f>
        <v>0</v>
      </c>
      <c r="V95" s="352">
        <f>U95*C95*B95/1000</f>
        <v>0</v>
      </c>
      <c r="W95" s="86"/>
      <c r="X95" s="86"/>
      <c r="Y95" s="86"/>
      <c r="Z95" s="86"/>
      <c r="AA95" s="86"/>
      <c r="AB95" s="86"/>
      <c r="AC95" s="86"/>
      <c r="AD95" s="86"/>
      <c r="AE95" s="86"/>
      <c r="AF95" s="86"/>
      <c r="AG95" s="55">
        <f t="shared" si="23"/>
        <v>0</v>
      </c>
      <c r="AH95" s="66">
        <f>IF(OR(Kalk2!$AA$19=2,Kalk2!$AA$19=3),1,0)</f>
        <v>1</v>
      </c>
      <c r="AI95" s="55">
        <v>50</v>
      </c>
      <c r="AL95" s="66">
        <f>IF(Kalk2!$AA$20=1,Kalk2!$H$33-1,0)</f>
        <v>0</v>
      </c>
      <c r="AM95" s="55" t="s">
        <v>22119</v>
      </c>
      <c r="AO95" s="66">
        <f>IF(Kalk2!$O$20&gt;0,Kalk2!$O$20,0)</f>
        <v>0</v>
      </c>
      <c r="AP95" s="55" t="s">
        <v>22121</v>
      </c>
      <c r="AQ95" s="66">
        <f>IF(Kalk2!$O$21&gt;0,Kalk2!$O$21,0)</f>
        <v>0</v>
      </c>
      <c r="AR95" s="55" t="s">
        <v>22120</v>
      </c>
      <c r="AT95" s="55" t="s">
        <v>22079</v>
      </c>
      <c r="AU95" s="66">
        <f>IF(Kalk2!$AH$52&gt;AV95,1,0)</f>
        <v>0</v>
      </c>
      <c r="AV95" s="55">
        <v>2150</v>
      </c>
      <c r="AW95" s="66">
        <f>Kalk2!$AH$52</f>
        <v>0</v>
      </c>
      <c r="AX95" s="55" t="s">
        <v>22100</v>
      </c>
      <c r="AY95" s="66">
        <f>IF((AL95-AO95-AQ95)&lt;0,0,AL95-AO95-AQ95)*Kalk2!$H$37</f>
        <v>0</v>
      </c>
      <c r="AZ95" s="55" t="s">
        <v>20872</v>
      </c>
    </row>
    <row r="96" spans="2:53" ht="24.95" customHeight="1">
      <c r="B96" s="93">
        <f t="shared" si="22"/>
        <v>0</v>
      </c>
      <c r="C96" s="60">
        <v>750</v>
      </c>
      <c r="D96" s="60"/>
      <c r="E96" s="60" t="str">
        <f>VLOOKUP(1600,Sprachindex!$A:$Z,Erhebungsbogen!$Y$20,FALSE)</f>
        <v>[Stk]</v>
      </c>
      <c r="F96" s="60" t="s">
        <v>21910</v>
      </c>
      <c r="G96" s="514" t="str">
        <f>VLOOKUP(1800,Sprachindex!$A:$Z,Erhebungsbogen!$Y$20,FALSE) &amp; " ( " &amp;Preisliste!H76 &amp; " " &amp; VLOOKUP(1744,Sprachindex!$A:$Z,Erhebungsbogen!$Y$20,FALSE) &amp; ")"</f>
        <v>Rundprofil 80 exkl. Dichtung, gebohrt und entgratet ( 8,444 kg/Stk)</v>
      </c>
      <c r="H96" s="514"/>
      <c r="I96" s="514"/>
      <c r="J96" s="514"/>
      <c r="K96" s="514"/>
      <c r="L96" s="514"/>
      <c r="M96" s="514"/>
      <c r="N96" s="514"/>
      <c r="O96" s="514"/>
      <c r="P96" s="514"/>
      <c r="Q96" s="514"/>
      <c r="R96" s="514"/>
      <c r="S96" s="514"/>
      <c r="T96" s="514"/>
      <c r="U96" s="352">
        <f>VLOOKUP(F96,Preisliste!C:F,4,FALSE)</f>
        <v>404.05</v>
      </c>
      <c r="V96" s="352">
        <f t="shared" si="16"/>
        <v>0</v>
      </c>
      <c r="W96" s="86"/>
      <c r="X96" s="86"/>
      <c r="Y96" s="86"/>
      <c r="Z96" s="86"/>
      <c r="AA96" s="86"/>
      <c r="AB96" s="86"/>
      <c r="AC96" s="86"/>
      <c r="AD96" s="86"/>
      <c r="AE96" s="86"/>
      <c r="AF96" s="86"/>
      <c r="AG96" s="55">
        <f t="shared" si="23"/>
        <v>0</v>
      </c>
      <c r="AH96" s="66">
        <f>IF(Kalk2!$AA$19=4,1,0)</f>
        <v>0</v>
      </c>
      <c r="AI96" s="55">
        <v>80</v>
      </c>
      <c r="AL96" s="66">
        <f>IF(Kalk2!$AA$20=1,Kalk2!$H$33-1,0)</f>
        <v>0</v>
      </c>
      <c r="AM96" s="55" t="s">
        <v>22119</v>
      </c>
      <c r="AO96" s="66">
        <f>IF(Kalk2!$O$20&gt;0,Kalk2!$O$20,0)</f>
        <v>0</v>
      </c>
      <c r="AP96" s="55" t="s">
        <v>22121</v>
      </c>
      <c r="AQ96" s="66">
        <f>IF(Kalk2!$O$21&gt;0,Kalk2!$O$21,0)</f>
        <v>0</v>
      </c>
      <c r="AR96" s="55" t="s">
        <v>22120</v>
      </c>
      <c r="AT96" s="55" t="s">
        <v>22079</v>
      </c>
      <c r="AU96" s="66">
        <f>IF(Kalk2!$AI$51=$AV$91,1,0)</f>
        <v>1</v>
      </c>
      <c r="AV96" s="55">
        <v>750</v>
      </c>
      <c r="AX96" s="55" t="s">
        <v>22100</v>
      </c>
      <c r="AY96" s="66">
        <f>IF((AL96-AO96-AQ96)&lt;0,0,AL96-AO96-AQ96)*Kalk2!$H$37</f>
        <v>0</v>
      </c>
      <c r="AZ96" s="55" t="s">
        <v>20872</v>
      </c>
    </row>
    <row r="97" spans="2:52" ht="24.95" customHeight="1">
      <c r="B97" s="93">
        <f t="shared" si="22"/>
        <v>0</v>
      </c>
      <c r="C97" s="60">
        <v>1350</v>
      </c>
      <c r="D97" s="60"/>
      <c r="E97" s="60" t="str">
        <f>VLOOKUP(1600,Sprachindex!$A:$Z,Erhebungsbogen!$Y$20,FALSE)</f>
        <v>[Stk]</v>
      </c>
      <c r="F97" s="60" t="s">
        <v>21911</v>
      </c>
      <c r="G97" s="514" t="str">
        <f>VLOOKUP(1800,Sprachindex!$A:$Z,Erhebungsbogen!$Y$20,FALSE) &amp; " ( " &amp;Preisliste!H77 &amp; " " &amp; VLOOKUP(1744,Sprachindex!$A:$Z,Erhebungsbogen!$Y$20,FALSE) &amp; ")"</f>
        <v>Rundprofil 80 exkl. Dichtung, gebohrt und entgratet ( 15,198 kg/Stk)</v>
      </c>
      <c r="H97" s="514"/>
      <c r="I97" s="514"/>
      <c r="J97" s="514"/>
      <c r="K97" s="514"/>
      <c r="L97" s="514"/>
      <c r="M97" s="514"/>
      <c r="N97" s="514"/>
      <c r="O97" s="514"/>
      <c r="P97" s="514"/>
      <c r="Q97" s="514"/>
      <c r="R97" s="514"/>
      <c r="S97" s="514"/>
      <c r="T97" s="514"/>
      <c r="U97" s="352">
        <f>VLOOKUP(F97,Preisliste!C:F,4,FALSE)</f>
        <v>507.3</v>
      </c>
      <c r="V97" s="352">
        <f t="shared" si="16"/>
        <v>0</v>
      </c>
      <c r="W97" s="86"/>
      <c r="X97" s="86"/>
      <c r="Y97" s="86"/>
      <c r="Z97" s="86"/>
      <c r="AA97" s="86"/>
      <c r="AB97" s="86"/>
      <c r="AC97" s="86"/>
      <c r="AD97" s="86"/>
      <c r="AE97" s="86"/>
      <c r="AF97" s="86"/>
      <c r="AG97" s="55">
        <f t="shared" si="23"/>
        <v>0</v>
      </c>
      <c r="AH97" s="66">
        <f>IF(Kalk2!$AA$19=4,1,0)</f>
        <v>0</v>
      </c>
      <c r="AI97" s="55">
        <v>80</v>
      </c>
      <c r="AL97" s="66">
        <f>IF(Kalk2!$AA$20=1,Kalk2!$H$33-1,0)</f>
        <v>0</v>
      </c>
      <c r="AM97" s="55" t="s">
        <v>22119</v>
      </c>
      <c r="AO97" s="66">
        <f>IF(Kalk2!$O$20&gt;0,Kalk2!$O$20,0)</f>
        <v>0</v>
      </c>
      <c r="AP97" s="55" t="s">
        <v>22121</v>
      </c>
      <c r="AQ97" s="66">
        <f>IF(Kalk2!$O$21&gt;0,Kalk2!$O$21,0)</f>
        <v>0</v>
      </c>
      <c r="AR97" s="55" t="s">
        <v>22120</v>
      </c>
      <c r="AT97" s="55" t="s">
        <v>22079</v>
      </c>
      <c r="AU97" s="66">
        <f>IF(Kalk2!$AI$51=AV97,1,0)</f>
        <v>0</v>
      </c>
      <c r="AV97" s="55">
        <v>1350</v>
      </c>
      <c r="AX97" s="55" t="s">
        <v>22100</v>
      </c>
      <c r="AY97" s="66">
        <f>IF((AL97-AO97-AQ97)&lt;0,0,AL97-AO97-AQ97)*Kalk2!$H$37</f>
        <v>0</v>
      </c>
      <c r="AZ97" s="55" t="s">
        <v>20872</v>
      </c>
    </row>
    <row r="98" spans="2:52" ht="24.95" customHeight="1">
      <c r="B98" s="93">
        <f t="shared" si="22"/>
        <v>0</v>
      </c>
      <c r="C98" s="60">
        <v>1750</v>
      </c>
      <c r="D98" s="60"/>
      <c r="E98" s="60" t="str">
        <f>VLOOKUP(1600,Sprachindex!$A:$Z,Erhebungsbogen!$Y$20,FALSE)</f>
        <v>[Stk]</v>
      </c>
      <c r="F98" s="60" t="s">
        <v>21912</v>
      </c>
      <c r="G98" s="514" t="str">
        <f>VLOOKUP(1800,Sprachindex!$A:$Z,Erhebungsbogen!$Y$20,FALSE) &amp; " ( " &amp;Preisliste!H78 &amp; " " &amp; VLOOKUP(1744,Sprachindex!$A:$Z,Erhebungsbogen!$Y$20,FALSE) &amp; ")"</f>
        <v>Rundprofil 80 exkl. Dichtung, gebohrt und entgratet ( 19,702 kg/Stk)</v>
      </c>
      <c r="H98" s="514"/>
      <c r="I98" s="514"/>
      <c r="J98" s="514"/>
      <c r="K98" s="514"/>
      <c r="L98" s="514"/>
      <c r="M98" s="514"/>
      <c r="N98" s="514"/>
      <c r="O98" s="514"/>
      <c r="P98" s="514"/>
      <c r="Q98" s="514"/>
      <c r="R98" s="514"/>
      <c r="S98" s="514"/>
      <c r="T98" s="514"/>
      <c r="U98" s="352">
        <f>VLOOKUP(F98,Preisliste!C:F,4,FALSE)</f>
        <v>576.20000000000005</v>
      </c>
      <c r="V98" s="352">
        <f t="shared" si="16"/>
        <v>0</v>
      </c>
      <c r="W98" s="86"/>
      <c r="X98" s="86"/>
      <c r="Y98" s="86"/>
      <c r="Z98" s="86"/>
      <c r="AA98" s="86"/>
      <c r="AB98" s="86"/>
      <c r="AC98" s="86"/>
      <c r="AD98" s="86"/>
      <c r="AE98" s="86"/>
      <c r="AF98" s="86"/>
      <c r="AG98" s="55">
        <f t="shared" si="23"/>
        <v>0</v>
      </c>
      <c r="AH98" s="66">
        <f>IF(Kalk2!$AA$19=4,1,0)</f>
        <v>0</v>
      </c>
      <c r="AI98" s="55">
        <v>80</v>
      </c>
      <c r="AL98" s="66">
        <f>IF(Kalk2!$AA$20=1,Kalk2!$H$33-1,0)</f>
        <v>0</v>
      </c>
      <c r="AM98" s="55" t="s">
        <v>22119</v>
      </c>
      <c r="AO98" s="66">
        <f>IF(Kalk2!$O$20&gt;0,Kalk2!$O$20,0)</f>
        <v>0</v>
      </c>
      <c r="AP98" s="55" t="s">
        <v>22121</v>
      </c>
      <c r="AQ98" s="66">
        <f>IF(Kalk2!$O$21&gt;0,Kalk2!$O$21,0)</f>
        <v>0</v>
      </c>
      <c r="AR98" s="55" t="s">
        <v>22120</v>
      </c>
      <c r="AT98" s="55" t="s">
        <v>22079</v>
      </c>
      <c r="AU98" s="66">
        <f>IF(Kalk2!$AI$51=AV98,1,0)</f>
        <v>0</v>
      </c>
      <c r="AV98" s="55">
        <v>1750</v>
      </c>
      <c r="AX98" s="55" t="s">
        <v>22100</v>
      </c>
      <c r="AY98" s="66">
        <f>IF((AL98-AO98-AQ98)&lt;0,0,AL98-AO98-AQ98)*Kalk2!$H$37</f>
        <v>0</v>
      </c>
      <c r="AZ98" s="55" t="s">
        <v>20872</v>
      </c>
    </row>
    <row r="99" spans="2:52" ht="24.95" customHeight="1">
      <c r="B99" s="93">
        <f t="shared" si="22"/>
        <v>0</v>
      </c>
      <c r="C99" s="60">
        <v>2150</v>
      </c>
      <c r="D99" s="60"/>
      <c r="E99" s="60" t="str">
        <f>VLOOKUP(1600,Sprachindex!$A:$Z,Erhebungsbogen!$Y$20,FALSE)</f>
        <v>[Stk]</v>
      </c>
      <c r="F99" s="60" t="s">
        <v>21913</v>
      </c>
      <c r="G99" s="514" t="str">
        <f>VLOOKUP(1800,Sprachindex!$A:$Z,Erhebungsbogen!$Y$20,FALSE) &amp; " ( " &amp;Preisliste!H79 &amp; " " &amp; VLOOKUP(1744,Sprachindex!$A:$Z,Erhebungsbogen!$Y$20,FALSE) &amp; ")"</f>
        <v>Rundprofil 80 exkl. Dichtung, gebohrt und entgratet ( 24,205 kg/Stk)</v>
      </c>
      <c r="H99" s="514"/>
      <c r="I99" s="514"/>
      <c r="J99" s="514"/>
      <c r="K99" s="514"/>
      <c r="L99" s="514"/>
      <c r="M99" s="514"/>
      <c r="N99" s="514"/>
      <c r="O99" s="514"/>
      <c r="P99" s="514"/>
      <c r="Q99" s="514"/>
      <c r="R99" s="514"/>
      <c r="S99" s="514"/>
      <c r="T99" s="514"/>
      <c r="U99" s="352">
        <f>VLOOKUP(F99,Preisliste!C:F,4,FALSE)</f>
        <v>644.85</v>
      </c>
      <c r="V99" s="352">
        <f t="shared" si="16"/>
        <v>0</v>
      </c>
      <c r="W99" s="86"/>
      <c r="X99" s="86"/>
      <c r="Y99" s="86"/>
      <c r="Z99" s="86"/>
      <c r="AA99" s="86"/>
      <c r="AB99" s="86"/>
      <c r="AC99" s="86"/>
      <c r="AD99" s="86"/>
      <c r="AE99" s="86"/>
      <c r="AF99" s="86"/>
      <c r="AG99" s="55">
        <f t="shared" si="23"/>
        <v>0</v>
      </c>
      <c r="AH99" s="66">
        <f>IF(Kalk2!$AA$19=4,1,0)</f>
        <v>0</v>
      </c>
      <c r="AI99" s="55">
        <v>80</v>
      </c>
      <c r="AL99" s="66">
        <f>IF(Kalk2!$AA$20=1,Kalk2!$H$33-1,0)</f>
        <v>0</v>
      </c>
      <c r="AM99" s="55" t="s">
        <v>22119</v>
      </c>
      <c r="AO99" s="66">
        <f>IF(Kalk2!$O$20&gt;0,Kalk2!$O$20,0)</f>
        <v>0</v>
      </c>
      <c r="AP99" s="55" t="s">
        <v>22121</v>
      </c>
      <c r="AQ99" s="66">
        <f>IF(Kalk2!$O$21&gt;0,Kalk2!$O$21,0)</f>
        <v>0</v>
      </c>
      <c r="AR99" s="55" t="s">
        <v>22120</v>
      </c>
      <c r="AT99" s="55" t="s">
        <v>22079</v>
      </c>
      <c r="AU99" s="66">
        <f>IF(Kalk2!$AI$51=AV99,1,0)</f>
        <v>0</v>
      </c>
      <c r="AV99" s="55">
        <v>2150</v>
      </c>
      <c r="AX99" s="55" t="s">
        <v>22100</v>
      </c>
      <c r="AY99" s="66">
        <f>IF((AL99-AO99-AQ99)&lt;0,0,AL99-AO99-AQ99)*Kalk2!$H$37</f>
        <v>0</v>
      </c>
      <c r="AZ99" s="55" t="s">
        <v>20872</v>
      </c>
    </row>
    <row r="100" spans="2:52" ht="24.95" customHeight="1">
      <c r="B100" s="93">
        <f t="shared" si="22"/>
        <v>0</v>
      </c>
      <c r="C100" s="60">
        <f>IF(AG100=1,AW100,0)</f>
        <v>0</v>
      </c>
      <c r="D100" s="60"/>
      <c r="E100" s="60" t="str">
        <f>VLOOKUP(1600,Sprachindex!$A:$Z,Erhebungsbogen!$Y$20,FALSE)</f>
        <v>[Stk]</v>
      </c>
      <c r="F100" s="60" t="s">
        <v>21826</v>
      </c>
      <c r="G100" s="514" t="str">
        <f>VLOOKUP(1803,Sprachindex!$A:$Z,Erhebungsbogen!$Y$20,FALSE) &amp; " (" &amp; ROUNDUP(C100/1000*Preisliste!I80,2) &amp; " " &amp; VLOOKUP(1744,Sprachindex!$A:$Z,Erhebungsbogen!$Y$20,FALSE) &amp; ")"</f>
        <v>Rundprofil 80 Sonderlänge exkl. Dichtung, (Stangenware) (0 kg/Stk)</v>
      </c>
      <c r="H100" s="514"/>
      <c r="I100" s="514"/>
      <c r="J100" s="514"/>
      <c r="K100" s="514"/>
      <c r="L100" s="514"/>
      <c r="M100" s="514"/>
      <c r="N100" s="514"/>
      <c r="O100" s="514"/>
      <c r="P100" s="514"/>
      <c r="Q100" s="514"/>
      <c r="R100" s="514"/>
      <c r="S100" s="514"/>
      <c r="T100" s="514"/>
      <c r="U100" s="354">
        <f>VLOOKUP(F100,Preisliste!C:F,4,FALSE)</f>
        <v>0</v>
      </c>
      <c r="V100" s="352">
        <f>U100*C100*B100/1000</f>
        <v>0</v>
      </c>
      <c r="W100" s="86"/>
      <c r="X100" s="86"/>
      <c r="Y100" s="86"/>
      <c r="Z100" s="86"/>
      <c r="AA100" s="86"/>
      <c r="AB100" s="86"/>
      <c r="AC100" s="86"/>
      <c r="AD100" s="86"/>
      <c r="AE100" s="86"/>
      <c r="AF100" s="86"/>
      <c r="AG100" s="55">
        <f t="shared" si="23"/>
        <v>0</v>
      </c>
      <c r="AH100" s="66">
        <f>IF(Kalk2!$AA$19=4,1,0)</f>
        <v>0</v>
      </c>
      <c r="AI100" s="55">
        <v>80</v>
      </c>
      <c r="AL100" s="66">
        <f>IF(Kalk2!$AA$20=1,Kalk2!$H$33-1,0)</f>
        <v>0</v>
      </c>
      <c r="AM100" s="55" t="s">
        <v>22119</v>
      </c>
      <c r="AO100" s="66">
        <f>IF(Kalk2!$O$20&gt;0,Kalk2!$O$20,0)</f>
        <v>0</v>
      </c>
      <c r="AP100" s="55" t="s">
        <v>22121</v>
      </c>
      <c r="AQ100" s="66">
        <f>IF(Kalk2!$O$21&gt;0,Kalk2!$O$21,0)</f>
        <v>0</v>
      </c>
      <c r="AR100" s="55" t="s">
        <v>22120</v>
      </c>
      <c r="AT100" s="55" t="s">
        <v>22079</v>
      </c>
      <c r="AU100" s="66">
        <f>IF(Kalk2!$AH$52&gt;AV100,1,0)</f>
        <v>0</v>
      </c>
      <c r="AV100" s="55">
        <v>2150</v>
      </c>
      <c r="AW100" s="66">
        <f>Kalk2!$AH$52</f>
        <v>0</v>
      </c>
      <c r="AX100" s="55" t="s">
        <v>22100</v>
      </c>
      <c r="AY100" s="66">
        <f>IF((AL100-AO100-AQ100)&lt;0,0,AL100-AO100-AQ100)*Kalk2!$H$37</f>
        <v>0</v>
      </c>
      <c r="AZ100" s="55" t="s">
        <v>20872</v>
      </c>
    </row>
    <row r="101" spans="2:52" ht="24.95" customHeight="1">
      <c r="B101" s="93">
        <f>IF(AG101=1,AL101,0)</f>
        <v>0</v>
      </c>
      <c r="C101" s="60">
        <v>750</v>
      </c>
      <c r="D101" s="60"/>
      <c r="E101" s="60" t="str">
        <f>VLOOKUP(1600,Sprachindex!$A:$Z,Erhebungsbogen!$Y$20,FALSE)</f>
        <v>[Stk]</v>
      </c>
      <c r="F101" s="60" t="s">
        <v>21914</v>
      </c>
      <c r="G101" s="517" t="str">
        <f>VLOOKUP(1801,Sprachindex!$A:$Z,Erhebungsbogen!$Y$20,FALSE) &amp; " ( " &amp;Preisliste!H81 &amp; " " &amp; VLOOKUP(1744,Sprachindex!$A:$Z,Erhebungsbogen!$Y$20,FALSE) &amp; ")"</f>
        <v>Rundprofil 80 gr. exkl. Dichtung, gebohrt und entgratet ( 11,012 kg/Stk)</v>
      </c>
      <c r="H101" s="515"/>
      <c r="I101" s="515"/>
      <c r="J101" s="515"/>
      <c r="K101" s="515"/>
      <c r="L101" s="515"/>
      <c r="M101" s="515"/>
      <c r="N101" s="515"/>
      <c r="O101" s="515"/>
      <c r="P101" s="515"/>
      <c r="Q101" s="515"/>
      <c r="R101" s="515"/>
      <c r="S101" s="515"/>
      <c r="T101" s="516"/>
      <c r="U101" s="352">
        <f>VLOOKUP(F101,Preisliste!C:F,4,FALSE)</f>
        <v>538.25</v>
      </c>
      <c r="V101" s="352">
        <f t="shared" si="16"/>
        <v>0</v>
      </c>
      <c r="W101" s="86"/>
      <c r="X101" s="86"/>
      <c r="Y101" s="86"/>
      <c r="Z101" s="86"/>
      <c r="AA101" s="86"/>
      <c r="AB101" s="86"/>
      <c r="AC101" s="86"/>
      <c r="AD101" s="86"/>
      <c r="AE101" s="86"/>
      <c r="AF101" s="86"/>
      <c r="AG101" s="55">
        <f>IF(AND(AH101=1,AL101&gt;0,AU101=1),1,0)</f>
        <v>0</v>
      </c>
      <c r="AH101" s="66">
        <f>IF(Kalk2!$AA$19=4,1,0)</f>
        <v>0</v>
      </c>
      <c r="AI101" s="55">
        <v>80</v>
      </c>
      <c r="AK101" s="55" t="s">
        <v>22079</v>
      </c>
      <c r="AL101" s="66">
        <f>IF(AND(Kalk2!$AA$19=4,Kalk2!$AA$20=2),Kalk2!$H$33-1-AO101-AQ101,0)</f>
        <v>0</v>
      </c>
      <c r="AM101" s="55" t="s">
        <v>22086</v>
      </c>
      <c r="AO101" s="66">
        <f>IF(Kalk2!$O$20&gt;0,Kalk2!$O$20,0)</f>
        <v>0</v>
      </c>
      <c r="AP101" s="55" t="s">
        <v>22121</v>
      </c>
      <c r="AQ101" s="66">
        <f>IF(Kalk2!$O$21&gt;0,Kalk2!$O$21,0)</f>
        <v>0</v>
      </c>
      <c r="AR101" s="55" t="s">
        <v>22120</v>
      </c>
      <c r="AT101" s="55" t="s">
        <v>22079</v>
      </c>
      <c r="AU101" s="66">
        <f>IF(Kalk2!$AI$51=$AV$91,1,0)</f>
        <v>1</v>
      </c>
      <c r="AV101" s="55">
        <v>750</v>
      </c>
      <c r="AX101" s="55" t="s">
        <v>22100</v>
      </c>
      <c r="AY101" s="66">
        <f>AL101*Kalk2!$H$37</f>
        <v>0</v>
      </c>
      <c r="AZ101" s="55" t="s">
        <v>20872</v>
      </c>
    </row>
    <row r="102" spans="2:52" ht="24.95" customHeight="1">
      <c r="B102" s="93">
        <f>IF(AG102=1,AY102,0)</f>
        <v>0</v>
      </c>
      <c r="C102" s="60">
        <v>1350</v>
      </c>
      <c r="D102" s="60"/>
      <c r="E102" s="60" t="str">
        <f>VLOOKUP(1600,Sprachindex!$A:$Z,Erhebungsbogen!$Y$20,FALSE)</f>
        <v>[Stk]</v>
      </c>
      <c r="F102" s="60" t="s">
        <v>21915</v>
      </c>
      <c r="G102" s="517" t="str">
        <f>VLOOKUP(1801,Sprachindex!$A:$Z,Erhebungsbogen!$Y$20,FALSE) &amp; " ( " &amp;Preisliste!H82 &amp; " " &amp; VLOOKUP(1744,Sprachindex!$A:$Z,Erhebungsbogen!$Y$20,FALSE) &amp; ")"</f>
        <v>Rundprofil 80 gr. exkl. Dichtung, gebohrt und entgratet ( 19,821 kg/Stk)</v>
      </c>
      <c r="H102" s="515"/>
      <c r="I102" s="515"/>
      <c r="J102" s="515"/>
      <c r="K102" s="515"/>
      <c r="L102" s="515"/>
      <c r="M102" s="515"/>
      <c r="N102" s="515"/>
      <c r="O102" s="515"/>
      <c r="P102" s="515"/>
      <c r="Q102" s="515"/>
      <c r="R102" s="515"/>
      <c r="S102" s="515"/>
      <c r="T102" s="516"/>
      <c r="U102" s="352">
        <f>VLOOKUP(F102,Preisliste!C:F,4,FALSE)</f>
        <v>672.9</v>
      </c>
      <c r="V102" s="352">
        <f t="shared" si="16"/>
        <v>0</v>
      </c>
      <c r="W102" s="86"/>
      <c r="X102" s="86"/>
      <c r="Y102" s="86"/>
      <c r="Z102" s="86"/>
      <c r="AA102" s="86"/>
      <c r="AB102" s="86"/>
      <c r="AC102" s="86"/>
      <c r="AD102" s="86"/>
      <c r="AE102" s="86"/>
      <c r="AF102" s="86"/>
      <c r="AG102" s="55">
        <f t="shared" ref="AG102:AG105" si="24">IF(AND(AH102=1,AL102&gt;0,AU102=1),1,0)</f>
        <v>0</v>
      </c>
      <c r="AH102" s="66">
        <f>IF(Kalk2!$AA$19=4,1,0)</f>
        <v>0</v>
      </c>
      <c r="AI102" s="55">
        <v>80</v>
      </c>
      <c r="AK102" s="55" t="s">
        <v>22079</v>
      </c>
      <c r="AL102" s="66">
        <f>IF(AND(Kalk2!$AA$19=4,Kalk2!$AA$20=2),Kalk2!$H$33-1-AO102-AQ102,0)</f>
        <v>0</v>
      </c>
      <c r="AM102" s="55" t="s">
        <v>22086</v>
      </c>
      <c r="AO102" s="66">
        <f>IF(Kalk2!$O$20&gt;0,Kalk2!$O$20,0)</f>
        <v>0</v>
      </c>
      <c r="AP102" s="55" t="s">
        <v>22121</v>
      </c>
      <c r="AQ102" s="66">
        <f>IF(Kalk2!$O$21&gt;0,Kalk2!$O$21,0)</f>
        <v>0</v>
      </c>
      <c r="AR102" s="55" t="s">
        <v>22120</v>
      </c>
      <c r="AT102" s="55" t="s">
        <v>22079</v>
      </c>
      <c r="AU102" s="66">
        <f>IF(Kalk2!$AI$51=AV102,1,0)</f>
        <v>0</v>
      </c>
      <c r="AV102" s="55">
        <v>1350</v>
      </c>
      <c r="AX102" s="55" t="s">
        <v>22100</v>
      </c>
      <c r="AY102" s="66">
        <f>AL102*Kalk2!$H$37</f>
        <v>0</v>
      </c>
      <c r="AZ102" s="55" t="s">
        <v>20872</v>
      </c>
    </row>
    <row r="103" spans="2:52" ht="24.95" customHeight="1">
      <c r="B103" s="93">
        <f t="shared" ref="B103:B105" si="25">IF(AG103=1,AL103,0)</f>
        <v>0</v>
      </c>
      <c r="C103" s="60">
        <v>1750</v>
      </c>
      <c r="D103" s="60"/>
      <c r="E103" s="60" t="str">
        <f>VLOOKUP(1600,Sprachindex!$A:$Z,Erhebungsbogen!$Y$20,FALSE)</f>
        <v>[Stk]</v>
      </c>
      <c r="F103" s="60" t="s">
        <v>21916</v>
      </c>
      <c r="G103" s="517" t="str">
        <f>VLOOKUP(1801,Sprachindex!$A:$Z,Erhebungsbogen!$Y$20,FALSE) &amp; " ( " &amp;Preisliste!H83 &amp; " " &amp; VLOOKUP(1744,Sprachindex!$A:$Z,Erhebungsbogen!$Y$20,FALSE) &amp; ")"</f>
        <v>Rundprofil 80 gr. exkl. Dichtung, gebohrt und entgratet ( 25,694 kg/Stk)</v>
      </c>
      <c r="H103" s="515"/>
      <c r="I103" s="515"/>
      <c r="J103" s="515"/>
      <c r="K103" s="515"/>
      <c r="L103" s="515"/>
      <c r="M103" s="515"/>
      <c r="N103" s="515"/>
      <c r="O103" s="515"/>
      <c r="P103" s="515"/>
      <c r="Q103" s="515"/>
      <c r="R103" s="515"/>
      <c r="S103" s="515"/>
      <c r="T103" s="516"/>
      <c r="U103" s="352">
        <f>VLOOKUP(F103,Preisliste!C:F,4,FALSE)</f>
        <v>762.7</v>
      </c>
      <c r="V103" s="352">
        <f t="shared" si="16"/>
        <v>0</v>
      </c>
      <c r="W103" s="86"/>
      <c r="X103" s="86"/>
      <c r="Y103" s="86"/>
      <c r="Z103" s="86"/>
      <c r="AA103" s="86"/>
      <c r="AB103" s="86"/>
      <c r="AC103" s="86"/>
      <c r="AD103" s="86"/>
      <c r="AE103" s="86"/>
      <c r="AF103" s="86"/>
      <c r="AG103" s="55">
        <f t="shared" si="24"/>
        <v>0</v>
      </c>
      <c r="AH103" s="66">
        <f>IF(Kalk2!$AA$19=4,1,0)</f>
        <v>0</v>
      </c>
      <c r="AI103" s="55">
        <v>80</v>
      </c>
      <c r="AK103" s="55" t="s">
        <v>22079</v>
      </c>
      <c r="AL103" s="66">
        <f>IF(AND(Kalk2!$AA$19=4,Kalk2!$AA$20=2),Kalk2!$H$33-1-AO103-AQ103,0)</f>
        <v>0</v>
      </c>
      <c r="AM103" s="55" t="s">
        <v>22086</v>
      </c>
      <c r="AO103" s="66">
        <f>IF(Kalk2!$O$20&gt;0,Kalk2!$O$20,0)</f>
        <v>0</v>
      </c>
      <c r="AP103" s="55" t="s">
        <v>22121</v>
      </c>
      <c r="AQ103" s="66">
        <f>IF(Kalk2!$O$21&gt;0,Kalk2!$O$21,0)</f>
        <v>0</v>
      </c>
      <c r="AR103" s="55" t="s">
        <v>22120</v>
      </c>
      <c r="AT103" s="55" t="s">
        <v>22079</v>
      </c>
      <c r="AU103" s="66">
        <f>IF(Kalk2!$AI$51=AV103,1,0)</f>
        <v>0</v>
      </c>
      <c r="AV103" s="55">
        <v>1750</v>
      </c>
      <c r="AX103" s="55" t="s">
        <v>22100</v>
      </c>
      <c r="AY103" s="66">
        <f>AL103*Kalk2!$H$37</f>
        <v>0</v>
      </c>
      <c r="AZ103" s="55" t="s">
        <v>20872</v>
      </c>
    </row>
    <row r="104" spans="2:52" ht="24.95" customHeight="1">
      <c r="B104" s="93">
        <f t="shared" si="25"/>
        <v>0</v>
      </c>
      <c r="C104" s="60">
        <v>2150</v>
      </c>
      <c r="D104" s="60"/>
      <c r="E104" s="60" t="str">
        <f>VLOOKUP(1600,Sprachindex!$A:$Z,Erhebungsbogen!$Y$20,FALSE)</f>
        <v>[Stk]</v>
      </c>
      <c r="F104" s="60" t="s">
        <v>21917</v>
      </c>
      <c r="G104" s="517" t="str">
        <f>VLOOKUP(1801,Sprachindex!$A:$Z,Erhebungsbogen!$Y$20,FALSE) &amp; " ( " &amp;Preisliste!H84 &amp; " " &amp; VLOOKUP(1744,Sprachindex!$A:$Z,Erhebungsbogen!$Y$20,FALSE) &amp; ")"</f>
        <v>Rundprofil 80 gr. exkl. Dichtung, gebohrt und entgratet ( 31,566 kg/Stk)</v>
      </c>
      <c r="H104" s="515"/>
      <c r="I104" s="515"/>
      <c r="J104" s="515"/>
      <c r="K104" s="515"/>
      <c r="L104" s="515"/>
      <c r="M104" s="515"/>
      <c r="N104" s="515"/>
      <c r="O104" s="515"/>
      <c r="P104" s="515"/>
      <c r="Q104" s="515"/>
      <c r="R104" s="515"/>
      <c r="S104" s="515"/>
      <c r="T104" s="516"/>
      <c r="U104" s="352">
        <f>VLOOKUP(F104,Preisliste!C:F,4,FALSE)</f>
        <v>852.3</v>
      </c>
      <c r="V104" s="352">
        <f t="shared" si="16"/>
        <v>0</v>
      </c>
      <c r="W104" s="86"/>
      <c r="X104" s="86"/>
      <c r="Y104" s="86"/>
      <c r="Z104" s="86"/>
      <c r="AA104" s="86"/>
      <c r="AB104" s="86"/>
      <c r="AC104" s="86"/>
      <c r="AD104" s="86"/>
      <c r="AE104" s="86"/>
      <c r="AF104" s="86"/>
      <c r="AG104" s="55">
        <f t="shared" si="24"/>
        <v>0</v>
      </c>
      <c r="AH104" s="66">
        <f>IF(Kalk2!$AA$19=4,1,0)</f>
        <v>0</v>
      </c>
      <c r="AI104" s="55">
        <v>80</v>
      </c>
      <c r="AK104" s="55" t="s">
        <v>22079</v>
      </c>
      <c r="AL104" s="66">
        <f>IF(AND(Kalk2!$AA$19=4,Kalk2!$AA$20=2),Kalk2!$H$33-1-AO104-AQ104,0)</f>
        <v>0</v>
      </c>
      <c r="AM104" s="55" t="s">
        <v>22086</v>
      </c>
      <c r="AO104" s="66">
        <f>IF(Kalk2!$O$20&gt;0,Kalk2!$O$20,0)</f>
        <v>0</v>
      </c>
      <c r="AP104" s="55" t="s">
        <v>22121</v>
      </c>
      <c r="AQ104" s="66">
        <f>IF(Kalk2!$O$21&gt;0,Kalk2!$O$21,0)</f>
        <v>0</v>
      </c>
      <c r="AR104" s="55" t="s">
        <v>22120</v>
      </c>
      <c r="AT104" s="55" t="s">
        <v>22079</v>
      </c>
      <c r="AU104" s="66">
        <f>IF(Kalk2!$AI$51=AV104,1,0)</f>
        <v>0</v>
      </c>
      <c r="AV104" s="55">
        <v>2150</v>
      </c>
      <c r="AX104" s="55" t="s">
        <v>22100</v>
      </c>
      <c r="AY104" s="66">
        <f>AL104*Kalk2!$H$37</f>
        <v>0</v>
      </c>
      <c r="AZ104" s="55" t="s">
        <v>20872</v>
      </c>
    </row>
    <row r="105" spans="2:52" ht="24.95" customHeight="1">
      <c r="B105" s="93">
        <f t="shared" si="25"/>
        <v>0</v>
      </c>
      <c r="C105" s="60">
        <f>IF(AG105=1,AW105,0)</f>
        <v>0</v>
      </c>
      <c r="D105" s="60"/>
      <c r="E105" s="60" t="str">
        <f>VLOOKUP(1600,Sprachindex!$A:$Z,Erhebungsbogen!$Y$20,FALSE)</f>
        <v>[Stk]</v>
      </c>
      <c r="F105" s="60" t="s">
        <v>21826</v>
      </c>
      <c r="G105" s="514" t="str">
        <f>VLOOKUP(1802,Sprachindex!$A:$Z,Erhebungsbogen!$Y$20,FALSE) &amp; " (" &amp; ROUNDUP(C105/1000*Preisliste!I85,2) &amp; " " &amp; VLOOKUP(1744,Sprachindex!$A:$Z,Erhebungsbogen!$Y$20,FALSE) &amp; ")"</f>
        <v>Rundprofil 80 gr. Sonderlänge exkl. Dichtung, (Stangenware) (0 kg/Stk)</v>
      </c>
      <c r="H105" s="514"/>
      <c r="I105" s="514"/>
      <c r="J105" s="514"/>
      <c r="K105" s="514"/>
      <c r="L105" s="514"/>
      <c r="M105" s="514"/>
      <c r="N105" s="514"/>
      <c r="O105" s="514"/>
      <c r="P105" s="514"/>
      <c r="Q105" s="514"/>
      <c r="R105" s="514"/>
      <c r="S105" s="514"/>
      <c r="T105" s="514"/>
      <c r="U105" s="354">
        <f>VLOOKUP(F105,Preisliste!C:F,4,FALSE)</f>
        <v>0</v>
      </c>
      <c r="V105" s="352">
        <f>U105*C105*B105/1000</f>
        <v>0</v>
      </c>
      <c r="W105" s="86"/>
      <c r="X105" s="86"/>
      <c r="Y105" s="86"/>
      <c r="Z105" s="86"/>
      <c r="AA105" s="86"/>
      <c r="AB105" s="86"/>
      <c r="AC105" s="86"/>
      <c r="AD105" s="86"/>
      <c r="AE105" s="86"/>
      <c r="AF105" s="86"/>
      <c r="AG105" s="55">
        <f t="shared" si="24"/>
        <v>0</v>
      </c>
      <c r="AH105" s="66">
        <f>IF(Kalk2!$AA$19=4,1,0)</f>
        <v>0</v>
      </c>
      <c r="AI105" s="55">
        <v>80</v>
      </c>
      <c r="AK105" s="55" t="s">
        <v>22079</v>
      </c>
      <c r="AL105" s="66">
        <f>IF(AND(Kalk2!$AA$19=4,Kalk2!$AA$20=2),Kalk2!$H$33-1-AO105-AQ105,0)</f>
        <v>0</v>
      </c>
      <c r="AM105" s="55" t="s">
        <v>22086</v>
      </c>
      <c r="AO105" s="66">
        <f>IF(Kalk2!$O$20&gt;0,Kalk2!$O$20,0)</f>
        <v>0</v>
      </c>
      <c r="AP105" s="55" t="s">
        <v>22121</v>
      </c>
      <c r="AQ105" s="66">
        <f>IF(Kalk2!$O$21&gt;0,Kalk2!$O$21,0)</f>
        <v>0</v>
      </c>
      <c r="AR105" s="55" t="s">
        <v>22120</v>
      </c>
      <c r="AT105" s="55" t="s">
        <v>22079</v>
      </c>
      <c r="AU105" s="66">
        <f>IF(Kalk2!$AH$52&gt;AV105,1,0)</f>
        <v>0</v>
      </c>
      <c r="AV105" s="55">
        <v>2150</v>
      </c>
      <c r="AW105" s="66">
        <f>Kalk2!$AH$52</f>
        <v>0</v>
      </c>
      <c r="AX105" s="55" t="s">
        <v>22100</v>
      </c>
      <c r="AY105" s="66">
        <f>AL105*Kalk2!$H$37</f>
        <v>0</v>
      </c>
      <c r="AZ105" s="55" t="s">
        <v>20872</v>
      </c>
    </row>
    <row r="106" spans="2:52" ht="24.95" customHeight="1">
      <c r="B106" s="93">
        <f>IF(AG106=1,AY106,0)</f>
        <v>0</v>
      </c>
      <c r="C106" s="60">
        <v>750</v>
      </c>
      <c r="D106" s="60"/>
      <c r="E106" s="60" t="str">
        <f>VLOOKUP(1600,Sprachindex!$A:$Z,Erhebungsbogen!$Y$20,FALSE)</f>
        <v>[Stk]</v>
      </c>
      <c r="F106" s="60" t="s">
        <v>21918</v>
      </c>
      <c r="G106" s="514" t="str">
        <f>VLOOKUP(1796,Sprachindex!$A:$Z,Erhebungsbogen!$Y$20,FALSE) &amp; " ( " &amp;Preisliste!H86 &amp; " " &amp; VLOOKUP(1744,Sprachindex!$A:$Z,Erhebungsbogen!$Y$20,FALSE) &amp; ")"</f>
        <v>Rundprofil 50-90° exkl. Dichtung, gebohrt und entgratet ( 7,383 kg/Stk)</v>
      </c>
      <c r="H106" s="514"/>
      <c r="I106" s="514"/>
      <c r="J106" s="514"/>
      <c r="K106" s="514"/>
      <c r="L106" s="514"/>
      <c r="M106" s="514"/>
      <c r="N106" s="514"/>
      <c r="O106" s="514"/>
      <c r="P106" s="514"/>
      <c r="Q106" s="514"/>
      <c r="R106" s="514"/>
      <c r="S106" s="514"/>
      <c r="T106" s="514"/>
      <c r="U106" s="352">
        <f>VLOOKUP(F106,Preisliste!C:F,4,FALSE)</f>
        <v>478.05</v>
      </c>
      <c r="V106" s="352">
        <f t="shared" si="16"/>
        <v>0</v>
      </c>
      <c r="W106" s="86"/>
      <c r="X106" s="86"/>
      <c r="Y106" s="86"/>
      <c r="Z106" s="86"/>
      <c r="AA106" s="86"/>
      <c r="AB106" s="86"/>
      <c r="AC106" s="86"/>
      <c r="AD106" s="86"/>
      <c r="AE106" s="86"/>
      <c r="AF106" s="86"/>
      <c r="AG106" s="55">
        <f>IF(AND(AH106=1,AU106=1),1,0)</f>
        <v>1</v>
      </c>
      <c r="AH106" s="66">
        <f>IF(OR(Kalk2!$AA$19=2,Kalk2!$AA$19=3),1,0)</f>
        <v>1</v>
      </c>
      <c r="AI106" s="55">
        <v>50</v>
      </c>
      <c r="AK106" s="55" t="s">
        <v>22079</v>
      </c>
      <c r="AP106" s="66">
        <f>IF(Kalk2!$O$20&gt;0,Kalk2!$O$20,0)</f>
        <v>0</v>
      </c>
      <c r="AQ106" s="55" t="s">
        <v>22121</v>
      </c>
      <c r="AT106" s="55" t="s">
        <v>22079</v>
      </c>
      <c r="AU106" s="66">
        <f>IF(Kalk2!$AI$51=$AV$91,1,0)</f>
        <v>1</v>
      </c>
      <c r="AV106" s="55">
        <v>750</v>
      </c>
      <c r="AX106" s="55" t="s">
        <v>22100</v>
      </c>
      <c r="AY106" s="66">
        <f>AP106*Kalk2!$H$37</f>
        <v>0</v>
      </c>
      <c r="AZ106" s="55" t="s">
        <v>20872</v>
      </c>
    </row>
    <row r="107" spans="2:52" ht="24.95" customHeight="1">
      <c r="B107" s="93">
        <f t="shared" ref="B107:B161" si="26">IF(AG107=1,AY107,0)</f>
        <v>0</v>
      </c>
      <c r="C107" s="60">
        <v>1350</v>
      </c>
      <c r="D107" s="60"/>
      <c r="E107" s="60" t="str">
        <f>VLOOKUP(1600,Sprachindex!$A:$Z,Erhebungsbogen!$Y$20,FALSE)</f>
        <v>[Stk]</v>
      </c>
      <c r="F107" s="60" t="s">
        <v>21919</v>
      </c>
      <c r="G107" s="514" t="str">
        <f>VLOOKUP(1796,Sprachindex!$A:$Z,Erhebungsbogen!$Y$20,FALSE) &amp; " ( " &amp;Preisliste!H87 &amp; " " &amp; VLOOKUP(1744,Sprachindex!$A:$Z,Erhebungsbogen!$Y$20,FALSE) &amp; ")"</f>
        <v>Rundprofil 50-90° exkl. Dichtung, gebohrt und entgratet ( 13,289 kg/Stk)</v>
      </c>
      <c r="H107" s="514"/>
      <c r="I107" s="514"/>
      <c r="J107" s="514"/>
      <c r="K107" s="514"/>
      <c r="L107" s="514"/>
      <c r="M107" s="514"/>
      <c r="N107" s="514"/>
      <c r="O107" s="514"/>
      <c r="P107" s="514"/>
      <c r="Q107" s="514"/>
      <c r="R107" s="514"/>
      <c r="S107" s="514"/>
      <c r="T107" s="514"/>
      <c r="U107" s="352">
        <f>VLOOKUP(F107,Preisliste!C:F,4,FALSE)</f>
        <v>557.4</v>
      </c>
      <c r="V107" s="352">
        <f t="shared" si="16"/>
        <v>0</v>
      </c>
      <c r="W107" s="86"/>
      <c r="X107" s="86"/>
      <c r="Y107" s="86"/>
      <c r="Z107" s="86"/>
      <c r="AA107" s="86"/>
      <c r="AB107" s="86"/>
      <c r="AC107" s="86"/>
      <c r="AD107" s="86"/>
      <c r="AE107" s="86"/>
      <c r="AF107" s="86"/>
      <c r="AG107" s="55">
        <f>IF(AND(AH107=1,AP107&gt;0,AU107=1),1,0)</f>
        <v>0</v>
      </c>
      <c r="AH107" s="66">
        <f>IF(OR(Kalk2!$AA$19=2,Kalk2!$AA$19=3),1,0)</f>
        <v>1</v>
      </c>
      <c r="AI107" s="55">
        <v>50</v>
      </c>
      <c r="AK107" s="55" t="s">
        <v>22079</v>
      </c>
      <c r="AP107" s="66">
        <f>IF(Kalk2!$O$20&gt;0,Kalk2!$O$20,0)</f>
        <v>0</v>
      </c>
      <c r="AQ107" s="55" t="s">
        <v>22121</v>
      </c>
      <c r="AT107" s="55" t="s">
        <v>22079</v>
      </c>
      <c r="AU107" s="66">
        <f>IF(Kalk2!$AI$51=AV107,1,0)</f>
        <v>0</v>
      </c>
      <c r="AV107" s="55">
        <v>1350</v>
      </c>
      <c r="AX107" s="55" t="s">
        <v>22100</v>
      </c>
      <c r="AY107" s="66">
        <f>AP107*Kalk2!$H$37</f>
        <v>0</v>
      </c>
      <c r="AZ107" s="55" t="s">
        <v>20872</v>
      </c>
    </row>
    <row r="108" spans="2:52" ht="24.95" customHeight="1">
      <c r="B108" s="93">
        <f t="shared" si="26"/>
        <v>0</v>
      </c>
      <c r="C108" s="60">
        <v>1750</v>
      </c>
      <c r="D108" s="60"/>
      <c r="E108" s="60" t="str">
        <f>VLOOKUP(1600,Sprachindex!$A:$Z,Erhebungsbogen!$Y$20,FALSE)</f>
        <v>[Stk]</v>
      </c>
      <c r="F108" s="60" t="s">
        <v>21920</v>
      </c>
      <c r="G108" s="514" t="str">
        <f>VLOOKUP(1796,Sprachindex!$A:$Z,Erhebungsbogen!$Y$20,FALSE) &amp; " ( " &amp;Preisliste!H88 &amp; " " &amp; VLOOKUP(1744,Sprachindex!$A:$Z,Erhebungsbogen!$Y$20,FALSE) &amp; ")"</f>
        <v>Rundprofil 50-90° exkl. Dichtung, gebohrt und entgratet ( 17,227 kg/Stk)</v>
      </c>
      <c r="H108" s="514"/>
      <c r="I108" s="514"/>
      <c r="J108" s="514"/>
      <c r="K108" s="514"/>
      <c r="L108" s="514"/>
      <c r="M108" s="514"/>
      <c r="N108" s="514"/>
      <c r="O108" s="514"/>
      <c r="P108" s="514"/>
      <c r="Q108" s="514"/>
      <c r="R108" s="514"/>
      <c r="S108" s="514"/>
      <c r="T108" s="514"/>
      <c r="U108" s="352">
        <f>VLOOKUP(F108,Preisliste!C:F,4,FALSE)</f>
        <v>610.25</v>
      </c>
      <c r="V108" s="352">
        <f t="shared" si="16"/>
        <v>0</v>
      </c>
      <c r="W108" s="86"/>
      <c r="X108" s="86"/>
      <c r="Y108" s="86"/>
      <c r="Z108" s="86"/>
      <c r="AA108" s="86"/>
      <c r="AB108" s="86"/>
      <c r="AC108" s="86"/>
      <c r="AD108" s="86"/>
      <c r="AE108" s="86"/>
      <c r="AF108" s="86"/>
      <c r="AG108" s="55">
        <f t="shared" ref="AG108:AG160" si="27">IF(AND(AH108=1,AU108=1),1,0)</f>
        <v>0</v>
      </c>
      <c r="AH108" s="66">
        <f>IF(OR(Kalk2!$AA$19=2,Kalk2!$AA$19=3),1,0)</f>
        <v>1</v>
      </c>
      <c r="AI108" s="55">
        <v>50</v>
      </c>
      <c r="AK108" s="55" t="s">
        <v>22079</v>
      </c>
      <c r="AP108" s="66">
        <f>IF(Kalk2!$O$20&gt;0,Kalk2!$O$20,0)</f>
        <v>0</v>
      </c>
      <c r="AQ108" s="55" t="s">
        <v>22121</v>
      </c>
      <c r="AT108" s="55" t="s">
        <v>22079</v>
      </c>
      <c r="AU108" s="66">
        <f>IF(Kalk2!$AI$51=AV108,1,0)</f>
        <v>0</v>
      </c>
      <c r="AV108" s="55">
        <v>1750</v>
      </c>
      <c r="AX108" s="55" t="s">
        <v>22100</v>
      </c>
      <c r="AY108" s="66">
        <f>AP108*Kalk2!$H$37</f>
        <v>0</v>
      </c>
      <c r="AZ108" s="55" t="s">
        <v>20872</v>
      </c>
    </row>
    <row r="109" spans="2:52" ht="24.95" customHeight="1">
      <c r="B109" s="93">
        <f t="shared" si="26"/>
        <v>0</v>
      </c>
      <c r="C109" s="60">
        <v>2150</v>
      </c>
      <c r="D109" s="60"/>
      <c r="E109" s="60" t="str">
        <f>VLOOKUP(1600,Sprachindex!$A:$Z,Erhebungsbogen!$Y$20,FALSE)</f>
        <v>[Stk]</v>
      </c>
      <c r="F109" s="60" t="s">
        <v>21921</v>
      </c>
      <c r="G109" s="514" t="str">
        <f>VLOOKUP(1796,Sprachindex!$A:$Z,Erhebungsbogen!$Y$20,FALSE) &amp; " ( " &amp;Preisliste!H89 &amp; " " &amp; VLOOKUP(1744,Sprachindex!$A:$Z,Erhebungsbogen!$Y$20,FALSE) &amp; ")"</f>
        <v>Rundprofil 50-90° exkl. Dichtung, gebohrt und entgratet ( 21,165 kg/Stk)</v>
      </c>
      <c r="H109" s="514"/>
      <c r="I109" s="514"/>
      <c r="J109" s="514"/>
      <c r="K109" s="514"/>
      <c r="L109" s="514"/>
      <c r="M109" s="514"/>
      <c r="N109" s="514"/>
      <c r="O109" s="514"/>
      <c r="P109" s="514"/>
      <c r="Q109" s="514"/>
      <c r="R109" s="514"/>
      <c r="S109" s="514"/>
      <c r="T109" s="514"/>
      <c r="U109" s="352">
        <f>VLOOKUP(F109,Preisliste!C:F,4,FALSE)</f>
        <v>663.3</v>
      </c>
      <c r="V109" s="352">
        <f t="shared" si="16"/>
        <v>0</v>
      </c>
      <c r="W109" s="86"/>
      <c r="X109" s="86"/>
      <c r="Y109" s="86"/>
      <c r="Z109" s="86"/>
      <c r="AA109" s="86"/>
      <c r="AB109" s="86"/>
      <c r="AC109" s="86"/>
      <c r="AD109" s="86"/>
      <c r="AE109" s="86"/>
      <c r="AF109" s="86"/>
      <c r="AG109" s="55">
        <f t="shared" si="27"/>
        <v>0</v>
      </c>
      <c r="AH109" s="66">
        <f>IF(OR(Kalk2!$AA$19=2,Kalk2!$AA$19=3),1,0)</f>
        <v>1</v>
      </c>
      <c r="AI109" s="55">
        <v>50</v>
      </c>
      <c r="AK109" s="55" t="s">
        <v>22079</v>
      </c>
      <c r="AP109" s="66">
        <f>IF(Kalk2!$O$20&gt;0,Kalk2!$O$20,0)</f>
        <v>0</v>
      </c>
      <c r="AQ109" s="55" t="s">
        <v>22121</v>
      </c>
      <c r="AT109" s="55" t="s">
        <v>22079</v>
      </c>
      <c r="AU109" s="66">
        <f>IF(Kalk2!$AI$51=AV109,1,0)</f>
        <v>0</v>
      </c>
      <c r="AV109" s="55">
        <v>2150</v>
      </c>
      <c r="AX109" s="55" t="s">
        <v>22100</v>
      </c>
      <c r="AY109" s="66">
        <f>AP109*Kalk2!$H$37</f>
        <v>0</v>
      </c>
      <c r="AZ109" s="55" t="s">
        <v>20872</v>
      </c>
    </row>
    <row r="110" spans="2:52" ht="24.95" customHeight="1">
      <c r="B110" s="93">
        <f t="shared" si="26"/>
        <v>0</v>
      </c>
      <c r="C110" s="60">
        <f>IF(AG110=1,AW110,0)</f>
        <v>0</v>
      </c>
      <c r="D110" s="60"/>
      <c r="E110" s="60" t="str">
        <f>VLOOKUP(1600,Sprachindex!$A:$Z,Erhebungsbogen!$Y$20,FALSE)</f>
        <v>[Stk]</v>
      </c>
      <c r="F110" s="60" t="s">
        <v>21826</v>
      </c>
      <c r="G110" s="514" t="str">
        <f>VLOOKUP(1797,Sprachindex!$A:$Z,Erhebungsbogen!$Y$20,FALSE) &amp; " (" &amp; ROUNDUP(C110/1000*Preisliste!I90,2) &amp; " " &amp; VLOOKUP(1744,Sprachindex!$A:$Z,Erhebungsbogen!$Y$20,FALSE) &amp; ")"</f>
        <v>Rundprofil 50-90° Sonderlänge exkl. Dichtung, (Stangenware) (0 kg/Stk)</v>
      </c>
      <c r="H110" s="514"/>
      <c r="I110" s="514"/>
      <c r="J110" s="514"/>
      <c r="K110" s="514"/>
      <c r="L110" s="514"/>
      <c r="M110" s="514"/>
      <c r="N110" s="514"/>
      <c r="O110" s="514"/>
      <c r="P110" s="514"/>
      <c r="Q110" s="514"/>
      <c r="R110" s="514"/>
      <c r="S110" s="514"/>
      <c r="T110" s="514"/>
      <c r="U110" s="354">
        <f>VLOOKUP(F110,Preisliste!C:F,4,FALSE)</f>
        <v>0</v>
      </c>
      <c r="V110" s="352">
        <f>U110*C110*B110/1000</f>
        <v>0</v>
      </c>
      <c r="W110" s="86"/>
      <c r="X110" s="86"/>
      <c r="Y110" s="86"/>
      <c r="Z110" s="86"/>
      <c r="AA110" s="86"/>
      <c r="AB110" s="86"/>
      <c r="AC110" s="86"/>
      <c r="AD110" s="86"/>
      <c r="AE110" s="86"/>
      <c r="AF110" s="86"/>
      <c r="AG110" s="55">
        <f t="shared" si="27"/>
        <v>0</v>
      </c>
      <c r="AH110" s="66">
        <f>IF(OR(Kalk2!$AA$19=2,Kalk2!$AA$19=3),1,0)</f>
        <v>1</v>
      </c>
      <c r="AI110" s="55">
        <v>50</v>
      </c>
      <c r="AK110" s="55" t="s">
        <v>22079</v>
      </c>
      <c r="AP110" s="66">
        <f>IF(Kalk2!$O$20&gt;0,Kalk2!$O$20,0)</f>
        <v>0</v>
      </c>
      <c r="AQ110" s="55" t="s">
        <v>22121</v>
      </c>
      <c r="AT110" s="55" t="s">
        <v>22079</v>
      </c>
      <c r="AU110" s="66">
        <f>IF(Kalk2!$AH$52&gt;AV110,1,0)</f>
        <v>0</v>
      </c>
      <c r="AV110" s="55">
        <v>2150</v>
      </c>
      <c r="AW110" s="66">
        <f>Kalk2!$AH$52</f>
        <v>0</v>
      </c>
      <c r="AX110" s="55" t="s">
        <v>22100</v>
      </c>
      <c r="AY110" s="66">
        <f>AP110*Kalk2!$H$37</f>
        <v>0</v>
      </c>
      <c r="AZ110" s="55" t="s">
        <v>20872</v>
      </c>
    </row>
    <row r="111" spans="2:52" ht="24.95" customHeight="1">
      <c r="B111" s="93">
        <f t="shared" si="26"/>
        <v>0</v>
      </c>
      <c r="C111" s="60">
        <v>750</v>
      </c>
      <c r="D111" s="60"/>
      <c r="E111" s="60" t="str">
        <f>VLOOKUP(1600,Sprachindex!$A:$Z,Erhebungsbogen!$Y$20,FALSE)</f>
        <v>[Stk]</v>
      </c>
      <c r="F111" s="60" t="s">
        <v>21922</v>
      </c>
      <c r="G111" s="514" t="str">
        <f>VLOOKUP(1804,Sprachindex!$A:$Z,Erhebungsbogen!$Y$20,FALSE) &amp; " ( " &amp;Preisliste!H91 &amp; " " &amp; VLOOKUP(1744,Sprachindex!$A:$Z,Erhebungsbogen!$Y$20,FALSE) &amp; ")"</f>
        <v>Rundprofil 80-90° exkl. Dichtung, gebohrt und entgratet ( 11,264 kg/Stk)</v>
      </c>
      <c r="H111" s="514"/>
      <c r="I111" s="514"/>
      <c r="J111" s="514"/>
      <c r="K111" s="514"/>
      <c r="L111" s="514"/>
      <c r="M111" s="514"/>
      <c r="N111" s="514"/>
      <c r="O111" s="514"/>
      <c r="P111" s="514"/>
      <c r="Q111" s="514"/>
      <c r="R111" s="514"/>
      <c r="S111" s="514"/>
      <c r="T111" s="514"/>
      <c r="U111" s="352">
        <f>VLOOKUP(F111,Preisliste!C:F,4,FALSE)</f>
        <v>544.6</v>
      </c>
      <c r="V111" s="352">
        <f t="shared" si="16"/>
        <v>0</v>
      </c>
      <c r="W111" s="86"/>
      <c r="X111" s="86"/>
      <c r="Y111" s="86"/>
      <c r="Z111" s="86"/>
      <c r="AA111" s="86"/>
      <c r="AB111" s="86"/>
      <c r="AC111" s="86"/>
      <c r="AD111" s="86"/>
      <c r="AE111" s="86"/>
      <c r="AF111" s="86"/>
      <c r="AG111" s="55">
        <f t="shared" si="27"/>
        <v>0</v>
      </c>
      <c r="AH111" s="66">
        <f>IF(Kalk2!$AA$19=4,1,0)</f>
        <v>0</v>
      </c>
      <c r="AI111" s="55">
        <v>80</v>
      </c>
      <c r="AK111" s="55" t="s">
        <v>22079</v>
      </c>
      <c r="AP111" s="66">
        <f>IF(Kalk2!$O$20&gt;0,Kalk2!$O$20,0)</f>
        <v>0</v>
      </c>
      <c r="AQ111" s="55" t="s">
        <v>22121</v>
      </c>
      <c r="AT111" s="55" t="s">
        <v>22079</v>
      </c>
      <c r="AU111" s="66">
        <f>IF(Kalk2!$AI$51=$AV$91,1,0)</f>
        <v>1</v>
      </c>
      <c r="AV111" s="55">
        <v>750</v>
      </c>
      <c r="AX111" s="55" t="s">
        <v>22100</v>
      </c>
      <c r="AY111" s="66">
        <f>AP111*Kalk2!$H$37</f>
        <v>0</v>
      </c>
      <c r="AZ111" s="55" t="s">
        <v>20872</v>
      </c>
    </row>
    <row r="112" spans="2:52" ht="24.95" customHeight="1">
      <c r="B112" s="93">
        <f t="shared" si="26"/>
        <v>0</v>
      </c>
      <c r="C112" s="60">
        <v>1350</v>
      </c>
      <c r="D112" s="60"/>
      <c r="E112" s="60" t="str">
        <f>VLOOKUP(1600,Sprachindex!$A:$Z,Erhebungsbogen!$Y$20,FALSE)</f>
        <v>[Stk]</v>
      </c>
      <c r="F112" s="60" t="s">
        <v>21923</v>
      </c>
      <c r="G112" s="514" t="str">
        <f>VLOOKUP(1804,Sprachindex!$A:$Z,Erhebungsbogen!$Y$20,FALSE) &amp; " ( " &amp;Preisliste!H92 &amp; " " &amp; VLOOKUP(1744,Sprachindex!$A:$Z,Erhebungsbogen!$Y$20,FALSE) &amp; ")"</f>
        <v>Rundprofil 80-90° exkl. Dichtung, gebohrt und entgratet ( 20,276 kg/Stk)</v>
      </c>
      <c r="H112" s="514"/>
      <c r="I112" s="514"/>
      <c r="J112" s="514"/>
      <c r="K112" s="514"/>
      <c r="L112" s="514"/>
      <c r="M112" s="514"/>
      <c r="N112" s="514"/>
      <c r="O112" s="514"/>
      <c r="P112" s="514"/>
      <c r="Q112" s="514"/>
      <c r="R112" s="514"/>
      <c r="S112" s="514"/>
      <c r="T112" s="514"/>
      <c r="U112" s="352">
        <f>VLOOKUP(F112,Preisliste!C:F,4,FALSE)</f>
        <v>682.6</v>
      </c>
      <c r="V112" s="352">
        <f t="shared" si="16"/>
        <v>0</v>
      </c>
      <c r="W112" s="86"/>
      <c r="X112" s="86"/>
      <c r="Y112" s="86"/>
      <c r="Z112" s="86"/>
      <c r="AA112" s="86"/>
      <c r="AB112" s="86"/>
      <c r="AC112" s="86"/>
      <c r="AD112" s="86"/>
      <c r="AE112" s="86"/>
      <c r="AF112" s="86"/>
      <c r="AG112" s="55">
        <f t="shared" si="27"/>
        <v>0</v>
      </c>
      <c r="AH112" s="66">
        <f>IF(Kalk2!$AA$19=4,1,0)</f>
        <v>0</v>
      </c>
      <c r="AI112" s="55">
        <v>80</v>
      </c>
      <c r="AK112" s="55" t="s">
        <v>22079</v>
      </c>
      <c r="AP112" s="66">
        <f>IF(Kalk2!$O$20&gt;0,Kalk2!$O$20,0)</f>
        <v>0</v>
      </c>
      <c r="AQ112" s="55" t="s">
        <v>22121</v>
      </c>
      <c r="AT112" s="55" t="s">
        <v>22079</v>
      </c>
      <c r="AU112" s="66">
        <f>IF(Kalk2!$AI$51=AV112,1,0)</f>
        <v>0</v>
      </c>
      <c r="AV112" s="55">
        <v>1350</v>
      </c>
      <c r="AX112" s="55" t="s">
        <v>22100</v>
      </c>
      <c r="AY112" s="66">
        <f>AP112*Kalk2!$H$37</f>
        <v>0</v>
      </c>
      <c r="AZ112" s="55" t="s">
        <v>20872</v>
      </c>
    </row>
    <row r="113" spans="2:52" ht="24.95" customHeight="1">
      <c r="B113" s="93">
        <f t="shared" si="26"/>
        <v>0</v>
      </c>
      <c r="C113" s="60">
        <v>1750</v>
      </c>
      <c r="D113" s="60"/>
      <c r="E113" s="60" t="str">
        <f>VLOOKUP(1600,Sprachindex!$A:$Z,Erhebungsbogen!$Y$20,FALSE)</f>
        <v>[Stk]</v>
      </c>
      <c r="F113" s="60" t="s">
        <v>21924</v>
      </c>
      <c r="G113" s="514" t="str">
        <f>VLOOKUP(1804,Sprachindex!$A:$Z,Erhebungsbogen!$Y$20,FALSE) &amp; " ( " &amp;Preisliste!H93 &amp; " " &amp; VLOOKUP(1744,Sprachindex!$A:$Z,Erhebungsbogen!$Y$20,FALSE) &amp; ")"</f>
        <v>Rundprofil 80-90° exkl. Dichtung, gebohrt und entgratet ( 26,283 kg/Stk)</v>
      </c>
      <c r="H113" s="514"/>
      <c r="I113" s="514"/>
      <c r="J113" s="514"/>
      <c r="K113" s="514"/>
      <c r="L113" s="514"/>
      <c r="M113" s="514"/>
      <c r="N113" s="514"/>
      <c r="O113" s="514"/>
      <c r="P113" s="514"/>
      <c r="Q113" s="514"/>
      <c r="R113" s="514"/>
      <c r="S113" s="514"/>
      <c r="T113" s="514"/>
      <c r="U113" s="352">
        <f>VLOOKUP(F113,Preisliste!C:F,4,FALSE)</f>
        <v>774.8</v>
      </c>
      <c r="V113" s="352">
        <f t="shared" si="16"/>
        <v>0</v>
      </c>
      <c r="W113" s="86"/>
      <c r="X113" s="86"/>
      <c r="Y113" s="86"/>
      <c r="Z113" s="86"/>
      <c r="AA113" s="86"/>
      <c r="AB113" s="86"/>
      <c r="AC113" s="86"/>
      <c r="AD113" s="86"/>
      <c r="AE113" s="86"/>
      <c r="AF113" s="86"/>
      <c r="AG113" s="55">
        <f t="shared" si="27"/>
        <v>0</v>
      </c>
      <c r="AH113" s="66">
        <f>IF(Kalk2!$AA$19=4,1,0)</f>
        <v>0</v>
      </c>
      <c r="AI113" s="55">
        <v>80</v>
      </c>
      <c r="AK113" s="55" t="s">
        <v>22079</v>
      </c>
      <c r="AP113" s="66">
        <f>IF(Kalk2!$O$20&gt;0,Kalk2!$O$20,0)</f>
        <v>0</v>
      </c>
      <c r="AQ113" s="55" t="s">
        <v>22121</v>
      </c>
      <c r="AT113" s="55" t="s">
        <v>22079</v>
      </c>
      <c r="AU113" s="66">
        <f>IF(Kalk2!$AI$51=AV113,1,0)</f>
        <v>0</v>
      </c>
      <c r="AV113" s="55">
        <v>1750</v>
      </c>
      <c r="AX113" s="55" t="s">
        <v>22100</v>
      </c>
      <c r="AY113" s="66">
        <f>AP113*Kalk2!$H$37</f>
        <v>0</v>
      </c>
      <c r="AZ113" s="55" t="s">
        <v>20872</v>
      </c>
    </row>
    <row r="114" spans="2:52" ht="24.95" customHeight="1">
      <c r="B114" s="93">
        <f t="shared" si="26"/>
        <v>0</v>
      </c>
      <c r="C114" s="60">
        <v>2150</v>
      </c>
      <c r="D114" s="60"/>
      <c r="E114" s="60" t="str">
        <f>VLOOKUP(1600,Sprachindex!$A:$Z,Erhebungsbogen!$Y$20,FALSE)</f>
        <v>[Stk]</v>
      </c>
      <c r="F114" s="60" t="s">
        <v>21925</v>
      </c>
      <c r="G114" s="514" t="str">
        <f>VLOOKUP(1804,Sprachindex!$A:$Z,Erhebungsbogen!$Y$20,FALSE) &amp; " ( " &amp;Preisliste!H94 &amp; " " &amp; VLOOKUP(1744,Sprachindex!$A:$Z,Erhebungsbogen!$Y$20,FALSE) &amp; ")"</f>
        <v>Rundprofil 80-90° exkl. Dichtung, gebohrt und entgratet ( 32,291 kg/Stk)</v>
      </c>
      <c r="H114" s="514"/>
      <c r="I114" s="514"/>
      <c r="J114" s="514"/>
      <c r="K114" s="514"/>
      <c r="L114" s="514"/>
      <c r="M114" s="514"/>
      <c r="N114" s="514"/>
      <c r="O114" s="514"/>
      <c r="P114" s="514"/>
      <c r="Q114" s="514"/>
      <c r="R114" s="514"/>
      <c r="S114" s="514"/>
      <c r="T114" s="514"/>
      <c r="U114" s="352">
        <f>VLOOKUP(F114,Preisliste!C:F,4,FALSE)</f>
        <v>866.75</v>
      </c>
      <c r="V114" s="352">
        <f t="shared" si="16"/>
        <v>0</v>
      </c>
      <c r="W114" s="86"/>
      <c r="X114" s="86"/>
      <c r="Y114" s="86"/>
      <c r="Z114" s="86"/>
      <c r="AA114" s="86"/>
      <c r="AB114" s="86"/>
      <c r="AC114" s="86"/>
      <c r="AD114" s="86"/>
      <c r="AE114" s="86"/>
      <c r="AF114" s="86"/>
      <c r="AG114" s="55">
        <f t="shared" si="27"/>
        <v>0</v>
      </c>
      <c r="AH114" s="66">
        <f>IF(Kalk2!$AA$19=4,1,0)</f>
        <v>0</v>
      </c>
      <c r="AI114" s="55">
        <v>80</v>
      </c>
      <c r="AK114" s="55" t="s">
        <v>22079</v>
      </c>
      <c r="AP114" s="66">
        <f>IF(Kalk2!$O$20&gt;0,Kalk2!$O$20,0)</f>
        <v>0</v>
      </c>
      <c r="AQ114" s="55" t="s">
        <v>22121</v>
      </c>
      <c r="AT114" s="55" t="s">
        <v>22079</v>
      </c>
      <c r="AU114" s="66">
        <f>IF(Kalk2!$AI$51=AV114,1,0)</f>
        <v>0</v>
      </c>
      <c r="AV114" s="55">
        <v>2150</v>
      </c>
      <c r="AX114" s="55" t="s">
        <v>22100</v>
      </c>
      <c r="AY114" s="66">
        <f>AP114*Kalk2!$H$37</f>
        <v>0</v>
      </c>
      <c r="AZ114" s="55" t="s">
        <v>20872</v>
      </c>
    </row>
    <row r="115" spans="2:52" ht="24.95" customHeight="1">
      <c r="B115" s="93">
        <f t="shared" si="26"/>
        <v>0</v>
      </c>
      <c r="C115" s="60">
        <f>IF(AG115=1,AW115,0)</f>
        <v>0</v>
      </c>
      <c r="D115" s="60"/>
      <c r="E115" s="60" t="str">
        <f>VLOOKUP(1600,Sprachindex!$A:$Z,Erhebungsbogen!$Y$20,FALSE)</f>
        <v>[Stk]</v>
      </c>
      <c r="F115" s="60" t="s">
        <v>21826</v>
      </c>
      <c r="G115" s="514" t="str">
        <f>VLOOKUP(1805,Sprachindex!$A:$Z,Erhebungsbogen!$Y$20,FALSE) &amp; " (" &amp; ROUNDUP(C115/1000*Preisliste!I95,2) &amp; " " &amp; VLOOKUP(1744,Sprachindex!$A:$Z,Erhebungsbogen!$Y$20,FALSE) &amp; ")"</f>
        <v>Rundprofil 80-90° Sonderlänge exkl. Dichtung, (Stangenware) (0 kg/Stk)</v>
      </c>
      <c r="H115" s="514"/>
      <c r="I115" s="514"/>
      <c r="J115" s="514"/>
      <c r="K115" s="514"/>
      <c r="L115" s="514"/>
      <c r="M115" s="514"/>
      <c r="N115" s="514"/>
      <c r="O115" s="514"/>
      <c r="P115" s="514"/>
      <c r="Q115" s="514"/>
      <c r="R115" s="514"/>
      <c r="S115" s="514"/>
      <c r="T115" s="514"/>
      <c r="U115" s="354">
        <f>VLOOKUP(F115,Preisliste!C:F,4,FALSE)</f>
        <v>0</v>
      </c>
      <c r="V115" s="352">
        <f>U115*C115*B115/1000</f>
        <v>0</v>
      </c>
      <c r="W115" s="86"/>
      <c r="X115" s="86"/>
      <c r="Y115" s="86"/>
      <c r="Z115" s="86"/>
      <c r="AA115" s="86"/>
      <c r="AB115" s="86"/>
      <c r="AC115" s="86"/>
      <c r="AD115" s="86"/>
      <c r="AE115" s="86"/>
      <c r="AF115" s="86"/>
      <c r="AG115" s="55">
        <f t="shared" si="27"/>
        <v>0</v>
      </c>
      <c r="AH115" s="66">
        <f>IF(Kalk2!$AA$19=4,1,0)</f>
        <v>0</v>
      </c>
      <c r="AI115" s="55">
        <v>80</v>
      </c>
      <c r="AK115" s="55" t="s">
        <v>22079</v>
      </c>
      <c r="AP115" s="66">
        <f>IF(Kalk2!$O$20&gt;0,Kalk2!$O$20,0)</f>
        <v>0</v>
      </c>
      <c r="AQ115" s="55" t="s">
        <v>22121</v>
      </c>
      <c r="AT115" s="55" t="s">
        <v>22079</v>
      </c>
      <c r="AU115" s="66">
        <f>IF(Kalk2!$AH$52&gt;AV115,1,0)</f>
        <v>0</v>
      </c>
      <c r="AV115" s="55">
        <v>2150</v>
      </c>
      <c r="AW115" s="66">
        <f>Kalk2!$AH$52</f>
        <v>0</v>
      </c>
      <c r="AX115" s="55" t="s">
        <v>22100</v>
      </c>
      <c r="AY115" s="66">
        <f>AP115*Kalk2!$H$37</f>
        <v>0</v>
      </c>
      <c r="AZ115" s="55" t="s">
        <v>20872</v>
      </c>
    </row>
    <row r="116" spans="2:52" ht="24.95" customHeight="1">
      <c r="B116" s="93">
        <f t="shared" si="26"/>
        <v>0</v>
      </c>
      <c r="C116" s="60">
        <v>750</v>
      </c>
      <c r="D116" s="60"/>
      <c r="E116" s="60" t="str">
        <f>VLOOKUP(1600,Sprachindex!$A:$Z,Erhebungsbogen!$Y$20,FALSE)</f>
        <v>[Stk]</v>
      </c>
      <c r="F116" s="60" t="s">
        <v>21926</v>
      </c>
      <c r="G116" s="514" t="str">
        <f>VLOOKUP(2129,Sprachindex!$A:$Z,Erhebungsbogen!$Y$20,FALSE) &amp; " ( " &amp;Preisliste!H96 &amp; " " &amp; VLOOKUP(1744,Sprachindex!$A:$Z,Erhebungsbogen!$Y$20,FALSE) &amp; ")"</f>
        <v>Rundprofil 50-Vario 15° exkl. Dichtung, gebohrt und entgratet ( 15,651 kg/Stk)</v>
      </c>
      <c r="H116" s="514"/>
      <c r="I116" s="514"/>
      <c r="J116" s="514"/>
      <c r="K116" s="514"/>
      <c r="L116" s="514"/>
      <c r="M116" s="514"/>
      <c r="N116" s="514"/>
      <c r="O116" s="514"/>
      <c r="P116" s="514"/>
      <c r="Q116" s="514"/>
      <c r="R116" s="514"/>
      <c r="S116" s="514"/>
      <c r="T116" s="514"/>
      <c r="U116" s="352">
        <f>VLOOKUP(F116,Preisliste!C:F,4,FALSE)</f>
        <v>805.1</v>
      </c>
      <c r="V116" s="352">
        <f t="shared" si="16"/>
        <v>0</v>
      </c>
      <c r="W116" s="86"/>
      <c r="X116" s="86"/>
      <c r="Y116" s="86"/>
      <c r="Z116" s="86"/>
      <c r="AA116" s="86"/>
      <c r="AB116" s="86"/>
      <c r="AC116" s="86"/>
      <c r="AD116" s="86"/>
      <c r="AE116" s="86"/>
      <c r="AF116" s="86"/>
      <c r="AG116" s="55">
        <f t="shared" si="27"/>
        <v>1</v>
      </c>
      <c r="AH116" s="66">
        <f>IF(OR(Kalk2!$AA$19=2,Kalk2!$AA$19=3),1,0)</f>
        <v>1</v>
      </c>
      <c r="AI116" s="55">
        <v>50</v>
      </c>
      <c r="AK116" s="55" t="s">
        <v>22079</v>
      </c>
      <c r="AP116" s="66">
        <f>IF(AND(Kalk2!$O$21&gt;0,Kalk2!$N$21="15°"),Kalk2!$O$21,0)</f>
        <v>0</v>
      </c>
      <c r="AQ116" s="55" t="s">
        <v>22087</v>
      </c>
      <c r="AT116" s="55" t="s">
        <v>22079</v>
      </c>
      <c r="AU116" s="66">
        <f>IF(Kalk2!$AI$51=$AV$91,1,0)</f>
        <v>1</v>
      </c>
      <c r="AV116" s="55">
        <v>750</v>
      </c>
      <c r="AX116" s="55" t="s">
        <v>22100</v>
      </c>
      <c r="AY116" s="66">
        <f>AP116*Kalk2!$H$37</f>
        <v>0</v>
      </c>
      <c r="AZ116" s="55" t="s">
        <v>20872</v>
      </c>
    </row>
    <row r="117" spans="2:52" ht="24.95" customHeight="1">
      <c r="B117" s="93">
        <f t="shared" si="26"/>
        <v>0</v>
      </c>
      <c r="C117" s="60">
        <v>1350</v>
      </c>
      <c r="D117" s="60"/>
      <c r="E117" s="60" t="str">
        <f>VLOOKUP(1600,Sprachindex!$A:$Z,Erhebungsbogen!$Y$20,FALSE)</f>
        <v>[Stk]</v>
      </c>
      <c r="F117" s="60" t="s">
        <v>21927</v>
      </c>
      <c r="G117" s="514" t="str">
        <f>VLOOKUP(2129,Sprachindex!$A:$Z,Erhebungsbogen!$Y$20,FALSE) &amp; " ( " &amp;Preisliste!H97 &amp; " " &amp; VLOOKUP(1744,Sprachindex!$A:$Z,Erhebungsbogen!$Y$20,FALSE) &amp; ")"</f>
        <v>Rundprofil 50-Vario 15° exkl. Dichtung, gebohrt und entgratet ( 28,172 kg/Stk)</v>
      </c>
      <c r="H117" s="514"/>
      <c r="I117" s="514"/>
      <c r="J117" s="514"/>
      <c r="K117" s="514"/>
      <c r="L117" s="514"/>
      <c r="M117" s="514"/>
      <c r="N117" s="514"/>
      <c r="O117" s="514"/>
      <c r="P117" s="514"/>
      <c r="Q117" s="514"/>
      <c r="R117" s="514"/>
      <c r="S117" s="514"/>
      <c r="T117" s="514"/>
      <c r="U117" s="352">
        <f>VLOOKUP(F117,Preisliste!C:F,4,FALSE)</f>
        <v>988.05</v>
      </c>
      <c r="V117" s="352">
        <f t="shared" si="16"/>
        <v>0</v>
      </c>
      <c r="W117" s="86"/>
      <c r="X117" s="86"/>
      <c r="Y117" s="86"/>
      <c r="Z117" s="86"/>
      <c r="AA117" s="86"/>
      <c r="AB117" s="86"/>
      <c r="AC117" s="86"/>
      <c r="AD117" s="86"/>
      <c r="AE117" s="86"/>
      <c r="AF117" s="86"/>
      <c r="AG117" s="55">
        <f>IF(AND(AH117=1,AP117&gt;0,AU117=1),1,0)</f>
        <v>0</v>
      </c>
      <c r="AH117" s="66">
        <f>IF(OR(Kalk2!$AA$19=2,Kalk2!$AA$19=3),1,0)</f>
        <v>1</v>
      </c>
      <c r="AI117" s="55">
        <v>50</v>
      </c>
      <c r="AK117" s="55" t="s">
        <v>22079</v>
      </c>
      <c r="AP117" s="66">
        <f>IF(AND(Kalk2!$O$21&gt;0,Kalk2!$N$21="15°"),Kalk2!$O$21,0)</f>
        <v>0</v>
      </c>
      <c r="AQ117" s="55" t="s">
        <v>22087</v>
      </c>
      <c r="AT117" s="55" t="s">
        <v>22079</v>
      </c>
      <c r="AU117" s="66">
        <f>IF(Kalk2!$AI$51=AV117,1,0)</f>
        <v>0</v>
      </c>
      <c r="AV117" s="55">
        <v>1350</v>
      </c>
      <c r="AX117" s="55" t="s">
        <v>22100</v>
      </c>
      <c r="AY117" s="66">
        <f>AP117*Kalk2!$H$37</f>
        <v>0</v>
      </c>
      <c r="AZ117" s="55" t="s">
        <v>20872</v>
      </c>
    </row>
    <row r="118" spans="2:52" ht="24.95" customHeight="1">
      <c r="B118" s="93">
        <f t="shared" si="26"/>
        <v>0</v>
      </c>
      <c r="C118" s="60">
        <v>1750</v>
      </c>
      <c r="D118" s="60"/>
      <c r="E118" s="60" t="str">
        <f>VLOOKUP(1600,Sprachindex!$A:$Z,Erhebungsbogen!$Y$20,FALSE)</f>
        <v>[Stk]</v>
      </c>
      <c r="F118" s="60" t="s">
        <v>21928</v>
      </c>
      <c r="G118" s="514" t="str">
        <f>VLOOKUP(2129,Sprachindex!$A:$Z,Erhebungsbogen!$Y$20,FALSE) &amp; " ( " &amp;Preisliste!H98 &amp; " " &amp; VLOOKUP(1744,Sprachindex!$A:$Z,Erhebungsbogen!$Y$20,FALSE) &amp; ")"</f>
        <v>Rundprofil 50-Vario 15° exkl. Dichtung, gebohrt und entgratet ( 36,519 kg/Stk)</v>
      </c>
      <c r="H118" s="514"/>
      <c r="I118" s="514"/>
      <c r="J118" s="514"/>
      <c r="K118" s="514"/>
      <c r="L118" s="514"/>
      <c r="M118" s="514"/>
      <c r="N118" s="514"/>
      <c r="O118" s="514"/>
      <c r="P118" s="514"/>
      <c r="Q118" s="514"/>
      <c r="R118" s="514"/>
      <c r="S118" s="514"/>
      <c r="T118" s="514"/>
      <c r="U118" s="352">
        <f>VLOOKUP(F118,Preisliste!C:F,4,FALSE)</f>
        <v>1110.0999999999999</v>
      </c>
      <c r="V118" s="352">
        <f t="shared" si="16"/>
        <v>0</v>
      </c>
      <c r="W118" s="86"/>
      <c r="X118" s="86"/>
      <c r="Y118" s="86"/>
      <c r="Z118" s="86"/>
      <c r="AA118" s="86"/>
      <c r="AB118" s="86"/>
      <c r="AC118" s="86"/>
      <c r="AD118" s="86"/>
      <c r="AE118" s="86"/>
      <c r="AF118" s="86"/>
      <c r="AG118" s="55">
        <f t="shared" si="27"/>
        <v>0</v>
      </c>
      <c r="AH118" s="66">
        <f>IF(OR(Kalk2!$AA$19=2,Kalk2!$AA$19=3),1,0)</f>
        <v>1</v>
      </c>
      <c r="AI118" s="55">
        <v>50</v>
      </c>
      <c r="AK118" s="55" t="s">
        <v>22079</v>
      </c>
      <c r="AP118" s="66">
        <f>IF(AND(Kalk2!$O$21&gt;0,Kalk2!$N$21="15°"),Kalk2!$O$21,0)</f>
        <v>0</v>
      </c>
      <c r="AQ118" s="55" t="s">
        <v>22087</v>
      </c>
      <c r="AT118" s="55" t="s">
        <v>22079</v>
      </c>
      <c r="AU118" s="66">
        <f>IF(Kalk2!$AI$51=AV118,1,0)</f>
        <v>0</v>
      </c>
      <c r="AV118" s="55">
        <v>1750</v>
      </c>
      <c r="AX118" s="55" t="s">
        <v>22100</v>
      </c>
      <c r="AY118" s="66">
        <f>AP118*Kalk2!$H$37</f>
        <v>0</v>
      </c>
      <c r="AZ118" s="55" t="s">
        <v>20872</v>
      </c>
    </row>
    <row r="119" spans="2:52" ht="24.95" customHeight="1">
      <c r="B119" s="93">
        <f t="shared" si="26"/>
        <v>0</v>
      </c>
      <c r="C119" s="60">
        <v>2150</v>
      </c>
      <c r="D119" s="60"/>
      <c r="E119" s="60" t="str">
        <f>VLOOKUP(1600,Sprachindex!$A:$Z,Erhebungsbogen!$Y$20,FALSE)</f>
        <v>[Stk]</v>
      </c>
      <c r="F119" s="60" t="s">
        <v>21929</v>
      </c>
      <c r="G119" s="514" t="str">
        <f>VLOOKUP(2129,Sprachindex!$A:$Z,Erhebungsbogen!$Y$20,FALSE) &amp; " ( " &amp;Preisliste!H99 &amp; " " &amp; VLOOKUP(1744,Sprachindex!$A:$Z,Erhebungsbogen!$Y$20,FALSE) &amp; ")"</f>
        <v>Rundprofil 50-Vario 15° exkl. Dichtung, gebohrt und entgratet ( 44,866 kg/Stk)</v>
      </c>
      <c r="H119" s="514"/>
      <c r="I119" s="514"/>
      <c r="J119" s="514"/>
      <c r="K119" s="514"/>
      <c r="L119" s="514"/>
      <c r="M119" s="514"/>
      <c r="N119" s="514"/>
      <c r="O119" s="514"/>
      <c r="P119" s="514"/>
      <c r="Q119" s="514"/>
      <c r="R119" s="514"/>
      <c r="S119" s="514"/>
      <c r="T119" s="514"/>
      <c r="U119" s="352">
        <f>VLOOKUP(F119,Preisliste!C:F,4,FALSE)</f>
        <v>1231.95</v>
      </c>
      <c r="V119" s="352">
        <f t="shared" si="16"/>
        <v>0</v>
      </c>
      <c r="W119" s="86"/>
      <c r="X119" s="86"/>
      <c r="Y119" s="86"/>
      <c r="Z119" s="86"/>
      <c r="AA119" s="86"/>
      <c r="AB119" s="86"/>
      <c r="AC119" s="86"/>
      <c r="AD119" s="86"/>
      <c r="AE119" s="86"/>
      <c r="AF119" s="86"/>
      <c r="AG119" s="55">
        <f t="shared" si="27"/>
        <v>0</v>
      </c>
      <c r="AH119" s="66">
        <f>IF(OR(Kalk2!$AA$19=2,Kalk2!$AA$19=3),1,0)</f>
        <v>1</v>
      </c>
      <c r="AI119" s="55">
        <v>50</v>
      </c>
      <c r="AK119" s="55" t="s">
        <v>22079</v>
      </c>
      <c r="AP119" s="66">
        <f>IF(AND(Kalk2!$O$21&gt;0,Kalk2!$N$21="15°"),Kalk2!$O$21,0)</f>
        <v>0</v>
      </c>
      <c r="AQ119" s="55" t="s">
        <v>22087</v>
      </c>
      <c r="AT119" s="55" t="s">
        <v>22079</v>
      </c>
      <c r="AU119" s="66">
        <f>IF(Kalk2!$AI$51=AV119,1,0)</f>
        <v>0</v>
      </c>
      <c r="AV119" s="55">
        <v>2150</v>
      </c>
      <c r="AX119" s="55" t="s">
        <v>22100</v>
      </c>
      <c r="AY119" s="66">
        <f>AP119*Kalk2!$H$37</f>
        <v>0</v>
      </c>
      <c r="AZ119" s="55" t="s">
        <v>20872</v>
      </c>
    </row>
    <row r="120" spans="2:52" ht="24.95" customHeight="1">
      <c r="B120" s="93">
        <f t="shared" si="26"/>
        <v>0</v>
      </c>
      <c r="C120" s="60">
        <f>IF(AG120=1,AW120,0)</f>
        <v>0</v>
      </c>
      <c r="D120" s="60"/>
      <c r="E120" s="60" t="str">
        <f>VLOOKUP(1600,Sprachindex!$A:$Z,Erhebungsbogen!$Y$20,FALSE)</f>
        <v>[Stk]</v>
      </c>
      <c r="F120" s="60" t="s">
        <v>21826</v>
      </c>
      <c r="G120" s="514" t="str">
        <f>VLOOKUP(2130,Sprachindex!$A:$Z,Erhebungsbogen!$Y$20,FALSE) &amp; " (" &amp; ROUNDUP(C120/1000*Preisliste!I100,2) &amp; " " &amp; VLOOKUP(1744,Sprachindex!$A:$Z,Erhebungsbogen!$Y$20,FALSE) &amp; ")"</f>
        <v>Rundprofil 50-Vario 15° Sonderlänge exkl. Dichtung, (Stangenware) (0 kg/Stk)</v>
      </c>
      <c r="H120" s="514"/>
      <c r="I120" s="514"/>
      <c r="J120" s="514"/>
      <c r="K120" s="514"/>
      <c r="L120" s="514"/>
      <c r="M120" s="514"/>
      <c r="N120" s="514"/>
      <c r="O120" s="514"/>
      <c r="P120" s="514"/>
      <c r="Q120" s="514"/>
      <c r="R120" s="514"/>
      <c r="S120" s="514"/>
      <c r="T120" s="514"/>
      <c r="U120" s="354">
        <f>VLOOKUP(F120,Preisliste!C:F,4,FALSE)</f>
        <v>0</v>
      </c>
      <c r="V120" s="352">
        <f>U120*C120*B120/1000</f>
        <v>0</v>
      </c>
      <c r="W120" s="86"/>
      <c r="X120" s="86"/>
      <c r="Y120" s="86"/>
      <c r="Z120" s="86"/>
      <c r="AA120" s="86"/>
      <c r="AB120" s="86"/>
      <c r="AC120" s="86"/>
      <c r="AD120" s="86"/>
      <c r="AE120" s="86"/>
      <c r="AF120" s="86"/>
      <c r="AG120" s="55">
        <f t="shared" si="27"/>
        <v>0</v>
      </c>
      <c r="AH120" s="66">
        <f>IF(OR(Kalk2!$AA$19=2,Kalk2!$AA$19=3),1,0)</f>
        <v>1</v>
      </c>
      <c r="AI120" s="55">
        <v>50</v>
      </c>
      <c r="AK120" s="55" t="s">
        <v>22079</v>
      </c>
      <c r="AP120" s="66">
        <f>IF(AND(Kalk2!$O$21&gt;0,Kalk2!$N$21="15°"),Kalk2!$O$21,0)</f>
        <v>0</v>
      </c>
      <c r="AQ120" s="55" t="s">
        <v>22087</v>
      </c>
      <c r="AT120" s="55" t="s">
        <v>22079</v>
      </c>
      <c r="AU120" s="66">
        <f>IF(Kalk2!$AH$52&gt;AV120,1,0)</f>
        <v>0</v>
      </c>
      <c r="AV120" s="55">
        <v>2150</v>
      </c>
      <c r="AW120" s="66">
        <f>Kalk2!$AH$52</f>
        <v>0</v>
      </c>
      <c r="AX120" s="55" t="s">
        <v>22100</v>
      </c>
      <c r="AY120" s="66">
        <f>AP120*Kalk2!$H$37</f>
        <v>0</v>
      </c>
      <c r="AZ120" s="55" t="s">
        <v>20872</v>
      </c>
    </row>
    <row r="121" spans="2:52" ht="24.95" customHeight="1">
      <c r="B121" s="93">
        <f t="shared" si="26"/>
        <v>0</v>
      </c>
      <c r="C121" s="60">
        <v>750</v>
      </c>
      <c r="D121" s="60"/>
      <c r="E121" s="60" t="str">
        <f>VLOOKUP(1600,Sprachindex!$A:$Z,Erhebungsbogen!$Y$20,FALSE)</f>
        <v>[Stk]</v>
      </c>
      <c r="F121" s="60" t="s">
        <v>22001</v>
      </c>
      <c r="G121" s="514" t="str">
        <f>VLOOKUP(2131,Sprachindex!$A:$Z,Erhebungsbogen!$Y$20,FALSE) &amp; " ( " &amp;Preisliste!H101 &amp; " " &amp; VLOOKUP(1744,Sprachindex!$A:$Z,Erhebungsbogen!$Y$20,FALSE) &amp; ")"</f>
        <v>Rundprofil 50-Vario 30° exkl. Dichtung, gebohrt und entgratet ( 16,516 kg/Stk)</v>
      </c>
      <c r="H121" s="514"/>
      <c r="I121" s="514"/>
      <c r="J121" s="514"/>
      <c r="K121" s="514"/>
      <c r="L121" s="514"/>
      <c r="M121" s="514"/>
      <c r="N121" s="514"/>
      <c r="O121" s="514"/>
      <c r="P121" s="514"/>
      <c r="Q121" s="514"/>
      <c r="R121" s="514"/>
      <c r="S121" s="514"/>
      <c r="T121" s="514"/>
      <c r="U121" s="352">
        <f>VLOOKUP(F121,Preisliste!C:F,4,FALSE)</f>
        <v>805.1</v>
      </c>
      <c r="V121" s="352">
        <f t="shared" si="16"/>
        <v>0</v>
      </c>
      <c r="W121" s="86"/>
      <c r="X121" s="86"/>
      <c r="Y121" s="86"/>
      <c r="Z121" s="86"/>
      <c r="AA121" s="86"/>
      <c r="AB121" s="86"/>
      <c r="AC121" s="86"/>
      <c r="AD121" s="86"/>
      <c r="AE121" s="86"/>
      <c r="AF121" s="86"/>
      <c r="AG121" s="55">
        <f t="shared" si="27"/>
        <v>1</v>
      </c>
      <c r="AH121" s="66">
        <f>IF(OR(Kalk2!$AA$19=2,Kalk2!$AA$19=3),1,0)</f>
        <v>1</v>
      </c>
      <c r="AI121" s="55">
        <v>50</v>
      </c>
      <c r="AK121" s="55" t="s">
        <v>22079</v>
      </c>
      <c r="AP121" s="66">
        <f>IF(AND(Kalk2!$O$21&gt;0,Kalk2!$N$21="30°"),Kalk2!$O$21,0)</f>
        <v>0</v>
      </c>
      <c r="AQ121" s="55" t="s">
        <v>22088</v>
      </c>
      <c r="AT121" s="55" t="s">
        <v>22079</v>
      </c>
      <c r="AU121" s="66">
        <f>IF(Kalk2!$AI$51=$AV$91,1,0)</f>
        <v>1</v>
      </c>
      <c r="AV121" s="55">
        <v>750</v>
      </c>
      <c r="AX121" s="55" t="s">
        <v>22100</v>
      </c>
      <c r="AY121" s="66">
        <f>AP121*Kalk2!$H$37</f>
        <v>0</v>
      </c>
      <c r="AZ121" s="55" t="s">
        <v>20872</v>
      </c>
    </row>
    <row r="122" spans="2:52" ht="24.95" customHeight="1">
      <c r="B122" s="93">
        <f t="shared" si="26"/>
        <v>0</v>
      </c>
      <c r="C122" s="60">
        <v>1350</v>
      </c>
      <c r="D122" s="60"/>
      <c r="E122" s="60" t="str">
        <f>VLOOKUP(1600,Sprachindex!$A:$Z,Erhebungsbogen!$Y$20,FALSE)</f>
        <v>[Stk]</v>
      </c>
      <c r="F122" s="60" t="s">
        <v>22002</v>
      </c>
      <c r="G122" s="514" t="str">
        <f>VLOOKUP(2131,Sprachindex!$A:$Z,Erhebungsbogen!$Y$20,FALSE) &amp; " ( " &amp;Preisliste!H102 &amp; " " &amp; VLOOKUP(1744,Sprachindex!$A:$Z,Erhebungsbogen!$Y$20,FALSE) &amp; ")"</f>
        <v>Rundprofil 50-Vario 30° exkl. Dichtung, gebohrt und entgratet ( 29,728 kg/Stk)</v>
      </c>
      <c r="H122" s="514"/>
      <c r="I122" s="514"/>
      <c r="J122" s="514"/>
      <c r="K122" s="514"/>
      <c r="L122" s="514"/>
      <c r="M122" s="514"/>
      <c r="N122" s="514"/>
      <c r="O122" s="514"/>
      <c r="P122" s="514"/>
      <c r="Q122" s="514"/>
      <c r="R122" s="514"/>
      <c r="S122" s="514"/>
      <c r="T122" s="514"/>
      <c r="U122" s="352">
        <f>VLOOKUP(F122,Preisliste!C:F,4,FALSE)</f>
        <v>988.05</v>
      </c>
      <c r="V122" s="352">
        <f t="shared" si="16"/>
        <v>0</v>
      </c>
      <c r="W122" s="86"/>
      <c r="X122" s="86"/>
      <c r="Y122" s="86"/>
      <c r="Z122" s="86"/>
      <c r="AA122" s="86"/>
      <c r="AB122" s="86"/>
      <c r="AC122" s="86"/>
      <c r="AD122" s="86"/>
      <c r="AE122" s="86"/>
      <c r="AF122" s="86"/>
      <c r="AG122" s="55">
        <f>IF(AND(AH122=1,AP122&gt;0,AU122=1),1,0)</f>
        <v>0</v>
      </c>
      <c r="AH122" s="66">
        <f>IF(OR(Kalk2!$AA$19=2,Kalk2!$AA$19=3),1,0)</f>
        <v>1</v>
      </c>
      <c r="AI122" s="55">
        <v>50</v>
      </c>
      <c r="AK122" s="55" t="s">
        <v>22079</v>
      </c>
      <c r="AP122" s="66">
        <f>IF(AND(Kalk2!$O$21&gt;0,Kalk2!$N$21="30°"),Kalk2!$O$21,0)</f>
        <v>0</v>
      </c>
      <c r="AQ122" s="55" t="s">
        <v>22088</v>
      </c>
      <c r="AT122" s="55" t="s">
        <v>22079</v>
      </c>
      <c r="AU122" s="66">
        <f>IF(Kalk2!$AI$51=AV122,1,0)</f>
        <v>0</v>
      </c>
      <c r="AV122" s="55">
        <v>1350</v>
      </c>
      <c r="AX122" s="55" t="s">
        <v>22100</v>
      </c>
      <c r="AY122" s="66">
        <f>AP122*Kalk2!$H$37</f>
        <v>0</v>
      </c>
      <c r="AZ122" s="55" t="s">
        <v>20872</v>
      </c>
    </row>
    <row r="123" spans="2:52" ht="24.95" customHeight="1">
      <c r="B123" s="93">
        <f t="shared" si="26"/>
        <v>0</v>
      </c>
      <c r="C123" s="60">
        <v>1750</v>
      </c>
      <c r="D123" s="60"/>
      <c r="E123" s="60" t="str">
        <f>VLOOKUP(1600,Sprachindex!$A:$Z,Erhebungsbogen!$Y$20,FALSE)</f>
        <v>[Stk]</v>
      </c>
      <c r="F123" s="60" t="s">
        <v>22003</v>
      </c>
      <c r="G123" s="514" t="str">
        <f>VLOOKUP(2131,Sprachindex!$A:$Z,Erhebungsbogen!$Y$20,FALSE) &amp; " ( " &amp;Preisliste!H103 &amp; " " &amp; VLOOKUP(1744,Sprachindex!$A:$Z,Erhebungsbogen!$Y$20,FALSE) &amp; ")"</f>
        <v>Rundprofil 50-Vario 30° exkl. Dichtung, gebohrt und entgratet ( 38,537 kg/Stk)</v>
      </c>
      <c r="H123" s="514"/>
      <c r="I123" s="514"/>
      <c r="J123" s="514"/>
      <c r="K123" s="514"/>
      <c r="L123" s="514"/>
      <c r="M123" s="514"/>
      <c r="N123" s="514"/>
      <c r="O123" s="514"/>
      <c r="P123" s="514"/>
      <c r="Q123" s="514"/>
      <c r="R123" s="514"/>
      <c r="S123" s="514"/>
      <c r="T123" s="514"/>
      <c r="U123" s="352">
        <f>VLOOKUP(F123,Preisliste!C:F,4,FALSE)</f>
        <v>1110.0999999999999</v>
      </c>
      <c r="V123" s="352">
        <f t="shared" si="16"/>
        <v>0</v>
      </c>
      <c r="W123" s="86"/>
      <c r="X123" s="86"/>
      <c r="Y123" s="86"/>
      <c r="Z123" s="86"/>
      <c r="AA123" s="86"/>
      <c r="AB123" s="86"/>
      <c r="AC123" s="86"/>
      <c r="AD123" s="86"/>
      <c r="AE123" s="86"/>
      <c r="AF123" s="86"/>
      <c r="AG123" s="55">
        <f t="shared" si="27"/>
        <v>0</v>
      </c>
      <c r="AH123" s="66">
        <f>IF(OR(Kalk2!$AA$19=2,Kalk2!$AA$19=3),1,0)</f>
        <v>1</v>
      </c>
      <c r="AI123" s="55">
        <v>50</v>
      </c>
      <c r="AK123" s="55" t="s">
        <v>22079</v>
      </c>
      <c r="AP123" s="66">
        <f>IF(AND(Kalk2!$O$21&gt;0,Kalk2!$N$21="30°"),Kalk2!$O$21,0)</f>
        <v>0</v>
      </c>
      <c r="AQ123" s="55" t="s">
        <v>22088</v>
      </c>
      <c r="AT123" s="55" t="s">
        <v>22079</v>
      </c>
      <c r="AU123" s="66">
        <f>IF(Kalk2!$AI$51=AV123,1,0)</f>
        <v>0</v>
      </c>
      <c r="AV123" s="55">
        <v>1750</v>
      </c>
      <c r="AX123" s="55" t="s">
        <v>22100</v>
      </c>
      <c r="AY123" s="66">
        <f>AP123*Kalk2!$H$37</f>
        <v>0</v>
      </c>
      <c r="AZ123" s="55" t="s">
        <v>20872</v>
      </c>
    </row>
    <row r="124" spans="2:52" ht="24.95" customHeight="1">
      <c r="B124" s="93">
        <f t="shared" si="26"/>
        <v>0</v>
      </c>
      <c r="C124" s="60">
        <v>2150</v>
      </c>
      <c r="D124" s="60"/>
      <c r="E124" s="60" t="str">
        <f>VLOOKUP(1600,Sprachindex!$A:$Z,Erhebungsbogen!$Y$20,FALSE)</f>
        <v>[Stk]</v>
      </c>
      <c r="F124" s="60" t="s">
        <v>22004</v>
      </c>
      <c r="G124" s="514" t="str">
        <f>VLOOKUP(2131,Sprachindex!$A:$Z,Erhebungsbogen!$Y$20,FALSE) &amp; " ( " &amp;Preisliste!H104 &amp; " " &amp; VLOOKUP(1744,Sprachindex!$A:$Z,Erhebungsbogen!$Y$20,FALSE) &amp; ")"</f>
        <v>Rundprofil 50-Vario 30° exkl. Dichtung, gebohrt und entgratet ( 47,345 kg/Stk)</v>
      </c>
      <c r="H124" s="514"/>
      <c r="I124" s="514"/>
      <c r="J124" s="514"/>
      <c r="K124" s="514"/>
      <c r="L124" s="514"/>
      <c r="M124" s="514"/>
      <c r="N124" s="514"/>
      <c r="O124" s="514"/>
      <c r="P124" s="514"/>
      <c r="Q124" s="514"/>
      <c r="R124" s="514"/>
      <c r="S124" s="514"/>
      <c r="T124" s="514"/>
      <c r="U124" s="352">
        <f>VLOOKUP(F124,Preisliste!C:F,4,FALSE)</f>
        <v>1231.95</v>
      </c>
      <c r="V124" s="352">
        <f t="shared" si="16"/>
        <v>0</v>
      </c>
      <c r="W124" s="86"/>
      <c r="X124" s="86"/>
      <c r="Y124" s="86"/>
      <c r="Z124" s="86"/>
      <c r="AA124" s="86"/>
      <c r="AB124" s="86"/>
      <c r="AC124" s="86"/>
      <c r="AD124" s="86"/>
      <c r="AE124" s="86"/>
      <c r="AF124" s="86"/>
      <c r="AG124" s="55">
        <f t="shared" si="27"/>
        <v>0</v>
      </c>
      <c r="AH124" s="66">
        <f>IF(OR(Kalk2!$AA$19=2,Kalk2!$AA$19=3),1,0)</f>
        <v>1</v>
      </c>
      <c r="AI124" s="55">
        <v>50</v>
      </c>
      <c r="AK124" s="55" t="s">
        <v>22079</v>
      </c>
      <c r="AP124" s="66">
        <f>IF(AND(Kalk2!$O$21&gt;0,Kalk2!$N$21="30°"),Kalk2!$O$21,0)</f>
        <v>0</v>
      </c>
      <c r="AQ124" s="55" t="s">
        <v>22088</v>
      </c>
      <c r="AT124" s="55" t="s">
        <v>22079</v>
      </c>
      <c r="AU124" s="66">
        <f>IF(Kalk2!$AI$51=AV124,1,0)</f>
        <v>0</v>
      </c>
      <c r="AV124" s="55">
        <v>2150</v>
      </c>
      <c r="AX124" s="55" t="s">
        <v>22100</v>
      </c>
      <c r="AY124" s="66">
        <f>AP124*Kalk2!$H$37</f>
        <v>0</v>
      </c>
      <c r="AZ124" s="55" t="s">
        <v>20872</v>
      </c>
    </row>
    <row r="125" spans="2:52" ht="24.95" customHeight="1">
      <c r="B125" s="93">
        <f t="shared" si="26"/>
        <v>0</v>
      </c>
      <c r="C125" s="60">
        <f>IF(AG125=1,AW125,0)</f>
        <v>0</v>
      </c>
      <c r="D125" s="60"/>
      <c r="E125" s="60" t="str">
        <f>VLOOKUP(1600,Sprachindex!$A:$Z,Erhebungsbogen!$Y$20,FALSE)</f>
        <v>[Stk]</v>
      </c>
      <c r="F125" s="60" t="s">
        <v>21826</v>
      </c>
      <c r="G125" s="514" t="str">
        <f>VLOOKUP(2132,Sprachindex!$A:$Z,Erhebungsbogen!$Y$20,FALSE) &amp; " (" &amp; ROUNDUP(C125/1000*Preisliste!I105,2) &amp; " " &amp; VLOOKUP(1744,Sprachindex!$A:$Z,Erhebungsbogen!$Y$20,FALSE) &amp; ")"</f>
        <v>Rundprofil 50-Vario 30° Sonderlänge exkl. Dichtung, (Stangenware) (0 kg/Stk)</v>
      </c>
      <c r="H125" s="514"/>
      <c r="I125" s="514"/>
      <c r="J125" s="514"/>
      <c r="K125" s="514"/>
      <c r="L125" s="514"/>
      <c r="M125" s="514"/>
      <c r="N125" s="514"/>
      <c r="O125" s="514"/>
      <c r="P125" s="514"/>
      <c r="Q125" s="514"/>
      <c r="R125" s="514"/>
      <c r="S125" s="514"/>
      <c r="T125" s="514"/>
      <c r="U125" s="354">
        <f>VLOOKUP(F125,Preisliste!C:F,4,FALSE)</f>
        <v>0</v>
      </c>
      <c r="V125" s="352">
        <f>U125*C125*B125/1000</f>
        <v>0</v>
      </c>
      <c r="W125" s="86"/>
      <c r="X125" s="86"/>
      <c r="Y125" s="86"/>
      <c r="Z125" s="86"/>
      <c r="AA125" s="86"/>
      <c r="AB125" s="86"/>
      <c r="AC125" s="86"/>
      <c r="AD125" s="86"/>
      <c r="AE125" s="86"/>
      <c r="AF125" s="86"/>
      <c r="AG125" s="55">
        <f t="shared" si="27"/>
        <v>0</v>
      </c>
      <c r="AH125" s="66">
        <f>IF(OR(Kalk2!$AA$19=2,Kalk2!$AA$19=3),1,0)</f>
        <v>1</v>
      </c>
      <c r="AI125" s="55">
        <v>50</v>
      </c>
      <c r="AK125" s="55" t="s">
        <v>22079</v>
      </c>
      <c r="AP125" s="66">
        <f>IF(AND(Kalk2!$O$21&gt;0,Kalk2!$N$21="30°"),Kalk2!$O$21,0)</f>
        <v>0</v>
      </c>
      <c r="AQ125" s="55" t="s">
        <v>22088</v>
      </c>
      <c r="AT125" s="55" t="s">
        <v>22079</v>
      </c>
      <c r="AU125" s="66">
        <f>IF(Kalk2!$AH$52&gt;AV125,1,0)</f>
        <v>0</v>
      </c>
      <c r="AV125" s="55">
        <v>2150</v>
      </c>
      <c r="AW125" s="66">
        <f>Kalk2!$AH$52</f>
        <v>0</v>
      </c>
      <c r="AX125" s="55" t="s">
        <v>22100</v>
      </c>
      <c r="AY125" s="66">
        <f>AP125*Kalk2!$H$37</f>
        <v>0</v>
      </c>
      <c r="AZ125" s="55" t="s">
        <v>20872</v>
      </c>
    </row>
    <row r="126" spans="2:52" ht="24.95" customHeight="1">
      <c r="B126" s="93">
        <f t="shared" si="26"/>
        <v>0</v>
      </c>
      <c r="C126" s="60">
        <v>750</v>
      </c>
      <c r="D126" s="60"/>
      <c r="E126" s="60" t="str">
        <f>VLOOKUP(1600,Sprachindex!$A:$Z,Erhebungsbogen!$Y$20,FALSE)</f>
        <v>[Stk]</v>
      </c>
      <c r="F126" s="60" t="s">
        <v>22005</v>
      </c>
      <c r="G126" s="514" t="str">
        <f>VLOOKUP(2133,Sprachindex!$A:$Z,Erhebungsbogen!$Y$20,FALSE) &amp; " ( " &amp;Preisliste!H106 &amp; " " &amp; VLOOKUP(1744,Sprachindex!$A:$Z,Erhebungsbogen!$Y$20,FALSE) &amp; ")"</f>
        <v>Rundprofil 50-Vario 45° exkl. Dichtung, gebohrt und entgratet ( 16,506 kg/Stk)</v>
      </c>
      <c r="H126" s="514"/>
      <c r="I126" s="514"/>
      <c r="J126" s="514"/>
      <c r="K126" s="514"/>
      <c r="L126" s="514"/>
      <c r="M126" s="514"/>
      <c r="N126" s="514"/>
      <c r="O126" s="514"/>
      <c r="P126" s="514"/>
      <c r="Q126" s="514"/>
      <c r="R126" s="514"/>
      <c r="S126" s="514"/>
      <c r="T126" s="514"/>
      <c r="U126" s="352">
        <f>VLOOKUP(F126,Preisliste!C:F,4,FALSE)</f>
        <v>805.1</v>
      </c>
      <c r="V126" s="352">
        <f t="shared" si="16"/>
        <v>0</v>
      </c>
      <c r="W126" s="86"/>
      <c r="X126" s="86"/>
      <c r="Y126" s="86"/>
      <c r="Z126" s="86"/>
      <c r="AA126" s="86"/>
      <c r="AB126" s="86"/>
      <c r="AC126" s="86"/>
      <c r="AD126" s="86"/>
      <c r="AE126" s="86"/>
      <c r="AF126" s="86"/>
      <c r="AG126" s="55">
        <f t="shared" si="27"/>
        <v>1</v>
      </c>
      <c r="AH126" s="66">
        <f>IF(OR(Kalk2!$AA$19=2,Kalk2!$AA$19=3),1,0)</f>
        <v>1</v>
      </c>
      <c r="AI126" s="55">
        <v>50</v>
      </c>
      <c r="AK126" s="55" t="s">
        <v>22079</v>
      </c>
      <c r="AP126" s="66">
        <f>IF(AND(Kalk2!$O$21&gt;0,Kalk2!$N$21="45°"),Kalk2!$O$21,0)</f>
        <v>0</v>
      </c>
      <c r="AQ126" s="55" t="s">
        <v>22089</v>
      </c>
      <c r="AT126" s="55" t="s">
        <v>22079</v>
      </c>
      <c r="AU126" s="66">
        <f>IF(Kalk2!$AI$51=$AV$91,1,0)</f>
        <v>1</v>
      </c>
      <c r="AV126" s="55">
        <v>750</v>
      </c>
      <c r="AX126" s="55" t="s">
        <v>22100</v>
      </c>
      <c r="AY126" s="66">
        <f>AP126*Kalk2!$H$37</f>
        <v>0</v>
      </c>
      <c r="AZ126" s="55" t="s">
        <v>20872</v>
      </c>
    </row>
    <row r="127" spans="2:52" ht="24.95" customHeight="1">
      <c r="B127" s="93">
        <f t="shared" si="26"/>
        <v>0</v>
      </c>
      <c r="C127" s="60">
        <v>1350</v>
      </c>
      <c r="D127" s="60"/>
      <c r="E127" s="60" t="str">
        <f>VLOOKUP(1600,Sprachindex!$A:$Z,Erhebungsbogen!$Y$20,FALSE)</f>
        <v>[Stk]</v>
      </c>
      <c r="F127" s="60" t="s">
        <v>22006</v>
      </c>
      <c r="G127" s="514" t="str">
        <f>VLOOKUP(2133,Sprachindex!$A:$Z,Erhebungsbogen!$Y$20,FALSE) &amp; " ( " &amp;Preisliste!H107 &amp; " " &amp; VLOOKUP(1744,Sprachindex!$A:$Z,Erhebungsbogen!$Y$20,FALSE) &amp; ")"</f>
        <v>Rundprofil 50-Vario 45° exkl. Dichtung, gebohrt und entgratet ( 29,711 kg/Stk)</v>
      </c>
      <c r="H127" s="514"/>
      <c r="I127" s="514"/>
      <c r="J127" s="514"/>
      <c r="K127" s="514"/>
      <c r="L127" s="514"/>
      <c r="M127" s="514"/>
      <c r="N127" s="514"/>
      <c r="O127" s="514"/>
      <c r="P127" s="514"/>
      <c r="Q127" s="514"/>
      <c r="R127" s="514"/>
      <c r="S127" s="514"/>
      <c r="T127" s="514"/>
      <c r="U127" s="352">
        <f>VLOOKUP(F127,Preisliste!C:F,4,FALSE)</f>
        <v>988.05</v>
      </c>
      <c r="V127" s="352">
        <f t="shared" si="16"/>
        <v>0</v>
      </c>
      <c r="W127" s="86"/>
      <c r="X127" s="86"/>
      <c r="Y127" s="86"/>
      <c r="Z127" s="86"/>
      <c r="AA127" s="86"/>
      <c r="AB127" s="86"/>
      <c r="AC127" s="86"/>
      <c r="AD127" s="86"/>
      <c r="AE127" s="86"/>
      <c r="AF127" s="86"/>
      <c r="AG127" s="55">
        <f>IF(AND(AH127=1,AP127&gt;0,AU127=1),1,0)</f>
        <v>0</v>
      </c>
      <c r="AH127" s="66">
        <f>IF(OR(Kalk2!$AA$19=2,Kalk2!$AA$19=3),1,0)</f>
        <v>1</v>
      </c>
      <c r="AI127" s="55">
        <v>50</v>
      </c>
      <c r="AK127" s="55" t="s">
        <v>22079</v>
      </c>
      <c r="AP127" s="66">
        <f>IF(AND(Kalk2!$O$21&gt;0,Kalk2!$N$21="45°"),Kalk2!$O$21,0)</f>
        <v>0</v>
      </c>
      <c r="AQ127" s="55" t="s">
        <v>22089</v>
      </c>
      <c r="AT127" s="55" t="s">
        <v>22079</v>
      </c>
      <c r="AU127" s="66">
        <f>IF(Kalk2!$AI$51=AV127,1,0)</f>
        <v>0</v>
      </c>
      <c r="AV127" s="55">
        <v>1350</v>
      </c>
      <c r="AX127" s="55" t="s">
        <v>22100</v>
      </c>
      <c r="AY127" s="66">
        <f>AP127*Kalk2!$H$37</f>
        <v>0</v>
      </c>
      <c r="AZ127" s="55" t="s">
        <v>20872</v>
      </c>
    </row>
    <row r="128" spans="2:52" ht="24.95" customHeight="1">
      <c r="B128" s="93">
        <f t="shared" si="26"/>
        <v>0</v>
      </c>
      <c r="C128" s="60">
        <v>1750</v>
      </c>
      <c r="D128" s="60"/>
      <c r="E128" s="60" t="str">
        <f>VLOOKUP(1600,Sprachindex!$A:$Z,Erhebungsbogen!$Y$20,FALSE)</f>
        <v>[Stk]</v>
      </c>
      <c r="F128" s="60" t="s">
        <v>22007</v>
      </c>
      <c r="G128" s="514" t="str">
        <f>VLOOKUP(2133,Sprachindex!$A:$Z,Erhebungsbogen!$Y$20,FALSE) &amp; " ( " &amp;Preisliste!H108 &amp; " " &amp; VLOOKUP(1744,Sprachindex!$A:$Z,Erhebungsbogen!$Y$20,FALSE) &amp; ")"</f>
        <v>Rundprofil 50-Vario 45° exkl. Dichtung, gebohrt und entgratet ( 38,514 kg/Stk)</v>
      </c>
      <c r="H128" s="514"/>
      <c r="I128" s="514"/>
      <c r="J128" s="514"/>
      <c r="K128" s="514"/>
      <c r="L128" s="514"/>
      <c r="M128" s="514"/>
      <c r="N128" s="514"/>
      <c r="O128" s="514"/>
      <c r="P128" s="514"/>
      <c r="Q128" s="514"/>
      <c r="R128" s="514"/>
      <c r="S128" s="514"/>
      <c r="T128" s="514"/>
      <c r="U128" s="352">
        <f>VLOOKUP(F128,Preisliste!C:F,4,FALSE)</f>
        <v>1110.0999999999999</v>
      </c>
      <c r="V128" s="352">
        <f t="shared" si="16"/>
        <v>0</v>
      </c>
      <c r="W128" s="86"/>
      <c r="X128" s="86"/>
      <c r="Y128" s="86"/>
      <c r="Z128" s="86"/>
      <c r="AA128" s="86"/>
      <c r="AB128" s="86"/>
      <c r="AC128" s="86"/>
      <c r="AD128" s="86"/>
      <c r="AE128" s="86"/>
      <c r="AF128" s="86"/>
      <c r="AG128" s="55">
        <f t="shared" si="27"/>
        <v>0</v>
      </c>
      <c r="AH128" s="66">
        <f>IF(OR(Kalk2!$AA$19=2,Kalk2!$AA$19=3),1,0)</f>
        <v>1</v>
      </c>
      <c r="AI128" s="55">
        <v>50</v>
      </c>
      <c r="AK128" s="55" t="s">
        <v>22079</v>
      </c>
      <c r="AP128" s="66">
        <f>IF(AND(Kalk2!$O$21&gt;0,Kalk2!$N$21="45°"),Kalk2!$O$21,0)</f>
        <v>0</v>
      </c>
      <c r="AQ128" s="55" t="s">
        <v>22089</v>
      </c>
      <c r="AT128" s="55" t="s">
        <v>22079</v>
      </c>
      <c r="AU128" s="66">
        <f>IF(Kalk2!$AI$51=AV128,1,0)</f>
        <v>0</v>
      </c>
      <c r="AV128" s="55">
        <v>1750</v>
      </c>
      <c r="AX128" s="55" t="s">
        <v>22100</v>
      </c>
      <c r="AY128" s="66">
        <f>AP128*Kalk2!$H$37</f>
        <v>0</v>
      </c>
      <c r="AZ128" s="55" t="s">
        <v>20872</v>
      </c>
    </row>
    <row r="129" spans="2:52" ht="24.95" customHeight="1">
      <c r="B129" s="93">
        <f t="shared" si="26"/>
        <v>0</v>
      </c>
      <c r="C129" s="60">
        <v>2150</v>
      </c>
      <c r="D129" s="60"/>
      <c r="E129" s="60" t="str">
        <f>VLOOKUP(1600,Sprachindex!$A:$Z,Erhebungsbogen!$Y$20,FALSE)</f>
        <v>[Stk]</v>
      </c>
      <c r="F129" s="60" t="s">
        <v>22008</v>
      </c>
      <c r="G129" s="514" t="str">
        <f>VLOOKUP(2133,Sprachindex!$A:$Z,Erhebungsbogen!$Y$20,FALSE) &amp; " ( " &amp;Preisliste!H109 &amp; " " &amp; VLOOKUP(1744,Sprachindex!$A:$Z,Erhebungsbogen!$Y$20,FALSE) &amp; ")"</f>
        <v>Rundprofil 50-Vario 45° exkl. Dichtung, gebohrt und entgratet ( 47,317 kg/Stk)</v>
      </c>
      <c r="H129" s="514"/>
      <c r="I129" s="514"/>
      <c r="J129" s="514"/>
      <c r="K129" s="514"/>
      <c r="L129" s="514"/>
      <c r="M129" s="514"/>
      <c r="N129" s="514"/>
      <c r="O129" s="514"/>
      <c r="P129" s="514"/>
      <c r="Q129" s="514"/>
      <c r="R129" s="514"/>
      <c r="S129" s="514"/>
      <c r="T129" s="514"/>
      <c r="U129" s="352">
        <f>VLOOKUP(F129,Preisliste!C:F,4,FALSE)</f>
        <v>1231.95</v>
      </c>
      <c r="V129" s="352">
        <f t="shared" si="16"/>
        <v>0</v>
      </c>
      <c r="W129" s="86"/>
      <c r="X129" s="86"/>
      <c r="Y129" s="86"/>
      <c r="Z129" s="86"/>
      <c r="AA129" s="86"/>
      <c r="AB129" s="86"/>
      <c r="AC129" s="86"/>
      <c r="AD129" s="86"/>
      <c r="AE129" s="86"/>
      <c r="AF129" s="86"/>
      <c r="AG129" s="55">
        <f t="shared" si="27"/>
        <v>0</v>
      </c>
      <c r="AH129" s="66">
        <f>IF(OR(Kalk2!$AA$19=2,Kalk2!$AA$19=3),1,0)</f>
        <v>1</v>
      </c>
      <c r="AI129" s="55">
        <v>50</v>
      </c>
      <c r="AK129" s="55" t="s">
        <v>22079</v>
      </c>
      <c r="AP129" s="66">
        <f>IF(AND(Kalk2!$O$21&gt;0,Kalk2!$N$21="45°"),Kalk2!$O$21,0)</f>
        <v>0</v>
      </c>
      <c r="AQ129" s="55" t="s">
        <v>22089</v>
      </c>
      <c r="AT129" s="55" t="s">
        <v>22079</v>
      </c>
      <c r="AU129" s="66">
        <f>IF(Kalk2!$AI$51=AV129,1,0)</f>
        <v>0</v>
      </c>
      <c r="AV129" s="55">
        <v>2150</v>
      </c>
      <c r="AX129" s="55" t="s">
        <v>22100</v>
      </c>
      <c r="AY129" s="66">
        <f>AP129*Kalk2!$H$37</f>
        <v>0</v>
      </c>
      <c r="AZ129" s="55" t="s">
        <v>20872</v>
      </c>
    </row>
    <row r="130" spans="2:52" ht="24.95" customHeight="1">
      <c r="B130" s="93">
        <f t="shared" si="26"/>
        <v>0</v>
      </c>
      <c r="C130" s="60">
        <f>IF(AG130=1,AW130,0)</f>
        <v>0</v>
      </c>
      <c r="D130" s="60"/>
      <c r="E130" s="60" t="str">
        <f>VLOOKUP(1600,Sprachindex!$A:$Z,Erhebungsbogen!$Y$20,FALSE)</f>
        <v>[Stk]</v>
      </c>
      <c r="F130" s="60" t="s">
        <v>21826</v>
      </c>
      <c r="G130" s="514" t="str">
        <f>VLOOKUP(2134,Sprachindex!$A:$Z,Erhebungsbogen!$Y$20,FALSE) &amp; " (" &amp; ROUNDUP(C130/1000*Preisliste!I110,2) &amp; " " &amp; VLOOKUP(1744,Sprachindex!$A:$Z,Erhebungsbogen!$Y$20,FALSE) &amp; ")"</f>
        <v>Rundprofil 50-Vario 45° Sonderlänge exkl. Dichtung, (Stangenware) (0 kg/Stk)</v>
      </c>
      <c r="H130" s="514"/>
      <c r="I130" s="514"/>
      <c r="J130" s="514"/>
      <c r="K130" s="514"/>
      <c r="L130" s="514"/>
      <c r="M130" s="514"/>
      <c r="N130" s="514"/>
      <c r="O130" s="514"/>
      <c r="P130" s="514"/>
      <c r="Q130" s="514"/>
      <c r="R130" s="514"/>
      <c r="S130" s="514"/>
      <c r="T130" s="514"/>
      <c r="U130" s="354">
        <f>VLOOKUP(F130,Preisliste!C:F,4,FALSE)</f>
        <v>0</v>
      </c>
      <c r="V130" s="352">
        <f>U130*C130*B130/1000</f>
        <v>0</v>
      </c>
      <c r="W130" s="86"/>
      <c r="X130" s="86"/>
      <c r="Y130" s="86"/>
      <c r="Z130" s="86"/>
      <c r="AA130" s="86"/>
      <c r="AB130" s="86"/>
      <c r="AC130" s="86"/>
      <c r="AD130" s="86"/>
      <c r="AE130" s="86"/>
      <c r="AF130" s="86"/>
      <c r="AG130" s="55">
        <f t="shared" si="27"/>
        <v>0</v>
      </c>
      <c r="AH130" s="66">
        <f>IF(OR(Kalk2!$AA$19=2,Kalk2!$AA$19=3),1,0)</f>
        <v>1</v>
      </c>
      <c r="AI130" s="55">
        <v>50</v>
      </c>
      <c r="AK130" s="55" t="s">
        <v>22079</v>
      </c>
      <c r="AP130" s="66">
        <f>IF(AND(Kalk2!$O$21&gt;0,Kalk2!$N$21="45°"),Kalk2!$O$21,0)</f>
        <v>0</v>
      </c>
      <c r="AQ130" s="55" t="s">
        <v>22089</v>
      </c>
      <c r="AT130" s="55" t="s">
        <v>22079</v>
      </c>
      <c r="AU130" s="66">
        <f>IF(Kalk2!$AH$52&gt;AV130,1,0)</f>
        <v>0</v>
      </c>
      <c r="AV130" s="55">
        <v>2150</v>
      </c>
      <c r="AW130" s="66">
        <f>Kalk2!$AH$52</f>
        <v>0</v>
      </c>
      <c r="AX130" s="55" t="s">
        <v>22100</v>
      </c>
      <c r="AY130" s="66">
        <f>AP130*Kalk2!$H$37</f>
        <v>0</v>
      </c>
      <c r="AZ130" s="55" t="s">
        <v>20872</v>
      </c>
    </row>
    <row r="131" spans="2:52" ht="24.95" customHeight="1">
      <c r="B131" s="93">
        <f t="shared" si="26"/>
        <v>0</v>
      </c>
      <c r="C131" s="60">
        <v>750</v>
      </c>
      <c r="D131" s="60"/>
      <c r="E131" s="60" t="str">
        <f>VLOOKUP(1600,Sprachindex!$A:$Z,Erhebungsbogen!$Y$20,FALSE)</f>
        <v>[Stk]</v>
      </c>
      <c r="F131" s="60" t="s">
        <v>22009</v>
      </c>
      <c r="G131" s="514" t="str">
        <f>VLOOKUP(2135,Sprachindex!$A:$Z,Erhebungsbogen!$Y$20,FALSE) &amp; " ( " &amp;Preisliste!H111 &amp; " " &amp; VLOOKUP(1744,Sprachindex!$A:$Z,Erhebungsbogen!$Y$20,FALSE) &amp; ")"</f>
        <v>Rundprofil 50-Vario 60° exkl. Dichtung, gebohrt und entgratet ( 16,516 kg/Stk)</v>
      </c>
      <c r="H131" s="514"/>
      <c r="I131" s="514"/>
      <c r="J131" s="514"/>
      <c r="K131" s="514"/>
      <c r="L131" s="514"/>
      <c r="M131" s="514"/>
      <c r="N131" s="514"/>
      <c r="O131" s="514"/>
      <c r="P131" s="514"/>
      <c r="Q131" s="514"/>
      <c r="R131" s="514"/>
      <c r="S131" s="514"/>
      <c r="T131" s="514"/>
      <c r="U131" s="352">
        <f>VLOOKUP(F131,Preisliste!C:F,4,FALSE)</f>
        <v>805.1</v>
      </c>
      <c r="V131" s="352">
        <f t="shared" ref="V131:V179" si="28">U131*B131</f>
        <v>0</v>
      </c>
      <c r="W131" s="86"/>
      <c r="X131" s="86"/>
      <c r="Y131" s="86"/>
      <c r="Z131" s="86"/>
      <c r="AA131" s="86"/>
      <c r="AB131" s="86"/>
      <c r="AC131" s="86"/>
      <c r="AD131" s="86"/>
      <c r="AE131" s="86"/>
      <c r="AF131" s="86"/>
      <c r="AG131" s="55">
        <f t="shared" si="27"/>
        <v>1</v>
      </c>
      <c r="AH131" s="66">
        <f>IF(OR(Kalk2!$AA$19=2,Kalk2!$AA$19=3),1,0)</f>
        <v>1</v>
      </c>
      <c r="AI131" s="55">
        <v>50</v>
      </c>
      <c r="AK131" s="55" t="s">
        <v>22079</v>
      </c>
      <c r="AP131" s="66">
        <f>IF(AND(Kalk2!$O$21&gt;0,Kalk2!$N$21="60°"),Kalk2!$O$21,0)</f>
        <v>0</v>
      </c>
      <c r="AQ131" s="55" t="s">
        <v>22090</v>
      </c>
      <c r="AT131" s="55" t="s">
        <v>22079</v>
      </c>
      <c r="AU131" s="66">
        <f>IF(Kalk2!$AI$51=$AV$91,1,0)</f>
        <v>1</v>
      </c>
      <c r="AV131" s="55">
        <v>750</v>
      </c>
      <c r="AX131" s="55" t="s">
        <v>22100</v>
      </c>
      <c r="AY131" s="66">
        <f>AP131*Kalk2!$H$37</f>
        <v>0</v>
      </c>
      <c r="AZ131" s="55" t="s">
        <v>20872</v>
      </c>
    </row>
    <row r="132" spans="2:52" ht="24.95" customHeight="1">
      <c r="B132" s="93">
        <f t="shared" si="26"/>
        <v>0</v>
      </c>
      <c r="C132" s="60">
        <v>1350</v>
      </c>
      <c r="D132" s="60"/>
      <c r="E132" s="60" t="str">
        <f>VLOOKUP(1600,Sprachindex!$A:$Z,Erhebungsbogen!$Y$20,FALSE)</f>
        <v>[Stk]</v>
      </c>
      <c r="F132" s="60" t="s">
        <v>22010</v>
      </c>
      <c r="G132" s="514" t="str">
        <f>VLOOKUP(2135,Sprachindex!$A:$Z,Erhebungsbogen!$Y$20,FALSE) &amp; " ( " &amp;Preisliste!H112 &amp; " " &amp; VLOOKUP(1744,Sprachindex!$A:$Z,Erhebungsbogen!$Y$20,FALSE) &amp; ")"</f>
        <v>Rundprofil 50-Vario 60° exkl. Dichtung, gebohrt und entgratet ( 29,728 kg/Stk)</v>
      </c>
      <c r="H132" s="514"/>
      <c r="I132" s="514"/>
      <c r="J132" s="514"/>
      <c r="K132" s="514"/>
      <c r="L132" s="514"/>
      <c r="M132" s="514"/>
      <c r="N132" s="514"/>
      <c r="O132" s="514"/>
      <c r="P132" s="514"/>
      <c r="Q132" s="514"/>
      <c r="R132" s="514"/>
      <c r="S132" s="514"/>
      <c r="T132" s="514"/>
      <c r="U132" s="352">
        <f>VLOOKUP(F132,Preisliste!C:F,4,FALSE)</f>
        <v>988.05</v>
      </c>
      <c r="V132" s="352">
        <f t="shared" si="28"/>
        <v>0</v>
      </c>
      <c r="W132" s="86"/>
      <c r="X132" s="86"/>
      <c r="Y132" s="86"/>
      <c r="Z132" s="86"/>
      <c r="AA132" s="86"/>
      <c r="AB132" s="86"/>
      <c r="AC132" s="86"/>
      <c r="AD132" s="86"/>
      <c r="AE132" s="86"/>
      <c r="AF132" s="86"/>
      <c r="AG132" s="55">
        <f>IF(AND(AH132=1,AP132&gt;0,AU132=1),1,0)</f>
        <v>0</v>
      </c>
      <c r="AH132" s="66">
        <f>IF(OR(Kalk2!$AA$19=2,Kalk2!$AA$19=3),1,0)</f>
        <v>1</v>
      </c>
      <c r="AI132" s="55">
        <v>50</v>
      </c>
      <c r="AK132" s="55" t="s">
        <v>22079</v>
      </c>
      <c r="AP132" s="66">
        <f>IF(AND(Kalk2!$O$21&gt;0,Kalk2!$N$21="60°"),Kalk2!$O$21,0)</f>
        <v>0</v>
      </c>
      <c r="AQ132" s="55" t="s">
        <v>22090</v>
      </c>
      <c r="AT132" s="55" t="s">
        <v>22079</v>
      </c>
      <c r="AU132" s="66">
        <f>IF(Kalk2!$AI$51=AV132,1,0)</f>
        <v>0</v>
      </c>
      <c r="AV132" s="55">
        <v>1350</v>
      </c>
      <c r="AX132" s="55" t="s">
        <v>22100</v>
      </c>
      <c r="AY132" s="66">
        <f>AP132*Kalk2!$H$37</f>
        <v>0</v>
      </c>
      <c r="AZ132" s="55" t="s">
        <v>20872</v>
      </c>
    </row>
    <row r="133" spans="2:52" ht="24.95" customHeight="1">
      <c r="B133" s="93">
        <f t="shared" si="26"/>
        <v>0</v>
      </c>
      <c r="C133" s="60">
        <v>1750</v>
      </c>
      <c r="D133" s="60"/>
      <c r="E133" s="60" t="str">
        <f>VLOOKUP(1600,Sprachindex!$A:$Z,Erhebungsbogen!$Y$20,FALSE)</f>
        <v>[Stk]</v>
      </c>
      <c r="F133" s="60" t="s">
        <v>22011</v>
      </c>
      <c r="G133" s="514" t="str">
        <f>VLOOKUP(2135,Sprachindex!$A:$Z,Erhebungsbogen!$Y$20,FALSE) &amp; " ( " &amp;Preisliste!H113 &amp; " " &amp; VLOOKUP(1744,Sprachindex!$A:$Z,Erhebungsbogen!$Y$20,FALSE) &amp; ")"</f>
        <v>Rundprofil 50-Vario 60° exkl. Dichtung, gebohrt und entgratet ( 38,537 kg/Stk)</v>
      </c>
      <c r="H133" s="514"/>
      <c r="I133" s="514"/>
      <c r="J133" s="514"/>
      <c r="K133" s="514"/>
      <c r="L133" s="514"/>
      <c r="M133" s="514"/>
      <c r="N133" s="514"/>
      <c r="O133" s="514"/>
      <c r="P133" s="514"/>
      <c r="Q133" s="514"/>
      <c r="R133" s="514"/>
      <c r="S133" s="514"/>
      <c r="T133" s="514"/>
      <c r="U133" s="352">
        <f>VLOOKUP(F133,Preisliste!C:F,4,FALSE)</f>
        <v>1110.0999999999999</v>
      </c>
      <c r="V133" s="352">
        <f t="shared" si="28"/>
        <v>0</v>
      </c>
      <c r="W133" s="86"/>
      <c r="X133" s="86"/>
      <c r="Y133" s="86"/>
      <c r="Z133" s="86"/>
      <c r="AA133" s="86"/>
      <c r="AB133" s="86"/>
      <c r="AC133" s="86"/>
      <c r="AD133" s="86"/>
      <c r="AE133" s="86"/>
      <c r="AF133" s="86"/>
      <c r="AG133" s="55">
        <f t="shared" si="27"/>
        <v>0</v>
      </c>
      <c r="AH133" s="66">
        <f>IF(OR(Kalk2!$AA$19=2,Kalk2!$AA$19=3),1,0)</f>
        <v>1</v>
      </c>
      <c r="AI133" s="55">
        <v>50</v>
      </c>
      <c r="AK133" s="55" t="s">
        <v>22079</v>
      </c>
      <c r="AP133" s="66">
        <f>IF(AND(Kalk2!$O$21&gt;0,Kalk2!$N$21="60°"),Kalk2!$O$21,0)</f>
        <v>0</v>
      </c>
      <c r="AQ133" s="55" t="s">
        <v>22090</v>
      </c>
      <c r="AT133" s="55" t="s">
        <v>22079</v>
      </c>
      <c r="AU133" s="66">
        <f>IF(Kalk2!$AI$51=AV133,1,0)</f>
        <v>0</v>
      </c>
      <c r="AV133" s="55">
        <v>1750</v>
      </c>
      <c r="AX133" s="55" t="s">
        <v>22100</v>
      </c>
      <c r="AY133" s="66">
        <f>AP133*Kalk2!$H$37</f>
        <v>0</v>
      </c>
      <c r="AZ133" s="55" t="s">
        <v>20872</v>
      </c>
    </row>
    <row r="134" spans="2:52" ht="24.95" customHeight="1">
      <c r="B134" s="93">
        <f t="shared" si="26"/>
        <v>0</v>
      </c>
      <c r="C134" s="60">
        <v>2150</v>
      </c>
      <c r="D134" s="60"/>
      <c r="E134" s="60" t="str">
        <f>VLOOKUP(1600,Sprachindex!$A:$Z,Erhebungsbogen!$Y$20,FALSE)</f>
        <v>[Stk]</v>
      </c>
      <c r="F134" s="60" t="s">
        <v>22012</v>
      </c>
      <c r="G134" s="514" t="str">
        <f>VLOOKUP(2135,Sprachindex!$A:$Z,Erhebungsbogen!$Y$20,FALSE) &amp; " ( " &amp;Preisliste!H114 &amp; " " &amp; VLOOKUP(1744,Sprachindex!$A:$Z,Erhebungsbogen!$Y$20,FALSE) &amp; ")"</f>
        <v>Rundprofil 50-Vario 60° exkl. Dichtung, gebohrt und entgratet ( 47,345 kg/Stk)</v>
      </c>
      <c r="H134" s="514"/>
      <c r="I134" s="514"/>
      <c r="J134" s="514"/>
      <c r="K134" s="514"/>
      <c r="L134" s="514"/>
      <c r="M134" s="514"/>
      <c r="N134" s="514"/>
      <c r="O134" s="514"/>
      <c r="P134" s="514"/>
      <c r="Q134" s="514"/>
      <c r="R134" s="514"/>
      <c r="S134" s="514"/>
      <c r="T134" s="514"/>
      <c r="U134" s="352">
        <f>VLOOKUP(F134,Preisliste!C:F,4,FALSE)</f>
        <v>1231.95</v>
      </c>
      <c r="V134" s="352">
        <f t="shared" si="28"/>
        <v>0</v>
      </c>
      <c r="W134" s="86"/>
      <c r="X134" s="86"/>
      <c r="Y134" s="86"/>
      <c r="Z134" s="86"/>
      <c r="AA134" s="86"/>
      <c r="AB134" s="86"/>
      <c r="AC134" s="86"/>
      <c r="AD134" s="86"/>
      <c r="AE134" s="86"/>
      <c r="AF134" s="86"/>
      <c r="AG134" s="55">
        <f t="shared" si="27"/>
        <v>0</v>
      </c>
      <c r="AH134" s="66">
        <f>IF(OR(Kalk2!$AA$19=2,Kalk2!$AA$19=3),1,0)</f>
        <v>1</v>
      </c>
      <c r="AI134" s="55">
        <v>50</v>
      </c>
      <c r="AK134" s="55" t="s">
        <v>22079</v>
      </c>
      <c r="AP134" s="66">
        <f>IF(AND(Kalk2!$O$21&gt;0,Kalk2!$N$21="60°"),Kalk2!$O$21,0)</f>
        <v>0</v>
      </c>
      <c r="AQ134" s="55" t="s">
        <v>22090</v>
      </c>
      <c r="AT134" s="55" t="s">
        <v>22079</v>
      </c>
      <c r="AU134" s="66">
        <f>IF(Kalk2!$AI$51=AV134,1,0)</f>
        <v>0</v>
      </c>
      <c r="AV134" s="55">
        <v>2150</v>
      </c>
      <c r="AX134" s="55" t="s">
        <v>22100</v>
      </c>
      <c r="AY134" s="66">
        <f>AP134*Kalk2!$H$37</f>
        <v>0</v>
      </c>
      <c r="AZ134" s="55" t="s">
        <v>20872</v>
      </c>
    </row>
    <row r="135" spans="2:52" ht="24.95" customHeight="1">
      <c r="B135" s="93">
        <f t="shared" si="26"/>
        <v>0</v>
      </c>
      <c r="C135" s="60">
        <f>IF(AG135=1,AW135,0)</f>
        <v>0</v>
      </c>
      <c r="D135" s="60"/>
      <c r="E135" s="60" t="str">
        <f>VLOOKUP(1600,Sprachindex!$A:$Z,Erhebungsbogen!$Y$20,FALSE)</f>
        <v>[Stk]</v>
      </c>
      <c r="F135" s="60" t="s">
        <v>21826</v>
      </c>
      <c r="G135" s="514" t="str">
        <f>VLOOKUP(2136,Sprachindex!$A:$Z,Erhebungsbogen!$Y$20,FALSE) &amp; " (" &amp; ROUNDUP(C135/1000*Preisliste!I115,2) &amp; " " &amp; VLOOKUP(1744,Sprachindex!$A:$Z,Erhebungsbogen!$Y$20,FALSE) &amp; ")"</f>
        <v>Rundprofil 50-Vario 60° Sonderlänge exkl. Dichtung, (Stangenware) (0 kg/Stk)</v>
      </c>
      <c r="H135" s="514"/>
      <c r="I135" s="514"/>
      <c r="J135" s="514"/>
      <c r="K135" s="514"/>
      <c r="L135" s="514"/>
      <c r="M135" s="514"/>
      <c r="N135" s="514"/>
      <c r="O135" s="514"/>
      <c r="P135" s="514"/>
      <c r="Q135" s="514"/>
      <c r="R135" s="514"/>
      <c r="S135" s="514"/>
      <c r="T135" s="514"/>
      <c r="U135" s="354">
        <f>VLOOKUP(F135,Preisliste!C:F,4,FALSE)</f>
        <v>0</v>
      </c>
      <c r="V135" s="352">
        <f>U135*C135*B135/1000</f>
        <v>0</v>
      </c>
      <c r="W135" s="86"/>
      <c r="X135" s="86"/>
      <c r="Y135" s="86"/>
      <c r="Z135" s="86"/>
      <c r="AA135" s="86"/>
      <c r="AB135" s="86"/>
      <c r="AC135" s="86"/>
      <c r="AD135" s="86"/>
      <c r="AE135" s="86"/>
      <c r="AF135" s="86"/>
      <c r="AG135" s="55">
        <f t="shared" si="27"/>
        <v>0</v>
      </c>
      <c r="AH135" s="66">
        <f>IF(OR(Kalk2!$AA$19=2,Kalk2!$AA$19=3),1,0)</f>
        <v>1</v>
      </c>
      <c r="AI135" s="55">
        <v>50</v>
      </c>
      <c r="AK135" s="55" t="s">
        <v>22079</v>
      </c>
      <c r="AP135" s="66">
        <f>IF(AND(Kalk2!$O$21&gt;0,Kalk2!$N$21="60°"),Kalk2!$O$21,0)</f>
        <v>0</v>
      </c>
      <c r="AQ135" s="55" t="s">
        <v>22090</v>
      </c>
      <c r="AT135" s="55" t="s">
        <v>22079</v>
      </c>
      <c r="AU135" s="66">
        <f>IF(Kalk2!$AH$52&gt;AV135,1,0)</f>
        <v>0</v>
      </c>
      <c r="AV135" s="55">
        <v>2150</v>
      </c>
      <c r="AW135" s="66">
        <f>Kalk2!$AH$52</f>
        <v>0</v>
      </c>
      <c r="AX135" s="55" t="s">
        <v>22100</v>
      </c>
      <c r="AY135" s="66">
        <f>AP135*Kalk2!$H$37</f>
        <v>0</v>
      </c>
      <c r="AZ135" s="55" t="s">
        <v>20872</v>
      </c>
    </row>
    <row r="136" spans="2:52" ht="24.95" customHeight="1">
      <c r="B136" s="93">
        <f t="shared" si="26"/>
        <v>0</v>
      </c>
      <c r="C136" s="60">
        <v>750</v>
      </c>
      <c r="D136" s="60"/>
      <c r="E136" s="60" t="str">
        <f>VLOOKUP(1600,Sprachindex!$A:$Z,Erhebungsbogen!$Y$20,FALSE)</f>
        <v>[Stk]</v>
      </c>
      <c r="F136" s="60" t="s">
        <v>22013</v>
      </c>
      <c r="G136" s="514" t="str">
        <f>VLOOKUP(2137,Sprachindex!$A:$Z,Erhebungsbogen!$Y$20,FALSE) &amp; " ( " &amp;Preisliste!H116 &amp; " " &amp; VLOOKUP(1744,Sprachindex!$A:$Z,Erhebungsbogen!$Y$20,FALSE) &amp; ")"</f>
        <v>Rundprofil 50-Vario 75° exkl. Dichtung, gebohrt und entgratet ( 15,726 kg/Stk)</v>
      </c>
      <c r="H136" s="514"/>
      <c r="I136" s="514"/>
      <c r="J136" s="514"/>
      <c r="K136" s="514"/>
      <c r="L136" s="514"/>
      <c r="M136" s="514"/>
      <c r="N136" s="514"/>
      <c r="O136" s="514"/>
      <c r="P136" s="514"/>
      <c r="Q136" s="514"/>
      <c r="R136" s="514"/>
      <c r="S136" s="514"/>
      <c r="T136" s="514"/>
      <c r="U136" s="352">
        <f>VLOOKUP(F136,Preisliste!C:F,4,FALSE)</f>
        <v>805.1</v>
      </c>
      <c r="V136" s="352">
        <f t="shared" si="28"/>
        <v>0</v>
      </c>
      <c r="W136" s="86"/>
      <c r="X136" s="86"/>
      <c r="Y136" s="86"/>
      <c r="Z136" s="86"/>
      <c r="AA136" s="86"/>
      <c r="AB136" s="86"/>
      <c r="AC136" s="86"/>
      <c r="AD136" s="86"/>
      <c r="AE136" s="86"/>
      <c r="AF136" s="86"/>
      <c r="AG136" s="55">
        <f t="shared" si="27"/>
        <v>1</v>
      </c>
      <c r="AH136" s="66">
        <f>IF(OR(Kalk2!$AA$19=2,Kalk2!$AA$19=3),1,0)</f>
        <v>1</v>
      </c>
      <c r="AI136" s="55">
        <v>50</v>
      </c>
      <c r="AK136" s="55" t="s">
        <v>22079</v>
      </c>
      <c r="AP136" s="66">
        <f>IF(AND(Kalk2!$O$21&gt;0,Kalk2!$N$21="75°"),Kalk2!$O$21,0)</f>
        <v>0</v>
      </c>
      <c r="AQ136" s="55" t="s">
        <v>22091</v>
      </c>
      <c r="AT136" s="55" t="s">
        <v>22079</v>
      </c>
      <c r="AU136" s="66">
        <f>IF(Kalk2!$AI$51=$AV$91,1,0)</f>
        <v>1</v>
      </c>
      <c r="AV136" s="55">
        <v>750</v>
      </c>
      <c r="AX136" s="55" t="s">
        <v>22100</v>
      </c>
      <c r="AY136" s="66">
        <f>AP136*Kalk2!$H$37</f>
        <v>0</v>
      </c>
      <c r="AZ136" s="55" t="s">
        <v>20872</v>
      </c>
    </row>
    <row r="137" spans="2:52" ht="24.95" customHeight="1">
      <c r="B137" s="93">
        <f t="shared" si="26"/>
        <v>0</v>
      </c>
      <c r="C137" s="60">
        <v>1350</v>
      </c>
      <c r="D137" s="60"/>
      <c r="E137" s="60" t="str">
        <f>VLOOKUP(1600,Sprachindex!$A:$Z,Erhebungsbogen!$Y$20,FALSE)</f>
        <v>[Stk]</v>
      </c>
      <c r="F137" s="60" t="s">
        <v>22014</v>
      </c>
      <c r="G137" s="514" t="str">
        <f>VLOOKUP(2137,Sprachindex!$A:$Z,Erhebungsbogen!$Y$20,FALSE) &amp; " ( " &amp;Preisliste!H117 &amp; " " &amp; VLOOKUP(1744,Sprachindex!$A:$Z,Erhebungsbogen!$Y$20,FALSE) &amp; ")"</f>
        <v>Rundprofil 50-Vario 75° exkl. Dichtung, gebohrt und entgratet ( 28,307 kg/Stk)</v>
      </c>
      <c r="H137" s="514"/>
      <c r="I137" s="514"/>
      <c r="J137" s="514"/>
      <c r="K137" s="514"/>
      <c r="L137" s="514"/>
      <c r="M137" s="514"/>
      <c r="N137" s="514"/>
      <c r="O137" s="514"/>
      <c r="P137" s="514"/>
      <c r="Q137" s="514"/>
      <c r="R137" s="514"/>
      <c r="S137" s="514"/>
      <c r="T137" s="514"/>
      <c r="U137" s="352">
        <f>VLOOKUP(F137,Preisliste!C:F,4,FALSE)</f>
        <v>988.05</v>
      </c>
      <c r="V137" s="352">
        <f t="shared" si="28"/>
        <v>0</v>
      </c>
      <c r="W137" s="86"/>
      <c r="X137" s="86"/>
      <c r="Y137" s="86"/>
      <c r="Z137" s="86"/>
      <c r="AA137" s="86"/>
      <c r="AB137" s="86"/>
      <c r="AC137" s="86"/>
      <c r="AD137" s="86"/>
      <c r="AE137" s="86"/>
      <c r="AF137" s="86"/>
      <c r="AG137" s="55">
        <f>IF(AND(AH137=1,AP137&gt;0,AU137=1),1,0)</f>
        <v>0</v>
      </c>
      <c r="AH137" s="66">
        <f>IF(OR(Kalk2!$AA$19=2,Kalk2!$AA$19=3),1,0)</f>
        <v>1</v>
      </c>
      <c r="AI137" s="55">
        <v>50</v>
      </c>
      <c r="AK137" s="55" t="s">
        <v>22079</v>
      </c>
      <c r="AP137" s="66">
        <f>IF(AND(Kalk2!$O$21&gt;0,Kalk2!$N$21="75°"),Kalk2!$O$21,0)</f>
        <v>0</v>
      </c>
      <c r="AQ137" s="55" t="s">
        <v>22091</v>
      </c>
      <c r="AT137" s="55" t="s">
        <v>22079</v>
      </c>
      <c r="AU137" s="66">
        <f>IF(Kalk2!$AI$51=AV137,1,0)</f>
        <v>0</v>
      </c>
      <c r="AV137" s="55">
        <v>1350</v>
      </c>
      <c r="AX137" s="55" t="s">
        <v>22100</v>
      </c>
      <c r="AY137" s="66">
        <f>AP137*Kalk2!$H$37</f>
        <v>0</v>
      </c>
      <c r="AZ137" s="55" t="s">
        <v>20872</v>
      </c>
    </row>
    <row r="138" spans="2:52" ht="24.95" customHeight="1">
      <c r="B138" s="93">
        <f t="shared" si="26"/>
        <v>0</v>
      </c>
      <c r="C138" s="60">
        <v>1750</v>
      </c>
      <c r="D138" s="60"/>
      <c r="E138" s="60" t="str">
        <f>VLOOKUP(1600,Sprachindex!$A:$Z,Erhebungsbogen!$Y$20,FALSE)</f>
        <v>[Stk]</v>
      </c>
      <c r="F138" s="60" t="s">
        <v>22015</v>
      </c>
      <c r="G138" s="514" t="str">
        <f>VLOOKUP(2137,Sprachindex!$A:$Z,Erhebungsbogen!$Y$20,FALSE) &amp; " ( " &amp;Preisliste!H118 &amp; " " &amp; VLOOKUP(1744,Sprachindex!$A:$Z,Erhebungsbogen!$Y$20,FALSE) &amp; ")"</f>
        <v>Rundprofil 50-Vario 75° exkl. Dichtung, gebohrt und entgratet ( 36,694 kg/Stk)</v>
      </c>
      <c r="H138" s="514"/>
      <c r="I138" s="514"/>
      <c r="J138" s="514"/>
      <c r="K138" s="514"/>
      <c r="L138" s="514"/>
      <c r="M138" s="514"/>
      <c r="N138" s="514"/>
      <c r="O138" s="514"/>
      <c r="P138" s="514"/>
      <c r="Q138" s="514"/>
      <c r="R138" s="514"/>
      <c r="S138" s="514"/>
      <c r="T138" s="514"/>
      <c r="U138" s="352">
        <f>VLOOKUP(F138,Preisliste!C:F,4,FALSE)</f>
        <v>1110.0999999999999</v>
      </c>
      <c r="V138" s="352">
        <f t="shared" si="28"/>
        <v>0</v>
      </c>
      <c r="W138" s="86"/>
      <c r="X138" s="86"/>
      <c r="Y138" s="86"/>
      <c r="Z138" s="86"/>
      <c r="AA138" s="86"/>
      <c r="AB138" s="86"/>
      <c r="AC138" s="86"/>
      <c r="AD138" s="86"/>
      <c r="AE138" s="86"/>
      <c r="AF138" s="86"/>
      <c r="AG138" s="55">
        <f t="shared" si="27"/>
        <v>0</v>
      </c>
      <c r="AH138" s="66">
        <f>IF(OR(Kalk2!$AA$19=2,Kalk2!$AA$19=3),1,0)</f>
        <v>1</v>
      </c>
      <c r="AI138" s="55">
        <v>50</v>
      </c>
      <c r="AK138" s="55" t="s">
        <v>22079</v>
      </c>
      <c r="AP138" s="66">
        <f>IF(AND(Kalk2!$O$21&gt;0,Kalk2!$N$21="75°"),Kalk2!$O$21,0)</f>
        <v>0</v>
      </c>
      <c r="AQ138" s="55" t="s">
        <v>22091</v>
      </c>
      <c r="AT138" s="55" t="s">
        <v>22079</v>
      </c>
      <c r="AU138" s="66">
        <f>IF(Kalk2!$AI$51=AV138,1,0)</f>
        <v>0</v>
      </c>
      <c r="AV138" s="55">
        <v>1750</v>
      </c>
      <c r="AX138" s="55" t="s">
        <v>22100</v>
      </c>
      <c r="AY138" s="66">
        <f>AP138*Kalk2!$H$37</f>
        <v>0</v>
      </c>
      <c r="AZ138" s="55" t="s">
        <v>20872</v>
      </c>
    </row>
    <row r="139" spans="2:52" ht="24.95" customHeight="1">
      <c r="B139" s="93">
        <f t="shared" si="26"/>
        <v>0</v>
      </c>
      <c r="C139" s="60">
        <v>2150</v>
      </c>
      <c r="D139" s="60"/>
      <c r="E139" s="60" t="str">
        <f>VLOOKUP(1600,Sprachindex!$A:$Z,Erhebungsbogen!$Y$20,FALSE)</f>
        <v>[Stk]</v>
      </c>
      <c r="F139" s="60" t="s">
        <v>22016</v>
      </c>
      <c r="G139" s="514" t="str">
        <f>VLOOKUP(2137,Sprachindex!$A:$Z,Erhebungsbogen!$Y$20,FALSE) &amp; " ( " &amp;Preisliste!H119 &amp; " " &amp; VLOOKUP(1744,Sprachindex!$A:$Z,Erhebungsbogen!$Y$20,FALSE) &amp; ")"</f>
        <v>Rundprofil 50-Vario 75° exkl. Dichtung, gebohrt und entgratet ( 45,081 kg/Stk)</v>
      </c>
      <c r="H139" s="514"/>
      <c r="I139" s="514"/>
      <c r="J139" s="514"/>
      <c r="K139" s="514"/>
      <c r="L139" s="514"/>
      <c r="M139" s="514"/>
      <c r="N139" s="514"/>
      <c r="O139" s="514"/>
      <c r="P139" s="514"/>
      <c r="Q139" s="514"/>
      <c r="R139" s="514"/>
      <c r="S139" s="514"/>
      <c r="T139" s="514"/>
      <c r="U139" s="352">
        <f>VLOOKUP(F139,Preisliste!C:F,4,FALSE)</f>
        <v>1231.95</v>
      </c>
      <c r="V139" s="352">
        <f t="shared" si="28"/>
        <v>0</v>
      </c>
      <c r="W139" s="86"/>
      <c r="X139" s="86"/>
      <c r="Y139" s="86"/>
      <c r="Z139" s="86"/>
      <c r="AA139" s="86"/>
      <c r="AB139" s="86"/>
      <c r="AC139" s="86"/>
      <c r="AD139" s="86"/>
      <c r="AE139" s="86"/>
      <c r="AF139" s="86"/>
      <c r="AG139" s="55">
        <f t="shared" si="27"/>
        <v>0</v>
      </c>
      <c r="AH139" s="66">
        <f>IF(OR(Kalk2!$AA$19=2,Kalk2!$AA$19=3),1,0)</f>
        <v>1</v>
      </c>
      <c r="AI139" s="55">
        <v>50</v>
      </c>
      <c r="AK139" s="55" t="s">
        <v>22079</v>
      </c>
      <c r="AP139" s="66">
        <f>IF(AND(Kalk2!$O$21&gt;0,Kalk2!$N$21="75°"),Kalk2!$O$21,0)</f>
        <v>0</v>
      </c>
      <c r="AQ139" s="55" t="s">
        <v>22091</v>
      </c>
      <c r="AT139" s="55" t="s">
        <v>22079</v>
      </c>
      <c r="AU139" s="66">
        <f>IF(Kalk2!$AI$51=AV139,1,0)</f>
        <v>0</v>
      </c>
      <c r="AV139" s="55">
        <v>2150</v>
      </c>
      <c r="AX139" s="55" t="s">
        <v>22100</v>
      </c>
      <c r="AY139" s="66">
        <f>AP139*Kalk2!$H$37</f>
        <v>0</v>
      </c>
      <c r="AZ139" s="55" t="s">
        <v>20872</v>
      </c>
    </row>
    <row r="140" spans="2:52" ht="24.95" customHeight="1">
      <c r="B140" s="93">
        <f t="shared" si="26"/>
        <v>0</v>
      </c>
      <c r="C140" s="60">
        <f>IF(AG140=1,AW140,0)</f>
        <v>0</v>
      </c>
      <c r="D140" s="60"/>
      <c r="E140" s="60" t="str">
        <f>VLOOKUP(1600,Sprachindex!$A:$Z,Erhebungsbogen!$Y$20,FALSE)</f>
        <v>[Stk]</v>
      </c>
      <c r="F140" s="60" t="s">
        <v>21826</v>
      </c>
      <c r="G140" s="514" t="str">
        <f>VLOOKUP(2138,Sprachindex!$A:$Z,Erhebungsbogen!$Y$20,FALSE) &amp; " (" &amp; ROUNDUP(C140/1000*Preisliste!I120,2) &amp; " " &amp; VLOOKUP(1744,Sprachindex!$A:$Z,Erhebungsbogen!$Y$20,FALSE) &amp; ")"</f>
        <v>Rundprofil 50-Vario 75° Sonderlänge exkl. Dichtung, (Stangenware) (0 kg/Stk)</v>
      </c>
      <c r="H140" s="514"/>
      <c r="I140" s="514"/>
      <c r="J140" s="514"/>
      <c r="K140" s="514"/>
      <c r="L140" s="514"/>
      <c r="M140" s="514"/>
      <c r="N140" s="514"/>
      <c r="O140" s="514"/>
      <c r="P140" s="514"/>
      <c r="Q140" s="514"/>
      <c r="R140" s="514"/>
      <c r="S140" s="514"/>
      <c r="T140" s="514"/>
      <c r="U140" s="354">
        <f>VLOOKUP(F140,Preisliste!C:F,4,FALSE)</f>
        <v>0</v>
      </c>
      <c r="V140" s="352">
        <f>U140*C140*B140/1000</f>
        <v>0</v>
      </c>
      <c r="W140" s="86"/>
      <c r="X140" s="86"/>
      <c r="Y140" s="86"/>
      <c r="Z140" s="86"/>
      <c r="AA140" s="86"/>
      <c r="AB140" s="86"/>
      <c r="AC140" s="86"/>
      <c r="AD140" s="86"/>
      <c r="AE140" s="86"/>
      <c r="AF140" s="86"/>
      <c r="AG140" s="55">
        <f t="shared" si="27"/>
        <v>0</v>
      </c>
      <c r="AH140" s="66">
        <f>IF(OR(Kalk2!$AA$19=2,Kalk2!$AA$19=3),1,0)</f>
        <v>1</v>
      </c>
      <c r="AI140" s="55">
        <v>50</v>
      </c>
      <c r="AK140" s="55" t="s">
        <v>22079</v>
      </c>
      <c r="AP140" s="66">
        <f>IF(AND(Kalk2!$O$21&gt;0,Kalk2!$N$21="75°"),Kalk2!$O$21,0)</f>
        <v>0</v>
      </c>
      <c r="AQ140" s="55" t="s">
        <v>22091</v>
      </c>
      <c r="AT140" s="55" t="s">
        <v>22079</v>
      </c>
      <c r="AU140" s="66">
        <f>IF(Kalk2!$AH$52&gt;AV140,1,0)</f>
        <v>0</v>
      </c>
      <c r="AV140" s="55">
        <v>2150</v>
      </c>
      <c r="AW140" s="66">
        <f>Kalk2!$AH$52</f>
        <v>0</v>
      </c>
      <c r="AX140" s="55" t="s">
        <v>22100</v>
      </c>
      <c r="AY140" s="66">
        <f>AP140*Kalk2!$H$37</f>
        <v>0</v>
      </c>
      <c r="AZ140" s="55" t="s">
        <v>20872</v>
      </c>
    </row>
    <row r="141" spans="2:52" ht="24.95" customHeight="1">
      <c r="B141" s="93">
        <f t="shared" si="26"/>
        <v>0</v>
      </c>
      <c r="C141" s="60">
        <v>750</v>
      </c>
      <c r="D141" s="60"/>
      <c r="E141" s="60" t="str">
        <f>VLOOKUP(1600,Sprachindex!$A:$Z,Erhebungsbogen!$Y$20,FALSE)</f>
        <v>[Stk]</v>
      </c>
      <c r="F141" s="60" t="s">
        <v>21930</v>
      </c>
      <c r="G141" s="514" t="str">
        <f>VLOOKUP(2139,Sprachindex!$A:$Z,Erhebungsbogen!$Y$20,FALSE) &amp; " ( " &amp;Preisliste!H121 &amp; " " &amp; VLOOKUP(1744,Sprachindex!$A:$Z,Erhebungsbogen!$Y$20,FALSE) &amp; ")"</f>
        <v>Rundprofil 80-Vario 15° exkl. Dichtung, gebohrt und entgratet ( 14,244 kg/Stk)</v>
      </c>
      <c r="H141" s="514"/>
      <c r="I141" s="514"/>
      <c r="J141" s="514"/>
      <c r="K141" s="514"/>
      <c r="L141" s="514"/>
      <c r="M141" s="514"/>
      <c r="N141" s="514"/>
      <c r="O141" s="514"/>
      <c r="P141" s="514"/>
      <c r="Q141" s="514"/>
      <c r="R141" s="514"/>
      <c r="S141" s="514"/>
      <c r="T141" s="514"/>
      <c r="U141" s="352">
        <f>VLOOKUP(F141,Preisliste!C:F,4,FALSE)</f>
        <v>628.54999999999995</v>
      </c>
      <c r="V141" s="352">
        <f t="shared" si="28"/>
        <v>0</v>
      </c>
      <c r="W141" s="86"/>
      <c r="X141" s="86"/>
      <c r="Y141" s="86"/>
      <c r="Z141" s="86"/>
      <c r="AA141" s="86"/>
      <c r="AB141" s="86"/>
      <c r="AC141" s="86"/>
      <c r="AD141" s="86"/>
      <c r="AE141" s="86"/>
      <c r="AF141" s="86"/>
      <c r="AG141" s="55">
        <f t="shared" si="27"/>
        <v>0</v>
      </c>
      <c r="AH141" s="66">
        <f>IF(Kalk2!$AA$19=4,1,0)</f>
        <v>0</v>
      </c>
      <c r="AI141" s="55">
        <v>80</v>
      </c>
      <c r="AK141" s="55" t="s">
        <v>22079</v>
      </c>
      <c r="AP141" s="66">
        <f>IF(AND(Kalk2!$O$21&gt;0,Kalk2!$N$21="15°"),Kalk2!$O$21,0)</f>
        <v>0</v>
      </c>
      <c r="AQ141" s="55" t="s">
        <v>22087</v>
      </c>
      <c r="AT141" s="55" t="s">
        <v>22079</v>
      </c>
      <c r="AU141" s="66">
        <f>IF(Kalk2!$AI$51=$AV$91,1,0)</f>
        <v>1</v>
      </c>
      <c r="AV141" s="55">
        <v>750</v>
      </c>
      <c r="AX141" s="55" t="s">
        <v>22100</v>
      </c>
      <c r="AY141" s="66">
        <f>AP141*Kalk2!$H$37</f>
        <v>0</v>
      </c>
      <c r="AZ141" s="55" t="s">
        <v>20872</v>
      </c>
    </row>
    <row r="142" spans="2:52" ht="24.95" customHeight="1">
      <c r="B142" s="93">
        <f t="shared" si="26"/>
        <v>0</v>
      </c>
      <c r="C142" s="60">
        <v>1350</v>
      </c>
      <c r="D142" s="60"/>
      <c r="E142" s="60" t="str">
        <f>VLOOKUP(1600,Sprachindex!$A:$Z,Erhebungsbogen!$Y$20,FALSE)</f>
        <v>[Stk]</v>
      </c>
      <c r="F142" s="60" t="s">
        <v>21931</v>
      </c>
      <c r="G142" s="514" t="str">
        <f>VLOOKUP(2139,Sprachindex!$A:$Z,Erhebungsbogen!$Y$20,FALSE) &amp; " ( " &amp;Preisliste!H122 &amp; " " &amp; VLOOKUP(1744,Sprachindex!$A:$Z,Erhebungsbogen!$Y$20,FALSE) &amp; ")"</f>
        <v>Rundprofil 80-Vario 15° exkl. Dichtung, gebohrt und entgratet ( 25,639 kg/Stk)</v>
      </c>
      <c r="H142" s="514"/>
      <c r="I142" s="514"/>
      <c r="J142" s="514"/>
      <c r="K142" s="514"/>
      <c r="L142" s="514"/>
      <c r="M142" s="514"/>
      <c r="N142" s="514"/>
      <c r="O142" s="514"/>
      <c r="P142" s="514"/>
      <c r="Q142" s="514"/>
      <c r="R142" s="514"/>
      <c r="S142" s="514"/>
      <c r="T142" s="514"/>
      <c r="U142" s="352">
        <f>VLOOKUP(F142,Preisliste!C:F,4,FALSE)</f>
        <v>814.15</v>
      </c>
      <c r="V142" s="352">
        <f t="shared" si="28"/>
        <v>0</v>
      </c>
      <c r="W142" s="86"/>
      <c r="X142" s="86"/>
      <c r="Y142" s="86"/>
      <c r="Z142" s="86"/>
      <c r="AA142" s="86"/>
      <c r="AB142" s="86"/>
      <c r="AC142" s="86"/>
      <c r="AD142" s="86"/>
      <c r="AE142" s="86"/>
      <c r="AF142" s="86"/>
      <c r="AG142" s="55">
        <f t="shared" si="27"/>
        <v>0</v>
      </c>
      <c r="AH142" s="66">
        <f>IF(Kalk2!$AA$19=4,1,0)</f>
        <v>0</v>
      </c>
      <c r="AI142" s="55">
        <v>80</v>
      </c>
      <c r="AK142" s="55" t="s">
        <v>22079</v>
      </c>
      <c r="AP142" s="66">
        <f>IF(AND(Kalk2!$O$21&gt;0,Kalk2!$N$21="15°"),Kalk2!$O$21,0)</f>
        <v>0</v>
      </c>
      <c r="AQ142" s="55" t="s">
        <v>22087</v>
      </c>
      <c r="AT142" s="55" t="s">
        <v>22079</v>
      </c>
      <c r="AU142" s="66">
        <f>IF(Kalk2!$AI$51=AV142,1,0)</f>
        <v>0</v>
      </c>
      <c r="AV142" s="55">
        <v>1350</v>
      </c>
      <c r="AX142" s="55" t="s">
        <v>22100</v>
      </c>
      <c r="AY142" s="66">
        <f>AP142*Kalk2!$H$37</f>
        <v>0</v>
      </c>
      <c r="AZ142" s="55" t="s">
        <v>20872</v>
      </c>
    </row>
    <row r="143" spans="2:52" ht="24.95" customHeight="1">
      <c r="B143" s="93">
        <f t="shared" si="26"/>
        <v>0</v>
      </c>
      <c r="C143" s="60">
        <v>1750</v>
      </c>
      <c r="D143" s="60"/>
      <c r="E143" s="60" t="str">
        <f>VLOOKUP(1600,Sprachindex!$A:$Z,Erhebungsbogen!$Y$20,FALSE)</f>
        <v>[Stk]</v>
      </c>
      <c r="F143" s="60" t="s">
        <v>21932</v>
      </c>
      <c r="G143" s="514" t="str">
        <f>VLOOKUP(2139,Sprachindex!$A:$Z,Erhebungsbogen!$Y$20,FALSE) &amp; " ( " &amp;Preisliste!H123 &amp; " " &amp; VLOOKUP(1744,Sprachindex!$A:$Z,Erhebungsbogen!$Y$20,FALSE) &amp; ")"</f>
        <v>Rundprofil 80-Vario 15° exkl. Dichtung, gebohrt und entgratet ( 33,236 kg/Stk)</v>
      </c>
      <c r="H143" s="514"/>
      <c r="I143" s="514"/>
      <c r="J143" s="514"/>
      <c r="K143" s="514"/>
      <c r="L143" s="514"/>
      <c r="M143" s="514"/>
      <c r="N143" s="514"/>
      <c r="O143" s="514"/>
      <c r="P143" s="514"/>
      <c r="Q143" s="514"/>
      <c r="R143" s="514"/>
      <c r="S143" s="514"/>
      <c r="T143" s="514"/>
      <c r="U143" s="352">
        <f>VLOOKUP(F143,Preisliste!C:F,4,FALSE)</f>
        <v>937.8</v>
      </c>
      <c r="V143" s="352">
        <f t="shared" si="28"/>
        <v>0</v>
      </c>
      <c r="W143" s="86"/>
      <c r="X143" s="86"/>
      <c r="Y143" s="86"/>
      <c r="Z143" s="86"/>
      <c r="AA143" s="86"/>
      <c r="AB143" s="86"/>
      <c r="AC143" s="86"/>
      <c r="AD143" s="86"/>
      <c r="AE143" s="86"/>
      <c r="AF143" s="86"/>
      <c r="AG143" s="55">
        <f t="shared" si="27"/>
        <v>0</v>
      </c>
      <c r="AH143" s="66">
        <f>IF(Kalk2!$AA$19=4,1,0)</f>
        <v>0</v>
      </c>
      <c r="AI143" s="55">
        <v>80</v>
      </c>
      <c r="AK143" s="55" t="s">
        <v>22079</v>
      </c>
      <c r="AP143" s="66">
        <f>IF(AND(Kalk2!$O$21&gt;0,Kalk2!$N$21="15°"),Kalk2!$O$21,0)</f>
        <v>0</v>
      </c>
      <c r="AQ143" s="55" t="s">
        <v>22087</v>
      </c>
      <c r="AT143" s="55" t="s">
        <v>22079</v>
      </c>
      <c r="AU143" s="66">
        <f>IF(Kalk2!$AI$51=AV143,1,0)</f>
        <v>0</v>
      </c>
      <c r="AV143" s="55">
        <v>1750</v>
      </c>
      <c r="AX143" s="55" t="s">
        <v>22100</v>
      </c>
      <c r="AY143" s="66">
        <f>AP143*Kalk2!$H$37</f>
        <v>0</v>
      </c>
      <c r="AZ143" s="55" t="s">
        <v>20872</v>
      </c>
    </row>
    <row r="144" spans="2:52" ht="24.95" customHeight="1">
      <c r="B144" s="93">
        <f t="shared" si="26"/>
        <v>0</v>
      </c>
      <c r="C144" s="60">
        <v>2150</v>
      </c>
      <c r="D144" s="60"/>
      <c r="E144" s="60" t="str">
        <f>VLOOKUP(1600,Sprachindex!$A:$Z,Erhebungsbogen!$Y$20,FALSE)</f>
        <v>[Stk]</v>
      </c>
      <c r="F144" s="60" t="s">
        <v>21933</v>
      </c>
      <c r="G144" s="514" t="str">
        <f>VLOOKUP(2139,Sprachindex!$A:$Z,Erhebungsbogen!$Y$20,FALSE) &amp; " ( " &amp;Preisliste!H124 &amp; " " &amp; VLOOKUP(1744,Sprachindex!$A:$Z,Erhebungsbogen!$Y$20,FALSE) &amp; ")"</f>
        <v>Rundprofil 80-Vario 15° exkl. Dichtung, gebohrt und entgratet ( 40,833 kg/Stk)</v>
      </c>
      <c r="H144" s="514"/>
      <c r="I144" s="514"/>
      <c r="J144" s="514"/>
      <c r="K144" s="514"/>
      <c r="L144" s="514"/>
      <c r="M144" s="514"/>
      <c r="N144" s="514"/>
      <c r="O144" s="514"/>
      <c r="P144" s="514"/>
      <c r="Q144" s="514"/>
      <c r="R144" s="514"/>
      <c r="S144" s="514"/>
      <c r="T144" s="514"/>
      <c r="U144" s="352">
        <f>VLOOKUP(F144,Preisliste!C:F,4,FALSE)</f>
        <v>1061.5</v>
      </c>
      <c r="V144" s="352">
        <f t="shared" si="28"/>
        <v>0</v>
      </c>
      <c r="W144" s="86"/>
      <c r="X144" s="86"/>
      <c r="Y144" s="86"/>
      <c r="Z144" s="86"/>
      <c r="AA144" s="86"/>
      <c r="AB144" s="86"/>
      <c r="AC144" s="86"/>
      <c r="AD144" s="86"/>
      <c r="AE144" s="86"/>
      <c r="AF144" s="86"/>
      <c r="AG144" s="55">
        <f t="shared" si="27"/>
        <v>0</v>
      </c>
      <c r="AH144" s="66">
        <f>IF(Kalk2!$AA$19=4,1,0)</f>
        <v>0</v>
      </c>
      <c r="AI144" s="55">
        <v>80</v>
      </c>
      <c r="AK144" s="55" t="s">
        <v>22079</v>
      </c>
      <c r="AP144" s="66">
        <f>IF(AND(Kalk2!$O$21&gt;0,Kalk2!$N$21="15°"),Kalk2!$O$21,0)</f>
        <v>0</v>
      </c>
      <c r="AQ144" s="55" t="s">
        <v>22087</v>
      </c>
      <c r="AT144" s="55" t="s">
        <v>22079</v>
      </c>
      <c r="AU144" s="66">
        <f>IF(Kalk2!$AI$51=AV144,1,0)</f>
        <v>0</v>
      </c>
      <c r="AV144" s="55">
        <v>2150</v>
      </c>
      <c r="AX144" s="55" t="s">
        <v>22100</v>
      </c>
      <c r="AY144" s="66">
        <f>AP144*Kalk2!$H$37</f>
        <v>0</v>
      </c>
      <c r="AZ144" s="55" t="s">
        <v>20872</v>
      </c>
    </row>
    <row r="145" spans="2:55" ht="24.95" customHeight="1">
      <c r="B145" s="93">
        <f t="shared" si="26"/>
        <v>0</v>
      </c>
      <c r="C145" s="60">
        <f>IF(AG145=1,AW145,0)</f>
        <v>0</v>
      </c>
      <c r="D145" s="60"/>
      <c r="E145" s="60" t="str">
        <f>VLOOKUP(1600,Sprachindex!$A:$Z,Erhebungsbogen!$Y$20,FALSE)</f>
        <v>[Stk]</v>
      </c>
      <c r="F145" s="60" t="s">
        <v>21826</v>
      </c>
      <c r="G145" s="514" t="str">
        <f>VLOOKUP(2140,Sprachindex!$A:$Z,Erhebungsbogen!$Y$20,FALSE) &amp; " (" &amp; ROUNDUP(C145/1000*Preisliste!I125,2) &amp; " " &amp; VLOOKUP(1744,Sprachindex!$A:$Z,Erhebungsbogen!$Y$20,FALSE) &amp; ")"</f>
        <v>Rundprofil 80-Vario 15° Sonderlänge exkl. Dichtung, (Stangenware) (0 kg/Stk)</v>
      </c>
      <c r="H145" s="514"/>
      <c r="I145" s="514"/>
      <c r="J145" s="514"/>
      <c r="K145" s="514"/>
      <c r="L145" s="514"/>
      <c r="M145" s="514"/>
      <c r="N145" s="514"/>
      <c r="O145" s="514"/>
      <c r="P145" s="514"/>
      <c r="Q145" s="514"/>
      <c r="R145" s="514"/>
      <c r="S145" s="514"/>
      <c r="T145" s="514"/>
      <c r="U145" s="354">
        <f>VLOOKUP(F145,Preisliste!C:F,4,FALSE)</f>
        <v>0</v>
      </c>
      <c r="V145" s="352">
        <f>U145*C145*B145/1000</f>
        <v>0</v>
      </c>
      <c r="W145" s="86"/>
      <c r="X145" s="86"/>
      <c r="Y145" s="86"/>
      <c r="Z145" s="86"/>
      <c r="AA145" s="86"/>
      <c r="AB145" s="86"/>
      <c r="AC145" s="86"/>
      <c r="AD145" s="86"/>
      <c r="AE145" s="86"/>
      <c r="AF145" s="86"/>
      <c r="AG145" s="55">
        <f t="shared" si="27"/>
        <v>0</v>
      </c>
      <c r="AH145" s="66">
        <f>IF(Kalk2!$AA$19=4,1,0)</f>
        <v>0</v>
      </c>
      <c r="AI145" s="55">
        <v>80</v>
      </c>
      <c r="AK145" s="55" t="s">
        <v>22079</v>
      </c>
      <c r="AP145" s="66">
        <f>IF(AND(Kalk2!$O$21&gt;0,Kalk2!$N$21="15°"),Kalk2!$O$21,0)</f>
        <v>0</v>
      </c>
      <c r="AQ145" s="55" t="s">
        <v>22087</v>
      </c>
      <c r="AT145" s="55" t="s">
        <v>22079</v>
      </c>
      <c r="AU145" s="66">
        <f>IF(Kalk2!$AH$52&gt;AV145,1,0)</f>
        <v>0</v>
      </c>
      <c r="AV145" s="55">
        <v>2150</v>
      </c>
      <c r="AW145" s="66">
        <f>Kalk2!$AH$52</f>
        <v>0</v>
      </c>
      <c r="AX145" s="55" t="s">
        <v>22100</v>
      </c>
      <c r="AY145" s="66">
        <f>AP145*Kalk2!$H$37</f>
        <v>0</v>
      </c>
      <c r="AZ145" s="55" t="s">
        <v>20872</v>
      </c>
    </row>
    <row r="146" spans="2:55" ht="24.95" customHeight="1">
      <c r="B146" s="93">
        <f t="shared" si="26"/>
        <v>0</v>
      </c>
      <c r="C146" s="60">
        <v>750</v>
      </c>
      <c r="D146" s="60"/>
      <c r="E146" s="60" t="str">
        <f>VLOOKUP(1600,Sprachindex!$A:$Z,Erhebungsbogen!$Y$20,FALSE)</f>
        <v>[Stk]</v>
      </c>
      <c r="F146" s="60" t="s">
        <v>21989</v>
      </c>
      <c r="G146" s="514" t="str">
        <f>VLOOKUP(2141,Sprachindex!$A:$Z,Erhebungsbogen!$Y$20,FALSE) &amp; " ( " &amp;Preisliste!H126 &amp; " " &amp; VLOOKUP(1744,Sprachindex!$A:$Z,Erhebungsbogen!$Y$20,FALSE) &amp; ")"</f>
        <v>Rundprofil 80-Vario 30° exkl. Dichtung, gebohrt und entgratet ( 15,167 kg/Stk)</v>
      </c>
      <c r="H146" s="514"/>
      <c r="I146" s="514"/>
      <c r="J146" s="514"/>
      <c r="K146" s="514"/>
      <c r="L146" s="514"/>
      <c r="M146" s="514"/>
      <c r="N146" s="514"/>
      <c r="O146" s="514"/>
      <c r="P146" s="514"/>
      <c r="Q146" s="514"/>
      <c r="R146" s="514"/>
      <c r="S146" s="514"/>
      <c r="T146" s="514"/>
      <c r="U146" s="352">
        <f>VLOOKUP(F146,Preisliste!C:F,4,FALSE)</f>
        <v>628.54999999999995</v>
      </c>
      <c r="V146" s="352">
        <f t="shared" si="28"/>
        <v>0</v>
      </c>
      <c r="W146" s="86"/>
      <c r="X146" s="86"/>
      <c r="Y146" s="86"/>
      <c r="Z146" s="86"/>
      <c r="AA146" s="86"/>
      <c r="AB146" s="86"/>
      <c r="AC146" s="86"/>
      <c r="AD146" s="86"/>
      <c r="AE146" s="86"/>
      <c r="AF146" s="86"/>
      <c r="AG146" s="55">
        <f t="shared" si="27"/>
        <v>0</v>
      </c>
      <c r="AH146" s="66">
        <f>IF(Kalk2!$AA$19=4,1,0)</f>
        <v>0</v>
      </c>
      <c r="AI146" s="55">
        <v>80</v>
      </c>
      <c r="AK146" s="55" t="s">
        <v>22079</v>
      </c>
      <c r="AP146" s="66">
        <f>IF(AND(Kalk2!$O$21&gt;0,Kalk2!$N$21="30°"),Kalk2!$O$21,0)</f>
        <v>0</v>
      </c>
      <c r="AQ146" s="55" t="s">
        <v>22088</v>
      </c>
      <c r="AT146" s="55" t="s">
        <v>22079</v>
      </c>
      <c r="AU146" s="66">
        <f>IF(Kalk2!$AI$51=$AV$91,1,0)</f>
        <v>1</v>
      </c>
      <c r="AV146" s="55">
        <v>750</v>
      </c>
      <c r="AX146" s="55" t="s">
        <v>22100</v>
      </c>
      <c r="AY146" s="66">
        <f>AP146*Kalk2!$H$37</f>
        <v>0</v>
      </c>
      <c r="AZ146" s="55" t="s">
        <v>20872</v>
      </c>
    </row>
    <row r="147" spans="2:55" ht="24.95" customHeight="1">
      <c r="B147" s="93">
        <f t="shared" si="26"/>
        <v>0</v>
      </c>
      <c r="C147" s="60">
        <v>1350</v>
      </c>
      <c r="D147" s="60"/>
      <c r="E147" s="60" t="str">
        <f>VLOOKUP(1600,Sprachindex!$A:$Z,Erhebungsbogen!$Y$20,FALSE)</f>
        <v>[Stk]</v>
      </c>
      <c r="F147" s="60" t="s">
        <v>21990</v>
      </c>
      <c r="G147" s="514" t="str">
        <f>VLOOKUP(2141,Sprachindex!$A:$Z,Erhebungsbogen!$Y$20,FALSE) &amp; " ( " &amp;Preisliste!H127 &amp; " " &amp; VLOOKUP(1744,Sprachindex!$A:$Z,Erhebungsbogen!$Y$20,FALSE) &amp; ")"</f>
        <v>Rundprofil 80-Vario 30° exkl. Dichtung, gebohrt und entgratet ( 27,301 kg/Stk)</v>
      </c>
      <c r="H147" s="514"/>
      <c r="I147" s="514"/>
      <c r="J147" s="514"/>
      <c r="K147" s="514"/>
      <c r="L147" s="514"/>
      <c r="M147" s="514"/>
      <c r="N147" s="514"/>
      <c r="O147" s="514"/>
      <c r="P147" s="514"/>
      <c r="Q147" s="514"/>
      <c r="R147" s="514"/>
      <c r="S147" s="514"/>
      <c r="T147" s="514"/>
      <c r="U147" s="352">
        <f>VLOOKUP(F147,Preisliste!C:F,4,FALSE)</f>
        <v>814.15</v>
      </c>
      <c r="V147" s="352">
        <f t="shared" si="28"/>
        <v>0</v>
      </c>
      <c r="W147" s="86"/>
      <c r="X147" s="86"/>
      <c r="Y147" s="86"/>
      <c r="Z147" s="86"/>
      <c r="AA147" s="86"/>
      <c r="AB147" s="86"/>
      <c r="AC147" s="86"/>
      <c r="AD147" s="86"/>
      <c r="AE147" s="86"/>
      <c r="AF147" s="86"/>
      <c r="AG147" s="55">
        <f t="shared" si="27"/>
        <v>0</v>
      </c>
      <c r="AH147" s="66">
        <f>IF(Kalk2!$AA$19=4,1,0)</f>
        <v>0</v>
      </c>
      <c r="AI147" s="55">
        <v>80</v>
      </c>
      <c r="AK147" s="55" t="s">
        <v>22079</v>
      </c>
      <c r="AP147" s="66">
        <f>IF(AND(Kalk2!$O$21&gt;0,Kalk2!$N$21="30°"),Kalk2!$O$21,0)</f>
        <v>0</v>
      </c>
      <c r="AQ147" s="55" t="s">
        <v>22088</v>
      </c>
      <c r="AT147" s="55" t="s">
        <v>22079</v>
      </c>
      <c r="AU147" s="66">
        <f>IF(Kalk2!$AI$51=AV147,1,0)</f>
        <v>0</v>
      </c>
      <c r="AV147" s="55">
        <v>1350</v>
      </c>
      <c r="AX147" s="55" t="s">
        <v>22100</v>
      </c>
      <c r="AY147" s="66">
        <f>AP147*Kalk2!$H$37</f>
        <v>0</v>
      </c>
      <c r="AZ147" s="55" t="s">
        <v>20872</v>
      </c>
    </row>
    <row r="148" spans="2:55" ht="24.95" customHeight="1">
      <c r="B148" s="93">
        <f t="shared" si="26"/>
        <v>0</v>
      </c>
      <c r="C148" s="60">
        <v>1750</v>
      </c>
      <c r="D148" s="60"/>
      <c r="E148" s="60" t="str">
        <f>VLOOKUP(1600,Sprachindex!$A:$Z,Erhebungsbogen!$Y$20,FALSE)</f>
        <v>[Stk]</v>
      </c>
      <c r="F148" s="60" t="s">
        <v>21991</v>
      </c>
      <c r="G148" s="514" t="str">
        <f>VLOOKUP(2141,Sprachindex!$A:$Z,Erhebungsbogen!$Y$20,FALSE) &amp; " ( " &amp;Preisliste!H128 &amp; " " &amp; VLOOKUP(1744,Sprachindex!$A:$Z,Erhebungsbogen!$Y$20,FALSE) &amp; ")"</f>
        <v>Rundprofil 80-Vario 30° exkl. Dichtung, gebohrt und entgratet ( 35,39 kg/Stk)</v>
      </c>
      <c r="H148" s="514"/>
      <c r="I148" s="514"/>
      <c r="J148" s="514"/>
      <c r="K148" s="514"/>
      <c r="L148" s="514"/>
      <c r="M148" s="514"/>
      <c r="N148" s="514"/>
      <c r="O148" s="514"/>
      <c r="P148" s="514"/>
      <c r="Q148" s="514"/>
      <c r="R148" s="514"/>
      <c r="S148" s="514"/>
      <c r="T148" s="514"/>
      <c r="U148" s="352">
        <f>VLOOKUP(F148,Preisliste!C:F,4,FALSE)</f>
        <v>937.8</v>
      </c>
      <c r="V148" s="352">
        <f t="shared" si="28"/>
        <v>0</v>
      </c>
      <c r="W148" s="86"/>
      <c r="X148" s="86"/>
      <c r="Y148" s="86"/>
      <c r="Z148" s="86"/>
      <c r="AA148" s="86"/>
      <c r="AB148" s="86"/>
      <c r="AC148" s="86"/>
      <c r="AD148" s="86"/>
      <c r="AE148" s="86"/>
      <c r="AF148" s="86"/>
      <c r="AG148" s="55">
        <f t="shared" si="27"/>
        <v>0</v>
      </c>
      <c r="AH148" s="66">
        <f>IF(Kalk2!$AA$19=4,1,0)</f>
        <v>0</v>
      </c>
      <c r="AI148" s="55">
        <v>80</v>
      </c>
      <c r="AK148" s="55" t="s">
        <v>22079</v>
      </c>
      <c r="AP148" s="66">
        <f>IF(AND(Kalk2!$O$21&gt;0,Kalk2!$N$21="30°"),Kalk2!$O$21,0)</f>
        <v>0</v>
      </c>
      <c r="AQ148" s="55" t="s">
        <v>22088</v>
      </c>
      <c r="AT148" s="55" t="s">
        <v>22079</v>
      </c>
      <c r="AU148" s="66">
        <f>IF(Kalk2!$AI$51=AV148,1,0)</f>
        <v>0</v>
      </c>
      <c r="AV148" s="55">
        <v>1750</v>
      </c>
      <c r="AX148" s="55" t="s">
        <v>22100</v>
      </c>
      <c r="AY148" s="66">
        <f>AP148*Kalk2!$H$37</f>
        <v>0</v>
      </c>
      <c r="AZ148" s="55" t="s">
        <v>20872</v>
      </c>
    </row>
    <row r="149" spans="2:55" ht="24.95" customHeight="1">
      <c r="B149" s="93">
        <f t="shared" si="26"/>
        <v>0</v>
      </c>
      <c r="C149" s="60">
        <v>2150</v>
      </c>
      <c r="D149" s="60"/>
      <c r="E149" s="60" t="str">
        <f>VLOOKUP(1600,Sprachindex!$A:$Z,Erhebungsbogen!$Y$20,FALSE)</f>
        <v>[Stk]</v>
      </c>
      <c r="F149" s="60" t="s">
        <v>21992</v>
      </c>
      <c r="G149" s="514" t="str">
        <f>VLOOKUP(2141,Sprachindex!$A:$Z,Erhebungsbogen!$Y$20,FALSE) &amp; " ( " &amp;Preisliste!H129 &amp; " " &amp; VLOOKUP(1744,Sprachindex!$A:$Z,Erhebungsbogen!$Y$20,FALSE) &amp; ")"</f>
        <v>Rundprofil 80-Vario 30° exkl. Dichtung, gebohrt und entgratet ( 43,479 kg/Stk)</v>
      </c>
      <c r="H149" s="514"/>
      <c r="I149" s="514"/>
      <c r="J149" s="514"/>
      <c r="K149" s="514"/>
      <c r="L149" s="514"/>
      <c r="M149" s="514"/>
      <c r="N149" s="514"/>
      <c r="O149" s="514"/>
      <c r="P149" s="514"/>
      <c r="Q149" s="514"/>
      <c r="R149" s="514"/>
      <c r="S149" s="514"/>
      <c r="T149" s="514"/>
      <c r="U149" s="352">
        <f>VLOOKUP(F149,Preisliste!C:F,4,FALSE)</f>
        <v>1061.5</v>
      </c>
      <c r="V149" s="352">
        <f t="shared" si="28"/>
        <v>0</v>
      </c>
      <c r="W149" s="86"/>
      <c r="X149" s="86"/>
      <c r="Y149" s="86"/>
      <c r="Z149" s="86"/>
      <c r="AA149" s="86"/>
      <c r="AB149" s="86"/>
      <c r="AC149" s="86"/>
      <c r="AD149" s="86"/>
      <c r="AE149" s="86"/>
      <c r="AF149" s="86"/>
      <c r="AG149" s="55">
        <f t="shared" si="27"/>
        <v>0</v>
      </c>
      <c r="AH149" s="66">
        <f>IF(Kalk2!$AA$19=4,1,0)</f>
        <v>0</v>
      </c>
      <c r="AI149" s="55">
        <v>80</v>
      </c>
      <c r="AK149" s="55" t="s">
        <v>22079</v>
      </c>
      <c r="AP149" s="66">
        <f>IF(AND(Kalk2!$O$21&gt;0,Kalk2!$N$21="30°"),Kalk2!$O$21,0)</f>
        <v>0</v>
      </c>
      <c r="AQ149" s="55" t="s">
        <v>22088</v>
      </c>
      <c r="AT149" s="55" t="s">
        <v>22079</v>
      </c>
      <c r="AU149" s="66">
        <f>IF(Kalk2!$AI$51=AV149,1,0)</f>
        <v>0</v>
      </c>
      <c r="AV149" s="55">
        <v>2150</v>
      </c>
      <c r="AX149" s="55" t="s">
        <v>22100</v>
      </c>
      <c r="AY149" s="66">
        <f>AP149*Kalk2!$H$37</f>
        <v>0</v>
      </c>
      <c r="AZ149" s="55" t="s">
        <v>20872</v>
      </c>
    </row>
    <row r="150" spans="2:55" ht="24.95" customHeight="1">
      <c r="B150" s="93">
        <f t="shared" si="26"/>
        <v>0</v>
      </c>
      <c r="C150" s="60">
        <f>IF(AG150=1,AW150,0)</f>
        <v>0</v>
      </c>
      <c r="D150" s="60"/>
      <c r="E150" s="60" t="str">
        <f>VLOOKUP(1600,Sprachindex!$A:$Z,Erhebungsbogen!$Y$20,FALSE)</f>
        <v>[Stk]</v>
      </c>
      <c r="F150" s="60" t="s">
        <v>21826</v>
      </c>
      <c r="G150" s="514" t="str">
        <f>VLOOKUP(2142,Sprachindex!$A:$Z,Erhebungsbogen!$Y$20,FALSE) &amp; " (" &amp; ROUNDUP(C150/1000*Preisliste!I130,2) &amp; " " &amp; VLOOKUP(1744,Sprachindex!$A:$Z,Erhebungsbogen!$Y$20,FALSE) &amp; ")"</f>
        <v>Rundprofil 80-Vario 30° Sonderlänge exkl. Dichtung, (Stangenware) (0 kg/Stk)</v>
      </c>
      <c r="H150" s="514"/>
      <c r="I150" s="514"/>
      <c r="J150" s="514"/>
      <c r="K150" s="514"/>
      <c r="L150" s="514"/>
      <c r="M150" s="514"/>
      <c r="N150" s="514"/>
      <c r="O150" s="514"/>
      <c r="P150" s="514"/>
      <c r="Q150" s="514"/>
      <c r="R150" s="514"/>
      <c r="S150" s="514"/>
      <c r="T150" s="514"/>
      <c r="U150" s="354">
        <f>VLOOKUP(F150,Preisliste!C:F,4,FALSE)</f>
        <v>0</v>
      </c>
      <c r="V150" s="352">
        <f>U150*C150*B150/1000</f>
        <v>0</v>
      </c>
      <c r="W150" s="86"/>
      <c r="X150" s="86"/>
      <c r="Y150" s="86"/>
      <c r="Z150" s="86"/>
      <c r="AA150" s="86"/>
      <c r="AB150" s="86"/>
      <c r="AC150" s="86"/>
      <c r="AD150" s="86"/>
      <c r="AE150" s="86"/>
      <c r="AF150" s="86"/>
      <c r="AG150" s="55">
        <f t="shared" si="27"/>
        <v>0</v>
      </c>
      <c r="AH150" s="66">
        <f>IF(Kalk2!$AA$19=4,1,0)</f>
        <v>0</v>
      </c>
      <c r="AI150" s="55">
        <v>80</v>
      </c>
      <c r="AK150" s="55" t="s">
        <v>22079</v>
      </c>
      <c r="AP150" s="66">
        <f>IF(AND(Kalk2!$O$21&gt;0,Kalk2!$N$21="30°"),Kalk2!$O$21,0)</f>
        <v>0</v>
      </c>
      <c r="AQ150" s="55" t="s">
        <v>22088</v>
      </c>
      <c r="AT150" s="55" t="s">
        <v>22079</v>
      </c>
      <c r="AU150" s="66">
        <f>IF(Kalk2!$AH$52&gt;AV150,1,0)</f>
        <v>0</v>
      </c>
      <c r="AV150" s="55">
        <v>2150</v>
      </c>
      <c r="AW150" s="66">
        <f>Kalk2!$AH$52</f>
        <v>0</v>
      </c>
      <c r="AX150" s="55" t="s">
        <v>22100</v>
      </c>
      <c r="AY150" s="66">
        <f>AP150*Kalk2!$H$37</f>
        <v>0</v>
      </c>
      <c r="AZ150" s="55" t="s">
        <v>20872</v>
      </c>
    </row>
    <row r="151" spans="2:55" ht="24.95" customHeight="1">
      <c r="B151" s="93">
        <f t="shared" si="26"/>
        <v>0</v>
      </c>
      <c r="C151" s="60">
        <v>750</v>
      </c>
      <c r="D151" s="60"/>
      <c r="E151" s="60" t="str">
        <f>VLOOKUP(1600,Sprachindex!$A:$Z,Erhebungsbogen!$Y$20,FALSE)</f>
        <v>[Stk]</v>
      </c>
      <c r="F151" s="60" t="s">
        <v>21993</v>
      </c>
      <c r="G151" s="514" t="str">
        <f>VLOOKUP(2143,Sprachindex!$A:$Z,Erhebungsbogen!$Y$20,FALSE) &amp; " ( " &amp;Preisliste!H131 &amp; " " &amp; VLOOKUP(1744,Sprachindex!$A:$Z,Erhebungsbogen!$Y$20,FALSE) &amp; ")"</f>
        <v>Rundprofil 80-Vario 45° exkl. Dichtung, gebohrt und entgratet ( 15,167 kg/Stk)</v>
      </c>
      <c r="H151" s="514"/>
      <c r="I151" s="514"/>
      <c r="J151" s="514"/>
      <c r="K151" s="514"/>
      <c r="L151" s="514"/>
      <c r="M151" s="514"/>
      <c r="N151" s="514"/>
      <c r="O151" s="514"/>
      <c r="P151" s="514"/>
      <c r="Q151" s="514"/>
      <c r="R151" s="514"/>
      <c r="S151" s="514"/>
      <c r="T151" s="514"/>
      <c r="U151" s="352">
        <f>VLOOKUP(F151,Preisliste!C:F,4,FALSE)</f>
        <v>628.54999999999995</v>
      </c>
      <c r="V151" s="352">
        <f t="shared" si="28"/>
        <v>0</v>
      </c>
      <c r="W151" s="86"/>
      <c r="X151" s="86"/>
      <c r="Y151" s="86"/>
      <c r="Z151" s="86"/>
      <c r="AA151" s="86"/>
      <c r="AB151" s="86"/>
      <c r="AC151" s="86"/>
      <c r="AD151" s="86"/>
      <c r="AE151" s="86"/>
      <c r="AF151" s="86"/>
      <c r="AG151" s="55">
        <f t="shared" si="27"/>
        <v>0</v>
      </c>
      <c r="AH151" s="66">
        <f>IF(Kalk2!$AA$19=4,1,0)</f>
        <v>0</v>
      </c>
      <c r="AI151" s="55">
        <v>80</v>
      </c>
      <c r="AK151" s="55" t="s">
        <v>22079</v>
      </c>
      <c r="AP151" s="66">
        <f>IF(AND(Kalk2!$O$21&gt;0,Kalk2!$N$21="45°"),Kalk2!$O$21,0)</f>
        <v>0</v>
      </c>
      <c r="AQ151" s="55" t="s">
        <v>22089</v>
      </c>
      <c r="AT151" s="55" t="s">
        <v>22079</v>
      </c>
      <c r="AU151" s="66">
        <f>IF(Kalk2!$AI$51=$AV$91,1,0)</f>
        <v>1</v>
      </c>
      <c r="AV151" s="55">
        <v>750</v>
      </c>
      <c r="AX151" s="55" t="s">
        <v>22100</v>
      </c>
      <c r="AY151" s="66">
        <f>AP151*Kalk2!$H$37</f>
        <v>0</v>
      </c>
      <c r="AZ151" s="55" t="s">
        <v>20872</v>
      </c>
    </row>
    <row r="152" spans="2:55" ht="24.95" customHeight="1">
      <c r="B152" s="93">
        <f t="shared" si="26"/>
        <v>0</v>
      </c>
      <c r="C152" s="60">
        <v>1350</v>
      </c>
      <c r="D152" s="60"/>
      <c r="E152" s="60" t="str">
        <f>VLOOKUP(1600,Sprachindex!$A:$Z,Erhebungsbogen!$Y$20,FALSE)</f>
        <v>[Stk]</v>
      </c>
      <c r="F152" s="60" t="s">
        <v>21994</v>
      </c>
      <c r="G152" s="514" t="str">
        <f>VLOOKUP(2143,Sprachindex!$A:$Z,Erhebungsbogen!$Y$20,FALSE) &amp; " ( " &amp;Preisliste!H132 &amp; " " &amp; VLOOKUP(1744,Sprachindex!$A:$Z,Erhebungsbogen!$Y$20,FALSE) &amp; ")"</f>
        <v>Rundprofil 80-Vario 45° exkl. Dichtung, gebohrt und entgratet ( 27,301 kg/Stk)</v>
      </c>
      <c r="H152" s="514"/>
      <c r="I152" s="514"/>
      <c r="J152" s="514"/>
      <c r="K152" s="514"/>
      <c r="L152" s="514"/>
      <c r="M152" s="514"/>
      <c r="N152" s="514"/>
      <c r="O152" s="514"/>
      <c r="P152" s="514"/>
      <c r="Q152" s="514"/>
      <c r="R152" s="514"/>
      <c r="S152" s="514"/>
      <c r="T152" s="514"/>
      <c r="U152" s="352">
        <f>VLOOKUP(F152,Preisliste!C:F,4,FALSE)</f>
        <v>814.15</v>
      </c>
      <c r="V152" s="352">
        <f t="shared" si="28"/>
        <v>0</v>
      </c>
      <c r="W152" s="86"/>
      <c r="X152" s="86"/>
      <c r="Y152" s="86"/>
      <c r="Z152" s="86"/>
      <c r="AA152" s="86"/>
      <c r="AB152" s="86"/>
      <c r="AC152" s="86"/>
      <c r="AD152" s="86"/>
      <c r="AE152" s="86"/>
      <c r="AF152" s="86"/>
      <c r="AG152" s="55">
        <f t="shared" si="27"/>
        <v>0</v>
      </c>
      <c r="AH152" s="66">
        <f>IF(Kalk2!$AA$19=4,1,0)</f>
        <v>0</v>
      </c>
      <c r="AI152" s="55">
        <v>80</v>
      </c>
      <c r="AK152" s="55" t="s">
        <v>22079</v>
      </c>
      <c r="AP152" s="66">
        <f>IF(AND(Kalk2!$O$21&gt;0,Kalk2!$N$21="45°"),Kalk2!$O$21,0)</f>
        <v>0</v>
      </c>
      <c r="AQ152" s="55" t="s">
        <v>22089</v>
      </c>
      <c r="AT152" s="55" t="s">
        <v>22079</v>
      </c>
      <c r="AU152" s="66">
        <f>IF(Kalk2!$AI$51=AV152,1,0)</f>
        <v>0</v>
      </c>
      <c r="AV152" s="55">
        <v>1350</v>
      </c>
      <c r="AX152" s="55" t="s">
        <v>22100</v>
      </c>
      <c r="AY152" s="66">
        <f>AP152*Kalk2!$H$37</f>
        <v>0</v>
      </c>
      <c r="AZ152" s="55" t="s">
        <v>20872</v>
      </c>
    </row>
    <row r="153" spans="2:55" ht="24.95" customHeight="1">
      <c r="B153" s="93">
        <f t="shared" si="26"/>
        <v>0</v>
      </c>
      <c r="C153" s="60">
        <v>1750</v>
      </c>
      <c r="D153" s="60"/>
      <c r="E153" s="60" t="str">
        <f>VLOOKUP(1600,Sprachindex!$A:$Z,Erhebungsbogen!$Y$20,FALSE)</f>
        <v>[Stk]</v>
      </c>
      <c r="F153" s="60" t="s">
        <v>21995</v>
      </c>
      <c r="G153" s="514" t="str">
        <f>VLOOKUP(2143,Sprachindex!$A:$Z,Erhebungsbogen!$Y$20,FALSE) &amp; " ( " &amp;Preisliste!H133 &amp; " " &amp; VLOOKUP(1744,Sprachindex!$A:$Z,Erhebungsbogen!$Y$20,FALSE) &amp; ")"</f>
        <v>Rundprofil 80-Vario 45° exkl. Dichtung, gebohrt und entgratet ( 35,39 kg/Stk)</v>
      </c>
      <c r="H153" s="514"/>
      <c r="I153" s="514"/>
      <c r="J153" s="514"/>
      <c r="K153" s="514"/>
      <c r="L153" s="514"/>
      <c r="M153" s="514"/>
      <c r="N153" s="514"/>
      <c r="O153" s="514"/>
      <c r="P153" s="514"/>
      <c r="Q153" s="514"/>
      <c r="R153" s="514"/>
      <c r="S153" s="514"/>
      <c r="T153" s="514"/>
      <c r="U153" s="352">
        <f>VLOOKUP(F153,Preisliste!C:F,4,FALSE)</f>
        <v>937.8</v>
      </c>
      <c r="V153" s="352">
        <f t="shared" si="28"/>
        <v>0</v>
      </c>
      <c r="W153" s="86"/>
      <c r="X153" s="86"/>
      <c r="Y153" s="86"/>
      <c r="Z153" s="86"/>
      <c r="AA153" s="86"/>
      <c r="AB153" s="86"/>
      <c r="AC153" s="86"/>
      <c r="AD153" s="86"/>
      <c r="AE153" s="86"/>
      <c r="AF153" s="86"/>
      <c r="AG153" s="55">
        <f t="shared" si="27"/>
        <v>0</v>
      </c>
      <c r="AH153" s="66">
        <f>IF(Kalk2!$AA$19=4,1,0)</f>
        <v>0</v>
      </c>
      <c r="AI153" s="55">
        <v>80</v>
      </c>
      <c r="AK153" s="55" t="s">
        <v>22079</v>
      </c>
      <c r="AP153" s="66">
        <f>IF(AND(Kalk2!$O$21&gt;0,Kalk2!$N$21="45°"),Kalk2!$O$21,0)</f>
        <v>0</v>
      </c>
      <c r="AQ153" s="55" t="s">
        <v>22089</v>
      </c>
      <c r="AT153" s="55" t="s">
        <v>22079</v>
      </c>
      <c r="AU153" s="66">
        <f>IF(Kalk2!$AI$51=AV153,1,0)</f>
        <v>0</v>
      </c>
      <c r="AV153" s="55">
        <v>1750</v>
      </c>
      <c r="AX153" s="55" t="s">
        <v>22100</v>
      </c>
      <c r="AY153" s="66">
        <f>AP153*Kalk2!$H$37</f>
        <v>0</v>
      </c>
      <c r="AZ153" s="55" t="s">
        <v>20872</v>
      </c>
    </row>
    <row r="154" spans="2:55" ht="24.95" customHeight="1">
      <c r="B154" s="93">
        <f t="shared" si="26"/>
        <v>0</v>
      </c>
      <c r="C154" s="60">
        <v>2150</v>
      </c>
      <c r="D154" s="60"/>
      <c r="E154" s="60" t="str">
        <f>VLOOKUP(1600,Sprachindex!$A:$Z,Erhebungsbogen!$Y$20,FALSE)</f>
        <v>[Stk]</v>
      </c>
      <c r="F154" s="60" t="s">
        <v>21996</v>
      </c>
      <c r="G154" s="514" t="str">
        <f>VLOOKUP(2143,Sprachindex!$A:$Z,Erhebungsbogen!$Y$20,FALSE) &amp; " ( " &amp;Preisliste!H134 &amp; " " &amp; VLOOKUP(1744,Sprachindex!$A:$Z,Erhebungsbogen!$Y$20,FALSE) &amp; ")"</f>
        <v>Rundprofil 80-Vario 45° exkl. Dichtung, gebohrt und entgratet ( 43,479 kg/Stk)</v>
      </c>
      <c r="H154" s="514"/>
      <c r="I154" s="514"/>
      <c r="J154" s="514"/>
      <c r="K154" s="514"/>
      <c r="L154" s="514"/>
      <c r="M154" s="514"/>
      <c r="N154" s="514"/>
      <c r="O154" s="514"/>
      <c r="P154" s="514"/>
      <c r="Q154" s="514"/>
      <c r="R154" s="514"/>
      <c r="S154" s="514"/>
      <c r="T154" s="514"/>
      <c r="U154" s="352">
        <f>VLOOKUP(F154,Preisliste!C:F,4,FALSE)</f>
        <v>1061.5</v>
      </c>
      <c r="V154" s="352">
        <f t="shared" si="28"/>
        <v>0</v>
      </c>
      <c r="W154" s="86"/>
      <c r="X154" s="86"/>
      <c r="Y154" s="86"/>
      <c r="Z154" s="86"/>
      <c r="AA154" s="86"/>
      <c r="AB154" s="86"/>
      <c r="AC154" s="86"/>
      <c r="AD154" s="86"/>
      <c r="AE154" s="86"/>
      <c r="AF154" s="86"/>
      <c r="AG154" s="55">
        <f t="shared" si="27"/>
        <v>0</v>
      </c>
      <c r="AH154" s="66">
        <f>IF(Kalk2!$AA$19=4,1,0)</f>
        <v>0</v>
      </c>
      <c r="AI154" s="55">
        <v>80</v>
      </c>
      <c r="AK154" s="55" t="s">
        <v>22079</v>
      </c>
      <c r="AP154" s="66">
        <f>IF(AND(Kalk2!$O$21&gt;0,Kalk2!$N$21="45°"),Kalk2!$O$21,0)</f>
        <v>0</v>
      </c>
      <c r="AQ154" s="55" t="s">
        <v>22089</v>
      </c>
      <c r="AT154" s="55" t="s">
        <v>22079</v>
      </c>
      <c r="AU154" s="66">
        <f>IF(Kalk2!$AI$51=AV154,1,0)</f>
        <v>0</v>
      </c>
      <c r="AV154" s="55">
        <v>2150</v>
      </c>
      <c r="AX154" s="55" t="s">
        <v>22100</v>
      </c>
      <c r="AY154" s="66">
        <f>AP154*Kalk2!$H$37</f>
        <v>0</v>
      </c>
      <c r="AZ154" s="55" t="s">
        <v>20872</v>
      </c>
    </row>
    <row r="155" spans="2:55" ht="24.95" customHeight="1">
      <c r="B155" s="93">
        <f t="shared" si="26"/>
        <v>0</v>
      </c>
      <c r="C155" s="60">
        <f>IF(AG155=1,AW155,0)</f>
        <v>0</v>
      </c>
      <c r="D155" s="60"/>
      <c r="E155" s="60" t="str">
        <f>VLOOKUP(1600,Sprachindex!$A:$Z,Erhebungsbogen!$Y$20,FALSE)</f>
        <v>[Stk]</v>
      </c>
      <c r="F155" s="60" t="s">
        <v>21826</v>
      </c>
      <c r="G155" s="514" t="str">
        <f>VLOOKUP(2144,Sprachindex!$A:$Z,Erhebungsbogen!$Y$20,FALSE) &amp; " (" &amp; ROUNDUP(C155/1000*Preisliste!I135,2) &amp; " " &amp; VLOOKUP(1744,Sprachindex!$A:$Z,Erhebungsbogen!$Y$20,FALSE) &amp; ")"</f>
        <v>Rundprofil 80-Vario 45° Sonderlänge exkl. Dichtung, (Stangenware) (0 kg/Stk)</v>
      </c>
      <c r="H155" s="514"/>
      <c r="I155" s="514"/>
      <c r="J155" s="514"/>
      <c r="K155" s="514"/>
      <c r="L155" s="514"/>
      <c r="M155" s="514"/>
      <c r="N155" s="514"/>
      <c r="O155" s="514"/>
      <c r="P155" s="514"/>
      <c r="Q155" s="514"/>
      <c r="R155" s="514"/>
      <c r="S155" s="514"/>
      <c r="T155" s="514"/>
      <c r="U155" s="354">
        <f>VLOOKUP(F155,Preisliste!C:F,4,FALSE)</f>
        <v>0</v>
      </c>
      <c r="V155" s="352">
        <f>U155*C155*B155/1000</f>
        <v>0</v>
      </c>
      <c r="W155" s="86"/>
      <c r="X155" s="86"/>
      <c r="Y155" s="86"/>
      <c r="Z155" s="86"/>
      <c r="AA155" s="86"/>
      <c r="AB155" s="86"/>
      <c r="AC155" s="86"/>
      <c r="AD155" s="86"/>
      <c r="AE155" s="86"/>
      <c r="AF155" s="86"/>
      <c r="AG155" s="55">
        <f t="shared" si="27"/>
        <v>0</v>
      </c>
      <c r="AH155" s="66">
        <f>IF(Kalk2!$AA$19=4,1,0)</f>
        <v>0</v>
      </c>
      <c r="AI155" s="55">
        <v>80</v>
      </c>
      <c r="AK155" s="55" t="s">
        <v>22079</v>
      </c>
      <c r="AP155" s="66">
        <f>IF(AND(Kalk2!$O$21&gt;0,Kalk2!$N$21="45°"),Kalk2!$O$21,0)</f>
        <v>0</v>
      </c>
      <c r="AQ155" s="55" t="s">
        <v>22089</v>
      </c>
      <c r="AT155" s="55" t="s">
        <v>22079</v>
      </c>
      <c r="AU155" s="66">
        <f>IF(Kalk2!$AH$52&gt;AV155,1,0)</f>
        <v>0</v>
      </c>
      <c r="AV155" s="55">
        <v>2150</v>
      </c>
      <c r="AW155" s="66">
        <f>Kalk2!$AH$52</f>
        <v>0</v>
      </c>
      <c r="AX155" s="55" t="s">
        <v>22100</v>
      </c>
      <c r="AY155" s="66">
        <f>AP155*Kalk2!$H$37</f>
        <v>0</v>
      </c>
      <c r="AZ155" s="55" t="s">
        <v>20872</v>
      </c>
    </row>
    <row r="156" spans="2:55" ht="24.95" customHeight="1">
      <c r="B156" s="93">
        <f t="shared" si="26"/>
        <v>0</v>
      </c>
      <c r="C156" s="60">
        <v>750</v>
      </c>
      <c r="D156" s="60"/>
      <c r="E156" s="60" t="str">
        <f>VLOOKUP(1600,Sprachindex!$A:$Z,Erhebungsbogen!$Y$20,FALSE)</f>
        <v>[Stk]</v>
      </c>
      <c r="F156" s="60" t="s">
        <v>21997</v>
      </c>
      <c r="G156" s="517" t="str">
        <f>VLOOKUP(2145,Sprachindex!$A:$Z,Erhebungsbogen!$Y$20,FALSE) &amp; " ( " &amp;Preisliste!H136 &amp; " " &amp; VLOOKUP(1744,Sprachindex!$A:$Z,Erhebungsbogen!$Y$20,FALSE) &amp; ")"</f>
        <v>Rundprofil 80-Vario 60° exkl. Dichtung, gebohrt und entgratet ( 14,244 kg/Stk)</v>
      </c>
      <c r="H156" s="515"/>
      <c r="I156" s="515"/>
      <c r="J156" s="515"/>
      <c r="K156" s="515"/>
      <c r="L156" s="515"/>
      <c r="M156" s="515"/>
      <c r="N156" s="515"/>
      <c r="O156" s="515"/>
      <c r="P156" s="515"/>
      <c r="Q156" s="515"/>
      <c r="R156" s="515"/>
      <c r="S156" s="515"/>
      <c r="T156" s="516"/>
      <c r="U156" s="352">
        <f>VLOOKUP(F156,Preisliste!C:F,4,FALSE)</f>
        <v>628.54999999999995</v>
      </c>
      <c r="V156" s="352">
        <f t="shared" si="28"/>
        <v>0</v>
      </c>
      <c r="W156" s="86"/>
      <c r="X156" s="86"/>
      <c r="Y156" s="86"/>
      <c r="Z156" s="86"/>
      <c r="AA156" s="86"/>
      <c r="AB156" s="86"/>
      <c r="AC156" s="86"/>
      <c r="AD156" s="86"/>
      <c r="AE156" s="86"/>
      <c r="AF156" s="86"/>
      <c r="AG156" s="55">
        <f t="shared" si="27"/>
        <v>0</v>
      </c>
      <c r="AH156" s="66">
        <f>IF(Kalk2!$AA$19=4,1,0)</f>
        <v>0</v>
      </c>
      <c r="AI156" s="55">
        <v>80</v>
      </c>
      <c r="AK156" s="55" t="s">
        <v>22079</v>
      </c>
      <c r="AP156" s="66">
        <f>IF(AND(Kalk2!$O$21&gt;0,Kalk2!$N$21="60°"),Kalk2!$O$21,0)</f>
        <v>0</v>
      </c>
      <c r="AQ156" s="55" t="s">
        <v>22090</v>
      </c>
      <c r="AT156" s="55" t="s">
        <v>22079</v>
      </c>
      <c r="AU156" s="66">
        <f>IF(Kalk2!$AI$51=$AV$91,1,0)</f>
        <v>1</v>
      </c>
      <c r="AV156" s="55">
        <v>750</v>
      </c>
      <c r="AX156" s="55" t="s">
        <v>22100</v>
      </c>
      <c r="AY156" s="66">
        <f>AP156*Kalk2!$H$37</f>
        <v>0</v>
      </c>
      <c r="AZ156" s="55" t="s">
        <v>20872</v>
      </c>
    </row>
    <row r="157" spans="2:55" ht="24.95" customHeight="1">
      <c r="B157" s="93">
        <f t="shared" si="26"/>
        <v>0</v>
      </c>
      <c r="C157" s="60">
        <v>1350</v>
      </c>
      <c r="D157" s="60"/>
      <c r="E157" s="60" t="str">
        <f>VLOOKUP(1600,Sprachindex!$A:$Z,Erhebungsbogen!$Y$20,FALSE)</f>
        <v>[Stk]</v>
      </c>
      <c r="F157" s="60" t="s">
        <v>21998</v>
      </c>
      <c r="G157" s="517" t="str">
        <f>VLOOKUP(2145,Sprachindex!$A:$Z,Erhebungsbogen!$Y$20,FALSE) &amp; " ( " &amp;Preisliste!H137 &amp; " " &amp; VLOOKUP(1744,Sprachindex!$A:$Z,Erhebungsbogen!$Y$20,FALSE) &amp; ")"</f>
        <v>Rundprofil 80-Vario 60° exkl. Dichtung, gebohrt und entgratet ( 25,639 kg/Stk)</v>
      </c>
      <c r="H157" s="515"/>
      <c r="I157" s="515"/>
      <c r="J157" s="515"/>
      <c r="K157" s="515"/>
      <c r="L157" s="515"/>
      <c r="M157" s="515"/>
      <c r="N157" s="515"/>
      <c r="O157" s="515"/>
      <c r="P157" s="515"/>
      <c r="Q157" s="515"/>
      <c r="R157" s="515"/>
      <c r="S157" s="515"/>
      <c r="T157" s="516"/>
      <c r="U157" s="352">
        <f>VLOOKUP(F157,Preisliste!C:F,4,FALSE)</f>
        <v>814.15</v>
      </c>
      <c r="V157" s="352">
        <f t="shared" si="28"/>
        <v>0</v>
      </c>
      <c r="W157" s="86"/>
      <c r="X157" s="86"/>
      <c r="Y157" s="86"/>
      <c r="Z157" s="86"/>
      <c r="AA157" s="86"/>
      <c r="AB157" s="86"/>
      <c r="AC157" s="86"/>
      <c r="AD157" s="86"/>
      <c r="AE157" s="86"/>
      <c r="AF157" s="86"/>
      <c r="AG157" s="55">
        <f t="shared" si="27"/>
        <v>0</v>
      </c>
      <c r="AH157" s="66">
        <f>IF(Kalk2!$AA$19=4,1,0)</f>
        <v>0</v>
      </c>
      <c r="AI157" s="55">
        <v>80</v>
      </c>
      <c r="AK157" s="55" t="s">
        <v>22079</v>
      </c>
      <c r="AP157" s="66">
        <f>IF(AND(Kalk2!$O$21&gt;0,Kalk2!$N$21="60°"),Kalk2!$O$21,0)</f>
        <v>0</v>
      </c>
      <c r="AQ157" s="55" t="s">
        <v>22090</v>
      </c>
      <c r="AT157" s="55" t="s">
        <v>22079</v>
      </c>
      <c r="AU157" s="66">
        <f>IF(Kalk2!$AI$51=AV157,1,0)</f>
        <v>0</v>
      </c>
      <c r="AV157" s="55">
        <v>1350</v>
      </c>
      <c r="AX157" s="55" t="s">
        <v>22100</v>
      </c>
      <c r="AY157" s="66">
        <f>AP157*Kalk2!$H$37</f>
        <v>0</v>
      </c>
      <c r="AZ157" s="55" t="s">
        <v>20872</v>
      </c>
    </row>
    <row r="158" spans="2:55" ht="24.95" customHeight="1">
      <c r="B158" s="93">
        <f t="shared" si="26"/>
        <v>0</v>
      </c>
      <c r="C158" s="60">
        <v>1750</v>
      </c>
      <c r="D158" s="60"/>
      <c r="E158" s="60" t="str">
        <f>VLOOKUP(1600,Sprachindex!$A:$Z,Erhebungsbogen!$Y$20,FALSE)</f>
        <v>[Stk]</v>
      </c>
      <c r="F158" s="60" t="s">
        <v>21999</v>
      </c>
      <c r="G158" s="517" t="str">
        <f>VLOOKUP(2145,Sprachindex!$A:$Z,Erhebungsbogen!$Y$20,FALSE) &amp; " ( " &amp;Preisliste!H138 &amp; " " &amp; VLOOKUP(1744,Sprachindex!$A:$Z,Erhebungsbogen!$Y$20,FALSE) &amp; ")"</f>
        <v>Rundprofil 80-Vario 60° exkl. Dichtung, gebohrt und entgratet ( 33,236 kg/Stk)</v>
      </c>
      <c r="H158" s="515"/>
      <c r="I158" s="515"/>
      <c r="J158" s="515"/>
      <c r="K158" s="515"/>
      <c r="L158" s="515"/>
      <c r="M158" s="515"/>
      <c r="N158" s="515"/>
      <c r="O158" s="515"/>
      <c r="P158" s="515"/>
      <c r="Q158" s="515"/>
      <c r="R158" s="515"/>
      <c r="S158" s="515"/>
      <c r="T158" s="516"/>
      <c r="U158" s="352">
        <f>VLOOKUP(F158,Preisliste!C:F,4,FALSE)</f>
        <v>937.8</v>
      </c>
      <c r="V158" s="352">
        <f t="shared" si="28"/>
        <v>0</v>
      </c>
      <c r="W158" s="86"/>
      <c r="X158" s="86"/>
      <c r="Y158" s="86"/>
      <c r="Z158" s="86"/>
      <c r="AA158" s="86"/>
      <c r="AB158" s="86"/>
      <c r="AC158" s="86"/>
      <c r="AD158" s="86"/>
      <c r="AE158" s="86"/>
      <c r="AF158" s="86"/>
      <c r="AG158" s="55">
        <f t="shared" si="27"/>
        <v>0</v>
      </c>
      <c r="AH158" s="66">
        <f>IF(Kalk2!$AA$19=4,1,0)</f>
        <v>0</v>
      </c>
      <c r="AI158" s="55">
        <v>80</v>
      </c>
      <c r="AK158" s="55" t="s">
        <v>22079</v>
      </c>
      <c r="AP158" s="66">
        <f>IF(AND(Kalk2!$O$21&gt;0,Kalk2!$N$21="60°"),Kalk2!$O$21,0)</f>
        <v>0</v>
      </c>
      <c r="AQ158" s="55" t="s">
        <v>22090</v>
      </c>
      <c r="AT158" s="55" t="s">
        <v>22079</v>
      </c>
      <c r="AU158" s="66">
        <f>IF(Kalk2!$AI$51=AV158,1,0)</f>
        <v>0</v>
      </c>
      <c r="AV158" s="55">
        <v>1750</v>
      </c>
      <c r="AX158" s="55" t="s">
        <v>22100</v>
      </c>
      <c r="AY158" s="66">
        <f>AP158*Kalk2!$H$37</f>
        <v>0</v>
      </c>
      <c r="AZ158" s="55" t="s">
        <v>20872</v>
      </c>
      <c r="BC158" s="84" t="s">
        <v>22181</v>
      </c>
    </row>
    <row r="159" spans="2:55" ht="24.95" customHeight="1">
      <c r="B159" s="93">
        <f t="shared" si="26"/>
        <v>0</v>
      </c>
      <c r="C159" s="60">
        <v>2150</v>
      </c>
      <c r="D159" s="60"/>
      <c r="E159" s="60" t="str">
        <f>VLOOKUP(1600,Sprachindex!$A:$Z,Erhebungsbogen!$Y$20,FALSE)</f>
        <v>[Stk]</v>
      </c>
      <c r="F159" s="60" t="s">
        <v>22000</v>
      </c>
      <c r="G159" s="517" t="str">
        <f>VLOOKUP(2145,Sprachindex!$A:$Z,Erhebungsbogen!$Y$20,FALSE) &amp; " ( " &amp;Preisliste!H139 &amp; " " &amp; VLOOKUP(1744,Sprachindex!$A:$Z,Erhebungsbogen!$Y$20,FALSE) &amp; ")"</f>
        <v>Rundprofil 80-Vario 60° exkl. Dichtung, gebohrt und entgratet ( 40,833 kg/Stk)</v>
      </c>
      <c r="H159" s="515"/>
      <c r="I159" s="515"/>
      <c r="J159" s="515"/>
      <c r="K159" s="515"/>
      <c r="L159" s="515"/>
      <c r="M159" s="515"/>
      <c r="N159" s="515"/>
      <c r="O159" s="515"/>
      <c r="P159" s="515"/>
      <c r="Q159" s="515"/>
      <c r="R159" s="515"/>
      <c r="S159" s="515"/>
      <c r="T159" s="516"/>
      <c r="U159" s="352">
        <f>VLOOKUP(F159,Preisliste!C:F,4,FALSE)</f>
        <v>1061.5</v>
      </c>
      <c r="V159" s="352">
        <f t="shared" si="28"/>
        <v>0</v>
      </c>
      <c r="W159" s="86"/>
      <c r="X159" s="86"/>
      <c r="Y159" s="86"/>
      <c r="Z159" s="86"/>
      <c r="AA159" s="86"/>
      <c r="AB159" s="86"/>
      <c r="AC159" s="86"/>
      <c r="AD159" s="86"/>
      <c r="AE159" s="86"/>
      <c r="AF159" s="86"/>
      <c r="AG159" s="55">
        <f t="shared" si="27"/>
        <v>0</v>
      </c>
      <c r="AH159" s="66">
        <f>IF(Kalk2!$AA$19=4,1,0)</f>
        <v>0</v>
      </c>
      <c r="AI159" s="55">
        <v>80</v>
      </c>
      <c r="AK159" s="55" t="s">
        <v>22079</v>
      </c>
      <c r="AP159" s="66">
        <f>IF(AND(Kalk2!$O$21&gt;0,Kalk2!$N$21="60°"),Kalk2!$O$21,0)</f>
        <v>0</v>
      </c>
      <c r="AQ159" s="55" t="s">
        <v>22090</v>
      </c>
      <c r="AT159" s="55" t="s">
        <v>22079</v>
      </c>
      <c r="AU159" s="66">
        <f>IF(Kalk2!$AI$51=AV159,1,0)</f>
        <v>0</v>
      </c>
      <c r="AV159" s="55">
        <v>2150</v>
      </c>
      <c r="AX159" s="55" t="s">
        <v>22100</v>
      </c>
      <c r="AY159" s="66">
        <f>AP159*Kalk2!$H$37</f>
        <v>0</v>
      </c>
      <c r="AZ159" s="55" t="s">
        <v>20872</v>
      </c>
      <c r="BC159" s="84" t="s">
        <v>22182</v>
      </c>
    </row>
    <row r="160" spans="2:55" ht="24.95" customHeight="1">
      <c r="B160" s="93">
        <f t="shared" si="26"/>
        <v>0</v>
      </c>
      <c r="C160" s="60">
        <f>IF(AG160=1,AW160,0)</f>
        <v>0</v>
      </c>
      <c r="D160" s="60"/>
      <c r="E160" s="60" t="str">
        <f>VLOOKUP(1600,Sprachindex!$A:$Z,Erhebungsbogen!$Y$20,FALSE)</f>
        <v>[Stk]</v>
      </c>
      <c r="F160" s="60" t="s">
        <v>21826</v>
      </c>
      <c r="G160" s="517" t="str">
        <f>VLOOKUP(2146,Sprachindex!$A:$Z,Erhebungsbogen!$Y$20,FALSE) &amp; " (" &amp; ROUNDUP(C160/1000*Preisliste!I140,2) &amp; " " &amp; VLOOKUP(1744,Sprachindex!$A:$Z,Erhebungsbogen!$Y$20,FALSE) &amp; ")"</f>
        <v>Rundprofil 80-Vario 60° Sonderlänge exkl. Dichtung, (Stangenware) (0 kg/Stk)</v>
      </c>
      <c r="H160" s="515"/>
      <c r="I160" s="515"/>
      <c r="J160" s="515"/>
      <c r="K160" s="515"/>
      <c r="L160" s="515"/>
      <c r="M160" s="515"/>
      <c r="N160" s="515"/>
      <c r="O160" s="515"/>
      <c r="P160" s="515"/>
      <c r="Q160" s="515"/>
      <c r="R160" s="515"/>
      <c r="S160" s="515"/>
      <c r="T160" s="516"/>
      <c r="U160" s="354">
        <f>VLOOKUP(F160,Preisliste!C:F,4,FALSE)</f>
        <v>0</v>
      </c>
      <c r="V160" s="352">
        <f>U160*C160*B160/1000</f>
        <v>0</v>
      </c>
      <c r="W160" s="86"/>
      <c r="X160" s="86"/>
      <c r="Y160" s="86"/>
      <c r="Z160" s="86"/>
      <c r="AA160" s="86"/>
      <c r="AB160" s="86"/>
      <c r="AC160" s="86"/>
      <c r="AD160" s="86"/>
      <c r="AE160" s="86"/>
      <c r="AF160" s="86"/>
      <c r="AG160" s="55">
        <f t="shared" si="27"/>
        <v>0</v>
      </c>
      <c r="AH160" s="66">
        <f>IF(Kalk2!$AA$19=4,1,0)</f>
        <v>0</v>
      </c>
      <c r="AI160" s="55">
        <v>80</v>
      </c>
      <c r="AK160" s="55" t="s">
        <v>22079</v>
      </c>
      <c r="AP160" s="66">
        <f>IF(AND(Kalk2!$O$21&gt;0,Kalk2!$N$21="60°"),Kalk2!$O$21,0)</f>
        <v>0</v>
      </c>
      <c r="AQ160" s="55" t="s">
        <v>22090</v>
      </c>
      <c r="AT160" s="55" t="s">
        <v>22079</v>
      </c>
      <c r="AU160" s="66">
        <f>IF(Kalk2!$AH$52&gt;AV160,1,0)</f>
        <v>0</v>
      </c>
      <c r="AV160" s="55">
        <v>2150</v>
      </c>
      <c r="AW160" s="66">
        <f>Kalk2!$AH$52</f>
        <v>0</v>
      </c>
      <c r="AX160" s="55" t="s">
        <v>22100</v>
      </c>
      <c r="AY160" s="66">
        <f>AP160*Kalk2!$H$37</f>
        <v>0</v>
      </c>
      <c r="AZ160" s="55" t="s">
        <v>20872</v>
      </c>
    </row>
    <row r="161" spans="2:53" ht="24.95" customHeight="1">
      <c r="B161" s="93">
        <f t="shared" si="26"/>
        <v>0</v>
      </c>
      <c r="C161" s="60"/>
      <c r="D161" s="60"/>
      <c r="E161" s="60" t="str">
        <f>VLOOKUP(1600,Sprachindex!$A:$Z,Erhebungsbogen!$Y$20,FALSE)</f>
        <v>[Stk]</v>
      </c>
      <c r="F161" s="60" t="s">
        <v>21971</v>
      </c>
      <c r="G161" s="514" t="str">
        <f>VLOOKUP(1814,Sprachindex!$A:$Z,Erhebungsbogen!$Y$20,FALSE)</f>
        <v>Sicherungsschraube für Abdeckung</v>
      </c>
      <c r="H161" s="514"/>
      <c r="I161" s="514"/>
      <c r="J161" s="514"/>
      <c r="K161" s="514"/>
      <c r="L161" s="514"/>
      <c r="M161" s="514"/>
      <c r="N161" s="514"/>
      <c r="O161" s="514"/>
      <c r="P161" s="514"/>
      <c r="Q161" s="514"/>
      <c r="R161" s="514"/>
      <c r="S161" s="514"/>
      <c r="T161" s="514"/>
      <c r="U161" s="352">
        <f>VLOOKUP(F161,Preisliste!C:F,4,FALSE)</f>
        <v>15.9</v>
      </c>
      <c r="V161" s="352">
        <f t="shared" si="28"/>
        <v>0</v>
      </c>
      <c r="W161" s="86"/>
      <c r="X161" s="86"/>
      <c r="Y161" s="86"/>
      <c r="Z161" s="86"/>
      <c r="AA161" s="86"/>
      <c r="AB161" s="86"/>
      <c r="AC161" s="86"/>
      <c r="AD161" s="86"/>
      <c r="AE161" s="86"/>
      <c r="AF161" s="86"/>
      <c r="AG161" s="55">
        <f>IF(Kalk2!$AA$25,1,0)</f>
        <v>0</v>
      </c>
      <c r="AH161" s="66">
        <f>IF(Kalk2!$AA$19=1,0,1)</f>
        <v>1</v>
      </c>
      <c r="AI161" s="55" t="s">
        <v>22183</v>
      </c>
      <c r="AL161" s="66">
        <f>IF(MAX(Kalk2!$AH$51,Kalk2!$AH$52)&lt;=750,1,0)</f>
        <v>1</v>
      </c>
      <c r="AM161" s="55" t="s">
        <v>22184</v>
      </c>
      <c r="AP161" s="66">
        <f>2*Kalk2!H37</f>
        <v>2</v>
      </c>
      <c r="AQ161" s="55" t="s">
        <v>22101</v>
      </c>
      <c r="AT161" s="55" t="s">
        <v>22079</v>
      </c>
      <c r="AU161" s="66">
        <f>IF(AL161=0,2*Kalk2!H37,0)</f>
        <v>0</v>
      </c>
      <c r="AV161" s="55" t="s">
        <v>22185</v>
      </c>
      <c r="AX161" s="55" t="s">
        <v>22100</v>
      </c>
      <c r="AY161" s="66">
        <f>AP161+AU161</f>
        <v>2</v>
      </c>
      <c r="AZ161" s="55" t="s">
        <v>20872</v>
      </c>
    </row>
    <row r="162" spans="2:53" ht="24.95" customHeight="1">
      <c r="B162" s="93">
        <f>IF(AG162=1,AU162,0)</f>
        <v>0</v>
      </c>
      <c r="C162" s="60"/>
      <c r="D162" s="60"/>
      <c r="E162" s="60" t="str">
        <f>VLOOKUP(1600,Sprachindex!$A:$Z,Erhebungsbogen!$Y$20,FALSE)</f>
        <v>[Stk]</v>
      </c>
      <c r="F162" s="60" t="s">
        <v>21942</v>
      </c>
      <c r="G162" s="514" t="str">
        <f>VLOOKUP(1817,Sprachindex!$A:$Z,Erhebungsbogen!$Y$20,FALSE)</f>
        <v>Spannstück mit 6-Kantschraube</v>
      </c>
      <c r="H162" s="514"/>
      <c r="I162" s="514"/>
      <c r="J162" s="514"/>
      <c r="K162" s="514"/>
      <c r="L162" s="514"/>
      <c r="M162" s="514"/>
      <c r="N162" s="514"/>
      <c r="O162" s="514"/>
      <c r="P162" s="514"/>
      <c r="Q162" s="514"/>
      <c r="R162" s="514"/>
      <c r="S162" s="514"/>
      <c r="T162" s="514"/>
      <c r="U162" s="352">
        <f>VLOOKUP(F162,Preisliste!C:F,4,FALSE)</f>
        <v>98.9</v>
      </c>
      <c r="V162" s="352">
        <f t="shared" si="28"/>
        <v>0</v>
      </c>
      <c r="W162" s="86"/>
      <c r="X162" s="86"/>
      <c r="Y162" s="86"/>
      <c r="Z162" s="86"/>
      <c r="AA162" s="86"/>
      <c r="AB162" s="86"/>
      <c r="AC162" s="86"/>
      <c r="AD162" s="86"/>
      <c r="AE162" s="86"/>
      <c r="AF162" s="86"/>
      <c r="AG162" s="55">
        <f>IF(AH162=1,1,0)</f>
        <v>0</v>
      </c>
      <c r="AH162" s="66">
        <f>IF(Kalk2!$AA$28,1,0)</f>
        <v>0</v>
      </c>
      <c r="AI162" s="55" t="s">
        <v>22098</v>
      </c>
      <c r="AK162" s="55" t="s">
        <v>22079</v>
      </c>
      <c r="AL162" s="66">
        <f>IF(Kalk2!$H$33&gt;1,Kalk2!$H$33-1,0)</f>
        <v>0</v>
      </c>
      <c r="AM162" s="55" t="s">
        <v>22085</v>
      </c>
      <c r="AT162" s="55" t="s">
        <v>22100</v>
      </c>
      <c r="AU162" s="66">
        <f>(2+2*AL162-IF(AH165=1,AU165,0))*Kalk2!$H$37</f>
        <v>2</v>
      </c>
      <c r="AV162" s="55" t="s">
        <v>22101</v>
      </c>
    </row>
    <row r="163" spans="2:53" ht="24.95" customHeight="1">
      <c r="B163" s="93">
        <f>IF(AG163=1,AU163,0)</f>
        <v>0</v>
      </c>
      <c r="C163" s="60"/>
      <c r="D163" s="60"/>
      <c r="E163" s="60" t="str">
        <f>VLOOKUP(1600,Sprachindex!$A:$Z,Erhebungsbogen!$Y$20,FALSE)</f>
        <v>[Stk]</v>
      </c>
      <c r="F163" s="60" t="s">
        <v>21941</v>
      </c>
      <c r="G163" s="514" t="str">
        <f>VLOOKUP(1819,Sprachindex!$A:$Z,Erhebungsbogen!$Y$20,FALSE)</f>
        <v>Spannstück mit Sterngriff</v>
      </c>
      <c r="H163" s="514"/>
      <c r="I163" s="514"/>
      <c r="J163" s="514"/>
      <c r="K163" s="514"/>
      <c r="L163" s="514"/>
      <c r="M163" s="514"/>
      <c r="N163" s="514"/>
      <c r="O163" s="514"/>
      <c r="P163" s="514"/>
      <c r="Q163" s="514"/>
      <c r="R163" s="514"/>
      <c r="S163" s="514"/>
      <c r="T163" s="514"/>
      <c r="U163" s="352">
        <f>VLOOKUP(F163,Preisliste!C:F,4,FALSE)</f>
        <v>104.9</v>
      </c>
      <c r="V163" s="352">
        <f t="shared" si="28"/>
        <v>0</v>
      </c>
      <c r="W163" s="86"/>
      <c r="X163" s="86"/>
      <c r="Y163" s="86"/>
      <c r="Z163" s="86"/>
      <c r="AA163" s="86"/>
      <c r="AB163" s="86"/>
      <c r="AC163" s="86"/>
      <c r="AD163" s="86"/>
      <c r="AE163" s="86"/>
      <c r="AF163" s="86"/>
      <c r="AG163" s="55">
        <f>IF(AH163=1,1,0)</f>
        <v>0</v>
      </c>
      <c r="AH163" s="66">
        <f>IF(Kalk2!$AA$27,1,0)</f>
        <v>0</v>
      </c>
      <c r="AI163" s="55" t="s">
        <v>22097</v>
      </c>
      <c r="AK163" s="55" t="s">
        <v>22079</v>
      </c>
      <c r="AL163" s="66">
        <f>IF(Kalk2!$H$33&gt;1,Kalk2!$H$33-1,0)</f>
        <v>0</v>
      </c>
      <c r="AM163" s="55" t="s">
        <v>22085</v>
      </c>
      <c r="AT163" s="55" t="s">
        <v>22100</v>
      </c>
      <c r="AU163" s="66">
        <f>(2+2*AL163-IF(AH164=1,AU164,0))*Kalk2!$H$37</f>
        <v>2</v>
      </c>
      <c r="AV163" s="55" t="s">
        <v>22101</v>
      </c>
    </row>
    <row r="164" spans="2:53" ht="24.95" customHeight="1">
      <c r="B164" s="93">
        <f>IF(AG164=1,AU164,0)</f>
        <v>0</v>
      </c>
      <c r="C164" s="60"/>
      <c r="D164" s="60"/>
      <c r="E164" s="60" t="str">
        <f>VLOOKUP(1600,Sprachindex!$A:$Z,Erhebungsbogen!$Y$20,FALSE)</f>
        <v>[Stk]</v>
      </c>
      <c r="F164" s="60" t="s">
        <v>21981</v>
      </c>
      <c r="G164" s="514" t="str">
        <f>VLOOKUP(2147,Sprachindex!$A:$Z,Erhebungsbogen!$Y$20,FALSE)</f>
        <v>Spannstück mit Sterngriff zum seitlich Einfädeln</v>
      </c>
      <c r="H164" s="514"/>
      <c r="I164" s="514"/>
      <c r="J164" s="514"/>
      <c r="K164" s="514"/>
      <c r="L164" s="514"/>
      <c r="M164" s="514"/>
      <c r="N164" s="514"/>
      <c r="O164" s="514"/>
      <c r="P164" s="514"/>
      <c r="Q164" s="514"/>
      <c r="R164" s="514"/>
      <c r="S164" s="514"/>
      <c r="T164" s="514"/>
      <c r="U164" s="352">
        <f>VLOOKUP(F164,Preisliste!C:F,4,FALSE)</f>
        <v>110.9</v>
      </c>
      <c r="V164" s="352">
        <f t="shared" si="28"/>
        <v>0</v>
      </c>
      <c r="W164" s="86"/>
      <c r="X164" s="86"/>
      <c r="Y164" s="86"/>
      <c r="Z164" s="86"/>
      <c r="AA164" s="86"/>
      <c r="AB164" s="86"/>
      <c r="AC164" s="86"/>
      <c r="AD164" s="86"/>
      <c r="AE164" s="86"/>
      <c r="AF164" s="86"/>
      <c r="AG164" s="55">
        <f>IF(AND(AH164=1,AL164=1,AP164=1),1,0)</f>
        <v>0</v>
      </c>
      <c r="AH164" s="66">
        <f>IF(Kalk2!$AA$19=1,1,0)</f>
        <v>0</v>
      </c>
      <c r="AI164" s="55">
        <v>25</v>
      </c>
      <c r="AK164" s="55" t="s">
        <v>22079</v>
      </c>
      <c r="AL164" s="66">
        <f>IF(Kalk2!$AA$27,1,0)</f>
        <v>0</v>
      </c>
      <c r="AM164" s="55" t="s">
        <v>22097</v>
      </c>
      <c r="AO164" s="55" t="s">
        <v>22079</v>
      </c>
      <c r="AP164" s="66">
        <f>IF(OR(Kalk2!$AA$7=3,Kalk2!$AA$9=3),1,0)</f>
        <v>0</v>
      </c>
      <c r="AQ164" s="55" t="s">
        <v>22099</v>
      </c>
      <c r="AT164" s="55" t="s">
        <v>22100</v>
      </c>
      <c r="AU164" s="66">
        <f>IF(AND(Kalk2!$AA$7=3,Kalk2!$AA$9=3),2,IF(AP164=1,1,0))*Kalk2!$H$37</f>
        <v>0</v>
      </c>
      <c r="AV164" s="55" t="s">
        <v>22101</v>
      </c>
    </row>
    <row r="165" spans="2:53" ht="24.95" customHeight="1">
      <c r="B165" s="93">
        <f>IF(AG165=1,AU165,0)</f>
        <v>0</v>
      </c>
      <c r="C165" s="60"/>
      <c r="D165" s="60"/>
      <c r="E165" s="60" t="str">
        <f>VLOOKUP(1600,Sprachindex!$A:$Z,Erhebungsbogen!$Y$20,FALSE)</f>
        <v>[Stk]</v>
      </c>
      <c r="F165" s="60" t="s">
        <v>21980</v>
      </c>
      <c r="G165" s="514" t="str">
        <f>VLOOKUP(2148,Sprachindex!$A:$Z,Erhebungsbogen!$Y$20,FALSE)</f>
        <v>Spannstück mit Sechskantschraube zum seitlichen Einfädeln</v>
      </c>
      <c r="H165" s="515"/>
      <c r="I165" s="515"/>
      <c r="J165" s="515"/>
      <c r="K165" s="515"/>
      <c r="L165" s="515"/>
      <c r="M165" s="515"/>
      <c r="N165" s="515"/>
      <c r="O165" s="515"/>
      <c r="P165" s="515"/>
      <c r="Q165" s="515"/>
      <c r="R165" s="515"/>
      <c r="S165" s="515"/>
      <c r="T165" s="516"/>
      <c r="U165" s="352">
        <f>VLOOKUP(F165,Preisliste!C:F,4,FALSE)</f>
        <v>106.9</v>
      </c>
      <c r="V165" s="352">
        <f t="shared" si="28"/>
        <v>0</v>
      </c>
      <c r="W165" s="86"/>
      <c r="X165" s="86"/>
      <c r="Y165" s="86"/>
      <c r="Z165" s="86"/>
      <c r="AA165" s="86"/>
      <c r="AB165" s="86"/>
      <c r="AC165" s="86"/>
      <c r="AD165" s="86"/>
      <c r="AE165" s="86"/>
      <c r="AF165" s="86"/>
      <c r="AG165" s="55">
        <f>IF(AND(AH165=1,AL165=1,AP165=1),1,0)</f>
        <v>0</v>
      </c>
      <c r="AH165" s="66">
        <f>IF(Kalk2!$AA$19=1,1,0)</f>
        <v>0</v>
      </c>
      <c r="AI165" s="55">
        <v>25</v>
      </c>
      <c r="AK165" s="55" t="s">
        <v>22079</v>
      </c>
      <c r="AL165" s="66">
        <f>IF(Kalk2!$AA$28,1,0)</f>
        <v>0</v>
      </c>
      <c r="AM165" s="55" t="s">
        <v>22098</v>
      </c>
      <c r="AO165" s="55" t="s">
        <v>22079</v>
      </c>
      <c r="AP165" s="66">
        <f>IF(OR(Kalk2!$AA$7=3,Kalk2!$AA$9=3),1,0)</f>
        <v>0</v>
      </c>
      <c r="AQ165" s="55" t="s">
        <v>22099</v>
      </c>
      <c r="AT165" s="55" t="s">
        <v>22100</v>
      </c>
      <c r="AU165" s="66">
        <f>IF(AND(Kalk2!$AA$7=3,Kalk2!$AA$9=3),2,IF(AP165=1,1,0))*Kalk2!$H$37</f>
        <v>0</v>
      </c>
      <c r="AV165" s="55" t="s">
        <v>22101</v>
      </c>
    </row>
    <row r="166" spans="2:53" ht="24.95" customHeight="1">
      <c r="B166" s="93">
        <f t="shared" ref="B166:B180" si="29">IF(AG166=1,AZ166,0)</f>
        <v>0</v>
      </c>
      <c r="C166" s="60">
        <v>750</v>
      </c>
      <c r="D166" s="60"/>
      <c r="E166" s="60" t="str">
        <f>VLOOKUP(1600,Sprachindex!$A:$Z,Erhebungsbogen!$Y$20,FALSE)</f>
        <v>[Stk]</v>
      </c>
      <c r="F166" s="60" t="s">
        <v>21881</v>
      </c>
      <c r="G166" s="514" t="str">
        <f>VLOOKUP(2149,Sprachindex!$A:$Z,Erhebungsbogen!$Y$20,FALSE) &amp; IF(AND(Kalk2!$AA$5=2,Kalk2!$AA$13),", " &amp; VLOOKUP(1645,Sprachindex!$A:$Z,Erhebungsbogen!$Y$20,FALSE) &amp; " " &amp; $U$8,", "&amp; VLOOKUP(1648,Sprachindex!$A:$Z,Erhebungsbogen!$Y$20,FALSE))</f>
        <v>U-Profil 25 (in der Laibung) exkl. Dichtung, gebohrt und entgratet, blank</v>
      </c>
      <c r="H166" s="515"/>
      <c r="I166" s="515"/>
      <c r="J166" s="515"/>
      <c r="K166" s="515"/>
      <c r="L166" s="515"/>
      <c r="M166" s="515"/>
      <c r="N166" s="515"/>
      <c r="O166" s="515"/>
      <c r="P166" s="515"/>
      <c r="Q166" s="515"/>
      <c r="R166" s="515"/>
      <c r="S166" s="515"/>
      <c r="T166" s="516"/>
      <c r="U166" s="352">
        <f>IF(AND(Kalk2!$AA$5=2,Kalk2!$AA$13),VLOOKUP(F166,Preisliste!C:G,5,FALSE),VLOOKUP(F166,Preisliste!C:G,4,FALSE))</f>
        <v>81.150000000000006</v>
      </c>
      <c r="V166" s="352">
        <f t="shared" si="28"/>
        <v>0</v>
      </c>
      <c r="W166" s="86"/>
      <c r="X166" s="86"/>
      <c r="Y166" s="86"/>
      <c r="Z166" s="143">
        <f>IF(AND(Kalk2!$AA$5=2,Kalk2!$AA$13),(VLOOKUP(F166,Preisliste!C:G,5,FALSE)-VLOOKUP(F166,Preisliste!C:G,4,FALSE))*B166,0)</f>
        <v>0</v>
      </c>
      <c r="AA166" s="86"/>
      <c r="AB166" s="86"/>
      <c r="AC166" s="86"/>
      <c r="AD166" s="86"/>
      <c r="AE166" s="86"/>
      <c r="AF166" s="86"/>
      <c r="AG166" s="55">
        <f>IF(AND(AH166=1,AL166=1,AP166=1,AND(Kalk2!H28&gt;0,Kalk2!H29&gt;0)),1,0)</f>
        <v>0</v>
      </c>
      <c r="AH166" s="66">
        <f>IF(Kalk2!$AA$19=1,1,0)</f>
        <v>0</v>
      </c>
      <c r="AI166" s="55">
        <v>25</v>
      </c>
      <c r="AK166" s="55" t="s">
        <v>22079</v>
      </c>
      <c r="AL166" s="66">
        <f>IF(OR(OR(Kalk2!$AA$7=2,Kalk2!$AA$7=3),OR(Kalk2!$AA$9=2,Kalk2!$AA$9=3)),1,0)</f>
        <v>0</v>
      </c>
      <c r="AM166" s="55" t="s">
        <v>22092</v>
      </c>
      <c r="AO166" s="55" t="s">
        <v>22079</v>
      </c>
      <c r="AP166" s="66">
        <f>IF(Kalk2!$AI$51=AQ166,1,0)</f>
        <v>1</v>
      </c>
      <c r="AQ166" s="55">
        <v>750</v>
      </c>
      <c r="AU166" s="66">
        <f>IF(OR(Kalk2!$AA$7=2,Kalk2!$AA$7=3),1,0)</f>
        <v>0</v>
      </c>
      <c r="AV166" s="55" t="s">
        <v>19882</v>
      </c>
      <c r="AW166" s="66">
        <f>IF(OR(Kalk2!$AA$9=2,Kalk2!$AA$9=3),1,0)</f>
        <v>0</v>
      </c>
      <c r="AX166" s="55" t="s">
        <v>20310</v>
      </c>
      <c r="AY166" s="55" t="s">
        <v>22100</v>
      </c>
      <c r="AZ166" s="66">
        <f>(AU166+AW166)*Kalk2!$H$37</f>
        <v>0</v>
      </c>
      <c r="BA166" s="55" t="s">
        <v>22101</v>
      </c>
    </row>
    <row r="167" spans="2:53" ht="24.95" customHeight="1">
      <c r="B167" s="93">
        <f t="shared" si="29"/>
        <v>0</v>
      </c>
      <c r="C167" s="60">
        <v>1350</v>
      </c>
      <c r="D167" s="60"/>
      <c r="E167" s="60" t="str">
        <f>VLOOKUP(1600,Sprachindex!$A:$Z,Erhebungsbogen!$Y$20,FALSE)</f>
        <v>[Stk]</v>
      </c>
      <c r="F167" s="60" t="s">
        <v>21882</v>
      </c>
      <c r="G167" s="514" t="str">
        <f>VLOOKUP(2149,Sprachindex!$A:$Z,Erhebungsbogen!$Y$20,FALSE) &amp; IF(AND(Kalk2!$AA$5=2,Kalk2!$AA$13),", " &amp; VLOOKUP(1645,Sprachindex!$A:$Z,Erhebungsbogen!$Y$20,FALSE) &amp; " " &amp; $U$8,", "&amp; VLOOKUP(1648,Sprachindex!$A:$Z,Erhebungsbogen!$Y$20,FALSE))</f>
        <v>U-Profil 25 (in der Laibung) exkl. Dichtung, gebohrt und entgratet, blank</v>
      </c>
      <c r="H167" s="515"/>
      <c r="I167" s="515"/>
      <c r="J167" s="515"/>
      <c r="K167" s="515"/>
      <c r="L167" s="515"/>
      <c r="M167" s="515"/>
      <c r="N167" s="515"/>
      <c r="O167" s="515"/>
      <c r="P167" s="515"/>
      <c r="Q167" s="515"/>
      <c r="R167" s="515"/>
      <c r="S167" s="515"/>
      <c r="T167" s="516"/>
      <c r="U167" s="352">
        <f>IF(AND(Kalk2!$AA$5=2,Kalk2!$AA$13),VLOOKUP(F167,Preisliste!C:G,5,FALSE),VLOOKUP(F167,Preisliste!C:G,4,FALSE))</f>
        <v>123.15</v>
      </c>
      <c r="V167" s="352">
        <f t="shared" si="28"/>
        <v>0</v>
      </c>
      <c r="W167" s="86"/>
      <c r="X167" s="86"/>
      <c r="Y167" s="86"/>
      <c r="Z167" s="143">
        <f>IF(AND(Kalk2!$AA$5=2,Kalk2!$AA$13),(VLOOKUP(F167,Preisliste!C:G,5,FALSE)-VLOOKUP(F167,Preisliste!C:G,4,FALSE))*B167,0)</f>
        <v>0</v>
      </c>
      <c r="AA167" s="86"/>
      <c r="AB167" s="86"/>
      <c r="AC167" s="86"/>
      <c r="AD167" s="86"/>
      <c r="AE167" s="86"/>
      <c r="AF167" s="86"/>
      <c r="AG167" s="55">
        <f>IF(AND(AH167=1,AL167=1,AP167=1,AND(Kalk2!H28&gt;0,Kalk2!H29&gt;0)),1,0)</f>
        <v>0</v>
      </c>
      <c r="AH167" s="66">
        <f>IF(Kalk2!$AA$19=1,1,0)</f>
        <v>0</v>
      </c>
      <c r="AI167" s="55">
        <v>25</v>
      </c>
      <c r="AK167" s="55" t="s">
        <v>22079</v>
      </c>
      <c r="AL167" s="66">
        <f>IF(OR(OR(Kalk2!$AA$7=2,Kalk2!$AA$7=3),OR(Kalk2!$AA$9=2,Kalk2!$AA$9=3)),1,0)</f>
        <v>0</v>
      </c>
      <c r="AM167" s="55" t="s">
        <v>22092</v>
      </c>
      <c r="AO167" s="55" t="s">
        <v>22079</v>
      </c>
      <c r="AP167" s="66">
        <f>IF(Kalk2!$AI$51=AQ167,1,0)</f>
        <v>0</v>
      </c>
      <c r="AQ167" s="55">
        <v>1350</v>
      </c>
      <c r="AU167" s="66">
        <f>IF(OR(Kalk2!$AA$7=2,Kalk2!$AA$7=3),1,0)</f>
        <v>0</v>
      </c>
      <c r="AV167" s="55" t="s">
        <v>19882</v>
      </c>
      <c r="AW167" s="66">
        <f>IF(OR(Kalk2!$AA$9=2,Kalk2!$AA$9=3),1,0)</f>
        <v>0</v>
      </c>
      <c r="AX167" s="55" t="s">
        <v>20310</v>
      </c>
      <c r="AY167" s="55" t="s">
        <v>22100</v>
      </c>
      <c r="AZ167" s="66">
        <f>(AU167+AW167)*Kalk2!$H$37</f>
        <v>0</v>
      </c>
      <c r="BA167" s="55" t="s">
        <v>22101</v>
      </c>
    </row>
    <row r="168" spans="2:53" ht="24.95" customHeight="1">
      <c r="B168" s="93">
        <f t="shared" si="29"/>
        <v>0</v>
      </c>
      <c r="C168" s="60">
        <v>1750</v>
      </c>
      <c r="D168" s="60"/>
      <c r="E168" s="60" t="str">
        <f>VLOOKUP(1600,Sprachindex!$A:$Z,Erhebungsbogen!$Y$20,FALSE)</f>
        <v>[Stk]</v>
      </c>
      <c r="F168" s="60" t="s">
        <v>21982</v>
      </c>
      <c r="G168" s="514" t="str">
        <f>VLOOKUP(2149,Sprachindex!$A:$Z,Erhebungsbogen!$Y$20,FALSE) &amp; IF(AND(Kalk2!$AA$5=2,Kalk2!$AA$13),", " &amp; VLOOKUP(1645,Sprachindex!$A:$Z,Erhebungsbogen!$Y$20,FALSE) &amp; " " &amp; $U$8,", "&amp; VLOOKUP(1648,Sprachindex!$A:$Z,Erhebungsbogen!$Y$20,FALSE))</f>
        <v>U-Profil 25 (in der Laibung) exkl. Dichtung, gebohrt und entgratet, blank</v>
      </c>
      <c r="H168" s="515"/>
      <c r="I168" s="515"/>
      <c r="J168" s="515"/>
      <c r="K168" s="515"/>
      <c r="L168" s="515"/>
      <c r="M168" s="515"/>
      <c r="N168" s="515"/>
      <c r="O168" s="515"/>
      <c r="P168" s="515"/>
      <c r="Q168" s="515"/>
      <c r="R168" s="515"/>
      <c r="S168" s="515"/>
      <c r="T168" s="516"/>
      <c r="U168" s="352">
        <f>IF(AND(Kalk2!$AA$5=2,Kalk2!$AA$13),VLOOKUP(F168,Preisliste!C:G,5,FALSE),VLOOKUP(F168,Preisliste!C:G,4,FALSE))</f>
        <v>137.5</v>
      </c>
      <c r="V168" s="352">
        <f t="shared" si="28"/>
        <v>0</v>
      </c>
      <c r="W168" s="86"/>
      <c r="X168" s="86"/>
      <c r="Y168" s="86"/>
      <c r="Z168" s="143">
        <f>IF(AND(Kalk2!$AA$5=2,Kalk2!$AA$13),(VLOOKUP(F168,Preisliste!C:G,5,FALSE)-VLOOKUP(F168,Preisliste!C:G,4,FALSE))*B168,0)</f>
        <v>0</v>
      </c>
      <c r="AA168" s="86"/>
      <c r="AB168" s="86"/>
      <c r="AC168" s="86"/>
      <c r="AD168" s="86"/>
      <c r="AE168" s="86"/>
      <c r="AF168" s="86"/>
      <c r="AG168" s="55">
        <f>IF(AND(AH168=1,AL168=1,AP168=1,AND(Kalk2!H28&gt;0,Kalk2!H29&gt;0)),1,0)</f>
        <v>0</v>
      </c>
      <c r="AH168" s="66">
        <f>IF(Kalk2!$AA$19=1,1,0)</f>
        <v>0</v>
      </c>
      <c r="AI168" s="55">
        <v>25</v>
      </c>
      <c r="AK168" s="55" t="s">
        <v>22079</v>
      </c>
      <c r="AL168" s="66">
        <f>IF(OR(OR(Kalk2!$AA$7=2,Kalk2!$AA$7=3),OR(Kalk2!$AA$9=2,Kalk2!$AA$9=3)),1,0)</f>
        <v>0</v>
      </c>
      <c r="AM168" s="55" t="s">
        <v>22092</v>
      </c>
      <c r="AO168" s="55" t="s">
        <v>22079</v>
      </c>
      <c r="AP168" s="66">
        <f>IF(Kalk2!$AI$51=AQ168,1,0)</f>
        <v>0</v>
      </c>
      <c r="AQ168" s="55">
        <v>1750</v>
      </c>
      <c r="AU168" s="66">
        <f>IF(OR(Kalk2!$AA$7=2,Kalk2!$AA$7=3),1,0)</f>
        <v>0</v>
      </c>
      <c r="AV168" s="55" t="s">
        <v>19882</v>
      </c>
      <c r="AW168" s="66">
        <f>IF(OR(Kalk2!$AA$9=2,Kalk2!$AA$9=3),1,0)</f>
        <v>0</v>
      </c>
      <c r="AX168" s="55" t="s">
        <v>20310</v>
      </c>
      <c r="AY168" s="55" t="s">
        <v>22100</v>
      </c>
      <c r="AZ168" s="66">
        <f>(AU168+AW168)*Kalk2!$H$37</f>
        <v>0</v>
      </c>
      <c r="BA168" s="55" t="s">
        <v>22101</v>
      </c>
    </row>
    <row r="169" spans="2:53" ht="24.95" customHeight="1">
      <c r="B169" s="93">
        <f t="shared" si="29"/>
        <v>0</v>
      </c>
      <c r="C169" s="60">
        <v>2150</v>
      </c>
      <c r="D169" s="60"/>
      <c r="E169" s="60" t="str">
        <f>VLOOKUP(1600,Sprachindex!$A:$Z,Erhebungsbogen!$Y$20,FALSE)</f>
        <v>[Stk]</v>
      </c>
      <c r="F169" s="60" t="s">
        <v>21983</v>
      </c>
      <c r="G169" s="514" t="str">
        <f>VLOOKUP(2149,Sprachindex!$A:$Z,Erhebungsbogen!$Y$20,FALSE) &amp; IF(AND(Kalk2!$AA$5=2,Kalk2!$AA$13),", " &amp; VLOOKUP(1645,Sprachindex!$A:$Z,Erhebungsbogen!$Y$20,FALSE) &amp; " " &amp; $U$8,", "&amp; VLOOKUP(1648,Sprachindex!$A:$Z,Erhebungsbogen!$Y$20,FALSE))</f>
        <v>U-Profil 25 (in der Laibung) exkl. Dichtung, gebohrt und entgratet, blank</v>
      </c>
      <c r="H169" s="515"/>
      <c r="I169" s="515"/>
      <c r="J169" s="515"/>
      <c r="K169" s="515"/>
      <c r="L169" s="515"/>
      <c r="M169" s="515"/>
      <c r="N169" s="515"/>
      <c r="O169" s="515"/>
      <c r="P169" s="515"/>
      <c r="Q169" s="515"/>
      <c r="R169" s="515"/>
      <c r="S169" s="515"/>
      <c r="T169" s="516"/>
      <c r="U169" s="352">
        <f>IF(AND(Kalk2!$AA$5=2,Kalk2!$AA$13),VLOOKUP(F169,Preisliste!C:G,5,FALSE),VLOOKUP(F169,Preisliste!C:G,4,FALSE))</f>
        <v>162.9</v>
      </c>
      <c r="V169" s="352">
        <f t="shared" si="28"/>
        <v>0</v>
      </c>
      <c r="W169" s="86"/>
      <c r="X169" s="86"/>
      <c r="Y169" s="86"/>
      <c r="Z169" s="143">
        <f>IF(AND(Kalk2!$AA$5=2,Kalk2!$AA$13),(VLOOKUP(F169,Preisliste!C:G,5,FALSE)-VLOOKUP(F169,Preisliste!C:G,4,FALSE))*B169,0)</f>
        <v>0</v>
      </c>
      <c r="AA169" s="86"/>
      <c r="AB169" s="86"/>
      <c r="AC169" s="86"/>
      <c r="AD169" s="86"/>
      <c r="AE169" s="86"/>
      <c r="AF169" s="86"/>
      <c r="AG169" s="55">
        <f>IF(AND(AH169=1,AL169=1,AP169=1,AND(Kalk2!H28&gt;0,Kalk2!H29&gt;0)),1,0)</f>
        <v>0</v>
      </c>
      <c r="AH169" s="66">
        <f>IF(Kalk2!$AA$19=1,1,0)</f>
        <v>0</v>
      </c>
      <c r="AI169" s="55">
        <v>25</v>
      </c>
      <c r="AK169" s="55" t="s">
        <v>22079</v>
      </c>
      <c r="AL169" s="66">
        <f>IF(OR(OR(Kalk2!$AA$7=2,Kalk2!$AA$7=3),OR(Kalk2!$AA$9=2,Kalk2!$AA$9=3)),1,0)</f>
        <v>0</v>
      </c>
      <c r="AM169" s="55" t="s">
        <v>22092</v>
      </c>
      <c r="AO169" s="55" t="s">
        <v>22079</v>
      </c>
      <c r="AP169" s="66">
        <f>IF(Kalk2!$AI$51=AQ169,1,0)</f>
        <v>0</v>
      </c>
      <c r="AQ169" s="55">
        <v>2150</v>
      </c>
      <c r="AU169" s="66">
        <f>IF(OR(Kalk2!$AA$7=2,Kalk2!$AA$7=3),1,0)</f>
        <v>0</v>
      </c>
      <c r="AV169" s="55" t="s">
        <v>19882</v>
      </c>
      <c r="AW169" s="66">
        <f>IF(OR(Kalk2!$AA$9=2,Kalk2!$AA$9=3),1,0)</f>
        <v>0</v>
      </c>
      <c r="AX169" s="55" t="s">
        <v>20310</v>
      </c>
      <c r="AY169" s="55" t="s">
        <v>22100</v>
      </c>
      <c r="AZ169" s="66">
        <f>(AU169+AW169)*Kalk2!$H$37</f>
        <v>0</v>
      </c>
      <c r="BA169" s="55" t="s">
        <v>22101</v>
      </c>
    </row>
    <row r="170" spans="2:53" ht="24.95" customHeight="1">
      <c r="B170" s="93">
        <f t="shared" si="29"/>
        <v>0</v>
      </c>
      <c r="C170" s="60">
        <f>IF(AG170=1,AS170,0)</f>
        <v>0</v>
      </c>
      <c r="D170" s="60"/>
      <c r="E170" s="60" t="str">
        <f>VLOOKUP(1600,Sprachindex!$A:$Z,Erhebungsbogen!$Y$20,FALSE)</f>
        <v>[Stk]</v>
      </c>
      <c r="F170" s="60" t="s">
        <v>21883</v>
      </c>
      <c r="G170" s="514" t="str">
        <f>VLOOKUP(1858,Sprachindex!$A:$Z,Erhebungsbogen!$Y$20,FALSE)</f>
        <v>U-Profil 25 Sonderlänge exkl. Dichtung, (Stangenware)</v>
      </c>
      <c r="H170" s="515"/>
      <c r="I170" s="515"/>
      <c r="J170" s="515"/>
      <c r="K170" s="515"/>
      <c r="L170" s="515"/>
      <c r="M170" s="515"/>
      <c r="N170" s="515"/>
      <c r="O170" s="515"/>
      <c r="P170" s="515"/>
      <c r="Q170" s="515"/>
      <c r="R170" s="515"/>
      <c r="S170" s="515"/>
      <c r="T170" s="516"/>
      <c r="U170" s="352">
        <f>IF(AND(Kalk2!$AA$5=2,Kalk2!$AA$13),VLOOKUP(F170,Preisliste!C:G,5,FALSE),VLOOKUP(F170,Preisliste!C:G,4,FALSE))</f>
        <v>72</v>
      </c>
      <c r="V170" s="352">
        <f>U170*C170*B170/1000</f>
        <v>0</v>
      </c>
      <c r="W170" s="86"/>
      <c r="X170" s="86"/>
      <c r="Y170" s="86"/>
      <c r="Z170" s="143">
        <f>IF(AND(Kalk2!$AA$5=2,Kalk2!$AA$13),(VLOOKUP(F170,Preisliste!C:G,5,FALSE)-VLOOKUP(F170,Preisliste!C:G,4,FALSE))*B170,0)</f>
        <v>0</v>
      </c>
      <c r="AA170" s="86"/>
      <c r="AB170" s="86"/>
      <c r="AC170" s="86"/>
      <c r="AD170" s="86"/>
      <c r="AE170" s="86"/>
      <c r="AF170" s="86"/>
      <c r="AG170" s="55">
        <f>IF(AND(AH170=1,AL170=1,AP170=1,AND(Kalk2!H28&gt;0,Kalk2!H29&gt;0)),1,0)</f>
        <v>0</v>
      </c>
      <c r="AH170" s="66">
        <f>IF(Kalk2!$AA$19=1,1,0)</f>
        <v>0</v>
      </c>
      <c r="AI170" s="55">
        <v>25</v>
      </c>
      <c r="AK170" s="55" t="s">
        <v>22079</v>
      </c>
      <c r="AL170" s="66">
        <f>IF(OR(OR(Kalk2!$AA$7=1,Kalk2!$AA$7=2,Kalk2!$AA$7=3),OR(Kalk2!$AA$9=1,Kalk2!$AA$9=2,Kalk2!$AA$9=3)),1,0)</f>
        <v>1</v>
      </c>
      <c r="AM170" s="55" t="s">
        <v>22092</v>
      </c>
      <c r="AO170" s="55" t="s">
        <v>22079</v>
      </c>
      <c r="AP170" s="66">
        <f>IF(Kalk2!$AH$52&gt;AQ170,1,0)</f>
        <v>0</v>
      </c>
      <c r="AQ170" s="55">
        <v>2150</v>
      </c>
      <c r="AR170" s="55" t="s">
        <v>22084</v>
      </c>
      <c r="AS170" s="66">
        <f>Kalk2!$AH$52</f>
        <v>0</v>
      </c>
      <c r="AU170" s="66">
        <f>IF(OR(Kalk2!$AA$7=2,Kalk2!$AA$7=3),1,0)</f>
        <v>0</v>
      </c>
      <c r="AV170" s="55" t="s">
        <v>19882</v>
      </c>
      <c r="AW170" s="66">
        <f>IF(OR(Kalk2!$AA$9=2,Kalk2!$AA$9=3),1,0)</f>
        <v>0</v>
      </c>
      <c r="AX170" s="55" t="s">
        <v>20310</v>
      </c>
      <c r="AY170" s="55" t="s">
        <v>22100</v>
      </c>
      <c r="AZ170" s="66">
        <f>(AU170+AW170)*Kalk2!$H$37</f>
        <v>0</v>
      </c>
      <c r="BA170" s="55" t="s">
        <v>22101</v>
      </c>
    </row>
    <row r="171" spans="2:53" ht="24.95" customHeight="1">
      <c r="B171" s="93">
        <f t="shared" si="29"/>
        <v>0</v>
      </c>
      <c r="C171" s="60">
        <v>750</v>
      </c>
      <c r="D171" s="60"/>
      <c r="E171" s="60" t="str">
        <f>VLOOKUP(1600,Sprachindex!$A:$Z,Erhebungsbogen!$Y$20,FALSE)</f>
        <v>[Stk]</v>
      </c>
      <c r="F171" s="60" t="s">
        <v>21886</v>
      </c>
      <c r="G171" s="514" t="str">
        <f>VLOOKUP(1859,Sprachindex!$A:$Z,Erhebungsbogen!$Y$20,FALSE) &amp; IF(AND(Kalk2!$AA$5=2,Kalk2!$AA$13),", " &amp; VLOOKUP(1645,Sprachindex!$A:$Z,Erhebungsbogen!$Y$20,FALSE) &amp; " " &amp; $U$8,", "&amp; VLOOKUP(1648,Sprachindex!$A:$Z,Erhebungsbogen!$Y$20,FALSE))</f>
        <v>U-Profil 50 exkl. Dichtung, gebohrt und entgratet, blank</v>
      </c>
      <c r="H171" s="514"/>
      <c r="I171" s="514"/>
      <c r="J171" s="514"/>
      <c r="K171" s="514"/>
      <c r="L171" s="514"/>
      <c r="M171" s="514"/>
      <c r="N171" s="514"/>
      <c r="O171" s="514"/>
      <c r="P171" s="514"/>
      <c r="Q171" s="514"/>
      <c r="R171" s="514"/>
      <c r="S171" s="514"/>
      <c r="T171" s="514"/>
      <c r="U171" s="352">
        <f>IF(AND(Kalk2!$AA$5=2,Kalk2!$AA$13),VLOOKUP(F171,Preisliste!C:G,5,FALSE),VLOOKUP(F171,Preisliste!C:G,4,FALSE))</f>
        <v>134.25</v>
      </c>
      <c r="V171" s="352">
        <f t="shared" si="28"/>
        <v>0</v>
      </c>
      <c r="W171" s="86"/>
      <c r="X171" s="86"/>
      <c r="Y171" s="86"/>
      <c r="Z171" s="143">
        <f>IF(AND(Kalk2!$AA$5=2,Kalk2!$AA$13),(VLOOKUP(F171,Preisliste!C:G,5,FALSE)-VLOOKUP(F171,Preisliste!C:G,4,FALSE))*B171,0)</f>
        <v>0</v>
      </c>
      <c r="AA171" s="86"/>
      <c r="AB171" s="86"/>
      <c r="AC171" s="86"/>
      <c r="AD171" s="86"/>
      <c r="AE171" s="86"/>
      <c r="AF171" s="86"/>
      <c r="AG171" s="249">
        <f>IF(AND(AH171=1,AL171=1,AP171=1,AND(Kalk2!H28&gt;0,Kalk2!H29&gt;0)),1,0)</f>
        <v>0</v>
      </c>
      <c r="AH171" s="66">
        <f>IF(OR(Kalk2!$AA$19=2,Kalk2!$AA$19=3),1,0)</f>
        <v>1</v>
      </c>
      <c r="AI171" s="55">
        <v>50</v>
      </c>
      <c r="AK171" s="55" t="s">
        <v>22079</v>
      </c>
      <c r="AL171" s="66">
        <f>IF(OR(OR(Kalk2!$AA$7=2,Kalk2!$AA$7=3),OR(Kalk2!$AA$9=2,Kalk2!$AA$9=3)),1,0)</f>
        <v>0</v>
      </c>
      <c r="AM171" s="55" t="s">
        <v>22092</v>
      </c>
      <c r="AO171" s="55" t="s">
        <v>22079</v>
      </c>
      <c r="AP171" s="55">
        <f>IF(Kalk2!$AI$51=AQ171,1,0)</f>
        <v>1</v>
      </c>
      <c r="AQ171" s="55">
        <v>750</v>
      </c>
      <c r="AU171" s="66">
        <f>IF(OR(Kalk2!$AA$7=2,Kalk2!$AA$7=3),1,0)</f>
        <v>0</v>
      </c>
      <c r="AV171" s="55" t="s">
        <v>19882</v>
      </c>
      <c r="AW171" s="66">
        <f>IF(OR(Kalk2!$AA$9=2,Kalk2!$AA$9=3),1,0)</f>
        <v>0</v>
      </c>
      <c r="AX171" s="55" t="s">
        <v>20310</v>
      </c>
      <c r="AY171" s="55" t="s">
        <v>22100</v>
      </c>
      <c r="AZ171" s="66">
        <f>(AU171+AW171)*Kalk2!$H$37</f>
        <v>0</v>
      </c>
      <c r="BA171" s="55" t="s">
        <v>22101</v>
      </c>
    </row>
    <row r="172" spans="2:53" ht="24.95" customHeight="1">
      <c r="B172" s="93">
        <f t="shared" si="29"/>
        <v>0</v>
      </c>
      <c r="C172" s="60">
        <v>1350</v>
      </c>
      <c r="D172" s="60"/>
      <c r="E172" s="60" t="str">
        <f>VLOOKUP(1600,Sprachindex!$A:$Z,Erhebungsbogen!$Y$20,FALSE)</f>
        <v>[Stk]</v>
      </c>
      <c r="F172" s="60" t="s">
        <v>21887</v>
      </c>
      <c r="G172" s="514" t="str">
        <f>VLOOKUP(1859,Sprachindex!$A:$Z,Erhebungsbogen!$Y$20,FALSE) &amp; IF(AND(Kalk2!$AA$5=2,Kalk2!$AA$13),", " &amp; VLOOKUP(1645,Sprachindex!$A:$Z,Erhebungsbogen!$Y$20,FALSE) &amp; " " &amp; $U$8,", "&amp; VLOOKUP(1648,Sprachindex!$A:$Z,Erhebungsbogen!$Y$20,FALSE))</f>
        <v>U-Profil 50 exkl. Dichtung, gebohrt und entgratet, blank</v>
      </c>
      <c r="H172" s="514"/>
      <c r="I172" s="514"/>
      <c r="J172" s="514"/>
      <c r="K172" s="514"/>
      <c r="L172" s="514"/>
      <c r="M172" s="514"/>
      <c r="N172" s="514"/>
      <c r="O172" s="514"/>
      <c r="P172" s="514"/>
      <c r="Q172" s="514"/>
      <c r="R172" s="514"/>
      <c r="S172" s="514"/>
      <c r="T172" s="514"/>
      <c r="U172" s="352">
        <f>IF(AND(Kalk2!$AA$5=2,Kalk2!$AA$13),VLOOKUP(F172,Preisliste!C:G,5,FALSE),VLOOKUP(F172,Preisliste!C:G,4,FALSE))</f>
        <v>206.7</v>
      </c>
      <c r="V172" s="352">
        <f t="shared" si="28"/>
        <v>0</v>
      </c>
      <c r="W172" s="86"/>
      <c r="X172" s="86"/>
      <c r="Y172" s="86"/>
      <c r="Z172" s="143">
        <f>IF(AND(Kalk2!$AA$5=2,Kalk2!$AA$13),(VLOOKUP(F172,Preisliste!C:G,5,FALSE)-VLOOKUP(F172,Preisliste!C:G,4,FALSE))*B172,0)</f>
        <v>0</v>
      </c>
      <c r="AA172" s="86"/>
      <c r="AB172" s="86"/>
      <c r="AC172" s="86"/>
      <c r="AD172" s="86"/>
      <c r="AE172" s="86"/>
      <c r="AF172" s="86"/>
      <c r="AG172" s="55">
        <f>IF(AND(AH172=1,AL172=1,AP172=1,AND(Kalk2!H28&gt;0,Kalk2!H29&gt;0)),1,0)</f>
        <v>0</v>
      </c>
      <c r="AH172" s="66">
        <f>IF(OR(Kalk2!$AA$19=2,Kalk2!$AA$19=3),1,0)</f>
        <v>1</v>
      </c>
      <c r="AI172" s="55">
        <v>50</v>
      </c>
      <c r="AK172" s="55" t="s">
        <v>22079</v>
      </c>
      <c r="AL172" s="66">
        <f>IF(OR(OR(Kalk2!$AA$7=2,Kalk2!$AA$7=3),OR(Kalk2!$AA$9=2,Kalk2!$AA$9=3)),1,0)</f>
        <v>0</v>
      </c>
      <c r="AM172" s="55" t="s">
        <v>22092</v>
      </c>
      <c r="AO172" s="55" t="s">
        <v>22079</v>
      </c>
      <c r="AP172" s="66">
        <f>IF(Kalk2!$AI$51=AQ172,1,0)</f>
        <v>0</v>
      </c>
      <c r="AQ172" s="55">
        <v>1350</v>
      </c>
      <c r="AU172" s="66">
        <f>IF(OR(Kalk2!$AA$7=2,Kalk2!$AA$7=3),1,0)</f>
        <v>0</v>
      </c>
      <c r="AV172" s="55" t="s">
        <v>19882</v>
      </c>
      <c r="AW172" s="66">
        <f>IF(OR(Kalk2!$AA$9=2,Kalk2!$AA$9=3),1,0)</f>
        <v>0</v>
      </c>
      <c r="AX172" s="55" t="s">
        <v>20310</v>
      </c>
      <c r="AY172" s="55" t="s">
        <v>22100</v>
      </c>
      <c r="AZ172" s="66">
        <f>(AU172+AW172)*Kalk2!$H$37</f>
        <v>0</v>
      </c>
      <c r="BA172" s="55" t="s">
        <v>22101</v>
      </c>
    </row>
    <row r="173" spans="2:53" ht="24.95" customHeight="1">
      <c r="B173" s="93">
        <f t="shared" si="29"/>
        <v>0</v>
      </c>
      <c r="C173" s="60">
        <v>1750</v>
      </c>
      <c r="D173" s="60"/>
      <c r="E173" s="60" t="str">
        <f>VLOOKUP(1600,Sprachindex!$A:$Z,Erhebungsbogen!$Y$20,FALSE)</f>
        <v>[Stk]</v>
      </c>
      <c r="F173" s="60" t="s">
        <v>21888</v>
      </c>
      <c r="G173" s="514" t="str">
        <f>VLOOKUP(1859,Sprachindex!$A:$Z,Erhebungsbogen!$Y$20,FALSE) &amp; IF(AND(Kalk2!$AA$5=2,Kalk2!$AA$13),", " &amp; VLOOKUP(1645,Sprachindex!$A:$Z,Erhebungsbogen!$Y$20,FALSE) &amp; " " &amp; $U$8,", "&amp; VLOOKUP(1648,Sprachindex!$A:$Z,Erhebungsbogen!$Y$20,FALSE))</f>
        <v>U-Profil 50 exkl. Dichtung, gebohrt und entgratet, blank</v>
      </c>
      <c r="H173" s="514"/>
      <c r="I173" s="514"/>
      <c r="J173" s="514"/>
      <c r="K173" s="514"/>
      <c r="L173" s="514"/>
      <c r="M173" s="514"/>
      <c r="N173" s="514"/>
      <c r="O173" s="514"/>
      <c r="P173" s="514"/>
      <c r="Q173" s="514"/>
      <c r="R173" s="514"/>
      <c r="S173" s="514"/>
      <c r="T173" s="514"/>
      <c r="U173" s="352">
        <f>IF(AND(Kalk2!$AA$5=2,Kalk2!$AA$13),VLOOKUP(F173,Preisliste!C:G,5,FALSE),VLOOKUP(F173,Preisliste!C:G,4,FALSE))</f>
        <v>256.25</v>
      </c>
      <c r="V173" s="352">
        <f t="shared" si="28"/>
        <v>0</v>
      </c>
      <c r="W173" s="86"/>
      <c r="X173" s="86"/>
      <c r="Y173" s="86"/>
      <c r="Z173" s="143">
        <f>IF(AND(Kalk2!$AA$5=2,Kalk2!$AA$13),(VLOOKUP(F173,Preisliste!C:G,5,FALSE)-VLOOKUP(F173,Preisliste!C:G,4,FALSE))*B173,0)</f>
        <v>0</v>
      </c>
      <c r="AA173" s="86"/>
      <c r="AB173" s="86"/>
      <c r="AC173" s="86"/>
      <c r="AD173" s="86"/>
      <c r="AE173" s="86"/>
      <c r="AF173" s="86"/>
      <c r="AG173" s="55">
        <f>IF(AND(AH173=1,AL173=1,AP173=1,AND(Kalk2!H28&gt;0,Kalk2!H29&gt;0)),1,0)</f>
        <v>0</v>
      </c>
      <c r="AH173" s="66">
        <f>IF(OR(Kalk2!$AA$19=2,Kalk2!$AA$19=3),1,0)</f>
        <v>1</v>
      </c>
      <c r="AI173" s="55">
        <v>50</v>
      </c>
      <c r="AK173" s="55" t="s">
        <v>22079</v>
      </c>
      <c r="AL173" s="66">
        <f>IF(OR(OR(Kalk2!$AA$7=2,Kalk2!$AA$7=3),OR(Kalk2!$AA$9=2,Kalk2!$AA$9=3)),1,0)</f>
        <v>0</v>
      </c>
      <c r="AM173" s="55" t="s">
        <v>22092</v>
      </c>
      <c r="AO173" s="55" t="s">
        <v>22079</v>
      </c>
      <c r="AP173" s="66">
        <f>IF(Kalk2!$AI$51=AQ173,1,0)</f>
        <v>0</v>
      </c>
      <c r="AQ173" s="55">
        <v>1750</v>
      </c>
      <c r="AU173" s="66">
        <f>IF(OR(Kalk2!$AA$7=2,Kalk2!$AA$7=3),1,0)</f>
        <v>0</v>
      </c>
      <c r="AV173" s="55" t="s">
        <v>19882</v>
      </c>
      <c r="AW173" s="66">
        <f>IF(OR(Kalk2!$AA$9=2,Kalk2!$AA$9=3),1,0)</f>
        <v>0</v>
      </c>
      <c r="AX173" s="55" t="s">
        <v>20310</v>
      </c>
      <c r="AY173" s="55" t="s">
        <v>22100</v>
      </c>
      <c r="AZ173" s="66">
        <f>(AU173+AW173)*Kalk2!$H$37</f>
        <v>0</v>
      </c>
      <c r="BA173" s="55" t="s">
        <v>22101</v>
      </c>
    </row>
    <row r="174" spans="2:53" ht="24.95" customHeight="1">
      <c r="B174" s="93">
        <f t="shared" si="29"/>
        <v>0</v>
      </c>
      <c r="C174" s="60">
        <v>2150</v>
      </c>
      <c r="D174" s="60"/>
      <c r="E174" s="60" t="str">
        <f>VLOOKUP(1600,Sprachindex!$A:$Z,Erhebungsbogen!$Y$20,FALSE)</f>
        <v>[Stk]</v>
      </c>
      <c r="F174" s="60" t="s">
        <v>21889</v>
      </c>
      <c r="G174" s="514" t="str">
        <f>VLOOKUP(1859,Sprachindex!$A:$Z,Erhebungsbogen!$Y$20,FALSE) &amp; IF(AND(Kalk2!$AA$5=2,Kalk2!$AA$13),", " &amp; VLOOKUP(1645,Sprachindex!$A:$Z,Erhebungsbogen!$Y$20,FALSE) &amp; " " &amp; $U$8,", "&amp; VLOOKUP(1648,Sprachindex!$A:$Z,Erhebungsbogen!$Y$20,FALSE))</f>
        <v>U-Profil 50 exkl. Dichtung, gebohrt und entgratet, blank</v>
      </c>
      <c r="H174" s="514"/>
      <c r="I174" s="514"/>
      <c r="J174" s="514"/>
      <c r="K174" s="514"/>
      <c r="L174" s="514"/>
      <c r="M174" s="514"/>
      <c r="N174" s="514"/>
      <c r="O174" s="514"/>
      <c r="P174" s="514"/>
      <c r="Q174" s="514"/>
      <c r="R174" s="514"/>
      <c r="S174" s="514"/>
      <c r="T174" s="514"/>
      <c r="U174" s="352">
        <f>IF(AND(Kalk2!$AA$5=2,Kalk2!$AA$13),VLOOKUP(F174,Preisliste!C:G,5,FALSE),VLOOKUP(F174,Preisliste!C:G,4,FALSE))</f>
        <v>306.5</v>
      </c>
      <c r="V174" s="352">
        <f t="shared" si="28"/>
        <v>0</v>
      </c>
      <c r="W174" s="86"/>
      <c r="X174" s="86"/>
      <c r="Y174" s="86"/>
      <c r="Z174" s="143">
        <f>IF(AND(Kalk2!$AA$5=2,Kalk2!$AA$13),(VLOOKUP(F174,Preisliste!C:G,5,FALSE)-VLOOKUP(F174,Preisliste!C:G,4,FALSE))*B174,0)</f>
        <v>0</v>
      </c>
      <c r="AA174" s="86"/>
      <c r="AB174" s="86"/>
      <c r="AC174" s="86"/>
      <c r="AD174" s="86"/>
      <c r="AE174" s="86"/>
      <c r="AF174" s="86"/>
      <c r="AG174" s="55">
        <f>IF(AND(AH174=1,AL174=1,AP174=1,AND(Kalk2!H28&gt;0,Kalk2!H29&gt;0)),1,0)</f>
        <v>0</v>
      </c>
      <c r="AH174" s="66">
        <f>IF(OR(Kalk2!$AA$19=2,Kalk2!$AA$19=3),1,0)</f>
        <v>1</v>
      </c>
      <c r="AI174" s="55">
        <v>50</v>
      </c>
      <c r="AK174" s="55" t="s">
        <v>22079</v>
      </c>
      <c r="AL174" s="66">
        <f>IF(OR(OR(Kalk2!$AA$7=2,Kalk2!$AA$7=3),OR(Kalk2!$AA$9=2,Kalk2!$AA$9=3)),1,0)</f>
        <v>0</v>
      </c>
      <c r="AM174" s="55" t="s">
        <v>22092</v>
      </c>
      <c r="AO174" s="55" t="s">
        <v>22079</v>
      </c>
      <c r="AP174" s="66">
        <f>IF(Kalk2!$AI$51=AQ174,1,0)</f>
        <v>0</v>
      </c>
      <c r="AQ174" s="55">
        <v>2150</v>
      </c>
      <c r="AU174" s="66">
        <f>IF(OR(Kalk2!$AA$7=2,Kalk2!$AA$7=3),1,0)</f>
        <v>0</v>
      </c>
      <c r="AV174" s="55" t="s">
        <v>19882</v>
      </c>
      <c r="AW174" s="66">
        <f>IF(OR(Kalk2!$AA$9=2,Kalk2!$AA$9=3),1,0)</f>
        <v>0</v>
      </c>
      <c r="AX174" s="55" t="s">
        <v>20310</v>
      </c>
      <c r="AY174" s="55" t="s">
        <v>22100</v>
      </c>
      <c r="AZ174" s="66">
        <f>(AU174+AW174)*Kalk2!$H$37</f>
        <v>0</v>
      </c>
      <c r="BA174" s="55" t="s">
        <v>22101</v>
      </c>
    </row>
    <row r="175" spans="2:53" ht="24.95" customHeight="1">
      <c r="B175" s="93">
        <f t="shared" si="29"/>
        <v>0</v>
      </c>
      <c r="C175" s="60">
        <f>IF(AG175=1,AS175,0)</f>
        <v>0</v>
      </c>
      <c r="D175" s="60"/>
      <c r="E175" s="60" t="str">
        <f>VLOOKUP(1600,Sprachindex!$A:$Z,Erhebungsbogen!$Y$20,FALSE)</f>
        <v>[Stk]</v>
      </c>
      <c r="F175" s="60" t="s">
        <v>21890</v>
      </c>
      <c r="G175" s="514" t="str">
        <f>VLOOKUP(1860,Sprachindex!$A:$Z,Erhebungsbogen!$Y$20,FALSE)</f>
        <v>U-Profil 50 Sonderlänge exkl. Dichtung, (Stangenware)</v>
      </c>
      <c r="H175" s="514"/>
      <c r="I175" s="514"/>
      <c r="J175" s="514"/>
      <c r="K175" s="514"/>
      <c r="L175" s="514"/>
      <c r="M175" s="514"/>
      <c r="N175" s="514"/>
      <c r="O175" s="514"/>
      <c r="P175" s="514"/>
      <c r="Q175" s="514"/>
      <c r="R175" s="514"/>
      <c r="S175" s="514"/>
      <c r="T175" s="514"/>
      <c r="U175" s="352">
        <f>IF(AND(Kalk2!$AA$5=2,Kalk2!$AA$13),VLOOKUP(F175,Preisliste!C:G,5,FALSE),VLOOKUP(F175,Preisliste!C:G,4,FALSE))</f>
        <v>117.2</v>
      </c>
      <c r="V175" s="352">
        <f>U175*C175*B175/1000</f>
        <v>0</v>
      </c>
      <c r="W175" s="86"/>
      <c r="X175" s="86"/>
      <c r="Y175" s="86"/>
      <c r="Z175" s="143">
        <f>IF(AND(Kalk2!$AA$5=2,Kalk2!$AA$13),(VLOOKUP(F175,Preisliste!C:G,5,FALSE)-VLOOKUP(F175,Preisliste!C:G,4,FALSE))*B175,0)</f>
        <v>0</v>
      </c>
      <c r="AA175" s="86"/>
      <c r="AB175" s="86"/>
      <c r="AC175" s="86"/>
      <c r="AD175" s="86"/>
      <c r="AE175" s="86"/>
      <c r="AF175" s="86"/>
      <c r="AG175" s="55">
        <f>IF(AND(AH175=1,AL175=1,AP175=1,AND(Kalk2!H28&gt;0,Kalk2!H29&gt;0)),1,0)</f>
        <v>0</v>
      </c>
      <c r="AH175" s="66">
        <f>IF(OR(Kalk2!$AA$19=2,Kalk2!$AA$19=3),1,0)</f>
        <v>1</v>
      </c>
      <c r="AI175" s="55">
        <v>50</v>
      </c>
      <c r="AK175" s="55" t="s">
        <v>22079</v>
      </c>
      <c r="AL175" s="66">
        <f>IF(OR(OR(Kalk2!$AA$7=2,Kalk2!$AA$7=3),OR(Kalk2!$AA$9=2,Kalk2!$AA$9=3)),1,0)</f>
        <v>0</v>
      </c>
      <c r="AM175" s="55" t="s">
        <v>22092</v>
      </c>
      <c r="AO175" s="55" t="s">
        <v>22079</v>
      </c>
      <c r="AP175" s="66">
        <f>IF(Kalk2!$AH$52&gt;AQ175,1,0)</f>
        <v>0</v>
      </c>
      <c r="AQ175" s="55">
        <v>2150</v>
      </c>
      <c r="AR175" s="55" t="s">
        <v>22084</v>
      </c>
      <c r="AS175" s="66">
        <f>Kalk2!$AH$52</f>
        <v>0</v>
      </c>
      <c r="AU175" s="66">
        <f>IF(OR(Kalk2!$AA$7=2,Kalk2!$AA$7=3),1,0)</f>
        <v>0</v>
      </c>
      <c r="AV175" s="55" t="s">
        <v>19882</v>
      </c>
      <c r="AW175" s="66">
        <f>IF(OR(Kalk2!$AA$9=2,Kalk2!$AA$9=3),1,0)</f>
        <v>0</v>
      </c>
      <c r="AX175" s="55" t="s">
        <v>20310</v>
      </c>
      <c r="AY175" s="55" t="s">
        <v>22100</v>
      </c>
      <c r="AZ175" s="66">
        <f>(AU175+AW175)*Kalk2!$H$37</f>
        <v>0</v>
      </c>
      <c r="BA175" s="55" t="s">
        <v>22101</v>
      </c>
    </row>
    <row r="176" spans="2:53" ht="24.95" customHeight="1">
      <c r="B176" s="93">
        <f t="shared" si="29"/>
        <v>0</v>
      </c>
      <c r="C176" s="60">
        <v>750</v>
      </c>
      <c r="D176" s="60"/>
      <c r="E176" s="60" t="str">
        <f>VLOOKUP(1600,Sprachindex!$A:$Z,Erhebungsbogen!$Y$20,FALSE)</f>
        <v>[Stk]</v>
      </c>
      <c r="F176" s="60" t="s">
        <v>21891</v>
      </c>
      <c r="G176" s="514" t="str">
        <f>VLOOKUP(1861,Sprachindex!$A:$Z,Erhebungsbogen!$Y$20,FALSE) &amp; IF(AND(Kalk2!$AA$5=2,Kalk2!$AA$13),", " &amp; VLOOKUP(1645,Sprachindex!$A:$Z,Erhebungsbogen!$Y$20,FALSE) &amp; " " &amp; $U$8,", "&amp; VLOOKUP(1648,Sprachindex!$A:$Z,Erhebungsbogen!$Y$20,FALSE))</f>
        <v>U-Profil 80 exkl. Dichtung, gebohrt und entgratet, blank</v>
      </c>
      <c r="H176" s="514"/>
      <c r="I176" s="514"/>
      <c r="J176" s="514"/>
      <c r="K176" s="514"/>
      <c r="L176" s="514"/>
      <c r="M176" s="514"/>
      <c r="N176" s="514"/>
      <c r="O176" s="514"/>
      <c r="P176" s="514"/>
      <c r="Q176" s="514"/>
      <c r="R176" s="514"/>
      <c r="S176" s="514"/>
      <c r="T176" s="514"/>
      <c r="U176" s="352">
        <f>IF(AND(Kalk2!$AA$5=2,Kalk2!$AA$13),VLOOKUP(F176,Preisliste!C:G,5,FALSE),VLOOKUP(F176,Preisliste!C:G,4,FALSE))</f>
        <v>153.25</v>
      </c>
      <c r="V176" s="352">
        <f t="shared" si="28"/>
        <v>0</v>
      </c>
      <c r="W176" s="86"/>
      <c r="X176" s="86"/>
      <c r="Y176" s="86"/>
      <c r="Z176" s="143">
        <f>IF(AND(Kalk2!$AA$5=2,Kalk2!$AA$13),(VLOOKUP(F176,Preisliste!C:G,5,FALSE)-VLOOKUP(F176,Preisliste!C:G,4,FALSE))*B176,0)</f>
        <v>0</v>
      </c>
      <c r="AA176" s="86"/>
      <c r="AB176" s="86"/>
      <c r="AC176" s="86"/>
      <c r="AD176" s="86"/>
      <c r="AE176" s="86"/>
      <c r="AF176" s="86"/>
      <c r="AG176" s="55">
        <f>IF(AND(AH176=1,AL176=1,AP176=1,AND(Kalk2!H28&gt;0,Kalk2!H29&gt;0)),1,0)</f>
        <v>0</v>
      </c>
      <c r="AH176" s="66">
        <f>IF(Kalk2!$AA$19=4,1,0)</f>
        <v>0</v>
      </c>
      <c r="AI176" s="55">
        <v>80</v>
      </c>
      <c r="AK176" s="55" t="s">
        <v>22079</v>
      </c>
      <c r="AL176" s="66">
        <f>IF(OR(OR(Kalk2!$AA$7=2,Kalk2!$AA$7=3),OR(Kalk2!$AA$9=2,Kalk2!$AA$9=3)),1,0)</f>
        <v>0</v>
      </c>
      <c r="AM176" s="55" t="s">
        <v>22092</v>
      </c>
      <c r="AO176" s="55" t="s">
        <v>22079</v>
      </c>
      <c r="AP176" s="66">
        <f>IF(Kalk2!$AI$51=AQ176,1,0)</f>
        <v>1</v>
      </c>
      <c r="AQ176" s="55">
        <v>750</v>
      </c>
      <c r="AU176" s="66">
        <f>IF(OR(Kalk2!$AA$7=2,Kalk2!$AA$7=3),1,0)</f>
        <v>0</v>
      </c>
      <c r="AV176" s="55" t="s">
        <v>19882</v>
      </c>
      <c r="AW176" s="66">
        <f>IF(OR(Kalk2!$AA$9=2,Kalk2!$AA$9=3),1,0)</f>
        <v>0</v>
      </c>
      <c r="AX176" s="55" t="s">
        <v>20310</v>
      </c>
      <c r="AY176" s="55" t="s">
        <v>22100</v>
      </c>
      <c r="AZ176" s="66">
        <f>(AU176+AW176)*Kalk2!$H$37</f>
        <v>0</v>
      </c>
      <c r="BA176" s="55" t="s">
        <v>22101</v>
      </c>
    </row>
    <row r="177" spans="2:53" ht="24.95" customHeight="1">
      <c r="B177" s="93">
        <f t="shared" si="29"/>
        <v>0</v>
      </c>
      <c r="C177" s="60">
        <v>1350</v>
      </c>
      <c r="D177" s="60"/>
      <c r="E177" s="60" t="str">
        <f>VLOOKUP(1600,Sprachindex!$A:$Z,Erhebungsbogen!$Y$20,FALSE)</f>
        <v>[Stk]</v>
      </c>
      <c r="F177" s="60" t="s">
        <v>21892</v>
      </c>
      <c r="G177" s="514" t="str">
        <f>VLOOKUP(1861,Sprachindex!$A:$Z,Erhebungsbogen!$Y$20,FALSE) &amp; IF(AND(Kalk2!$AA$5=2,Kalk2!$AA$13),", " &amp; VLOOKUP(1645,Sprachindex!$A:$Z,Erhebungsbogen!$Y$20,FALSE) &amp; " " &amp; $U$8,", "&amp; VLOOKUP(1648,Sprachindex!$A:$Z,Erhebungsbogen!$Y$20,FALSE))</f>
        <v>U-Profil 80 exkl. Dichtung, gebohrt und entgratet, blank</v>
      </c>
      <c r="H177" s="514"/>
      <c r="I177" s="514"/>
      <c r="J177" s="514"/>
      <c r="K177" s="514"/>
      <c r="L177" s="514"/>
      <c r="M177" s="514"/>
      <c r="N177" s="514"/>
      <c r="O177" s="514"/>
      <c r="P177" s="514"/>
      <c r="Q177" s="514"/>
      <c r="R177" s="514"/>
      <c r="S177" s="514"/>
      <c r="T177" s="514"/>
      <c r="U177" s="352">
        <f>IF(AND(Kalk2!$AA$5=2,Kalk2!$AA$13),VLOOKUP(F177,Preisliste!C:G,5,FALSE),VLOOKUP(F177,Preisliste!C:G,4,FALSE))</f>
        <v>239.85</v>
      </c>
      <c r="V177" s="352">
        <f t="shared" si="28"/>
        <v>0</v>
      </c>
      <c r="W177" s="86"/>
      <c r="X177" s="86"/>
      <c r="Y177" s="86"/>
      <c r="Z177" s="143">
        <f>IF(AND(Kalk2!$AA$5=2,Kalk2!$AA$13),(VLOOKUP(F177,Preisliste!C:G,5,FALSE)-VLOOKUP(F177,Preisliste!C:G,4,FALSE))*B177,0)</f>
        <v>0</v>
      </c>
      <c r="AA177" s="86"/>
      <c r="AB177" s="86"/>
      <c r="AC177" s="86"/>
      <c r="AD177" s="86"/>
      <c r="AE177" s="86"/>
      <c r="AF177" s="86"/>
      <c r="AG177" s="55">
        <f>IF(AND(AH177=1,AL177=1,AP177=1,AND(Kalk2!H28&gt;0,Kalk2!H29&gt;0)),1,0)</f>
        <v>0</v>
      </c>
      <c r="AH177" s="66">
        <f>IF(Kalk2!$AA$19=4,1,0)</f>
        <v>0</v>
      </c>
      <c r="AI177" s="55">
        <v>80</v>
      </c>
      <c r="AK177" s="55" t="s">
        <v>22079</v>
      </c>
      <c r="AL177" s="66">
        <f>IF(OR(OR(Kalk2!$AA$7=2,Kalk2!$AA$7=3),OR(Kalk2!$AA$9=2,Kalk2!$AA$9=3)),1,0)</f>
        <v>0</v>
      </c>
      <c r="AM177" s="55" t="s">
        <v>22092</v>
      </c>
      <c r="AO177" s="55" t="s">
        <v>22079</v>
      </c>
      <c r="AP177" s="66">
        <f>IF(Kalk2!$AI$51=AQ177,1,0)</f>
        <v>0</v>
      </c>
      <c r="AQ177" s="55">
        <v>1350</v>
      </c>
      <c r="AU177" s="66">
        <f>IF(OR(Kalk2!$AA$7=2,Kalk2!$AA$7=3),1,0)</f>
        <v>0</v>
      </c>
      <c r="AV177" s="55" t="s">
        <v>19882</v>
      </c>
      <c r="AW177" s="66">
        <f>IF(OR(Kalk2!$AA$9=2,Kalk2!$AA$9=3),1,0)</f>
        <v>0</v>
      </c>
      <c r="AX177" s="55" t="s">
        <v>20310</v>
      </c>
      <c r="AY177" s="55" t="s">
        <v>22100</v>
      </c>
      <c r="AZ177" s="66">
        <f>(AU177+AW177)*Kalk2!$H$37</f>
        <v>0</v>
      </c>
      <c r="BA177" s="55" t="s">
        <v>22101</v>
      </c>
    </row>
    <row r="178" spans="2:53" ht="24.95" customHeight="1">
      <c r="B178" s="93">
        <f t="shared" si="29"/>
        <v>0</v>
      </c>
      <c r="C178" s="60">
        <v>1750</v>
      </c>
      <c r="D178" s="60"/>
      <c r="E178" s="60" t="str">
        <f>VLOOKUP(1600,Sprachindex!$A:$Z,Erhebungsbogen!$Y$20,FALSE)</f>
        <v>[Stk]</v>
      </c>
      <c r="F178" s="60" t="s">
        <v>21893</v>
      </c>
      <c r="G178" s="514" t="str">
        <f>VLOOKUP(1861,Sprachindex!$A:$Z,Erhebungsbogen!$Y$20,FALSE) &amp; IF(AND(Kalk2!$AA$5=2,Kalk2!$AA$13),", " &amp; VLOOKUP(1645,Sprachindex!$A:$Z,Erhebungsbogen!$Y$20,FALSE) &amp; " " &amp; $U$8,", "&amp; VLOOKUP(1648,Sprachindex!$A:$Z,Erhebungsbogen!$Y$20,FALSE))</f>
        <v>U-Profil 80 exkl. Dichtung, gebohrt und entgratet, blank</v>
      </c>
      <c r="H178" s="514"/>
      <c r="I178" s="514"/>
      <c r="J178" s="514"/>
      <c r="K178" s="514"/>
      <c r="L178" s="514"/>
      <c r="M178" s="514"/>
      <c r="N178" s="514"/>
      <c r="O178" s="514"/>
      <c r="P178" s="514"/>
      <c r="Q178" s="514"/>
      <c r="R178" s="514"/>
      <c r="S178" s="514"/>
      <c r="T178" s="514"/>
      <c r="U178" s="352">
        <f>IF(AND(Kalk2!$AA$5=2,Kalk2!$AA$13),VLOOKUP(F178,Preisliste!C:G,5,FALSE),VLOOKUP(F178,Preisliste!C:G,4,FALSE))</f>
        <v>298.89999999999998</v>
      </c>
      <c r="V178" s="352">
        <f t="shared" si="28"/>
        <v>0</v>
      </c>
      <c r="W178" s="86"/>
      <c r="X178" s="86"/>
      <c r="Y178" s="86"/>
      <c r="Z178" s="143">
        <f>IF(AND(Kalk2!$AA$5=2,Kalk2!$AA$13),(VLOOKUP(F178,Preisliste!C:G,5,FALSE)-VLOOKUP(F178,Preisliste!C:G,4,FALSE))*B178,0)</f>
        <v>0</v>
      </c>
      <c r="AA178" s="86"/>
      <c r="AB178" s="86"/>
      <c r="AC178" s="86"/>
      <c r="AD178" s="86"/>
      <c r="AE178" s="86"/>
      <c r="AF178" s="86"/>
      <c r="AG178" s="55">
        <f>IF(AND(AH178=1,AL178=1,AP178=1,AND(Kalk2!H28&gt;0,Kalk2!H29&gt;0)),1,0)</f>
        <v>0</v>
      </c>
      <c r="AH178" s="66">
        <f>IF(Kalk2!$AA$19=4,1,0)</f>
        <v>0</v>
      </c>
      <c r="AI178" s="55">
        <v>80</v>
      </c>
      <c r="AK178" s="55" t="s">
        <v>22079</v>
      </c>
      <c r="AL178" s="66">
        <f>IF(OR(OR(Kalk2!$AA$7=2,Kalk2!$AA$7=3),OR(Kalk2!$AA$9=2,Kalk2!$AA$9=3)),1,0)</f>
        <v>0</v>
      </c>
      <c r="AM178" s="55" t="s">
        <v>22092</v>
      </c>
      <c r="AO178" s="55" t="s">
        <v>22079</v>
      </c>
      <c r="AP178" s="66">
        <f>IF(Kalk2!$AI$51=AQ178,1,0)</f>
        <v>0</v>
      </c>
      <c r="AQ178" s="55">
        <v>1750</v>
      </c>
      <c r="AU178" s="66">
        <f>IF(OR(Kalk2!$AA$7=2,Kalk2!$AA$7=3),1,0)</f>
        <v>0</v>
      </c>
      <c r="AV178" s="55" t="s">
        <v>19882</v>
      </c>
      <c r="AW178" s="66">
        <f>IF(OR(Kalk2!$AA$9=2,Kalk2!$AA$9=3),1,0)</f>
        <v>0</v>
      </c>
      <c r="AX178" s="55" t="s">
        <v>20310</v>
      </c>
      <c r="AY178" s="55" t="s">
        <v>22100</v>
      </c>
      <c r="AZ178" s="66">
        <f>(AU178+AW178)*Kalk2!$H$37</f>
        <v>0</v>
      </c>
      <c r="BA178" s="55" t="s">
        <v>22101</v>
      </c>
    </row>
    <row r="179" spans="2:53" ht="24.95" customHeight="1">
      <c r="B179" s="93">
        <f t="shared" si="29"/>
        <v>0</v>
      </c>
      <c r="C179" s="60">
        <v>2150</v>
      </c>
      <c r="D179" s="60"/>
      <c r="E179" s="60" t="str">
        <f>VLOOKUP(1600,Sprachindex!$A:$Z,Erhebungsbogen!$Y$20,FALSE)</f>
        <v>[Stk]</v>
      </c>
      <c r="F179" s="60" t="s">
        <v>21894</v>
      </c>
      <c r="G179" s="514" t="str">
        <f>VLOOKUP(1861,Sprachindex!$A:$Z,Erhebungsbogen!$Y$20,FALSE) &amp; IF(AND(Kalk2!$AA$5=2,Kalk2!$AA$13),", " &amp; VLOOKUP(1645,Sprachindex!$A:$Z,Erhebungsbogen!$Y$20,FALSE) &amp; " " &amp; $U$8,", "&amp; VLOOKUP(1648,Sprachindex!$A:$Z,Erhebungsbogen!$Y$20,FALSE))</f>
        <v>U-Profil 80 exkl. Dichtung, gebohrt und entgratet, blank</v>
      </c>
      <c r="H179" s="514"/>
      <c r="I179" s="514"/>
      <c r="J179" s="514"/>
      <c r="K179" s="514"/>
      <c r="L179" s="514"/>
      <c r="M179" s="514"/>
      <c r="N179" s="514"/>
      <c r="O179" s="514"/>
      <c r="P179" s="514"/>
      <c r="Q179" s="514"/>
      <c r="R179" s="514"/>
      <c r="S179" s="514"/>
      <c r="T179" s="514"/>
      <c r="U179" s="352">
        <f>IF(AND(Kalk2!$AA$5=2,Kalk2!$AA$13),VLOOKUP(F179,Preisliste!C:G,5,FALSE),VLOOKUP(F179,Preisliste!C:G,4,FALSE))</f>
        <v>359</v>
      </c>
      <c r="V179" s="352">
        <f t="shared" si="28"/>
        <v>0</v>
      </c>
      <c r="W179" s="86"/>
      <c r="X179" s="86"/>
      <c r="Y179" s="86"/>
      <c r="Z179" s="143">
        <f>IF(AND(Kalk2!$AA$5=2,Kalk2!$AA$13),(VLOOKUP(F179,Preisliste!C:G,5,FALSE)-VLOOKUP(F179,Preisliste!C:G,4,FALSE))*B179,0)</f>
        <v>0</v>
      </c>
      <c r="AA179" s="86"/>
      <c r="AB179" s="86"/>
      <c r="AC179" s="86"/>
      <c r="AD179" s="86"/>
      <c r="AE179" s="86"/>
      <c r="AF179" s="86"/>
      <c r="AG179" s="55">
        <f>IF(AND(AH179=1,AL179=1,AP179=1,AND(Kalk2!H28&gt;0,Kalk2!H29&gt;0)),1,0)</f>
        <v>0</v>
      </c>
      <c r="AH179" s="66">
        <f>IF(Kalk2!$AA$19=4,1,0)</f>
        <v>0</v>
      </c>
      <c r="AI179" s="55">
        <v>80</v>
      </c>
      <c r="AK179" s="55" t="s">
        <v>22079</v>
      </c>
      <c r="AL179" s="66">
        <f>IF(OR(OR(Kalk2!$AA$7=2,Kalk2!$AA$7=3),OR(Kalk2!$AA$9=2,Kalk2!$AA$9=3)),1,0)</f>
        <v>0</v>
      </c>
      <c r="AM179" s="55" t="s">
        <v>22092</v>
      </c>
      <c r="AO179" s="55" t="s">
        <v>22079</v>
      </c>
      <c r="AP179" s="66">
        <f>IF(Kalk2!$AI$51=AQ179,1,0)</f>
        <v>0</v>
      </c>
      <c r="AQ179" s="55">
        <v>2150</v>
      </c>
      <c r="AU179" s="66">
        <f>IF(OR(Kalk2!$AA$7=2,Kalk2!$AA$7=3),1,0)</f>
        <v>0</v>
      </c>
      <c r="AV179" s="55" t="s">
        <v>19882</v>
      </c>
      <c r="AW179" s="66">
        <f>IF(OR(Kalk2!$AA$9=2,Kalk2!$AA$9=3),1,0)</f>
        <v>0</v>
      </c>
      <c r="AX179" s="55" t="s">
        <v>20310</v>
      </c>
      <c r="AY179" s="55" t="s">
        <v>22100</v>
      </c>
      <c r="AZ179" s="66">
        <f>(AU179+AW179)*Kalk2!$H$37</f>
        <v>0</v>
      </c>
      <c r="BA179" s="55" t="s">
        <v>22101</v>
      </c>
    </row>
    <row r="180" spans="2:53" ht="24.95" customHeight="1">
      <c r="B180" s="93">
        <f t="shared" si="29"/>
        <v>0</v>
      </c>
      <c r="C180" s="60">
        <f>IF(AG180=1,AS180,0)</f>
        <v>0</v>
      </c>
      <c r="D180" s="60"/>
      <c r="E180" s="60" t="str">
        <f>VLOOKUP(1600,Sprachindex!$A:$Z,Erhebungsbogen!$Y$20,FALSE)</f>
        <v>[Stk]</v>
      </c>
      <c r="F180" s="60" t="s">
        <v>21895</v>
      </c>
      <c r="G180" s="514" t="str">
        <f>VLOOKUP(1862,Sprachindex!$A:$Z,Erhebungsbogen!$Y$20,FALSE)</f>
        <v>U-Profil 80 Sonderlänge exkl. Dichtung, (Stangenware)</v>
      </c>
      <c r="H180" s="514"/>
      <c r="I180" s="514"/>
      <c r="J180" s="514"/>
      <c r="K180" s="514"/>
      <c r="L180" s="514"/>
      <c r="M180" s="514"/>
      <c r="N180" s="514"/>
      <c r="O180" s="514"/>
      <c r="P180" s="514"/>
      <c r="Q180" s="514"/>
      <c r="R180" s="514"/>
      <c r="S180" s="514"/>
      <c r="T180" s="514"/>
      <c r="U180" s="352">
        <f>IF(AND(Kalk2!$AA$5=2,Kalk2!$AA$13),VLOOKUP(F180,Preisliste!C:G,5,FALSE),VLOOKUP(F180,Preisliste!C:G,4,FALSE))</f>
        <v>141.35</v>
      </c>
      <c r="V180" s="352">
        <f>U180*C180*B180/1000</f>
        <v>0</v>
      </c>
      <c r="W180" s="86"/>
      <c r="X180" s="86"/>
      <c r="Y180" s="86"/>
      <c r="Z180" s="143">
        <f>IF(AND(Kalk2!$AA$5=2,Kalk2!$AA$13),(VLOOKUP(F180,Preisliste!C:G,5,FALSE)-VLOOKUP(F180,Preisliste!C:G,4,FALSE))*B180,0)</f>
        <v>0</v>
      </c>
      <c r="AA180" s="86"/>
      <c r="AB180" s="86"/>
      <c r="AC180" s="86"/>
      <c r="AD180" s="86"/>
      <c r="AE180" s="86"/>
      <c r="AF180" s="86"/>
      <c r="AG180" s="55">
        <f>IF(AND(AH180=1,AL180=1,AP180=1,AND(Kalk2!H28&gt;0,Kalk2!H29&gt;0)),1,0)</f>
        <v>0</v>
      </c>
      <c r="AH180" s="66">
        <f>IF(Kalk2!$AA$19=4,1,0)</f>
        <v>0</v>
      </c>
      <c r="AI180" s="55">
        <v>80</v>
      </c>
      <c r="AK180" s="55" t="s">
        <v>22079</v>
      </c>
      <c r="AL180" s="66">
        <f>IF(OR(OR(Kalk2!$AA$7=2,Kalk2!$AA$7=3),OR(Kalk2!$AA$9=2,Kalk2!$AA$9=3)),1,0)</f>
        <v>0</v>
      </c>
      <c r="AM180" s="55" t="s">
        <v>22092</v>
      </c>
      <c r="AO180" s="55" t="s">
        <v>22079</v>
      </c>
      <c r="AP180" s="66">
        <f>IF(Kalk2!$AH$52&gt;AQ180,1,0)</f>
        <v>0</v>
      </c>
      <c r="AQ180" s="55">
        <v>2150</v>
      </c>
      <c r="AR180" s="55" t="s">
        <v>22084</v>
      </c>
      <c r="AS180" s="66">
        <f>Kalk2!$AH$52</f>
        <v>0</v>
      </c>
      <c r="AU180" s="66">
        <f>IF(OR(Kalk2!$AA$7=2,Kalk2!$AA$7=3),1,0)</f>
        <v>0</v>
      </c>
      <c r="AV180" s="55" t="s">
        <v>19882</v>
      </c>
      <c r="AW180" s="66">
        <f>IF(OR(Kalk2!$AA$9=2,Kalk2!$AA$9=3),1,0)</f>
        <v>0</v>
      </c>
      <c r="AX180" s="55" t="s">
        <v>20310</v>
      </c>
      <c r="AY180" s="55" t="s">
        <v>22100</v>
      </c>
      <c r="AZ180" s="66">
        <f>(AU180+AW180)*Kalk2!$H$37</f>
        <v>0</v>
      </c>
      <c r="BA180" s="55" t="s">
        <v>22101</v>
      </c>
    </row>
    <row r="181" spans="2:53">
      <c r="B181" s="91">
        <v>1</v>
      </c>
      <c r="R181" s="56"/>
      <c r="U181" s="56" t="str">
        <f>IF(AND(AB16=1,OR(AB17=1,AB18&gt;=300),AB19&gt;=Preisliste!G176,X19=0),AA181,AB181)</f>
        <v>Summe</v>
      </c>
      <c r="V181" s="355">
        <f>AB19</f>
        <v>0</v>
      </c>
      <c r="AA181" s="55" t="str">
        <f>VLOOKUP(1700,Sprachindex!$A:$Z,Erhebungsbogen!$Y$20,FALSE)</f>
        <v>Endsumme exkl. MwSt.</v>
      </c>
      <c r="AB181" s="55" t="str">
        <f>VLOOKUP(1491,Sprachindex!$A:$Z,Erhebungsbogen!$Y$20,FALSE)</f>
        <v>Summe</v>
      </c>
    </row>
    <row r="182" spans="2:53">
      <c r="B182" s="91">
        <v>1</v>
      </c>
      <c r="R182" s="56"/>
      <c r="U182" s="56" t="str">
        <f>IF(U181=AB181,IF(X19&lt;&gt;0,AA182,IF(AB19&lt;Preisliste!G176,AB182,IF(AND(AB17=2,AJ206&lt;Preisliste!G171),AC182,IF(AB16=2,AD182,0)))),"")</f>
        <v>Rabatt -10 %</v>
      </c>
      <c r="V182" s="355">
        <f>IF(U182=AA182,V181/100*X19,IF(U182=AB182,Preisliste!G175,IF(U182=AC182,Preisliste!G170,IF(U182=AD182,V181/100*Haftungsausschluß!M43,""))))</f>
        <v>0</v>
      </c>
      <c r="AA182" s="55" t="str">
        <f>VLOOKUP(1790,Sprachindex!$A:$Z,Erhebungsbogen!$Y$20,FALSE) &amp; " " &amp; X19 &amp;" %"</f>
        <v>Rabatt -10 %</v>
      </c>
      <c r="AB182" s="55" t="str">
        <f>VLOOKUP(1713,Sprachindex!$A:$Z,Erhebungsbogen!$Y$20,FALSE)</f>
        <v>Frachtkosten</v>
      </c>
      <c r="AC182" s="55" t="str">
        <f>VLOOKUP(2150,Sprachindex!$A:$Z,Erhebungsbogen!$Y$20,FALSE)</f>
        <v>Beschichtungspauschale</v>
      </c>
      <c r="AD182" s="55" t="str">
        <f>"+ " &amp;Haftungsausschluß!M43&amp; " % " &amp; VLOOKUP(2116,Sprachindex!$A:$Z,Erhebungsbogen!$Y$20,FALSE)</f>
        <v>+ 8.1 % MwSt.</v>
      </c>
    </row>
    <row r="183" spans="2:53">
      <c r="B183" s="91">
        <v>1</v>
      </c>
      <c r="M183" s="56"/>
      <c r="N183" s="56"/>
      <c r="R183" s="56"/>
      <c r="U183" s="144" t="str">
        <f>IF(AND(AB16=1,AND(AB17=2,AB18&lt;Preisliste!G171),U182&lt;&gt;AC182),AC183,IF(AND(AB16=1,AB19&lt;Preisliste!G176,U182&lt;&gt;AB182),AB183,IF(AND(AB16=1,OR(U182=AA182,U182=AB182,U182=AC182)),AA183,IF(AND(U182=AD182,AB16=2),AF183,IF(OR(AND(AB19&lt;Preisliste!G176,X19=0,OR(AB17=1,AND(AB17=2,AB18&gt;Preisliste!G171)))),AE183,IF(OR(AND(AB19&gt;=Preisliste!G176,X19&lt;&gt;0,OR(AB17=1,AND(AB17=2,AB18&gt;Preisliste!G171)))),AE183,IF(OR(AND(AB19&gt;=Preisliste!G176,X19=0,AND(AB17=2,AB18&lt;Preisliste!G171))),AE183,IF(OR(AND(AB19&gt;=Preisliste!G176,X19&lt;&gt;0,AND(AB17=2,AB18&lt;Preisliste!G171))),AC183,IF(OR(AND(AB18&lt;Preisliste!G176,X19&lt;&gt;0,OR(AB17=1,AND(AB17=2,AB18&gt;Preisliste!G171)))),AB183,IF(OR(AND(AB19&lt;Preisliste!G176,X19&lt;&gt;0,AND(AB17=2,AB18&lt;Preisliste!G171))),AC183,IF(OR(AND(AB19&lt;Preisliste!G176,X19=0,AND(AB17=2,AB18&lt;Preisliste!G171))),AC183,"")))))))))))</f>
        <v>Frachtkosten</v>
      </c>
      <c r="V183" s="355">
        <f>IF(U183=AA183,V181+V182,IF(U183=AC183,Preisliste!G170,IF(U183=AB183,Preisliste!G175,IF(U183=AD183,(V181+V182)/100*Haftungsausschluß!M43,IF(U183=AF183,V181+V182,IF(U183=AE183,V181+V182,""))))))</f>
        <v>200</v>
      </c>
      <c r="AA183" s="55" t="str">
        <f>VLOOKUP(1700,Sprachindex!$A:$Z,Erhebungsbogen!$Y$20,FALSE)</f>
        <v>Endsumme exkl. MwSt.</v>
      </c>
      <c r="AB183" s="55" t="str">
        <f>VLOOKUP(1713,Sprachindex!$A:$Z,Erhebungsbogen!$Y$20,FALSE)</f>
        <v>Frachtkosten</v>
      </c>
      <c r="AC183" s="55" t="str">
        <f>VLOOKUP(2150,Sprachindex!$A:$Z,Erhebungsbogen!$Y$20,FALSE)</f>
        <v>Beschichtungspauschale</v>
      </c>
      <c r="AD183" s="55" t="str">
        <f>"+ " &amp;Haftungsausschluß!M43&amp; " % " &amp; VLOOKUP(2116,Sprachindex!$A:$Z,Erhebungsbogen!$Y$20,FALSE)</f>
        <v>+ 8.1 % MwSt.</v>
      </c>
      <c r="AE183" s="55" t="str">
        <f>VLOOKUP(1873,Sprachindex!$A:$Z,Erhebungsbogen!$Y$20,FALSE)</f>
        <v>Zwischensumme</v>
      </c>
      <c r="AF183" s="55" t="str">
        <f>VLOOKUP(1701,Sprachindex!$A:$Z,Erhebungsbogen!$Y$20,FALSE)</f>
        <v>Endsumme inkl. MwSt.</v>
      </c>
    </row>
    <row r="184" spans="2:53">
      <c r="B184" s="91">
        <v>1</v>
      </c>
      <c r="M184" s="56"/>
      <c r="N184" s="56"/>
      <c r="R184" s="56"/>
      <c r="U184" s="56" t="str">
        <f>IF(AND(X19&lt;&gt;0,AND(AB17=2,AB18&lt;Preisliste!G171),AB19&lt;Preisliste!G176),AB184,IF(AND(AB16=1,OR(U183=AC183,U183=AB183)),AA184,IF(U183=AD183,AE184,IF(AND(U183=AC183,AB19&gt;=Preisliste!G176),AC184,IF(OR(AND(AB19&lt;Preisliste!G176,X19&lt;&gt;0,OR(AB17=1,AND(AB17=2,AB18&gt;Preisliste!G171)))),AE183,IF(OR(AND(AB19&lt;Preisliste!G176,X19=0,AND(AB17=2,AB18&lt;Preisliste!G171))),AE183,IF(U183=AE183,AC184,IF(AND(U182=AA182,U183=AC183),AD184,""))))))))</f>
        <v>Endsumme exkl. MwSt.</v>
      </c>
      <c r="V184" s="355">
        <f>IF(U184=AA184,V181+V182+V183,IF(U184=AB184,Preisliste!G175,IF(U184=AE184,V181+V182+V183,IF(AND(U184=AC184,U183=AC183),(V181+V182+V183)/100*Haftungsausschluß!M43,IF(U184=AD184,V181+V182+V183,IF(AND(U184=AC184,U183=AE183),V183/100*Haftungsausschluß!M43,""))))))</f>
        <v>200</v>
      </c>
      <c r="AA184" s="55" t="str">
        <f>VLOOKUP(1700,Sprachindex!$A:$Z,Erhebungsbogen!$Y$20,FALSE)</f>
        <v>Endsumme exkl. MwSt.</v>
      </c>
      <c r="AB184" s="55" t="str">
        <f>VLOOKUP(1713,Sprachindex!$A:$Z,Erhebungsbogen!$Y$20,FALSE)</f>
        <v>Frachtkosten</v>
      </c>
      <c r="AC184" s="55" t="str">
        <f>"+ " &amp;Haftungsausschluß!M43&amp; " % " &amp; VLOOKUP(2116,Sprachindex!$A:$Z,Erhebungsbogen!$Y$20,FALSE)</f>
        <v>+ 8.1 % MwSt.</v>
      </c>
      <c r="AD184" s="55" t="str">
        <f>VLOOKUP(1873,Sprachindex!$A:$Z,Erhebungsbogen!$Y$20,FALSE)</f>
        <v>Zwischensumme</v>
      </c>
      <c r="AE184" s="55" t="str">
        <f>VLOOKUP(1701,Sprachindex!$A:$Z,Erhebungsbogen!$Y$20,FALSE)</f>
        <v>Endsumme inkl. MwSt.</v>
      </c>
    </row>
    <row r="185" spans="2:53">
      <c r="B185" s="91">
        <v>1</v>
      </c>
      <c r="M185" s="56"/>
      <c r="N185" s="56"/>
      <c r="R185" s="56"/>
      <c r="U185" s="56" t="str">
        <f>IF(AND(AB16=1,U184=AB183),AA184,IF(U184=AC184,AD185,IF(OR(AND(AB19&lt;Preisliste!G176,X19&lt;&gt;0,AND(AB17=2,AB18&lt;Preisliste!G171))),AC185,IF(U184=AD184,AB185,""))))</f>
        <v/>
      </c>
      <c r="V185" s="355" t="str">
        <f>IF(U185=AA185,V181+V182+V183+V184,IF(AND(U185=AD185,U183=AC183),V181+V182+V183+V184,IF(U185=AB185,V184/100*Haftungsausschluß!M43,IF(U185=AC185,V181+V182+V183+V184,IF(AND(U185=AD185,U183=AE183),V183+V184,"")))))</f>
        <v/>
      </c>
      <c r="AA185" s="55" t="str">
        <f>VLOOKUP(1700,Sprachindex!$A:$Z,Erhebungsbogen!$Y$20,FALSE)</f>
        <v>Endsumme exkl. MwSt.</v>
      </c>
      <c r="AB185" s="55" t="str">
        <f>"+ " &amp;Haftungsausschluß!M43&amp; " % " &amp; VLOOKUP(2116,Sprachindex!$A:$Z,Erhebungsbogen!$Y$20,FALSE)</f>
        <v>+ 8.1 % MwSt.</v>
      </c>
      <c r="AC185" s="55" t="str">
        <f>VLOOKUP(1873,Sprachindex!$A:$Z,Erhebungsbogen!$Y$20,FALSE)</f>
        <v>Zwischensumme</v>
      </c>
      <c r="AD185" s="55" t="str">
        <f>VLOOKUP(1701,Sprachindex!$A:$Z,Erhebungsbogen!$Y$20,FALSE)</f>
        <v>Endsumme inkl. MwSt.</v>
      </c>
    </row>
    <row r="186" spans="2:53">
      <c r="B186" s="91">
        <v>1</v>
      </c>
      <c r="R186" s="56"/>
      <c r="U186" s="56" t="str">
        <f>IF(U185=AC185,AA186,IF(U185=AC185,AC186,IF(U185=AB185,AB186,"")))</f>
        <v/>
      </c>
      <c r="V186" s="355" t="str">
        <f>IF(U186=AB186,V184+V185,IF(U186=AA186,V185/100*Haftungsausschluß!M43,""))</f>
        <v/>
      </c>
      <c r="AA186" s="55" t="str">
        <f>"+ " &amp;Haftungsausschluß!M43&amp; " % " &amp; VLOOKUP(2116,Sprachindex!$A:$Z,Erhebungsbogen!$Y$20,FALSE)</f>
        <v>+ 8.1 % MwSt.</v>
      </c>
      <c r="AB186" s="55" t="str">
        <f>VLOOKUP(1701,Sprachindex!$A:$Z,Erhebungsbogen!$Y$20,FALSE)</f>
        <v>Endsumme inkl. MwSt.</v>
      </c>
    </row>
    <row r="187" spans="2:53">
      <c r="B187" s="91">
        <v>1</v>
      </c>
      <c r="R187" s="56"/>
      <c r="U187" s="56" t="str">
        <f>IF(U186=AA186,AA187,"")</f>
        <v/>
      </c>
      <c r="V187" s="355" t="str">
        <f>IF(U187=AA187,V185+V186,"")</f>
        <v/>
      </c>
      <c r="AA187" s="55" t="str">
        <f>VLOOKUP(1701,Sprachindex!$A:$Z,Erhebungsbogen!$Y$20,FALSE)</f>
        <v>Endsumme inkl. MwSt.</v>
      </c>
    </row>
    <row r="188" spans="2:53">
      <c r="B188" s="91">
        <v>1</v>
      </c>
      <c r="U188" s="56"/>
      <c r="V188" s="357"/>
    </row>
    <row r="189" spans="2:53">
      <c r="B189" s="91">
        <v>1</v>
      </c>
      <c r="C189" s="512"/>
      <c r="D189" s="512"/>
      <c r="E189" s="512"/>
      <c r="F189" s="512"/>
      <c r="G189" s="512"/>
      <c r="H189" s="512"/>
      <c r="I189" s="512"/>
      <c r="J189" s="512"/>
      <c r="K189" s="512"/>
      <c r="L189" s="512"/>
      <c r="M189" s="512"/>
      <c r="N189" s="512"/>
      <c r="O189" s="512"/>
      <c r="P189" s="512"/>
      <c r="Q189" s="512"/>
      <c r="R189" s="512"/>
      <c r="S189" s="512"/>
      <c r="T189" s="512"/>
      <c r="U189" s="512"/>
    </row>
    <row r="190" spans="2:53">
      <c r="B190" s="91">
        <v>1</v>
      </c>
      <c r="C190" s="512" t="str">
        <f>VLOOKUP(2234,Sprachindex!$A:$Z,Erhebungsbogen!$Y$20,FALSE)</f>
        <v>Hinweis: Angebotsgültigkeit 1 Monat; Lieferzeit auf Anfrage; kein Montagematerial enthalten</v>
      </c>
      <c r="D190" s="512"/>
      <c r="E190" s="512"/>
      <c r="F190" s="512"/>
      <c r="G190" s="512"/>
      <c r="H190" s="512"/>
      <c r="I190" s="512"/>
      <c r="J190" s="512"/>
      <c r="K190" s="512"/>
      <c r="L190" s="512"/>
      <c r="M190" s="512"/>
      <c r="N190" s="512"/>
      <c r="O190" s="512"/>
      <c r="P190" s="512"/>
      <c r="Q190" s="512"/>
      <c r="R190" s="512"/>
      <c r="S190" s="512"/>
      <c r="T190" s="512"/>
      <c r="U190" s="512"/>
    </row>
    <row r="191" spans="2:53"/>
  </sheetData>
  <sheetProtection sheet="1" objects="1" selectLockedCells="1" autoFilter="0"/>
  <autoFilter ref="B20:B190" xr:uid="{22C6CA63-9127-4190-B9A3-0A61B6276C03}"/>
  <mergeCells count="174">
    <mergeCell ref="J1:V3"/>
    <mergeCell ref="D6:I6"/>
    <mergeCell ref="S6:V6"/>
    <mergeCell ref="D8:I8"/>
    <mergeCell ref="U8:V8"/>
    <mergeCell ref="D10:I10"/>
    <mergeCell ref="D17:I17"/>
    <mergeCell ref="G23:T23"/>
    <mergeCell ref="G24:T24"/>
    <mergeCell ref="U5:V5"/>
    <mergeCell ref="G25:T25"/>
    <mergeCell ref="G26:T26"/>
    <mergeCell ref="G27:T27"/>
    <mergeCell ref="G28:T28"/>
    <mergeCell ref="D12:I12"/>
    <mergeCell ref="D14:I14"/>
    <mergeCell ref="D16:I16"/>
    <mergeCell ref="G20:T20"/>
    <mergeCell ref="G21:T21"/>
    <mergeCell ref="G22:T22"/>
    <mergeCell ref="G35:T35"/>
    <mergeCell ref="G36:T36"/>
    <mergeCell ref="G37:T37"/>
    <mergeCell ref="G38:T38"/>
    <mergeCell ref="G39:T39"/>
    <mergeCell ref="G40:T40"/>
    <mergeCell ref="G29:T29"/>
    <mergeCell ref="G30:T30"/>
    <mergeCell ref="G31:T31"/>
    <mergeCell ref="G32:T32"/>
    <mergeCell ref="G33:T33"/>
    <mergeCell ref="G34:T34"/>
    <mergeCell ref="G47:T47"/>
    <mergeCell ref="G49:T49"/>
    <mergeCell ref="G50:T50"/>
    <mergeCell ref="G51:T51"/>
    <mergeCell ref="G52:T52"/>
    <mergeCell ref="G53:T53"/>
    <mergeCell ref="G41:T41"/>
    <mergeCell ref="G42:T42"/>
    <mergeCell ref="G43:T43"/>
    <mergeCell ref="G44:T44"/>
    <mergeCell ref="G45:T45"/>
    <mergeCell ref="G46:T46"/>
    <mergeCell ref="G48:T48"/>
    <mergeCell ref="G60:T60"/>
    <mergeCell ref="G61:T61"/>
    <mergeCell ref="G62:T62"/>
    <mergeCell ref="G63:T63"/>
    <mergeCell ref="G64:T64"/>
    <mergeCell ref="G65:T65"/>
    <mergeCell ref="G54:T54"/>
    <mergeCell ref="G55:T55"/>
    <mergeCell ref="G56:T56"/>
    <mergeCell ref="G57:T57"/>
    <mergeCell ref="G58:T58"/>
    <mergeCell ref="G59:T59"/>
    <mergeCell ref="G72:T72"/>
    <mergeCell ref="G73:T73"/>
    <mergeCell ref="G74:T74"/>
    <mergeCell ref="G75:T75"/>
    <mergeCell ref="G76:T76"/>
    <mergeCell ref="G77:T77"/>
    <mergeCell ref="G66:T66"/>
    <mergeCell ref="G67:T67"/>
    <mergeCell ref="G68:T68"/>
    <mergeCell ref="G69:T69"/>
    <mergeCell ref="G70:T70"/>
    <mergeCell ref="G71:T71"/>
    <mergeCell ref="G84:T84"/>
    <mergeCell ref="G85:T85"/>
    <mergeCell ref="G86:T86"/>
    <mergeCell ref="G87:T87"/>
    <mergeCell ref="G88:T88"/>
    <mergeCell ref="G89:T89"/>
    <mergeCell ref="G78:T78"/>
    <mergeCell ref="G79:T79"/>
    <mergeCell ref="G80:T80"/>
    <mergeCell ref="G81:T81"/>
    <mergeCell ref="G82:T82"/>
    <mergeCell ref="G83:T83"/>
    <mergeCell ref="G96:T96"/>
    <mergeCell ref="G97:T97"/>
    <mergeCell ref="G98:T98"/>
    <mergeCell ref="G99:T99"/>
    <mergeCell ref="G100:T100"/>
    <mergeCell ref="G101:T101"/>
    <mergeCell ref="G90:T90"/>
    <mergeCell ref="G91:T91"/>
    <mergeCell ref="G92:T92"/>
    <mergeCell ref="G93:T93"/>
    <mergeCell ref="G94:T94"/>
    <mergeCell ref="G95:T95"/>
    <mergeCell ref="G108:T108"/>
    <mergeCell ref="G109:T109"/>
    <mergeCell ref="G110:T110"/>
    <mergeCell ref="G111:T111"/>
    <mergeCell ref="G112:T112"/>
    <mergeCell ref="G113:T113"/>
    <mergeCell ref="G102:T102"/>
    <mergeCell ref="G103:T103"/>
    <mergeCell ref="G104:T104"/>
    <mergeCell ref="G105:T105"/>
    <mergeCell ref="G106:T106"/>
    <mergeCell ref="G107:T107"/>
    <mergeCell ref="G120:T120"/>
    <mergeCell ref="G121:T121"/>
    <mergeCell ref="G122:T122"/>
    <mergeCell ref="G123:T123"/>
    <mergeCell ref="G124:T124"/>
    <mergeCell ref="G125:T125"/>
    <mergeCell ref="G114:T114"/>
    <mergeCell ref="G115:T115"/>
    <mergeCell ref="G116:T116"/>
    <mergeCell ref="G117:T117"/>
    <mergeCell ref="G118:T118"/>
    <mergeCell ref="G119:T119"/>
    <mergeCell ref="G132:T132"/>
    <mergeCell ref="G133:T133"/>
    <mergeCell ref="G134:T134"/>
    <mergeCell ref="G135:T135"/>
    <mergeCell ref="G136:T136"/>
    <mergeCell ref="G137:T137"/>
    <mergeCell ref="G126:T126"/>
    <mergeCell ref="G127:T127"/>
    <mergeCell ref="G128:T128"/>
    <mergeCell ref="G129:T129"/>
    <mergeCell ref="G130:T130"/>
    <mergeCell ref="G131:T131"/>
    <mergeCell ref="G144:T144"/>
    <mergeCell ref="G145:T145"/>
    <mergeCell ref="G146:T146"/>
    <mergeCell ref="G147:T147"/>
    <mergeCell ref="G148:T148"/>
    <mergeCell ref="G149:T149"/>
    <mergeCell ref="G138:T138"/>
    <mergeCell ref="G139:T139"/>
    <mergeCell ref="G140:T140"/>
    <mergeCell ref="G141:T141"/>
    <mergeCell ref="G142:T142"/>
    <mergeCell ref="G143:T143"/>
    <mergeCell ref="G156:T156"/>
    <mergeCell ref="G157:T157"/>
    <mergeCell ref="G158:T158"/>
    <mergeCell ref="G159:T159"/>
    <mergeCell ref="G160:T160"/>
    <mergeCell ref="G161:T161"/>
    <mergeCell ref="G150:T150"/>
    <mergeCell ref="G151:T151"/>
    <mergeCell ref="G152:T152"/>
    <mergeCell ref="G153:T153"/>
    <mergeCell ref="G154:T154"/>
    <mergeCell ref="G155:T155"/>
    <mergeCell ref="G168:T168"/>
    <mergeCell ref="G169:T169"/>
    <mergeCell ref="G170:T170"/>
    <mergeCell ref="G171:T171"/>
    <mergeCell ref="G172:T172"/>
    <mergeCell ref="G173:T173"/>
    <mergeCell ref="G162:T162"/>
    <mergeCell ref="G163:T163"/>
    <mergeCell ref="G164:T164"/>
    <mergeCell ref="G165:T165"/>
    <mergeCell ref="G166:T166"/>
    <mergeCell ref="G167:T167"/>
    <mergeCell ref="C189:U189"/>
    <mergeCell ref="C190:U190"/>
    <mergeCell ref="G180:T180"/>
    <mergeCell ref="G174:T174"/>
    <mergeCell ref="G175:T175"/>
    <mergeCell ref="G176:T176"/>
    <mergeCell ref="G177:T177"/>
    <mergeCell ref="G178:T178"/>
    <mergeCell ref="G179:T179"/>
  </mergeCells>
  <conditionalFormatting sqref="D6:I6">
    <cfRule type="cellIs" dxfId="390" priority="77" operator="equal">
      <formula>0</formula>
    </cfRule>
  </conditionalFormatting>
  <conditionalFormatting sqref="D8:I8">
    <cfRule type="cellIs" dxfId="389" priority="76" operator="equal">
      <formula>0</formula>
    </cfRule>
  </conditionalFormatting>
  <conditionalFormatting sqref="D10:I10">
    <cfRule type="cellIs" dxfId="388" priority="75" operator="equal">
      <formula>0</formula>
    </cfRule>
  </conditionalFormatting>
  <conditionalFormatting sqref="D12:I12">
    <cfRule type="cellIs" dxfId="387" priority="74" operator="equal">
      <formula>0</formula>
    </cfRule>
  </conditionalFormatting>
  <conditionalFormatting sqref="D14:I14">
    <cfRule type="cellIs" dxfId="386" priority="73" operator="equal">
      <formula>0</formula>
    </cfRule>
  </conditionalFormatting>
  <conditionalFormatting sqref="D16:I17">
    <cfRule type="cellIs" dxfId="385" priority="57" operator="equal">
      <formula>0</formula>
    </cfRule>
  </conditionalFormatting>
  <conditionalFormatting sqref="S6 W6:X6 S7:X7 S8:U8 W8:X8 S9:X16">
    <cfRule type="expression" dxfId="384" priority="71">
      <formula>$AB$17=1</formula>
    </cfRule>
  </conditionalFormatting>
  <conditionalFormatting sqref="S183:V183">
    <cfRule type="expression" dxfId="383" priority="8">
      <formula>$U$183=$AE$183</formula>
    </cfRule>
    <cfRule type="expression" dxfId="382" priority="9">
      <formula>$U$183=$AF$183</formula>
    </cfRule>
    <cfRule type="expression" dxfId="381" priority="11">
      <formula>$U$183=$AA$183</formula>
    </cfRule>
  </conditionalFormatting>
  <conditionalFormatting sqref="S184:V184">
    <cfRule type="expression" dxfId="380" priority="6">
      <formula>$U$184=$AD$184</formula>
    </cfRule>
    <cfRule type="expression" dxfId="379" priority="7">
      <formula>$U$184=$AA$184</formula>
    </cfRule>
  </conditionalFormatting>
  <conditionalFormatting sqref="S185:V185">
    <cfRule type="expression" dxfId="378" priority="3">
      <formula>$U$185=$AC$185</formula>
    </cfRule>
    <cfRule type="expression" dxfId="377" priority="4">
      <formula>$U$185=$AD$185</formula>
    </cfRule>
    <cfRule type="expression" dxfId="376" priority="5">
      <formula>$U$185=$AA$185</formula>
    </cfRule>
  </conditionalFormatting>
  <conditionalFormatting sqref="S186:V186">
    <cfRule type="expression" dxfId="375" priority="2">
      <formula>$U$186=$AB$186</formula>
    </cfRule>
  </conditionalFormatting>
  <conditionalFormatting sqref="S187:V187">
    <cfRule type="expression" dxfId="374" priority="1">
      <formula>$U$187=$AA$187</formula>
    </cfRule>
  </conditionalFormatting>
  <pageMargins left="0.11811023622047245" right="0.19685039370078741" top="0.11811023622047245" bottom="0.11811023622047245" header="0.31496062992125984" footer="7.874015748031496E-2"/>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61" r:id="rId4" name="Option Button 1">
              <controlPr defaultSize="0" autoFill="0" autoLine="0" autoPict="0">
                <anchor moveWithCells="1">
                  <from>
                    <xdr:col>23</xdr:col>
                    <xdr:colOff>114300</xdr:colOff>
                    <xdr:row>15</xdr:row>
                    <xdr:rowOff>19050</xdr:rowOff>
                  </from>
                  <to>
                    <xdr:col>24</xdr:col>
                    <xdr:colOff>523875</xdr:colOff>
                    <xdr:row>15</xdr:row>
                    <xdr:rowOff>152400</xdr:rowOff>
                  </to>
                </anchor>
              </controlPr>
            </control>
          </mc:Choice>
        </mc:AlternateContent>
        <mc:AlternateContent xmlns:mc="http://schemas.openxmlformats.org/markup-compatibility/2006">
          <mc:Choice Requires="x14">
            <control shapeId="40962" r:id="rId5" name="Option Button 2">
              <controlPr defaultSize="0" autoFill="0" autoLine="0" autoPict="0">
                <anchor moveWithCells="1">
                  <from>
                    <xdr:col>23</xdr:col>
                    <xdr:colOff>114300</xdr:colOff>
                    <xdr:row>16</xdr:row>
                    <xdr:rowOff>19050</xdr:rowOff>
                  </from>
                  <to>
                    <xdr:col>24</xdr:col>
                    <xdr:colOff>523875</xdr:colOff>
                    <xdr:row>16</xdr:row>
                    <xdr:rowOff>152400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C1DB38C8-7561-474F-9F6D-D746A7068BE8}">
            <xm:f>Erhebungsbogen!$W$36=""</xm:f>
            <x14:dxf>
              <border>
                <left style="thin">
                  <color auto="1"/>
                </left>
                <vertical/>
                <horizontal/>
              </border>
            </x14:dxf>
          </x14:cfRule>
          <xm:sqref>U20:U180</xm:sqref>
        </x14:conditionalFormatting>
        <x14:conditionalFormatting xmlns:xm="http://schemas.microsoft.com/office/excel/2006/main">
          <x14:cfRule type="expression" priority="13" id="{B0700F17-2273-4982-8348-A9C0853E8076}">
            <xm:f>Erhebungsbogen!$W$36=""</xm:f>
            <x14:dxf>
              <font>
                <color theme="0"/>
              </font>
              <fill>
                <patternFill>
                  <bgColor theme="0"/>
                </patternFill>
              </fill>
              <border>
                <left/>
                <right/>
                <top/>
                <bottom/>
              </border>
            </x14:dxf>
          </x14:cfRule>
          <xm:sqref>U20:V180</xm:sqref>
        </x14:conditionalFormatting>
        <x14:conditionalFormatting xmlns:xm="http://schemas.microsoft.com/office/excel/2006/main">
          <x14:cfRule type="expression" priority="10" id="{5D408EAE-7296-44D2-91D6-980608659912}">
            <xm:f>Erhebungsbogen!$W$36=""</xm:f>
            <x14:dxf>
              <font>
                <color theme="0"/>
              </font>
              <fill>
                <patternFill>
                  <bgColor theme="0"/>
                </patternFill>
              </fill>
              <border>
                <left/>
                <right/>
                <top/>
                <bottom/>
              </border>
            </x14:dxf>
          </x14:cfRule>
          <xm:sqref>U181:V187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6D66E-4C89-4D8B-88B8-4CD5266B0014}">
  <sheetPr codeName="Tabelle23">
    <pageSetUpPr fitToPage="1"/>
  </sheetPr>
  <dimension ref="A1:CF191"/>
  <sheetViews>
    <sheetView showGridLines="0" workbookViewId="0">
      <selection activeCell="V18" sqref="V18"/>
    </sheetView>
  </sheetViews>
  <sheetFormatPr baseColWidth="10" defaultColWidth="0" defaultRowHeight="12.75" zeroHeight="1"/>
  <cols>
    <col min="1" max="1" width="1.7109375" style="55" customWidth="1"/>
    <col min="2" max="5" width="7.7109375" style="55" customWidth="1"/>
    <col min="6" max="6" width="9.7109375" style="55" customWidth="1"/>
    <col min="7" max="13" width="5.7109375" style="55" customWidth="1"/>
    <col min="14" max="17" width="5.5703125" style="55" customWidth="1"/>
    <col min="18" max="20" width="5.7109375" style="55" customWidth="1"/>
    <col min="21" max="21" width="13.28515625" style="55" customWidth="1"/>
    <col min="22" max="22" width="14.42578125" style="55" customWidth="1"/>
    <col min="23" max="24" width="5.7109375" style="55" customWidth="1"/>
    <col min="25" max="25" width="9.7109375" style="55" bestFit="1" customWidth="1"/>
    <col min="26" max="26" width="7.42578125" style="55" hidden="1" customWidth="1"/>
    <col min="27" max="27" width="18.7109375" style="55" hidden="1" customWidth="1"/>
    <col min="28" max="28" width="18.5703125" style="55" hidden="1" customWidth="1"/>
    <col min="29" max="29" width="38.7109375" style="55" hidden="1" customWidth="1"/>
    <col min="30" max="32" width="18.5703125" style="55" hidden="1" customWidth="1"/>
    <col min="33" max="34" width="5.7109375" style="55" hidden="1" customWidth="1"/>
    <col min="35" max="35" width="13.28515625" style="55" hidden="1" customWidth="1"/>
    <col min="36" max="78" width="5.7109375" style="55" hidden="1" customWidth="1"/>
    <col min="79" max="16384" width="11.42578125" style="55" hidden="1"/>
  </cols>
  <sheetData>
    <row r="1" spans="3:43" s="21" customFormat="1" ht="14.25" customHeight="1">
      <c r="J1" s="519" t="str">
        <f>VLOOKUP(2121,Sprachindex!$A:$Z,Erhebungsbogen!$Y$20,FALSE)</f>
        <v>Stückliste</v>
      </c>
      <c r="K1" s="519"/>
      <c r="L1" s="519"/>
      <c r="M1" s="519"/>
      <c r="N1" s="519"/>
      <c r="O1" s="519"/>
      <c r="P1" s="519"/>
      <c r="Q1" s="519"/>
      <c r="R1" s="519"/>
      <c r="S1" s="519"/>
      <c r="T1" s="519"/>
      <c r="U1" s="519"/>
      <c r="V1" s="519"/>
    </row>
    <row r="2" spans="3:43" s="21" customFormat="1" ht="14.25" customHeight="1">
      <c r="J2" s="519"/>
      <c r="K2" s="519"/>
      <c r="L2" s="519"/>
      <c r="M2" s="519"/>
      <c r="N2" s="519"/>
      <c r="O2" s="519"/>
      <c r="P2" s="519"/>
      <c r="Q2" s="519"/>
      <c r="R2" s="519"/>
      <c r="S2" s="519"/>
      <c r="T2" s="519"/>
      <c r="U2" s="519"/>
      <c r="V2" s="519"/>
    </row>
    <row r="3" spans="3:43" s="21" customFormat="1" ht="14.25" customHeight="1">
      <c r="J3" s="519"/>
      <c r="K3" s="519"/>
      <c r="L3" s="519"/>
      <c r="M3" s="519"/>
      <c r="N3" s="519"/>
      <c r="O3" s="519"/>
      <c r="P3" s="519"/>
      <c r="Q3" s="519"/>
      <c r="R3" s="519"/>
      <c r="S3" s="519"/>
      <c r="T3" s="519"/>
      <c r="U3" s="519"/>
      <c r="V3" s="519"/>
    </row>
    <row r="4" spans="3:43" s="21" customFormat="1" ht="14.25" customHeight="1">
      <c r="V4" s="53" t="str">
        <f>VLOOKUP(1741,Sprachindex!$A:$Z,Erhebungsbogen!$Y$20,FALSE) &amp; " 3"</f>
        <v>KALKULATION 3</v>
      </c>
      <c r="Y4" s="53"/>
      <c r="Z4" s="53"/>
      <c r="AA4" s="53"/>
      <c r="AB4" s="53"/>
      <c r="AC4" s="53">
        <f>IF(V181&lt;1000,10,14)</f>
        <v>10</v>
      </c>
      <c r="AD4" s="53"/>
      <c r="AE4" s="53"/>
      <c r="AF4" s="53"/>
      <c r="AH4" s="53"/>
      <c r="AI4" s="54"/>
      <c r="AJ4" s="54"/>
      <c r="AK4" s="54"/>
      <c r="AL4" s="54"/>
      <c r="AM4" s="54"/>
      <c r="AN4" s="54"/>
      <c r="AO4" s="54"/>
      <c r="AP4" s="54"/>
      <c r="AQ4" s="54"/>
    </row>
    <row r="5" spans="3:43">
      <c r="C5" s="21"/>
      <c r="D5" s="48" t="str">
        <f>VLOOKUP(393,Sprachindex!$A:$Z,Erhebungsbogen!$Y$20,FALSE)</f>
        <v>Firma / Besteller:</v>
      </c>
      <c r="E5" s="21"/>
      <c r="F5" s="21"/>
      <c r="G5" s="21"/>
      <c r="H5" s="21"/>
      <c r="I5" s="21"/>
      <c r="T5" s="56" t="str">
        <f>VLOOKUP(1429,Sprachindex!$A:$Z,Erhebungsbogen!$Y$20,FALSE)</f>
        <v>Bearbeiter:</v>
      </c>
      <c r="U5" s="521">
        <f>Kalk1!U43</f>
        <v>0</v>
      </c>
      <c r="V5" s="521"/>
      <c r="AC5" s="55">
        <f>IF('HWS Partner'!C79&gt;=1,4,0)</f>
        <v>0</v>
      </c>
      <c r="AG5" s="21"/>
    </row>
    <row r="6" spans="3:43">
      <c r="C6" s="40" t="str">
        <f>VLOOKUP(622,Sprachindex!$A:$Z,Erhebungsbogen!$Y$20,FALSE)</f>
        <v>Name:</v>
      </c>
      <c r="D6" s="513">
        <f>Kalk3!D5</f>
        <v>0</v>
      </c>
      <c r="E6" s="513"/>
      <c r="F6" s="513"/>
      <c r="G6" s="513"/>
      <c r="H6" s="513"/>
      <c r="I6" s="513"/>
      <c r="S6" s="520" t="s">
        <v>18593</v>
      </c>
      <c r="T6" s="520"/>
      <c r="U6" s="520"/>
      <c r="V6" s="520"/>
      <c r="Y6" s="77"/>
      <c r="Z6" s="77"/>
      <c r="AA6" s="77"/>
      <c r="AB6" s="77"/>
      <c r="AC6" s="77"/>
      <c r="AD6" s="77"/>
      <c r="AE6" s="77"/>
      <c r="AF6" s="77"/>
      <c r="AG6" s="21"/>
      <c r="AH6" s="77"/>
    </row>
    <row r="7" spans="3:43" ht="1.5" customHeight="1">
      <c r="C7" s="40"/>
      <c r="D7" s="21"/>
      <c r="E7" s="21"/>
      <c r="F7" s="21"/>
      <c r="G7" s="21"/>
      <c r="H7" s="21"/>
      <c r="I7" s="21"/>
    </row>
    <row r="8" spans="3:43">
      <c r="C8" s="40" t="str">
        <f>VLOOKUP(884,Sprachindex!$A:$Z,Erhebungsbogen!$Y$20,FALSE)</f>
        <v>Straße:</v>
      </c>
      <c r="D8" s="513">
        <f>Kalk3!D7</f>
        <v>0</v>
      </c>
      <c r="E8" s="513"/>
      <c r="F8" s="513"/>
      <c r="G8" s="513"/>
      <c r="H8" s="513"/>
      <c r="I8" s="513"/>
      <c r="T8" s="57" t="s">
        <v>4485</v>
      </c>
      <c r="U8" s="520" t="str">
        <f>IF(Kalk3!K9&gt;"",Kalk3!K9,"")</f>
        <v/>
      </c>
      <c r="V8" s="520"/>
      <c r="Y8" s="57"/>
      <c r="Z8" s="57"/>
      <c r="AA8" s="57"/>
      <c r="AB8" s="57"/>
      <c r="AC8" s="57"/>
      <c r="AD8" s="57"/>
      <c r="AE8" s="57"/>
      <c r="AF8" s="57"/>
      <c r="AG8" s="57"/>
      <c r="AH8" s="57"/>
    </row>
    <row r="9" spans="3:43" ht="1.5" customHeight="1">
      <c r="C9" s="40"/>
      <c r="D9" s="21"/>
      <c r="E9" s="21"/>
      <c r="F9" s="21"/>
      <c r="G9" s="21"/>
      <c r="H9" s="21"/>
      <c r="I9" s="21"/>
      <c r="S9" s="56"/>
    </row>
    <row r="10" spans="3:43">
      <c r="C10" s="40" t="str">
        <f>VLOOKUP(641,Sprachindex!$A:$Z,Erhebungsbogen!$Y$20,FALSE)</f>
        <v>Ort:</v>
      </c>
      <c r="D10" s="513">
        <f>Kalk3!D9</f>
        <v>0</v>
      </c>
      <c r="E10" s="513"/>
      <c r="F10" s="513"/>
      <c r="G10" s="513"/>
      <c r="H10" s="513"/>
      <c r="I10" s="513"/>
      <c r="S10" s="56" t="str">
        <f>IF(Kalk3!AA11,"x","")</f>
        <v/>
      </c>
      <c r="T10" s="55" t="s">
        <v>18111</v>
      </c>
    </row>
    <row r="11" spans="3:43" ht="1.5" customHeight="1">
      <c r="C11" s="40"/>
      <c r="D11" s="21"/>
      <c r="E11" s="21"/>
      <c r="F11" s="21"/>
      <c r="G11" s="21"/>
      <c r="H11" s="21"/>
      <c r="I11" s="21"/>
      <c r="S11" s="56"/>
    </row>
    <row r="12" spans="3:43">
      <c r="C12" s="40" t="str">
        <f>VLOOKUP(901,Sprachindex!$A:$Z,Erhebungsbogen!$Y$20,FALSE)</f>
        <v>Telefon:</v>
      </c>
      <c r="D12" s="513">
        <f>Kalk3!D11</f>
        <v>0</v>
      </c>
      <c r="E12" s="513"/>
      <c r="F12" s="513"/>
      <c r="G12" s="513"/>
      <c r="H12" s="513"/>
      <c r="I12" s="513"/>
      <c r="S12" s="56" t="str">
        <f>IF(Kalk3!AA13,"x","")</f>
        <v/>
      </c>
      <c r="T12" s="55" t="s">
        <v>21823</v>
      </c>
    </row>
    <row r="13" spans="3:43" ht="1.5" customHeight="1">
      <c r="C13" s="40"/>
      <c r="D13" s="21"/>
      <c r="E13" s="21"/>
      <c r="F13" s="21"/>
      <c r="G13" s="21"/>
      <c r="H13" s="21"/>
      <c r="I13" s="21"/>
      <c r="S13" s="56"/>
    </row>
    <row r="14" spans="3:43">
      <c r="C14" s="40" t="str">
        <f>VLOOKUP(1698,Sprachindex!$A:$Z,Erhebungsbogen!$Y$20,FALSE)</f>
        <v>eMail:</v>
      </c>
      <c r="D14" s="513">
        <f>Kalk3!D13</f>
        <v>0</v>
      </c>
      <c r="E14" s="513"/>
      <c r="F14" s="513"/>
      <c r="G14" s="513"/>
      <c r="H14" s="513"/>
      <c r="I14" s="513"/>
      <c r="S14" s="56" t="str">
        <f>IF(Kalk3!AA15,"x","")</f>
        <v/>
      </c>
      <c r="T14" s="55" t="s">
        <v>18752</v>
      </c>
      <c r="X14" s="90" t="s">
        <v>20247</v>
      </c>
    </row>
    <row r="15" spans="3:43" ht="1.5" customHeight="1">
      <c r="C15" s="40"/>
      <c r="D15" s="21"/>
      <c r="E15" s="21"/>
      <c r="F15" s="21"/>
      <c r="G15" s="21"/>
      <c r="H15" s="21"/>
      <c r="I15" s="21"/>
      <c r="S15" s="56"/>
      <c r="AJ15" s="55" t="b">
        <v>1</v>
      </c>
    </row>
    <row r="16" spans="3:43">
      <c r="C16" s="40" t="str">
        <f>VLOOKUP(203,Sprachindex!$A:$Z,Erhebungsbogen!$Y$20,FALSE)</f>
        <v>Bauvorhaben:</v>
      </c>
      <c r="D16" s="513">
        <f>Kalk3!D15</f>
        <v>0</v>
      </c>
      <c r="E16" s="513"/>
      <c r="F16" s="513"/>
      <c r="G16" s="513"/>
      <c r="H16" s="513"/>
      <c r="I16" s="513"/>
      <c r="S16" s="56" t="str">
        <f>IF(Kalk3!AA16,"x","")</f>
        <v/>
      </c>
      <c r="T16" s="55" t="s">
        <v>19831</v>
      </c>
      <c r="Y16" s="55" t="str">
        <f>VLOOKUP(1705,Sprachindex!$A:$Z,Erhebungsbogen!$Y$20,FALSE)</f>
        <v>exkl. MwSt.</v>
      </c>
      <c r="AB16" s="262">
        <v>1</v>
      </c>
      <c r="AC16" s="55" t="s">
        <v>20247</v>
      </c>
    </row>
    <row r="17" spans="2:43">
      <c r="C17" s="40" t="str">
        <f>VLOOKUP(660,Sprachindex!$A:$Z,Erhebungsbogen!$Y$20,FALSE)</f>
        <v>Pos.</v>
      </c>
      <c r="D17" s="513">
        <f>Kalk3!D16</f>
        <v>0</v>
      </c>
      <c r="E17" s="513"/>
      <c r="F17" s="513"/>
      <c r="G17" s="513"/>
      <c r="H17" s="513"/>
      <c r="I17" s="513"/>
      <c r="Y17" s="55" t="str">
        <f>VLOOKUP(1740,Sprachindex!$A:$Z,Erhebungsbogen!$Y$20,FALSE)</f>
        <v>inkl. MwSt.</v>
      </c>
      <c r="AB17" s="262">
        <f>IF(AND(Kalk3!AA5=2,OR(Kalk3!AA11,Kalk3!AA13,Kalk3!AA15,Kalk3!AA16)),2,1)</f>
        <v>1</v>
      </c>
      <c r="AC17" s="55" t="s">
        <v>18593</v>
      </c>
    </row>
    <row r="18" spans="2:43">
      <c r="U18" s="56" t="str">
        <f>VLOOKUP(286,Sprachindex!$A:$Z,Erhebungsbogen!$Y$20,FALSE)</f>
        <v>Datum:</v>
      </c>
      <c r="V18" s="264">
        <f ca="1">TODAY()</f>
        <v>45408</v>
      </c>
      <c r="X18" s="265">
        <f>SUM(AC4:AC5)</f>
        <v>10</v>
      </c>
      <c r="Y18" s="55" t="str">
        <f>VLOOKUP(1790,Sprachindex!$A:$Z,Erhebungsbogen!$Y$20,FALSE)</f>
        <v>Rabatt</v>
      </c>
      <c r="AB18" s="263">
        <f>SUM(Z21:Z180)</f>
        <v>0</v>
      </c>
      <c r="AC18" s="55" t="s">
        <v>22191</v>
      </c>
    </row>
    <row r="19" spans="2:43" ht="13.5" thickBot="1">
      <c r="X19" s="314">
        <f>IF(X18&gt;0,X18*-1,X18)</f>
        <v>-10</v>
      </c>
      <c r="AB19" s="262">
        <f>SUM(V21:V180)</f>
        <v>0</v>
      </c>
      <c r="AC19" s="55" t="s">
        <v>22192</v>
      </c>
    </row>
    <row r="20" spans="2:43" ht="38.25" customHeight="1" thickBot="1">
      <c r="B20" s="61" t="str">
        <f>VLOOKUP(1839,Sprachindex!$A:$Z,Erhebungsbogen!$Y$20,FALSE)</f>
        <v>Stück</v>
      </c>
      <c r="C20" s="58" t="str">
        <f>VLOOKUP(552,Sprachindex!$A:$Z,Erhebungsbogen!$Y$20,FALSE)</f>
        <v>Länge</v>
      </c>
      <c r="D20" s="58" t="str">
        <f>VLOOKUP(1716,Sprachindex!$A:$Z,Erhebungsbogen!$Y$20,FALSE)</f>
        <v>Gesamt Länge</v>
      </c>
      <c r="E20" s="58" t="str">
        <f>VLOOKUP(332,Sprachindex!$A:$Z,Erhebungsbogen!$Y$20,FALSE)</f>
        <v>Einheit</v>
      </c>
      <c r="F20" s="59" t="str">
        <f>VLOOKUP(177,Sprachindex!$A:$Z,Erhebungsbogen!$Y$20,FALSE)</f>
        <v>Artikel-Nr.</v>
      </c>
      <c r="G20" s="518" t="str">
        <f>VLOOKUP(234,Sprachindex!$A:$Z,Erhebungsbogen!$Y$20,FALSE)</f>
        <v>Bezeichnung</v>
      </c>
      <c r="H20" s="518"/>
      <c r="I20" s="518"/>
      <c r="J20" s="518"/>
      <c r="K20" s="518"/>
      <c r="L20" s="518"/>
      <c r="M20" s="518"/>
      <c r="N20" s="518"/>
      <c r="O20" s="518"/>
      <c r="P20" s="518"/>
      <c r="Q20" s="518"/>
      <c r="R20" s="518"/>
      <c r="S20" s="518"/>
      <c r="T20" s="518"/>
      <c r="U20" s="58" t="str">
        <f>VLOOKUP(1788,Sprachindex!$A:$Z,Erhebungsbogen!$Y$20,FALSE)</f>
        <v>Preis pro lfm od. Stk</v>
      </c>
      <c r="V20" s="58" t="str">
        <f>VLOOKUP(1787,Sprachindex!$A:$Z,Erhebungsbogen!$Y$20,FALSE)</f>
        <v>Preis exkl.MwSt</v>
      </c>
      <c r="W20" s="85"/>
      <c r="X20" s="85"/>
      <c r="Y20" s="85"/>
      <c r="Z20" s="85"/>
      <c r="AA20" s="85"/>
      <c r="AB20" s="85"/>
      <c r="AC20" s="85"/>
      <c r="AD20" s="85"/>
      <c r="AE20" s="85"/>
      <c r="AF20" s="85"/>
      <c r="AG20" s="65" t="s">
        <v>22078</v>
      </c>
    </row>
    <row r="21" spans="2:43" ht="24.95" customHeight="1">
      <c r="B21" s="92">
        <f>IF(AG21=1,AL21,0)*Kalk3!$H$37</f>
        <v>0</v>
      </c>
      <c r="C21" s="60">
        <v>750</v>
      </c>
      <c r="D21" s="60"/>
      <c r="E21" s="60" t="str">
        <f>VLOOKUP(1600,Sprachindex!$A:$Z,Erhebungsbogen!$Y$20,FALSE)</f>
        <v>[Stk]</v>
      </c>
      <c r="F21" s="60" t="s">
        <v>21961</v>
      </c>
      <c r="G21" s="514" t="str">
        <f>VLOOKUP(1592,Sprachindex!$A:$Z,Erhebungsbogen!$Y$20,FALSE) &amp; IF(AND(Kalk3!$AA$5=2,Kalk3!AA11),", " &amp; VLOOKUP(1645,Sprachindex!$A:$Z,Erhebungsbogen!$Y$20,FALSE) &amp; " " &amp; $U$8,", "&amp; VLOOKUP(1648,Sprachindex!$A:$Z,Erhebungsbogen!$Y$20,FALSE))</f>
        <v>Abdeckung V 25, entgratet, blank</v>
      </c>
      <c r="H21" s="514"/>
      <c r="I21" s="514"/>
      <c r="J21" s="514"/>
      <c r="K21" s="514"/>
      <c r="L21" s="514"/>
      <c r="M21" s="514"/>
      <c r="N21" s="514"/>
      <c r="O21" s="514"/>
      <c r="P21" s="514"/>
      <c r="Q21" s="514"/>
      <c r="R21" s="514"/>
      <c r="S21" s="514"/>
      <c r="T21" s="514"/>
      <c r="U21" s="353">
        <f>IF(AND(Kalk3!$AA$5=2,Kalk3!AA11),VLOOKUP(F21,Preisliste!C:G,5,FALSE),VLOOKUP(F21,Preisliste!C:G,4,FALSE))</f>
        <v>28.9</v>
      </c>
      <c r="V21" s="353">
        <f>U21*B21</f>
        <v>0</v>
      </c>
      <c r="W21" s="86"/>
      <c r="X21" s="86"/>
      <c r="Y21" s="86"/>
      <c r="Z21" s="143">
        <f>IF(AND(Kalk3!$AA$5=2,Kalk3!$AA$11),(VLOOKUP(F21,Preisliste!C:G,5,FALSE)-VLOOKUP(F21,Preisliste!C:G,4,FALSE))*B21,0)</f>
        <v>0</v>
      </c>
      <c r="AB21" s="86"/>
      <c r="AC21" s="86"/>
      <c r="AD21" s="86"/>
      <c r="AE21" s="86"/>
      <c r="AF21" s="86"/>
      <c r="AG21" s="55">
        <f>IF(AND(AH21&gt;0,AL21&gt;0,AP21&gt;0,AND(Kalk3!$H$28&gt;0,Kalk3!$H$29&gt;Kalk3!$B$1)),1,0)</f>
        <v>0</v>
      </c>
      <c r="AH21" s="66">
        <f>IF(Kalk3!$AA$19=1,1,0)</f>
        <v>0</v>
      </c>
      <c r="AI21" s="55">
        <v>25</v>
      </c>
      <c r="AK21" s="55" t="s">
        <v>22079</v>
      </c>
      <c r="AL21" s="66">
        <f>IF(AND(Kalk3!$AA$18=2,Kalk3!$AF$18=2),2,IF(OR(Kalk3!$AA$18=2,Kalk3!$AF$18=2),1,0))</f>
        <v>0</v>
      </c>
      <c r="AM21" s="55" t="s">
        <v>22094</v>
      </c>
      <c r="AO21" s="55" t="s">
        <v>22079</v>
      </c>
      <c r="AP21" s="66">
        <f>IF(Kalk3!$AI$51=AQ21,1,0)</f>
        <v>1</v>
      </c>
      <c r="AQ21" s="55">
        <v>750</v>
      </c>
    </row>
    <row r="22" spans="2:43" ht="24.95" customHeight="1">
      <c r="B22" s="93">
        <f>IF(AG22=1,AL22,0)*Kalk3!$H$37</f>
        <v>0</v>
      </c>
      <c r="C22" s="60">
        <v>1350</v>
      </c>
      <c r="D22" s="60"/>
      <c r="E22" s="60" t="str">
        <f>VLOOKUP(1600,Sprachindex!$A:$Z,Erhebungsbogen!$Y$20,FALSE)</f>
        <v>[Stk]</v>
      </c>
      <c r="F22" s="60" t="s">
        <v>21962</v>
      </c>
      <c r="G22" s="514" t="str">
        <f>VLOOKUP(1592,Sprachindex!$A:$Z,Erhebungsbogen!$Y$20,FALSE) &amp; IF(AND(Kalk3!$AA$5=2,Kalk3!AA11),", " &amp; VLOOKUP(1645,Sprachindex!$A:$Z,Erhebungsbogen!$Y$20,FALSE) &amp; " " &amp; $U$8,", "&amp; VLOOKUP(1648,Sprachindex!$A:$Z,Erhebungsbogen!$Y$20,FALSE))</f>
        <v>Abdeckung V 25, entgratet, blank</v>
      </c>
      <c r="H22" s="514"/>
      <c r="I22" s="514"/>
      <c r="J22" s="514"/>
      <c r="K22" s="514"/>
      <c r="L22" s="514"/>
      <c r="M22" s="514"/>
      <c r="N22" s="514"/>
      <c r="O22" s="514"/>
      <c r="P22" s="514"/>
      <c r="Q22" s="514"/>
      <c r="R22" s="514"/>
      <c r="S22" s="514"/>
      <c r="T22" s="514"/>
      <c r="U22" s="352">
        <f>IF(AND(Kalk3!$AA$5=2,Kalk3!$AA$11),VLOOKUP(F22,Preisliste!C:G,5,FALSE),VLOOKUP(F22,Preisliste!C:G,4,FALSE))</f>
        <v>33.799999999999997</v>
      </c>
      <c r="V22" s="352">
        <f>U22*B22</f>
        <v>0</v>
      </c>
      <c r="W22" s="86"/>
      <c r="X22" s="86"/>
      <c r="Y22" s="86"/>
      <c r="Z22" s="143">
        <f>IF(AND(Kalk3!$AA$5=2,Kalk3!$AA$11),(VLOOKUP(F22,Preisliste!C:G,5,FALSE)-VLOOKUP(F22,Preisliste!C:G,4,FALSE))*B22,0)</f>
        <v>0</v>
      </c>
      <c r="AB22" s="86"/>
      <c r="AC22" s="86"/>
      <c r="AD22" s="86"/>
      <c r="AE22" s="86"/>
      <c r="AF22" s="86"/>
      <c r="AG22" s="55">
        <f>IF(AND(AH22&gt;0,AL22&gt;0,AP22=1),1,0)</f>
        <v>0</v>
      </c>
      <c r="AH22" s="66">
        <f>IF(Kalk3!$AA$19=1,1,0)</f>
        <v>0</v>
      </c>
      <c r="AI22" s="55">
        <v>25</v>
      </c>
      <c r="AK22" s="55" t="s">
        <v>22079</v>
      </c>
      <c r="AL22" s="66">
        <f>IF(AND(Kalk3!$AA$18=2,Kalk3!$AF$18=2),2,IF(OR(Kalk3!$AA$18=2,Kalk3!$AF$18=2),1,0))</f>
        <v>0</v>
      </c>
      <c r="AM22" s="55" t="s">
        <v>22094</v>
      </c>
      <c r="AO22" s="55" t="s">
        <v>22079</v>
      </c>
      <c r="AP22" s="66">
        <f>IF(Kalk3!$AI$51=AQ22,1,0)</f>
        <v>0</v>
      </c>
      <c r="AQ22" s="55">
        <v>1350</v>
      </c>
    </row>
    <row r="23" spans="2:43" ht="24.95" customHeight="1">
      <c r="B23" s="93">
        <f>IF(AG23=1,AL23,0)*Kalk3!$H$37</f>
        <v>0</v>
      </c>
      <c r="C23" s="60">
        <v>1750</v>
      </c>
      <c r="D23" s="60"/>
      <c r="E23" s="60" t="str">
        <f>VLOOKUP(1600,Sprachindex!$A:$Z,Erhebungsbogen!$Y$20,FALSE)</f>
        <v>[Stk]</v>
      </c>
      <c r="F23" s="60" t="s">
        <v>21986</v>
      </c>
      <c r="G23" s="514" t="str">
        <f>VLOOKUP(1592,Sprachindex!$A:$Z,Erhebungsbogen!$Y$20,FALSE) &amp; IF(AND(Kalk3!$AA$5=2,Kalk3!AA11),", " &amp; VLOOKUP(1645,Sprachindex!$A:$Z,Erhebungsbogen!$Y$20,FALSE) &amp; " " &amp; $U$8,", "&amp; VLOOKUP(1648,Sprachindex!$A:$Z,Erhebungsbogen!$Y$20,FALSE))</f>
        <v>Abdeckung V 25, entgratet, blank</v>
      </c>
      <c r="H23" s="514"/>
      <c r="I23" s="514"/>
      <c r="J23" s="514"/>
      <c r="K23" s="514"/>
      <c r="L23" s="514"/>
      <c r="M23" s="514"/>
      <c r="N23" s="514"/>
      <c r="O23" s="514"/>
      <c r="P23" s="514"/>
      <c r="Q23" s="514"/>
      <c r="R23" s="514"/>
      <c r="S23" s="514"/>
      <c r="T23" s="514"/>
      <c r="U23" s="352">
        <f>IF(AND(Kalk3!$AA$5=2,Kalk3!$AA$11),VLOOKUP(F23,Preisliste!C:G,5,FALSE),VLOOKUP(F23,Preisliste!C:G,4,FALSE))</f>
        <v>45.4</v>
      </c>
      <c r="V23" s="352">
        <f t="shared" ref="V23:V48" si="0">U23*B23</f>
        <v>0</v>
      </c>
      <c r="W23" s="86"/>
      <c r="X23" s="86"/>
      <c r="Y23" s="86"/>
      <c r="Z23" s="143">
        <f>IF(AND(Kalk3!$AA$5=2,Kalk3!$AA$11),(VLOOKUP(F23,Preisliste!C:G,5,FALSE)-VLOOKUP(F23,Preisliste!C:G,4,FALSE))*B23,0)</f>
        <v>0</v>
      </c>
      <c r="AB23" s="86"/>
      <c r="AC23" s="86"/>
      <c r="AD23" s="86"/>
      <c r="AE23" s="86"/>
      <c r="AF23" s="86"/>
      <c r="AG23" s="55">
        <f t="shared" ref="AG23:AG44" si="1">IF(AND(AH23&gt;0,AL23&gt;0,AP23=1),1,0)</f>
        <v>0</v>
      </c>
      <c r="AH23" s="66">
        <f>IF(Kalk3!$AA$19=1,1,0)</f>
        <v>0</v>
      </c>
      <c r="AI23" s="55">
        <v>25</v>
      </c>
      <c r="AK23" s="55" t="s">
        <v>22079</v>
      </c>
      <c r="AL23" s="66">
        <f>IF(AND(Kalk3!$AA$18=2,Kalk3!$AF$18=2),2,IF(OR(Kalk3!$AA$18=2,Kalk3!$AF$18=2),1,0))</f>
        <v>0</v>
      </c>
      <c r="AM23" s="55" t="s">
        <v>22094</v>
      </c>
      <c r="AO23" s="55" t="s">
        <v>22079</v>
      </c>
      <c r="AP23" s="66">
        <f>IF(Kalk3!$AI$51=AQ23,1,0)</f>
        <v>0</v>
      </c>
      <c r="AQ23" s="55">
        <v>1750</v>
      </c>
    </row>
    <row r="24" spans="2:43" ht="24.95" customHeight="1">
      <c r="B24" s="93">
        <f>IF(AG24=1,AL24,0)*Kalk3!$H$37</f>
        <v>0</v>
      </c>
      <c r="C24" s="60">
        <v>2150</v>
      </c>
      <c r="D24" s="60"/>
      <c r="E24" s="60" t="str">
        <f>VLOOKUP(1600,Sprachindex!$A:$Z,Erhebungsbogen!$Y$20,FALSE)</f>
        <v>[Stk]</v>
      </c>
      <c r="F24" s="60" t="s">
        <v>21987</v>
      </c>
      <c r="G24" s="514" t="str">
        <f>VLOOKUP(1592,Sprachindex!$A:$Z,Erhebungsbogen!$Y$20,FALSE) &amp; IF(AND(Kalk3!$AA$5=2,Kalk3!AA11),", " &amp; VLOOKUP(1645,Sprachindex!$A:$Z,Erhebungsbogen!$Y$20,FALSE) &amp; " " &amp; $U$8,", "&amp; VLOOKUP(1648,Sprachindex!$A:$Z,Erhebungsbogen!$Y$20,FALSE))</f>
        <v>Abdeckung V 25, entgratet, blank</v>
      </c>
      <c r="H24" s="514"/>
      <c r="I24" s="514"/>
      <c r="J24" s="514"/>
      <c r="K24" s="514"/>
      <c r="L24" s="514"/>
      <c r="M24" s="514"/>
      <c r="N24" s="514"/>
      <c r="O24" s="514"/>
      <c r="P24" s="514"/>
      <c r="Q24" s="514"/>
      <c r="R24" s="514"/>
      <c r="S24" s="514"/>
      <c r="T24" s="514"/>
      <c r="U24" s="352">
        <f>IF(AND(Kalk3!$AA$5=2,Kalk3!$AA$11),VLOOKUP(F24,Preisliste!C:G,5,FALSE),VLOOKUP(F24,Preisliste!C:G,4,FALSE))</f>
        <v>57.9</v>
      </c>
      <c r="V24" s="352">
        <f t="shared" si="0"/>
        <v>0</v>
      </c>
      <c r="W24" s="86"/>
      <c r="Y24" s="86"/>
      <c r="Z24" s="143">
        <f>IF(AND(Kalk3!$AA$5=2,Kalk3!$AA$11),(VLOOKUP(F24,Preisliste!C:G,5,FALSE)-VLOOKUP(F24,Preisliste!C:G,4,FALSE))*B24,0)</f>
        <v>0</v>
      </c>
      <c r="AB24" s="86"/>
      <c r="AC24" s="86"/>
      <c r="AD24" s="86"/>
      <c r="AE24" s="86"/>
      <c r="AF24" s="86"/>
      <c r="AG24" s="55">
        <f t="shared" si="1"/>
        <v>0</v>
      </c>
      <c r="AH24" s="66">
        <f>IF(Kalk3!$AA$19=1,1,0)</f>
        <v>0</v>
      </c>
      <c r="AI24" s="55">
        <v>25</v>
      </c>
      <c r="AK24" s="55" t="s">
        <v>22079</v>
      </c>
      <c r="AL24" s="66">
        <f>IF(AND(Kalk3!$AA$18=2,Kalk3!$AF$18=2),2,IF(OR(Kalk3!$AA$18=2,Kalk3!$AF$18=2),1,0))</f>
        <v>0</v>
      </c>
      <c r="AM24" s="55" t="s">
        <v>22094</v>
      </c>
      <c r="AO24" s="55" t="s">
        <v>22079</v>
      </c>
      <c r="AP24" s="66">
        <f>IF(Kalk3!$AI$51=AQ24,1,0)</f>
        <v>0</v>
      </c>
      <c r="AQ24" s="55">
        <v>2150</v>
      </c>
    </row>
    <row r="25" spans="2:43" ht="24.95" customHeight="1">
      <c r="B25" s="93">
        <f>IF(AG25=1,AL25,0)*Kalk3!$H$37</f>
        <v>0</v>
      </c>
      <c r="C25" s="60">
        <v>750</v>
      </c>
      <c r="D25" s="60"/>
      <c r="E25" s="60" t="str">
        <f>VLOOKUP(1600,Sprachindex!$A:$Z,Erhebungsbogen!$Y$20,FALSE)</f>
        <v>[Stk]</v>
      </c>
      <c r="F25" s="60" t="s">
        <v>21963</v>
      </c>
      <c r="G25" s="514" t="str">
        <f>VLOOKUP(1610,Sprachindex!$A:$Z,Erhebungsbogen!$Y$20,FALSE) &amp; IF(AND(Kalk3!$AA$5=2,Kalk3!AA11),", " &amp; VLOOKUP(1645,Sprachindex!$A:$Z,Erhebungsbogen!$Y$20,FALSE) &amp; " " &amp; $U$8,", "&amp; VLOOKUP(1648,Sprachindex!$A:$Z,Erhebungsbogen!$Y$20,FALSE))</f>
        <v>Abdeckung V 50, gebohrt und entgratet, blank</v>
      </c>
      <c r="H25" s="514"/>
      <c r="I25" s="514"/>
      <c r="J25" s="514"/>
      <c r="K25" s="514"/>
      <c r="L25" s="514"/>
      <c r="M25" s="514"/>
      <c r="N25" s="514"/>
      <c r="O25" s="514"/>
      <c r="P25" s="514"/>
      <c r="Q25" s="514"/>
      <c r="R25" s="514"/>
      <c r="S25" s="514"/>
      <c r="T25" s="514"/>
      <c r="U25" s="352">
        <f>IF(AND(Kalk3!$AA$5=2,Kalk3!$AA$11),VLOOKUP(F25,Preisliste!C:G,5,FALSE),VLOOKUP(F25,Preisliste!C:G,4,FALSE))</f>
        <v>27.8</v>
      </c>
      <c r="V25" s="352">
        <f t="shared" si="0"/>
        <v>0</v>
      </c>
      <c r="W25" s="86"/>
      <c r="X25" s="86"/>
      <c r="Y25" s="86"/>
      <c r="Z25" s="143">
        <f>IF(AND(Kalk3!$AA$5=2,Kalk3!$AA$11),(VLOOKUP(F25,Preisliste!C:G,5,FALSE)-VLOOKUP(F25,Preisliste!C:G,4,FALSE))*B25,0)</f>
        <v>0</v>
      </c>
      <c r="AB25" s="86"/>
      <c r="AC25" s="86"/>
      <c r="AD25" s="86"/>
      <c r="AE25" s="86"/>
      <c r="AF25" s="86"/>
      <c r="AG25" s="55">
        <f t="shared" si="1"/>
        <v>0</v>
      </c>
      <c r="AH25" s="66">
        <f>IF(OR(Kalk3!$AA$19=2,Kalk3!$AA$19=3),1,0)</f>
        <v>1</v>
      </c>
      <c r="AI25" s="55">
        <v>50</v>
      </c>
      <c r="AK25" s="55" t="s">
        <v>22079</v>
      </c>
      <c r="AL25" s="66">
        <f>IF(AND(Kalk3!$AA$18=2,Kalk3!$AF$18=2),2,IF(OR(Kalk3!$AA$18=2,Kalk3!$AF$18=2),1,0))</f>
        <v>0</v>
      </c>
      <c r="AM25" s="55" t="s">
        <v>22094</v>
      </c>
      <c r="AO25" s="55" t="s">
        <v>22079</v>
      </c>
      <c r="AP25" s="66">
        <f>IF(Kalk3!$AI$51=AQ25,1,0)</f>
        <v>1</v>
      </c>
      <c r="AQ25" s="55">
        <v>750</v>
      </c>
    </row>
    <row r="26" spans="2:43" ht="24.95" customHeight="1">
      <c r="B26" s="93">
        <f>IF(AG26=1,AL26,0)*Kalk3!$H$37</f>
        <v>0</v>
      </c>
      <c r="C26" s="60">
        <v>1350</v>
      </c>
      <c r="D26" s="60"/>
      <c r="E26" s="60" t="str">
        <f>VLOOKUP(1600,Sprachindex!$A:$Z,Erhebungsbogen!$Y$20,FALSE)</f>
        <v>[Stk]</v>
      </c>
      <c r="F26" s="60" t="s">
        <v>21964</v>
      </c>
      <c r="G26" s="514" t="str">
        <f>VLOOKUP(1610,Sprachindex!$A:$Z,Erhebungsbogen!$Y$20,FALSE) &amp; IF(AND(Kalk3!$AA$5=2,Kalk3!AA11),", " &amp; VLOOKUP(1645,Sprachindex!$A:$Z,Erhebungsbogen!$Y$20,FALSE) &amp; " " &amp; $U$8,", "&amp; VLOOKUP(1648,Sprachindex!$A:$Z,Erhebungsbogen!$Y$20,FALSE))</f>
        <v>Abdeckung V 50, gebohrt und entgratet, blank</v>
      </c>
      <c r="H26" s="514"/>
      <c r="I26" s="514"/>
      <c r="J26" s="514"/>
      <c r="K26" s="514"/>
      <c r="L26" s="514"/>
      <c r="M26" s="514"/>
      <c r="N26" s="514"/>
      <c r="O26" s="514"/>
      <c r="P26" s="514"/>
      <c r="Q26" s="514"/>
      <c r="R26" s="514"/>
      <c r="S26" s="514"/>
      <c r="T26" s="514"/>
      <c r="U26" s="352">
        <f>IF(AND(Kalk3!$AA$5=2,Kalk3!$AA$11),VLOOKUP(F26,Preisliste!C:G,5,FALSE),VLOOKUP(F26,Preisliste!C:G,4,FALSE))</f>
        <v>33.65</v>
      </c>
      <c r="V26" s="352">
        <f t="shared" si="0"/>
        <v>0</v>
      </c>
      <c r="W26" s="86"/>
      <c r="X26" s="86"/>
      <c r="Y26" s="86"/>
      <c r="Z26" s="143">
        <f>IF(AND(Kalk3!$AA$5=2,Kalk3!$AA$11),(VLOOKUP(F26,Preisliste!C:G,5,FALSE)-VLOOKUP(F26,Preisliste!C:G,4,FALSE))*B26,0)</f>
        <v>0</v>
      </c>
      <c r="AB26" s="86"/>
      <c r="AC26" s="86"/>
      <c r="AD26" s="86"/>
      <c r="AE26" s="86"/>
      <c r="AF26" s="86"/>
      <c r="AG26" s="55">
        <f t="shared" si="1"/>
        <v>0</v>
      </c>
      <c r="AH26" s="66">
        <f>IF(OR(Kalk3!$AA$19=2,Kalk3!$AA$19=3),1,0)</f>
        <v>1</v>
      </c>
      <c r="AI26" s="55">
        <v>50</v>
      </c>
      <c r="AK26" s="55" t="s">
        <v>22079</v>
      </c>
      <c r="AL26" s="66">
        <f>IF(AND(Kalk3!$AA$18=2,Kalk3!$AF$18=2),2,IF(OR(Kalk3!$AA$18=2,Kalk3!$AF$18=2),1,0))</f>
        <v>0</v>
      </c>
      <c r="AM26" s="55" t="s">
        <v>22094</v>
      </c>
      <c r="AO26" s="55" t="s">
        <v>22079</v>
      </c>
      <c r="AP26" s="66">
        <f>IF(Kalk3!$AI$51=AQ26,1,0)</f>
        <v>0</v>
      </c>
      <c r="AQ26" s="55">
        <v>1350</v>
      </c>
    </row>
    <row r="27" spans="2:43" ht="24.95" customHeight="1">
      <c r="B27" s="93">
        <f>IF(AG27=1,AL27,0)*Kalk3!$H$37</f>
        <v>0</v>
      </c>
      <c r="C27" s="60">
        <v>1750</v>
      </c>
      <c r="D27" s="60"/>
      <c r="E27" s="60" t="str">
        <f>VLOOKUP(1600,Sprachindex!$A:$Z,Erhebungsbogen!$Y$20,FALSE)</f>
        <v>[Stk]</v>
      </c>
      <c r="F27" s="60" t="s">
        <v>21965</v>
      </c>
      <c r="G27" s="514" t="str">
        <f>VLOOKUP(1610,Sprachindex!$A:$Z,Erhebungsbogen!$Y$20,FALSE) &amp; IF(AND(Kalk3!$AA$5=2,Kalk3!AA11),", " &amp; VLOOKUP(1645,Sprachindex!$A:$Z,Erhebungsbogen!$Y$20,FALSE) &amp; " " &amp; $U$8,", "&amp; VLOOKUP(1648,Sprachindex!$A:$Z,Erhebungsbogen!$Y$20,FALSE))</f>
        <v>Abdeckung V 50, gebohrt und entgratet, blank</v>
      </c>
      <c r="H27" s="514"/>
      <c r="I27" s="514"/>
      <c r="J27" s="514"/>
      <c r="K27" s="514"/>
      <c r="L27" s="514"/>
      <c r="M27" s="514"/>
      <c r="N27" s="514"/>
      <c r="O27" s="514"/>
      <c r="P27" s="514"/>
      <c r="Q27" s="514"/>
      <c r="R27" s="514"/>
      <c r="S27" s="514"/>
      <c r="T27" s="514"/>
      <c r="U27" s="352">
        <f>IF(AND(Kalk3!$AA$5=2,Kalk3!$AA$11),VLOOKUP(F27,Preisliste!C:G,5,FALSE),VLOOKUP(F27,Preisliste!C:G,4,FALSE))</f>
        <v>37.5</v>
      </c>
      <c r="V27" s="352">
        <f t="shared" si="0"/>
        <v>0</v>
      </c>
      <c r="W27" s="86"/>
      <c r="X27" s="86"/>
      <c r="Y27" s="86"/>
      <c r="Z27" s="143">
        <f>IF(AND(Kalk3!$AA$5=2,Kalk3!$AA$11),(VLOOKUP(F27,Preisliste!C:G,5,FALSE)-VLOOKUP(F27,Preisliste!C:G,4,FALSE))*B27,0)</f>
        <v>0</v>
      </c>
      <c r="AB27" s="86"/>
      <c r="AC27" s="86"/>
      <c r="AD27" s="86"/>
      <c r="AE27" s="86"/>
      <c r="AF27" s="86"/>
      <c r="AG27" s="55">
        <f t="shared" si="1"/>
        <v>0</v>
      </c>
      <c r="AH27" s="66">
        <f>IF(OR(Kalk3!$AA$19=2,Kalk3!$AA$19=3),1,0)</f>
        <v>1</v>
      </c>
      <c r="AI27" s="55">
        <v>50</v>
      </c>
      <c r="AK27" s="55" t="s">
        <v>22079</v>
      </c>
      <c r="AL27" s="66">
        <f>IF(AND(Kalk3!$AA$18=2,Kalk3!$AF$18=2),2,IF(OR(Kalk3!$AA$18=2,Kalk3!$AF$18=2),1,0))</f>
        <v>0</v>
      </c>
      <c r="AM27" s="55" t="s">
        <v>22094</v>
      </c>
      <c r="AO27" s="55" t="s">
        <v>22079</v>
      </c>
      <c r="AP27" s="66">
        <f>IF(Kalk3!$AI$51=AQ27,1,0)</f>
        <v>0</v>
      </c>
      <c r="AQ27" s="55">
        <v>1750</v>
      </c>
    </row>
    <row r="28" spans="2:43" ht="24.95" customHeight="1">
      <c r="B28" s="93">
        <f>IF(AG28=1,AL28,0)*Kalk3!$H$37</f>
        <v>0</v>
      </c>
      <c r="C28" s="60">
        <v>2150</v>
      </c>
      <c r="D28" s="60"/>
      <c r="E28" s="60" t="str">
        <f>VLOOKUP(1600,Sprachindex!$A:$Z,Erhebungsbogen!$Y$20,FALSE)</f>
        <v>[Stk]</v>
      </c>
      <c r="F28" s="60" t="s">
        <v>21966</v>
      </c>
      <c r="G28" s="514" t="str">
        <f>VLOOKUP(1610,Sprachindex!$A:$Z,Erhebungsbogen!$Y$20,FALSE) &amp; IF(AND(Kalk3!$AA$5=2,Kalk3!AA11),", " &amp; VLOOKUP(1645,Sprachindex!$A:$Z,Erhebungsbogen!$Y$20,FALSE) &amp; " " &amp; $U$8,", "&amp; VLOOKUP(1648,Sprachindex!$A:$Z,Erhebungsbogen!$Y$20,FALSE))</f>
        <v>Abdeckung V 50, gebohrt und entgratet, blank</v>
      </c>
      <c r="H28" s="514"/>
      <c r="I28" s="514"/>
      <c r="J28" s="514"/>
      <c r="K28" s="514"/>
      <c r="L28" s="514"/>
      <c r="M28" s="514"/>
      <c r="N28" s="514"/>
      <c r="O28" s="514"/>
      <c r="P28" s="514"/>
      <c r="Q28" s="514"/>
      <c r="R28" s="514"/>
      <c r="S28" s="514"/>
      <c r="T28" s="514"/>
      <c r="U28" s="352">
        <f>IF(AND(Kalk3!$AA$5=2,Kalk3!$AA$11),VLOOKUP(F28,Preisliste!C:G,5,FALSE),VLOOKUP(F28,Preisliste!C:G,4,FALSE))</f>
        <v>41.4</v>
      </c>
      <c r="V28" s="352">
        <f t="shared" si="0"/>
        <v>0</v>
      </c>
      <c r="W28" s="86"/>
      <c r="X28" s="86"/>
      <c r="Y28" s="86"/>
      <c r="Z28" s="143">
        <f>IF(AND(Kalk3!$AA$5=2,Kalk3!$AA$11),(VLOOKUP(F28,Preisliste!C:G,5,FALSE)-VLOOKUP(F28,Preisliste!C:G,4,FALSE))*B28,0)</f>
        <v>0</v>
      </c>
      <c r="AB28" s="86"/>
      <c r="AC28" s="86"/>
      <c r="AD28" s="86"/>
      <c r="AE28" s="86"/>
      <c r="AF28" s="86"/>
      <c r="AG28" s="55">
        <f t="shared" si="1"/>
        <v>0</v>
      </c>
      <c r="AH28" s="66">
        <f>IF(OR(Kalk3!$AA$19=2,Kalk3!$AA$19=3),1,0)</f>
        <v>1</v>
      </c>
      <c r="AI28" s="55">
        <v>50</v>
      </c>
      <c r="AK28" s="55" t="s">
        <v>22079</v>
      </c>
      <c r="AL28" s="66">
        <f>IF(AND(Kalk3!$AA$18=2,Kalk3!$AF$18=2),2,IF(OR(Kalk3!$AA$18=2,Kalk3!$AF$18=2),1,0))</f>
        <v>0</v>
      </c>
      <c r="AM28" s="55" t="s">
        <v>22094</v>
      </c>
      <c r="AO28" s="55" t="s">
        <v>22079</v>
      </c>
      <c r="AP28" s="66">
        <f>IF(Kalk3!$AI$51=AQ28,1,0)</f>
        <v>0</v>
      </c>
      <c r="AQ28" s="55">
        <v>2150</v>
      </c>
    </row>
    <row r="29" spans="2:43" ht="24.95" customHeight="1">
      <c r="B29" s="93">
        <f>IF(AG29=1,AL29,0)*Kalk3!$H$37</f>
        <v>0</v>
      </c>
      <c r="C29" s="60">
        <v>750</v>
      </c>
      <c r="D29" s="60"/>
      <c r="E29" s="60" t="str">
        <f>VLOOKUP(1600,Sprachindex!$A:$Z,Erhebungsbogen!$Y$20,FALSE)</f>
        <v>[Stk]</v>
      </c>
      <c r="F29" s="60" t="s">
        <v>21967</v>
      </c>
      <c r="G29" s="514" t="str">
        <f>VLOOKUP(1611,Sprachindex!$A:$Z,Erhebungsbogen!$Y$20,FALSE) &amp; IF(AND(Kalk3!$AA$5=2,Kalk3!AA11),", " &amp; VLOOKUP(1645,Sprachindex!$A:$Z,Erhebungsbogen!$Y$20,FALSE) &amp; " " &amp; $U$8,", "&amp; VLOOKUP(1648,Sprachindex!$A:$Z,Erhebungsbogen!$Y$20,FALSE))</f>
        <v>Abdeckung V 80, gebohrt und entgratet, blank</v>
      </c>
      <c r="H29" s="514"/>
      <c r="I29" s="514"/>
      <c r="J29" s="514"/>
      <c r="K29" s="514"/>
      <c r="L29" s="514"/>
      <c r="M29" s="514"/>
      <c r="N29" s="514"/>
      <c r="O29" s="514"/>
      <c r="P29" s="514"/>
      <c r="Q29" s="514"/>
      <c r="R29" s="514"/>
      <c r="S29" s="514"/>
      <c r="T29" s="514"/>
      <c r="U29" s="352">
        <f>IF(AND(Kalk3!$AA$5=2,Kalk3!$AA$11),VLOOKUP(F29,Preisliste!C:G,5,FALSE),VLOOKUP(F29,Preisliste!C:G,4,FALSE))</f>
        <v>34.950000000000003</v>
      </c>
      <c r="V29" s="352">
        <f t="shared" si="0"/>
        <v>0</v>
      </c>
      <c r="W29" s="86"/>
      <c r="X29" s="86"/>
      <c r="Y29" s="86"/>
      <c r="Z29" s="143">
        <f>IF(AND(Kalk3!$AA$5=2,Kalk3!$AA$11),(VLOOKUP(F29,Preisliste!C:G,5,FALSE)-VLOOKUP(F29,Preisliste!C:G,4,FALSE))*B29,0)</f>
        <v>0</v>
      </c>
      <c r="AB29" s="86"/>
      <c r="AC29" s="86"/>
      <c r="AD29" s="86"/>
      <c r="AE29" s="86"/>
      <c r="AF29" s="86"/>
      <c r="AG29" s="55">
        <f t="shared" si="1"/>
        <v>0</v>
      </c>
      <c r="AH29" s="66">
        <f>IF(Kalk3!$AA$19=4,1,0)</f>
        <v>0</v>
      </c>
      <c r="AI29" s="55">
        <v>80</v>
      </c>
      <c r="AK29" s="55" t="s">
        <v>22079</v>
      </c>
      <c r="AL29" s="66">
        <f>IF(AND(Kalk3!$AA$18=2,Kalk3!$AF$18=2),2,IF(OR(Kalk3!$AA$18=2,Kalk3!$AF$18=2),1,0))</f>
        <v>0</v>
      </c>
      <c r="AM29" s="55" t="s">
        <v>22094</v>
      </c>
      <c r="AO29" s="55" t="s">
        <v>22079</v>
      </c>
      <c r="AP29" s="66">
        <f>IF(Kalk3!$AI$51=AQ29,1,0)</f>
        <v>1</v>
      </c>
      <c r="AQ29" s="55">
        <v>750</v>
      </c>
    </row>
    <row r="30" spans="2:43" ht="24.95" customHeight="1">
      <c r="B30" s="93">
        <f>IF(AG30=1,AL30,0)*Kalk3!$H$37</f>
        <v>0</v>
      </c>
      <c r="C30" s="60">
        <v>1350</v>
      </c>
      <c r="D30" s="60"/>
      <c r="E30" s="60" t="str">
        <f>VLOOKUP(1600,Sprachindex!$A:$Z,Erhebungsbogen!$Y$20,FALSE)</f>
        <v>[Stk]</v>
      </c>
      <c r="F30" s="60" t="s">
        <v>21968</v>
      </c>
      <c r="G30" s="514" t="str">
        <f>VLOOKUP(1611,Sprachindex!$A:$Z,Erhebungsbogen!$Y$20,FALSE) &amp; IF(AND(Kalk3!$AA$5=2,Kalk3!AA11),", " &amp; VLOOKUP(1645,Sprachindex!$A:$Z,Erhebungsbogen!$Y$20,FALSE) &amp; " " &amp; $U$8,", "&amp; VLOOKUP(1648,Sprachindex!$A:$Z,Erhebungsbogen!$Y$20,FALSE))</f>
        <v>Abdeckung V 80, gebohrt und entgratet, blank</v>
      </c>
      <c r="H30" s="514"/>
      <c r="I30" s="514"/>
      <c r="J30" s="514"/>
      <c r="K30" s="514"/>
      <c r="L30" s="514"/>
      <c r="M30" s="514"/>
      <c r="N30" s="514"/>
      <c r="O30" s="514"/>
      <c r="P30" s="514"/>
      <c r="Q30" s="514"/>
      <c r="R30" s="514"/>
      <c r="S30" s="514"/>
      <c r="T30" s="514"/>
      <c r="U30" s="352">
        <f>IF(AND(Kalk3!$AA$5=2,Kalk3!$AA$11),VLOOKUP(F30,Preisliste!C:G,5,FALSE),VLOOKUP(F30,Preisliste!C:G,4,FALSE))</f>
        <v>46.4</v>
      </c>
      <c r="V30" s="352">
        <f t="shared" si="0"/>
        <v>0</v>
      </c>
      <c r="W30" s="86"/>
      <c r="X30" s="86"/>
      <c r="Y30" s="86"/>
      <c r="Z30" s="143">
        <f>IF(AND(Kalk3!$AA$5=2,Kalk3!$AA$11),(VLOOKUP(F30,Preisliste!C:G,5,FALSE)-VLOOKUP(F30,Preisliste!C:G,4,FALSE))*B30,0)</f>
        <v>0</v>
      </c>
      <c r="AB30" s="86"/>
      <c r="AC30" s="86"/>
      <c r="AD30" s="86"/>
      <c r="AE30" s="86"/>
      <c r="AF30" s="86"/>
      <c r="AG30" s="55">
        <f t="shared" si="1"/>
        <v>0</v>
      </c>
      <c r="AH30" s="66">
        <f>IF(Kalk3!$AA$19=4,1,0)</f>
        <v>0</v>
      </c>
      <c r="AI30" s="55">
        <v>80</v>
      </c>
      <c r="AK30" s="55" t="s">
        <v>22079</v>
      </c>
      <c r="AL30" s="66">
        <f>IF(AND(Kalk3!$AA$18=2,Kalk3!$AF$18=2),2,IF(OR(Kalk3!$AA$18=2,Kalk3!$AF$18=2),1,0))</f>
        <v>0</v>
      </c>
      <c r="AM30" s="55" t="s">
        <v>22094</v>
      </c>
      <c r="AO30" s="55" t="s">
        <v>22079</v>
      </c>
      <c r="AP30" s="66">
        <f>IF(Kalk3!$AI$51=AQ30,1,0)</f>
        <v>0</v>
      </c>
      <c r="AQ30" s="55">
        <v>1350</v>
      </c>
    </row>
    <row r="31" spans="2:43" ht="24.95" customHeight="1">
      <c r="B31" s="93">
        <f>IF(AG31=1,AL31,0)*Kalk3!$H$37</f>
        <v>0</v>
      </c>
      <c r="C31" s="60">
        <v>1750</v>
      </c>
      <c r="D31" s="60"/>
      <c r="E31" s="60" t="str">
        <f>VLOOKUP(1600,Sprachindex!$A:$Z,Erhebungsbogen!$Y$20,FALSE)</f>
        <v>[Stk]</v>
      </c>
      <c r="F31" s="60" t="s">
        <v>21969</v>
      </c>
      <c r="G31" s="514" t="str">
        <f>VLOOKUP(1611,Sprachindex!$A:$Z,Erhebungsbogen!$Y$20,FALSE) &amp; IF(AND(Kalk3!$AA$5=2,Kalk3!AA11),", " &amp; VLOOKUP(1645,Sprachindex!$A:$Z,Erhebungsbogen!$Y$20,FALSE) &amp; " " &amp; $U$8,", "&amp; VLOOKUP(1648,Sprachindex!$A:$Z,Erhebungsbogen!$Y$20,FALSE))</f>
        <v>Abdeckung V 80, gebohrt und entgratet, blank</v>
      </c>
      <c r="H31" s="514"/>
      <c r="I31" s="514"/>
      <c r="J31" s="514"/>
      <c r="K31" s="514"/>
      <c r="L31" s="514"/>
      <c r="M31" s="514"/>
      <c r="N31" s="514"/>
      <c r="O31" s="514"/>
      <c r="P31" s="514"/>
      <c r="Q31" s="514"/>
      <c r="R31" s="514"/>
      <c r="S31" s="514"/>
      <c r="T31" s="514"/>
      <c r="U31" s="352">
        <f>IF(AND(Kalk3!$AA$5=2,Kalk3!$AA$11),VLOOKUP(F31,Preisliste!C:G,5,FALSE),VLOOKUP(F31,Preisliste!C:G,4,FALSE))</f>
        <v>54.05</v>
      </c>
      <c r="V31" s="352">
        <f t="shared" si="0"/>
        <v>0</v>
      </c>
      <c r="W31" s="86"/>
      <c r="X31" s="86"/>
      <c r="Y31" s="86"/>
      <c r="Z31" s="143">
        <f>IF(AND(Kalk3!$AA$5=2,Kalk3!$AA$11),(VLOOKUP(F31,Preisliste!C:G,5,FALSE)-VLOOKUP(F31,Preisliste!C:G,4,FALSE))*B31,0)</f>
        <v>0</v>
      </c>
      <c r="AB31" s="86"/>
      <c r="AC31" s="86"/>
      <c r="AD31" s="86"/>
      <c r="AE31" s="86"/>
      <c r="AF31" s="86"/>
      <c r="AG31" s="55">
        <f t="shared" si="1"/>
        <v>0</v>
      </c>
      <c r="AH31" s="66">
        <f>IF(Kalk3!$AA$19=4,1,0)</f>
        <v>0</v>
      </c>
      <c r="AI31" s="55">
        <v>80</v>
      </c>
      <c r="AK31" s="55" t="s">
        <v>22079</v>
      </c>
      <c r="AL31" s="66">
        <f>IF(AND(Kalk3!$AA$18=2,Kalk3!$AF$18=2),2,IF(OR(Kalk3!$AA$18=2,Kalk3!$AF$18=2),1,0))</f>
        <v>0</v>
      </c>
      <c r="AM31" s="55" t="s">
        <v>22094</v>
      </c>
      <c r="AO31" s="55" t="s">
        <v>22079</v>
      </c>
      <c r="AP31" s="66">
        <f>IF(Kalk3!$AI$51=AQ31,1,0)</f>
        <v>0</v>
      </c>
      <c r="AQ31" s="55">
        <v>1750</v>
      </c>
    </row>
    <row r="32" spans="2:43" ht="24.95" customHeight="1">
      <c r="B32" s="93">
        <f>IF(AG32=1,AL32,0)*Kalk3!$H$37</f>
        <v>0</v>
      </c>
      <c r="C32" s="60">
        <v>2150</v>
      </c>
      <c r="D32" s="60"/>
      <c r="E32" s="60" t="str">
        <f>VLOOKUP(1600,Sprachindex!$A:$Z,Erhebungsbogen!$Y$20,FALSE)</f>
        <v>[Stk]</v>
      </c>
      <c r="F32" s="60" t="s">
        <v>21970</v>
      </c>
      <c r="G32" s="514" t="str">
        <f>VLOOKUP(1611,Sprachindex!$A:$Z,Erhebungsbogen!$Y$20,FALSE) &amp; IF(AND(Kalk3!$AA$5=2,Kalk3!AA11),", " &amp; VLOOKUP(1645,Sprachindex!$A:$Z,Erhebungsbogen!$Y$20,FALSE) &amp; " " &amp; $U$8,", "&amp; VLOOKUP(1648,Sprachindex!$A:$Z,Erhebungsbogen!$Y$20,FALSE))</f>
        <v>Abdeckung V 80, gebohrt und entgratet, blank</v>
      </c>
      <c r="H32" s="514"/>
      <c r="I32" s="514"/>
      <c r="J32" s="514"/>
      <c r="K32" s="514"/>
      <c r="L32" s="514"/>
      <c r="M32" s="514"/>
      <c r="N32" s="514"/>
      <c r="O32" s="514"/>
      <c r="P32" s="514"/>
      <c r="Q32" s="514"/>
      <c r="R32" s="514"/>
      <c r="S32" s="514"/>
      <c r="T32" s="514"/>
      <c r="U32" s="352">
        <f>IF(AND(Kalk3!$AA$5=2,Kalk3!$AA$11),VLOOKUP(F32,Preisliste!C:G,5,FALSE),VLOOKUP(F32,Preisliste!C:G,4,FALSE))</f>
        <v>61.65</v>
      </c>
      <c r="V32" s="352">
        <f t="shared" si="0"/>
        <v>0</v>
      </c>
      <c r="W32" s="86"/>
      <c r="X32" s="86"/>
      <c r="Y32" s="86"/>
      <c r="Z32" s="143">
        <f>IF(AND(Kalk3!$AA$5=2,Kalk3!$AA$11),(VLOOKUP(F32,Preisliste!C:G,5,FALSE)-VLOOKUP(F32,Preisliste!C:G,4,FALSE))*B32,0)</f>
        <v>0</v>
      </c>
      <c r="AB32" s="86"/>
      <c r="AC32" s="86"/>
      <c r="AD32" s="86"/>
      <c r="AE32" s="86"/>
      <c r="AF32" s="86"/>
      <c r="AG32" s="55">
        <f t="shared" si="1"/>
        <v>0</v>
      </c>
      <c r="AH32" s="66">
        <f>IF(Kalk3!$AA$19=4,1,0)</f>
        <v>0</v>
      </c>
      <c r="AI32" s="55">
        <v>80</v>
      </c>
      <c r="AK32" s="55" t="s">
        <v>22079</v>
      </c>
      <c r="AL32" s="66">
        <f>IF(AND(Kalk3!$AA$18=2,Kalk3!$AF$18=2),2,IF(OR(Kalk3!$AA$18=2,Kalk3!$AF$18=2),1,0))</f>
        <v>0</v>
      </c>
      <c r="AM32" s="55" t="s">
        <v>22094</v>
      </c>
      <c r="AO32" s="55" t="s">
        <v>22079</v>
      </c>
      <c r="AP32" s="66">
        <f>IF(Kalk3!$AI$51=AQ32,1,0)</f>
        <v>0</v>
      </c>
      <c r="AQ32" s="55">
        <v>2150</v>
      </c>
    </row>
    <row r="33" spans="2:54" ht="24.95" customHeight="1">
      <c r="B33" s="93">
        <f>IF(AG33=1,AL33,0)*Kalk3!$H$37</f>
        <v>0</v>
      </c>
      <c r="C33" s="60">
        <v>750</v>
      </c>
      <c r="D33" s="60"/>
      <c r="E33" s="60" t="str">
        <f>VLOOKUP(1600,Sprachindex!$A:$Z,Erhebungsbogen!$Y$20,FALSE)</f>
        <v>[Stk]</v>
      </c>
      <c r="F33" s="60" t="s">
        <v>21951</v>
      </c>
      <c r="G33" s="514" t="str">
        <f>VLOOKUP(1593,Sprachindex!$A:$Z,Erhebungsbogen!$Y$20,FALSE) &amp; IF(AND(Kalk3!$AA$5=2,Kalk3!AA11),", " &amp; VLOOKUP(1645,Sprachindex!$A:$Z,Erhebungsbogen!$Y$20,FALSE) &amp; " " &amp; $U$8,", "&amp; VLOOKUP(1648,Sprachindex!$A:$Z,Erhebungsbogen!$Y$20,FALSE))</f>
        <v>Abdeckung VO 25, entgratet, blank</v>
      </c>
      <c r="H33" s="514"/>
      <c r="I33" s="514"/>
      <c r="J33" s="514"/>
      <c r="K33" s="514"/>
      <c r="L33" s="514"/>
      <c r="M33" s="514"/>
      <c r="N33" s="514"/>
      <c r="O33" s="514"/>
      <c r="P33" s="514"/>
      <c r="Q33" s="514"/>
      <c r="R33" s="514"/>
      <c r="S33" s="514"/>
      <c r="T33" s="514"/>
      <c r="U33" s="352">
        <f>IF(AND(Kalk3!$AA$5=2,Kalk3!$AA$11),VLOOKUP(F33,Preisliste!C:G,5,FALSE),VLOOKUP(F33,Preisliste!C:G,4,FALSE))</f>
        <v>103.1</v>
      </c>
      <c r="V33" s="352">
        <f t="shared" si="0"/>
        <v>0</v>
      </c>
      <c r="W33" s="86"/>
      <c r="X33" s="86"/>
      <c r="Y33" s="86"/>
      <c r="Z33" s="143">
        <f>IF(AND(Kalk3!$AA$5=2,Kalk3!$AA$11),(VLOOKUP(F33,Preisliste!C:G,5,FALSE)-VLOOKUP(F33,Preisliste!C:G,4,FALSE))*B33,0)</f>
        <v>0</v>
      </c>
      <c r="AB33" s="86"/>
      <c r="AC33" s="86"/>
      <c r="AD33" s="86"/>
      <c r="AE33" s="86"/>
      <c r="AF33" s="86"/>
      <c r="AG33" s="55">
        <f t="shared" si="1"/>
        <v>0</v>
      </c>
      <c r="AH33" s="66">
        <f>IF(Kalk3!$AA$19=1,1,0)</f>
        <v>0</v>
      </c>
      <c r="AI33" s="55">
        <v>25</v>
      </c>
      <c r="AK33" s="55" t="s">
        <v>22079</v>
      </c>
      <c r="AL33" s="66">
        <f>IF(AND(Kalk3!$AA$18=3,Kalk3!$AF$18=3),2,IF(OR(Kalk3!$AA$18=3,Kalk3!$AF$18=3),1,0))</f>
        <v>0</v>
      </c>
      <c r="AM33" s="55" t="s">
        <v>22095</v>
      </c>
      <c r="AO33" s="55" t="s">
        <v>22079</v>
      </c>
      <c r="AP33" s="66">
        <f>IF(Kalk3!$AI$51=AQ33,1,0)</f>
        <v>1</v>
      </c>
      <c r="AQ33" s="55">
        <v>750</v>
      </c>
    </row>
    <row r="34" spans="2:54" ht="24.95" customHeight="1">
      <c r="B34" s="93">
        <f>IF(AG34=1,AL34,0)*Kalk3!$H$37</f>
        <v>0</v>
      </c>
      <c r="C34" s="60">
        <v>1350</v>
      </c>
      <c r="D34" s="60"/>
      <c r="E34" s="60" t="str">
        <f>VLOOKUP(1600,Sprachindex!$A:$Z,Erhebungsbogen!$Y$20,FALSE)</f>
        <v>[Stk]</v>
      </c>
      <c r="F34" s="60" t="s">
        <v>21952</v>
      </c>
      <c r="G34" s="514" t="str">
        <f>VLOOKUP(1593,Sprachindex!$A:$Z,Erhebungsbogen!$Y$20,FALSE) &amp; IF(AND(Kalk3!$AA$5=2,Kalk3!AA11),", " &amp; VLOOKUP(1645,Sprachindex!$A:$Z,Erhebungsbogen!$Y$20,FALSE) &amp; " " &amp; $U$8,", "&amp; VLOOKUP(1648,Sprachindex!$A:$Z,Erhebungsbogen!$Y$20,FALSE))</f>
        <v>Abdeckung VO 25, entgratet, blank</v>
      </c>
      <c r="H34" s="514"/>
      <c r="I34" s="514"/>
      <c r="J34" s="514"/>
      <c r="K34" s="514"/>
      <c r="L34" s="514"/>
      <c r="M34" s="514"/>
      <c r="N34" s="514"/>
      <c r="O34" s="514"/>
      <c r="P34" s="514"/>
      <c r="Q34" s="514"/>
      <c r="R34" s="514"/>
      <c r="S34" s="514"/>
      <c r="T34" s="514"/>
      <c r="U34" s="352">
        <f>IF(AND(Kalk3!$AA$5=2,Kalk3!$AA$11),VLOOKUP(F34,Preisliste!C:G,5,FALSE),VLOOKUP(F34,Preisliste!C:G,4,FALSE))</f>
        <v>108</v>
      </c>
      <c r="V34" s="352">
        <f t="shared" si="0"/>
        <v>0</v>
      </c>
      <c r="W34" s="86"/>
      <c r="X34" s="86"/>
      <c r="Y34" s="86"/>
      <c r="Z34" s="143">
        <f>IF(AND(Kalk3!$AA$5=2,Kalk3!$AA$11),(VLOOKUP(F34,Preisliste!C:G,5,FALSE)-VLOOKUP(F34,Preisliste!C:G,4,FALSE))*B34,0)</f>
        <v>0</v>
      </c>
      <c r="AB34" s="86"/>
      <c r="AC34" s="86"/>
      <c r="AD34" s="86"/>
      <c r="AE34" s="86"/>
      <c r="AF34" s="86"/>
      <c r="AG34" s="55">
        <f t="shared" si="1"/>
        <v>0</v>
      </c>
      <c r="AH34" s="66">
        <f>IF(Kalk3!$AA$19=1,1,0)</f>
        <v>0</v>
      </c>
      <c r="AI34" s="55">
        <v>25</v>
      </c>
      <c r="AK34" s="55" t="s">
        <v>22079</v>
      </c>
      <c r="AL34" s="66">
        <f>IF(AND(Kalk3!$AA$18=3,Kalk3!$AF$18=3),2,IF(OR(Kalk3!$AA$18=3,Kalk3!$AF$18=3),1,0))</f>
        <v>0</v>
      </c>
      <c r="AM34" s="55" t="s">
        <v>22095</v>
      </c>
      <c r="AO34" s="55" t="s">
        <v>22079</v>
      </c>
      <c r="AP34" s="66">
        <f>IF(Kalk3!$AI$51=AQ34,1,0)</f>
        <v>0</v>
      </c>
      <c r="AQ34" s="55">
        <v>1350</v>
      </c>
    </row>
    <row r="35" spans="2:54" ht="24.95" customHeight="1">
      <c r="B35" s="93">
        <f>IF(AG35=1,AL35,0)*Kalk3!$H$37</f>
        <v>0</v>
      </c>
      <c r="C35" s="60">
        <v>1750</v>
      </c>
      <c r="D35" s="60"/>
      <c r="E35" s="60" t="str">
        <f>VLOOKUP(1600,Sprachindex!$A:$Z,Erhebungsbogen!$Y$20,FALSE)</f>
        <v>[Stk]</v>
      </c>
      <c r="F35" s="60" t="s">
        <v>21988</v>
      </c>
      <c r="G35" s="514" t="str">
        <f>VLOOKUP(1593,Sprachindex!$A:$Z,Erhebungsbogen!$Y$20,FALSE) &amp; IF(AND(Kalk3!$AA$5=2,Kalk3!AA11),", " &amp; VLOOKUP(1645,Sprachindex!$A:$Z,Erhebungsbogen!$Y$20,FALSE) &amp; " " &amp; $U$8,", "&amp; VLOOKUP(1648,Sprachindex!$A:$Z,Erhebungsbogen!$Y$20,FALSE))</f>
        <v>Abdeckung VO 25, entgratet, blank</v>
      </c>
      <c r="H35" s="514"/>
      <c r="I35" s="514"/>
      <c r="J35" s="514"/>
      <c r="K35" s="514"/>
      <c r="L35" s="514"/>
      <c r="M35" s="514"/>
      <c r="N35" s="514"/>
      <c r="O35" s="514"/>
      <c r="P35" s="514"/>
      <c r="Q35" s="514"/>
      <c r="R35" s="514"/>
      <c r="S35" s="514"/>
      <c r="T35" s="514"/>
      <c r="U35" s="352">
        <f>IF(AND(Kalk3!$AA$5=2,Kalk3!$AA$11),VLOOKUP(F35,Preisliste!C:G,5,FALSE),VLOOKUP(F35,Preisliste!C:G,4,FALSE))</f>
        <v>113.85</v>
      </c>
      <c r="V35" s="352">
        <f t="shared" si="0"/>
        <v>0</v>
      </c>
      <c r="W35" s="86"/>
      <c r="X35" s="86"/>
      <c r="Y35" s="86"/>
      <c r="Z35" s="143">
        <f>IF(AND(Kalk3!$AA$5=2,Kalk3!$AA$11),(VLOOKUP(F35,Preisliste!C:G,5,FALSE)-VLOOKUP(F35,Preisliste!C:G,4,FALSE))*B35,0)</f>
        <v>0</v>
      </c>
      <c r="AB35" s="86"/>
      <c r="AC35" s="86"/>
      <c r="AD35" s="86"/>
      <c r="AE35" s="86"/>
      <c r="AF35" s="86"/>
      <c r="AG35" s="55">
        <f t="shared" si="1"/>
        <v>0</v>
      </c>
      <c r="AH35" s="66">
        <f>IF(Kalk3!$AA$19=1,1,0)</f>
        <v>0</v>
      </c>
      <c r="AI35" s="55">
        <v>25</v>
      </c>
      <c r="AK35" s="55" t="s">
        <v>22079</v>
      </c>
      <c r="AL35" s="66">
        <f>IF(AND(Kalk3!$AA$18=3,Kalk3!$AF$18=3),2,IF(OR(Kalk3!$AA$18=3,Kalk3!$AF$18=3),1,0))</f>
        <v>0</v>
      </c>
      <c r="AM35" s="55" t="s">
        <v>22095</v>
      </c>
      <c r="AO35" s="55" t="s">
        <v>22079</v>
      </c>
      <c r="AP35" s="66">
        <f>IF(Kalk3!$AI$51=AQ35,1,0)</f>
        <v>0</v>
      </c>
      <c r="AQ35" s="55">
        <v>1750</v>
      </c>
    </row>
    <row r="36" spans="2:54" ht="24.95" customHeight="1">
      <c r="B36" s="93">
        <f>IF(AG36=1,AL36,0)*Kalk3!$H$37</f>
        <v>0</v>
      </c>
      <c r="C36" s="60">
        <v>2150</v>
      </c>
      <c r="D36" s="60"/>
      <c r="E36" s="60" t="str">
        <f>VLOOKUP(1600,Sprachindex!$A:$Z,Erhebungsbogen!$Y$20,FALSE)</f>
        <v>[Stk]</v>
      </c>
      <c r="F36" s="60" t="s">
        <v>22642</v>
      </c>
      <c r="G36" s="514" t="str">
        <f>VLOOKUP(1593,Sprachindex!$A:$Z,Erhebungsbogen!$Y$20,FALSE) &amp; IF(AND(Kalk3!$AA$5=2,Kalk3!AA11),", " &amp; VLOOKUP(1645,Sprachindex!$A:$Z,Erhebungsbogen!$Y$20,FALSE) &amp; " " &amp; $U$8,", "&amp; VLOOKUP(1648,Sprachindex!$A:$Z,Erhebungsbogen!$Y$20,FALSE))</f>
        <v>Abdeckung VO 25, entgratet, blank</v>
      </c>
      <c r="H36" s="514"/>
      <c r="I36" s="514"/>
      <c r="J36" s="514"/>
      <c r="K36" s="514"/>
      <c r="L36" s="514"/>
      <c r="M36" s="514"/>
      <c r="N36" s="514"/>
      <c r="O36" s="514"/>
      <c r="P36" s="514"/>
      <c r="Q36" s="514"/>
      <c r="R36" s="514"/>
      <c r="S36" s="514"/>
      <c r="T36" s="514"/>
      <c r="U36" s="352">
        <f>IF(AND(Kalk3!$AA$5=2,Kalk3!$AA$11),VLOOKUP(F36,Preisliste!C:G,5,FALSE),VLOOKUP(F36,Preisliste!C:G,4,FALSE))</f>
        <v>119.8</v>
      </c>
      <c r="V36" s="352">
        <f t="shared" si="0"/>
        <v>0</v>
      </c>
      <c r="W36" s="86"/>
      <c r="X36" s="86"/>
      <c r="Y36" s="86"/>
      <c r="Z36" s="143">
        <f>IF(AND(Kalk3!$AA$5=2,Kalk3!$AA$11),(VLOOKUP(F36,Preisliste!C:G,5,FALSE)-VLOOKUP(F36,Preisliste!C:G,4,FALSE))*B36,0)</f>
        <v>0</v>
      </c>
      <c r="AB36" s="86"/>
      <c r="AC36" s="86"/>
      <c r="AD36" s="86"/>
      <c r="AE36" s="86"/>
      <c r="AF36" s="86"/>
      <c r="AG36" s="55">
        <f t="shared" si="1"/>
        <v>0</v>
      </c>
      <c r="AH36" s="66">
        <f>IF(Kalk3!$AA$19=1,1,0)</f>
        <v>0</v>
      </c>
      <c r="AI36" s="55">
        <v>25</v>
      </c>
      <c r="AK36" s="55" t="s">
        <v>22079</v>
      </c>
      <c r="AL36" s="66">
        <f>IF(AND(Kalk3!$AA$18=3,Kalk3!$AF$18=3),2,IF(OR(Kalk3!$AA$18=3,Kalk3!$AF$18=3),1,0))</f>
        <v>0</v>
      </c>
      <c r="AM36" s="55" t="s">
        <v>22095</v>
      </c>
      <c r="AO36" s="55" t="s">
        <v>22079</v>
      </c>
      <c r="AP36" s="66">
        <f>IF(Kalk3!$AI$51=AQ36,1,0)</f>
        <v>0</v>
      </c>
      <c r="AQ36" s="55">
        <v>2150</v>
      </c>
    </row>
    <row r="37" spans="2:54" ht="24.95" customHeight="1">
      <c r="B37" s="93">
        <f>IF(AG37=1,AL37,0)*Kalk3!$H$37</f>
        <v>0</v>
      </c>
      <c r="C37" s="60">
        <v>750</v>
      </c>
      <c r="D37" s="60"/>
      <c r="E37" s="60" t="str">
        <f>VLOOKUP(1600,Sprachindex!$A:$Z,Erhebungsbogen!$Y$20,FALSE)</f>
        <v>[Stk]</v>
      </c>
      <c r="F37" s="60" t="s">
        <v>21953</v>
      </c>
      <c r="G37" s="514" t="str">
        <f>VLOOKUP(1613,Sprachindex!$A:$Z,Erhebungsbogen!$Y$20,FALSE) &amp; IF(AND(Kalk3!$AA$5=2,Kalk3!AA11),", " &amp; VLOOKUP(1645,Sprachindex!$A:$Z,Erhebungsbogen!$Y$20,FALSE) &amp; " " &amp; $U$8,", "&amp; VLOOKUP(1648,Sprachindex!$A:$Z,Erhebungsbogen!$Y$20,FALSE))</f>
        <v>Abdeckung VO 50, gebohrt und entgratet, blank</v>
      </c>
      <c r="H37" s="514"/>
      <c r="I37" s="514"/>
      <c r="J37" s="514"/>
      <c r="K37" s="514"/>
      <c r="L37" s="514"/>
      <c r="M37" s="514"/>
      <c r="N37" s="514"/>
      <c r="O37" s="514"/>
      <c r="P37" s="514"/>
      <c r="Q37" s="514"/>
      <c r="R37" s="514"/>
      <c r="S37" s="514"/>
      <c r="T37" s="514"/>
      <c r="U37" s="352">
        <f>IF(AND(Kalk3!$AA$5=2,Kalk3!$AA$11),VLOOKUP(F37,Preisliste!C:G,5,FALSE),VLOOKUP(F37,Preisliste!C:G,4,FALSE))</f>
        <v>109.25</v>
      </c>
      <c r="V37" s="352">
        <f t="shared" si="0"/>
        <v>0</v>
      </c>
      <c r="W37" s="86"/>
      <c r="X37" s="86"/>
      <c r="Y37" s="86"/>
      <c r="Z37" s="143">
        <f>IF(AND(Kalk3!$AA$5=2,Kalk3!$AA$11),(VLOOKUP(F37,Preisliste!C:G,5,FALSE)-VLOOKUP(F37,Preisliste!C:G,4,FALSE))*B37,0)</f>
        <v>0</v>
      </c>
      <c r="AB37" s="86"/>
      <c r="AC37" s="86"/>
      <c r="AD37" s="86"/>
      <c r="AE37" s="86"/>
      <c r="AF37" s="86"/>
      <c r="AG37" s="55">
        <f t="shared" si="1"/>
        <v>0</v>
      </c>
      <c r="AH37" s="66">
        <f>IF(OR(Kalk3!$AA$19=2,Kalk3!$AA$19=3),1,0)</f>
        <v>1</v>
      </c>
      <c r="AI37" s="55">
        <v>50</v>
      </c>
      <c r="AK37" s="55" t="s">
        <v>22079</v>
      </c>
      <c r="AL37" s="66">
        <f>IF(AND(Kalk3!$AA$18=3,Kalk3!$AF$18=3),2,IF(OR(Kalk3!$AA$18=3,Kalk3!$AF$18=3),1,0))</f>
        <v>0</v>
      </c>
      <c r="AM37" s="55" t="s">
        <v>22095</v>
      </c>
      <c r="AO37" s="55" t="s">
        <v>22079</v>
      </c>
      <c r="AP37" s="66">
        <f>IF(Kalk3!$AI$51=AQ37,1,0)</f>
        <v>1</v>
      </c>
      <c r="AQ37" s="55">
        <v>750</v>
      </c>
    </row>
    <row r="38" spans="2:54" ht="24.95" customHeight="1">
      <c r="B38" s="93">
        <f>IF(AG38=1,AL38,0)*Kalk3!$H$37</f>
        <v>0</v>
      </c>
      <c r="C38" s="60">
        <v>1350</v>
      </c>
      <c r="D38" s="60"/>
      <c r="E38" s="60" t="str">
        <f>VLOOKUP(1600,Sprachindex!$A:$Z,Erhebungsbogen!$Y$20,FALSE)</f>
        <v>[Stk]</v>
      </c>
      <c r="F38" s="60" t="s">
        <v>21954</v>
      </c>
      <c r="G38" s="514" t="str">
        <f>VLOOKUP(1613,Sprachindex!$A:$Z,Erhebungsbogen!$Y$20,FALSE) &amp; IF(AND(Kalk3!$AA$5=2,Kalk3!AA11),", " &amp; VLOOKUP(1645,Sprachindex!$A:$Z,Erhebungsbogen!$Y$20,FALSE) &amp; " " &amp; $U$8,", "&amp; VLOOKUP(1648,Sprachindex!$A:$Z,Erhebungsbogen!$Y$20,FALSE))</f>
        <v>Abdeckung VO 50, gebohrt und entgratet, blank</v>
      </c>
      <c r="H38" s="514"/>
      <c r="I38" s="514"/>
      <c r="J38" s="514"/>
      <c r="K38" s="514"/>
      <c r="L38" s="514"/>
      <c r="M38" s="514"/>
      <c r="N38" s="514"/>
      <c r="O38" s="514"/>
      <c r="P38" s="514"/>
      <c r="Q38" s="514"/>
      <c r="R38" s="514"/>
      <c r="S38" s="514"/>
      <c r="T38" s="514"/>
      <c r="U38" s="352">
        <f>IF(AND(Kalk3!$AA$5=2,Kalk3!$AA$11),VLOOKUP(F38,Preisliste!C:G,5,FALSE),VLOOKUP(F38,Preisliste!C:G,4,FALSE))</f>
        <v>115.25</v>
      </c>
      <c r="V38" s="352">
        <f t="shared" si="0"/>
        <v>0</v>
      </c>
      <c r="W38" s="86"/>
      <c r="X38" s="86"/>
      <c r="Y38" s="86"/>
      <c r="Z38" s="143">
        <f>IF(AND(Kalk3!$AA$5=2,Kalk3!$AA$11),(VLOOKUP(F38,Preisliste!C:G,5,FALSE)-VLOOKUP(F38,Preisliste!C:G,4,FALSE))*B38,0)</f>
        <v>0</v>
      </c>
      <c r="AB38" s="86"/>
      <c r="AC38" s="86"/>
      <c r="AD38" s="86"/>
      <c r="AE38" s="86"/>
      <c r="AF38" s="86"/>
      <c r="AG38" s="55">
        <f t="shared" si="1"/>
        <v>0</v>
      </c>
      <c r="AH38" s="66">
        <f>IF(OR(Kalk3!$AA$19=2,Kalk3!$AA$19=3),1,0)</f>
        <v>1</v>
      </c>
      <c r="AI38" s="55">
        <v>50</v>
      </c>
      <c r="AK38" s="55" t="s">
        <v>22079</v>
      </c>
      <c r="AL38" s="66">
        <f>IF(AND(Kalk3!$AA$18=3,Kalk3!$AF$18=3),2,IF(OR(Kalk3!$AA$18=3,Kalk3!$AF$18=3),1,0))</f>
        <v>0</v>
      </c>
      <c r="AM38" s="55" t="s">
        <v>22095</v>
      </c>
      <c r="AO38" s="55" t="s">
        <v>22079</v>
      </c>
      <c r="AP38" s="66">
        <f>IF(Kalk3!$AI$51=AQ38,1,0)</f>
        <v>0</v>
      </c>
      <c r="AQ38" s="55">
        <v>1350</v>
      </c>
    </row>
    <row r="39" spans="2:54" ht="24.95" customHeight="1">
      <c r="B39" s="93">
        <f>IF(AG39=1,AL39,0)*Kalk3!$H$37</f>
        <v>0</v>
      </c>
      <c r="C39" s="60">
        <v>1750</v>
      </c>
      <c r="D39" s="60"/>
      <c r="E39" s="60" t="str">
        <f>VLOOKUP(1600,Sprachindex!$A:$Z,Erhebungsbogen!$Y$20,FALSE)</f>
        <v>[Stk]</v>
      </c>
      <c r="F39" s="60" t="s">
        <v>21955</v>
      </c>
      <c r="G39" s="514" t="str">
        <f>VLOOKUP(1613,Sprachindex!$A:$Z,Erhebungsbogen!$Y$20,FALSE) &amp; IF(AND(Kalk3!$AA$5=2,Kalk3!AA11),", " &amp; VLOOKUP(1645,Sprachindex!$A:$Z,Erhebungsbogen!$Y$20,FALSE) &amp; " " &amp; $U$8,", "&amp; VLOOKUP(1648,Sprachindex!$A:$Z,Erhebungsbogen!$Y$20,FALSE))</f>
        <v>Abdeckung VO 50, gebohrt und entgratet, blank</v>
      </c>
      <c r="H39" s="514"/>
      <c r="I39" s="514"/>
      <c r="J39" s="514"/>
      <c r="K39" s="514"/>
      <c r="L39" s="514"/>
      <c r="M39" s="514"/>
      <c r="N39" s="514"/>
      <c r="O39" s="514"/>
      <c r="P39" s="514"/>
      <c r="Q39" s="514"/>
      <c r="R39" s="514"/>
      <c r="S39" s="514"/>
      <c r="T39" s="514"/>
      <c r="U39" s="352">
        <f>IF(AND(Kalk3!$AA$5=2,Kalk3!$AA$11),VLOOKUP(F39,Preisliste!C:G,5,FALSE),VLOOKUP(F39,Preisliste!C:G,4,FALSE))</f>
        <v>118.9</v>
      </c>
      <c r="V39" s="352">
        <f t="shared" si="0"/>
        <v>0</v>
      </c>
      <c r="W39" s="86"/>
      <c r="X39" s="86"/>
      <c r="Y39" s="86"/>
      <c r="Z39" s="143">
        <f>IF(AND(Kalk3!$AA$5=2,Kalk3!$AA$11),(VLOOKUP(F39,Preisliste!C:G,5,FALSE)-VLOOKUP(F39,Preisliste!C:G,4,FALSE))*B39,0)</f>
        <v>0</v>
      </c>
      <c r="AB39" s="86"/>
      <c r="AC39" s="86"/>
      <c r="AD39" s="86"/>
      <c r="AE39" s="86"/>
      <c r="AF39" s="86"/>
      <c r="AG39" s="55">
        <f t="shared" si="1"/>
        <v>0</v>
      </c>
      <c r="AH39" s="66">
        <f>IF(OR(Kalk3!$AA$19=2,Kalk3!$AA$19=3),1,0)</f>
        <v>1</v>
      </c>
      <c r="AI39" s="55">
        <v>50</v>
      </c>
      <c r="AK39" s="55" t="s">
        <v>22079</v>
      </c>
      <c r="AL39" s="66">
        <f>IF(AND(Kalk3!$AA$18=3,Kalk3!$AF$18=3),2,IF(OR(Kalk3!$AA$18=3,Kalk3!$AF$18=3),1,0))</f>
        <v>0</v>
      </c>
      <c r="AM39" s="55" t="s">
        <v>22095</v>
      </c>
      <c r="AO39" s="55" t="s">
        <v>22079</v>
      </c>
      <c r="AP39" s="66">
        <f>IF(Kalk3!$AI$51=AQ39,1,0)</f>
        <v>0</v>
      </c>
      <c r="AQ39" s="55">
        <v>1750</v>
      </c>
    </row>
    <row r="40" spans="2:54" ht="24.95" customHeight="1">
      <c r="B40" s="93">
        <f>IF(AG40=1,AL40,0)*Kalk3!$H$37</f>
        <v>0</v>
      </c>
      <c r="C40" s="60">
        <v>2150</v>
      </c>
      <c r="D40" s="60"/>
      <c r="E40" s="60" t="str">
        <f>VLOOKUP(1600,Sprachindex!$A:$Z,Erhebungsbogen!$Y$20,FALSE)</f>
        <v>[Stk]</v>
      </c>
      <c r="F40" s="60" t="s">
        <v>21956</v>
      </c>
      <c r="G40" s="514" t="str">
        <f>VLOOKUP(1613,Sprachindex!$A:$Z,Erhebungsbogen!$Y$20,FALSE) &amp; IF(AND(Kalk3!$AA$5=2,Kalk3!AA11),", " &amp; VLOOKUP(1645,Sprachindex!$A:$Z,Erhebungsbogen!$Y$20,FALSE) &amp; " " &amp; $U$8,", "&amp; VLOOKUP(1648,Sprachindex!$A:$Z,Erhebungsbogen!$Y$20,FALSE))</f>
        <v>Abdeckung VO 50, gebohrt und entgratet, blank</v>
      </c>
      <c r="H40" s="514"/>
      <c r="I40" s="514"/>
      <c r="J40" s="514"/>
      <c r="K40" s="514"/>
      <c r="L40" s="514"/>
      <c r="M40" s="514"/>
      <c r="N40" s="514"/>
      <c r="O40" s="514"/>
      <c r="P40" s="514"/>
      <c r="Q40" s="514"/>
      <c r="R40" s="514"/>
      <c r="S40" s="514"/>
      <c r="T40" s="514"/>
      <c r="U40" s="352">
        <f>IF(AND(Kalk3!$AA$5=2,Kalk3!$AA$11),VLOOKUP(F40,Preisliste!C:G,5,FALSE),VLOOKUP(F40,Preisliste!C:G,4,FALSE))</f>
        <v>122.75</v>
      </c>
      <c r="V40" s="352">
        <f t="shared" si="0"/>
        <v>0</v>
      </c>
      <c r="W40" s="86"/>
      <c r="X40" s="86"/>
      <c r="Y40" s="86"/>
      <c r="Z40" s="143">
        <f>IF(AND(Kalk3!$AA$5=2,Kalk3!$AA$11),(VLOOKUP(F40,Preisliste!C:G,5,FALSE)-VLOOKUP(F40,Preisliste!C:G,4,FALSE))*B40,0)</f>
        <v>0</v>
      </c>
      <c r="AB40" s="86"/>
      <c r="AC40" s="86"/>
      <c r="AD40" s="86"/>
      <c r="AE40" s="86"/>
      <c r="AF40" s="86"/>
      <c r="AG40" s="55">
        <f t="shared" si="1"/>
        <v>0</v>
      </c>
      <c r="AH40" s="66">
        <f>IF(OR(Kalk3!$AA$19=2,Kalk3!$AA$19=3),1,0)</f>
        <v>1</v>
      </c>
      <c r="AI40" s="55">
        <v>50</v>
      </c>
      <c r="AK40" s="55" t="s">
        <v>22079</v>
      </c>
      <c r="AL40" s="66">
        <f>IF(AND(Kalk3!$AA$18=3,Kalk3!$AF$18=3),2,IF(OR(Kalk3!$AA$18=3,Kalk3!$AF$18=3),1,0))</f>
        <v>0</v>
      </c>
      <c r="AM40" s="55" t="s">
        <v>22095</v>
      </c>
      <c r="AO40" s="55" t="s">
        <v>22079</v>
      </c>
      <c r="AP40" s="66">
        <f>IF(Kalk3!$AI$51=AQ40,1,0)</f>
        <v>0</v>
      </c>
      <c r="AQ40" s="55">
        <v>2150</v>
      </c>
    </row>
    <row r="41" spans="2:54" ht="24.95" customHeight="1">
      <c r="B41" s="93">
        <f>IF(AG41=1,AL41,0)*Kalk3!$H$37</f>
        <v>0</v>
      </c>
      <c r="C41" s="60">
        <v>750</v>
      </c>
      <c r="D41" s="60"/>
      <c r="E41" s="60" t="str">
        <f>VLOOKUP(1600,Sprachindex!$A:$Z,Erhebungsbogen!$Y$20,FALSE)</f>
        <v>[Stk]</v>
      </c>
      <c r="F41" s="60" t="s">
        <v>21957</v>
      </c>
      <c r="G41" s="514" t="str">
        <f>VLOOKUP(1614,Sprachindex!$A:$Z,Erhebungsbogen!$Y$20,FALSE) &amp; IF(AND(Kalk3!$AA$5=2,Kalk3!AA11),", " &amp; VLOOKUP(1645,Sprachindex!$A:$Z,Erhebungsbogen!$Y$20,FALSE) &amp; " " &amp; $U$8,", "&amp; VLOOKUP(1648,Sprachindex!$A:$Z,Erhebungsbogen!$Y$20,FALSE))</f>
        <v>Abdeckung VO 80, gebohrt und entgratet, blank</v>
      </c>
      <c r="H41" s="514"/>
      <c r="I41" s="514"/>
      <c r="J41" s="514"/>
      <c r="K41" s="514"/>
      <c r="L41" s="514"/>
      <c r="M41" s="514"/>
      <c r="N41" s="514"/>
      <c r="O41" s="514"/>
      <c r="P41" s="514"/>
      <c r="Q41" s="514"/>
      <c r="R41" s="514"/>
      <c r="S41" s="514"/>
      <c r="T41" s="514"/>
      <c r="U41" s="352">
        <f>IF(AND(Kalk3!$AA$5=2,Kalk3!$AA$11),VLOOKUP(F41,Preisliste!C:G,5,FALSE),VLOOKUP(F41,Preisliste!C:G,4,FALSE))</f>
        <v>116.35</v>
      </c>
      <c r="V41" s="352">
        <f t="shared" si="0"/>
        <v>0</v>
      </c>
      <c r="W41" s="86"/>
      <c r="X41" s="86"/>
      <c r="Y41" s="86"/>
      <c r="Z41" s="143">
        <f>IF(AND(Kalk3!$AA$5=2,Kalk3!$AA$11),(VLOOKUP(F41,Preisliste!C:G,5,FALSE)-VLOOKUP(F41,Preisliste!C:G,4,FALSE))*B41,0)</f>
        <v>0</v>
      </c>
      <c r="AB41" s="86"/>
      <c r="AC41" s="86"/>
      <c r="AD41" s="86"/>
      <c r="AE41" s="86"/>
      <c r="AF41" s="86"/>
      <c r="AG41" s="55">
        <f t="shared" si="1"/>
        <v>0</v>
      </c>
      <c r="AH41" s="66">
        <f>IF(Kalk3!$AA$19=4,1,0)</f>
        <v>0</v>
      </c>
      <c r="AI41" s="55">
        <v>80</v>
      </c>
      <c r="AK41" s="55" t="s">
        <v>22079</v>
      </c>
      <c r="AL41" s="66">
        <f>IF(AND(Kalk3!$AA$18=3,Kalk3!$AF$18=3),2,IF(OR(Kalk3!$AA$18=3,Kalk3!$AF$18=3),1,0))</f>
        <v>0</v>
      </c>
      <c r="AM41" s="55" t="s">
        <v>22095</v>
      </c>
      <c r="AO41" s="55" t="s">
        <v>22079</v>
      </c>
      <c r="AP41" s="66">
        <f>IF(Kalk3!$AI$51=AQ41,1,0)</f>
        <v>1</v>
      </c>
      <c r="AQ41" s="55">
        <v>750</v>
      </c>
    </row>
    <row r="42" spans="2:54" ht="24.95" customHeight="1">
      <c r="B42" s="93">
        <f>IF(AG42=1,AL42,0)*Kalk3!$H$37</f>
        <v>0</v>
      </c>
      <c r="C42" s="60">
        <v>1350</v>
      </c>
      <c r="D42" s="60"/>
      <c r="E42" s="60" t="str">
        <f>VLOOKUP(1600,Sprachindex!$A:$Z,Erhebungsbogen!$Y$20,FALSE)</f>
        <v>[Stk]</v>
      </c>
      <c r="F42" s="60" t="s">
        <v>21958</v>
      </c>
      <c r="G42" s="514" t="str">
        <f>VLOOKUP(1614,Sprachindex!$A:$Z,Erhebungsbogen!$Y$20,FALSE) &amp; IF(AND(Kalk3!$AA$5=2,Kalk3!AA11),", " &amp; VLOOKUP(1645,Sprachindex!$A:$Z,Erhebungsbogen!$Y$20,FALSE) &amp; " " &amp; $U$8,", "&amp; VLOOKUP(1648,Sprachindex!$A:$Z,Erhebungsbogen!$Y$20,FALSE))</f>
        <v>Abdeckung VO 80, gebohrt und entgratet, blank</v>
      </c>
      <c r="H42" s="514"/>
      <c r="I42" s="514"/>
      <c r="J42" s="514"/>
      <c r="K42" s="514"/>
      <c r="L42" s="514"/>
      <c r="M42" s="514"/>
      <c r="N42" s="514"/>
      <c r="O42" s="514"/>
      <c r="P42" s="514"/>
      <c r="Q42" s="514"/>
      <c r="R42" s="514"/>
      <c r="S42" s="514"/>
      <c r="T42" s="514"/>
      <c r="U42" s="352">
        <f>IF(AND(Kalk3!$AA$5=2,Kalk3!$AA$11),VLOOKUP(F42,Preisliste!C:G,5,FALSE),VLOOKUP(F42,Preisliste!C:G,4,FALSE))</f>
        <v>127.7</v>
      </c>
      <c r="V42" s="352">
        <f t="shared" si="0"/>
        <v>0</v>
      </c>
      <c r="W42" s="86"/>
      <c r="X42" s="86"/>
      <c r="Y42" s="86"/>
      <c r="Z42" s="143">
        <f>IF(AND(Kalk3!$AA$5=2,Kalk3!$AA$11),(VLOOKUP(F42,Preisliste!C:G,5,FALSE)-VLOOKUP(F42,Preisliste!C:G,4,FALSE))*B42,0)</f>
        <v>0</v>
      </c>
      <c r="AB42" s="86"/>
      <c r="AC42" s="86"/>
      <c r="AD42" s="86"/>
      <c r="AE42" s="86"/>
      <c r="AF42" s="86"/>
      <c r="AG42" s="55">
        <f t="shared" si="1"/>
        <v>0</v>
      </c>
      <c r="AH42" s="66">
        <f>IF(Kalk3!$AA$19=4,1,0)</f>
        <v>0</v>
      </c>
      <c r="AI42" s="55">
        <v>80</v>
      </c>
      <c r="AK42" s="55" t="s">
        <v>22079</v>
      </c>
      <c r="AL42" s="66">
        <f>IF(AND(Kalk3!$AA$18=3,Kalk3!$AF$18=3),2,IF(OR(Kalk3!$AA$18=3,Kalk3!$AF$18=3),1,0))</f>
        <v>0</v>
      </c>
      <c r="AM42" s="55" t="s">
        <v>22095</v>
      </c>
      <c r="AO42" s="55" t="s">
        <v>22079</v>
      </c>
      <c r="AP42" s="66">
        <f>IF(Kalk3!$AI$51=AQ42,1,0)</f>
        <v>0</v>
      </c>
      <c r="AQ42" s="55">
        <v>1350</v>
      </c>
    </row>
    <row r="43" spans="2:54" ht="24.95" customHeight="1">
      <c r="B43" s="93">
        <f>IF(AG43=1,AL43,0)*Kalk3!$H$37</f>
        <v>0</v>
      </c>
      <c r="C43" s="60">
        <v>1750</v>
      </c>
      <c r="D43" s="60"/>
      <c r="E43" s="60" t="str">
        <f>VLOOKUP(1600,Sprachindex!$A:$Z,Erhebungsbogen!$Y$20,FALSE)</f>
        <v>[Stk]</v>
      </c>
      <c r="F43" s="60" t="s">
        <v>21959</v>
      </c>
      <c r="G43" s="514" t="str">
        <f>VLOOKUP(1614,Sprachindex!$A:$Z,Erhebungsbogen!$Y$20,FALSE) &amp; IF(AND(Kalk3!$AA$5=2,Kalk3!AA11),", " &amp; VLOOKUP(1645,Sprachindex!$A:$Z,Erhebungsbogen!$Y$20,FALSE) &amp; " " &amp; $U$8,", "&amp; VLOOKUP(1648,Sprachindex!$A:$Z,Erhebungsbogen!$Y$20,FALSE))</f>
        <v>Abdeckung VO 80, gebohrt und entgratet, blank</v>
      </c>
      <c r="H43" s="514"/>
      <c r="I43" s="514"/>
      <c r="J43" s="514"/>
      <c r="K43" s="514"/>
      <c r="L43" s="514"/>
      <c r="M43" s="514"/>
      <c r="N43" s="514"/>
      <c r="O43" s="514"/>
      <c r="P43" s="514"/>
      <c r="Q43" s="514"/>
      <c r="R43" s="514"/>
      <c r="S43" s="514"/>
      <c r="T43" s="514"/>
      <c r="U43" s="352">
        <f>IF(AND(Kalk3!$AA$5=2,Kalk3!$AA$11),VLOOKUP(F43,Preisliste!C:G,5,FALSE),VLOOKUP(F43,Preisliste!C:G,4,FALSE))</f>
        <v>135.44999999999999</v>
      </c>
      <c r="V43" s="352">
        <f t="shared" si="0"/>
        <v>0</v>
      </c>
      <c r="W43" s="86"/>
      <c r="X43" s="86"/>
      <c r="Y43" s="86"/>
      <c r="Z43" s="143">
        <f>IF(AND(Kalk3!$AA$5=2,Kalk3!$AA$11),(VLOOKUP(F43,Preisliste!C:G,5,FALSE)-VLOOKUP(F43,Preisliste!C:G,4,FALSE))*B43,0)</f>
        <v>0</v>
      </c>
      <c r="AB43" s="86"/>
      <c r="AC43" s="86"/>
      <c r="AD43" s="86"/>
      <c r="AE43" s="86"/>
      <c r="AF43" s="86"/>
      <c r="AG43" s="55">
        <f t="shared" si="1"/>
        <v>0</v>
      </c>
      <c r="AH43" s="66">
        <f>IF(Kalk3!$AA$19=4,1,0)</f>
        <v>0</v>
      </c>
      <c r="AI43" s="55">
        <v>80</v>
      </c>
      <c r="AK43" s="55" t="s">
        <v>22079</v>
      </c>
      <c r="AL43" s="66">
        <f>IF(AND(Kalk3!$AA$18=3,Kalk3!$AF$18=3),2,IF(OR(Kalk3!$AA$18=3,Kalk3!$AF$18=3),1,0))</f>
        <v>0</v>
      </c>
      <c r="AM43" s="55" t="s">
        <v>22095</v>
      </c>
      <c r="AO43" s="55" t="s">
        <v>22079</v>
      </c>
      <c r="AP43" s="66">
        <f>IF(Kalk3!$AI$51=AQ43,1,0)</f>
        <v>0</v>
      </c>
      <c r="AQ43" s="55">
        <v>1750</v>
      </c>
    </row>
    <row r="44" spans="2:54" ht="24.95" customHeight="1">
      <c r="B44" s="93">
        <f>IF(AG44=1,AL44,0)*Kalk3!$H$37</f>
        <v>0</v>
      </c>
      <c r="C44" s="60">
        <v>2150</v>
      </c>
      <c r="D44" s="60"/>
      <c r="E44" s="60" t="str">
        <f>VLOOKUP(1600,Sprachindex!$A:$Z,Erhebungsbogen!$Y$20,FALSE)</f>
        <v>[Stk]</v>
      </c>
      <c r="F44" s="60" t="s">
        <v>21960</v>
      </c>
      <c r="G44" s="514" t="str">
        <f>VLOOKUP(1614,Sprachindex!$A:$Z,Erhebungsbogen!$Y$20,FALSE) &amp; IF(AND(Kalk3!$AA$5=2,Kalk3!AA11),", " &amp; VLOOKUP(1645,Sprachindex!$A:$Z,Erhebungsbogen!$Y$20,FALSE) &amp; " " &amp; $U$8,", "&amp; VLOOKUP(1648,Sprachindex!$A:$Z,Erhebungsbogen!$Y$20,FALSE))</f>
        <v>Abdeckung VO 80, gebohrt und entgratet, blank</v>
      </c>
      <c r="H44" s="514"/>
      <c r="I44" s="514"/>
      <c r="J44" s="514"/>
      <c r="K44" s="514"/>
      <c r="L44" s="514"/>
      <c r="M44" s="514"/>
      <c r="N44" s="514"/>
      <c r="O44" s="514"/>
      <c r="P44" s="514"/>
      <c r="Q44" s="514"/>
      <c r="R44" s="514"/>
      <c r="S44" s="514"/>
      <c r="T44" s="514"/>
      <c r="U44" s="352">
        <f>IF(AND(Kalk3!$AA$5=2,Kalk3!$AA$11),VLOOKUP(F44,Preisliste!C:G,5,FALSE),VLOOKUP(F44,Preisliste!C:G,4,FALSE))</f>
        <v>143.05000000000001</v>
      </c>
      <c r="V44" s="352">
        <f t="shared" si="0"/>
        <v>0</v>
      </c>
      <c r="W44" s="86"/>
      <c r="X44" s="86"/>
      <c r="Y44" s="86"/>
      <c r="Z44" s="143">
        <f>IF(AND(Kalk3!$AA$5=2,Kalk3!$AA$11),(VLOOKUP(F44,Preisliste!C:G,5,FALSE)-VLOOKUP(F44,Preisliste!C:G,4,FALSE))*B44,0)</f>
        <v>0</v>
      </c>
      <c r="AB44" s="86"/>
      <c r="AC44" s="86"/>
      <c r="AD44" s="86"/>
      <c r="AE44" s="86"/>
      <c r="AF44" s="86"/>
      <c r="AG44" s="55">
        <f t="shared" si="1"/>
        <v>0</v>
      </c>
      <c r="AH44" s="66">
        <f>IF(Kalk3!$AA$19=4,1,0)</f>
        <v>0</v>
      </c>
      <c r="AI44" s="55">
        <v>80</v>
      </c>
      <c r="AK44" s="55" t="s">
        <v>22079</v>
      </c>
      <c r="AL44" s="66">
        <f>IF(AND(Kalk3!$AA$18=3,Kalk3!$AF$18=3),2,IF(OR(Kalk3!$AA$18=3,Kalk3!$AF$18=3),1,0))</f>
        <v>0</v>
      </c>
      <c r="AM44" s="55" t="s">
        <v>22095</v>
      </c>
      <c r="AO44" s="55" t="s">
        <v>22079</v>
      </c>
      <c r="AP44" s="66">
        <f>IF(Kalk3!$AI$51=AQ44,1,0)</f>
        <v>0</v>
      </c>
      <c r="AQ44" s="55">
        <v>2150</v>
      </c>
    </row>
    <row r="45" spans="2:54" ht="24.95" customHeight="1">
      <c r="B45" s="93">
        <f>IF(AG45=1,AL45,0)</f>
        <v>0</v>
      </c>
      <c r="C45" s="60"/>
      <c r="D45" s="60"/>
      <c r="E45" s="60" t="str">
        <f>VLOOKUP(1600,Sprachindex!$A:$Z,Erhebungsbogen!$Y$20,FALSE)</f>
        <v>[Stk]</v>
      </c>
      <c r="F45" s="60" t="s">
        <v>25459</v>
      </c>
      <c r="G45" s="514" t="str">
        <f>VLOOKUP(1625,Sprachindex!$A:$Z,Erhebungsbogen!$Y$20,FALSE) &amp; " (2 " &amp; VLOOKUP(1837,Sprachindex!$A:$Z,Erhebungsbogen!$Y$20,FALSE) &amp; ")"</f>
        <v>Aufpreis Ausfräsung Seitenteile für Dammbalken (2 Stk)</v>
      </c>
      <c r="H45" s="514"/>
      <c r="I45" s="514"/>
      <c r="J45" s="514"/>
      <c r="K45" s="514"/>
      <c r="L45" s="514"/>
      <c r="M45" s="514"/>
      <c r="N45" s="514"/>
      <c r="O45" s="514"/>
      <c r="P45" s="514"/>
      <c r="Q45" s="514"/>
      <c r="R45" s="514"/>
      <c r="S45" s="514"/>
      <c r="T45" s="514"/>
      <c r="U45" s="352">
        <f>Preisliste!F26</f>
        <v>0</v>
      </c>
      <c r="V45" s="352">
        <f t="shared" si="0"/>
        <v>0</v>
      </c>
      <c r="W45" s="86"/>
      <c r="X45" s="86"/>
      <c r="Y45" s="86"/>
      <c r="Z45" s="86"/>
      <c r="AA45" s="86"/>
      <c r="AB45" s="86"/>
      <c r="AC45" s="86"/>
      <c r="AD45" s="86"/>
      <c r="AE45" s="86"/>
      <c r="AF45" s="86"/>
      <c r="AG45" s="55">
        <f>IF(Kalk3!$AA$23,1,0)</f>
        <v>0</v>
      </c>
      <c r="AK45" s="55" t="s">
        <v>22100</v>
      </c>
      <c r="AL45" s="66">
        <f>Kalk3!$X$24*Kalk3!$H$37</f>
        <v>0</v>
      </c>
      <c r="AM45" s="55" t="s">
        <v>20872</v>
      </c>
    </row>
    <row r="46" spans="2:54" ht="24.95" customHeight="1">
      <c r="B46" s="93">
        <f t="shared" ref="B46:B48" si="2">IF(AG46=1,AL46,0)</f>
        <v>0</v>
      </c>
      <c r="C46" s="60"/>
      <c r="D46" s="60"/>
      <c r="E46" s="60" t="str">
        <f>VLOOKUP(1600,Sprachindex!$A:$Z,Erhebungsbogen!$Y$20,FALSE)</f>
        <v>[Stk]</v>
      </c>
      <c r="F46" s="60" t="s">
        <v>25460</v>
      </c>
      <c r="G46" s="514" t="str">
        <f>VLOOKUP(1626,Sprachindex!$A:$Z,Erhebungsbogen!$Y$20,FALSE) &amp; " + " &amp; VLOOKUP(1608,Sprachindex!$A:$Z,Erhebungsbogen!$Y$20,FALSE) &amp; " (2 " &amp; VLOOKUP(1837,Sprachindex!$A:$Z,Erhebungsbogen!$Y$20,FALSE) &amp; ")"</f>
        <v>Aufpreis Längenänderung Seitenteile + Abdeckung (2 Stk)</v>
      </c>
      <c r="H46" s="515"/>
      <c r="I46" s="515"/>
      <c r="J46" s="515"/>
      <c r="K46" s="515"/>
      <c r="L46" s="515"/>
      <c r="M46" s="515"/>
      <c r="N46" s="515"/>
      <c r="O46" s="515"/>
      <c r="P46" s="515"/>
      <c r="Q46" s="515"/>
      <c r="R46" s="515"/>
      <c r="S46" s="515"/>
      <c r="T46" s="516"/>
      <c r="U46" s="352">
        <f>Preisliste!F27</f>
        <v>0</v>
      </c>
      <c r="V46" s="352">
        <f t="shared" si="0"/>
        <v>0</v>
      </c>
      <c r="W46" s="86"/>
      <c r="X46" s="86"/>
      <c r="Y46" s="86"/>
      <c r="Z46" s="86"/>
      <c r="AA46" s="86"/>
      <c r="AB46" s="86"/>
      <c r="AC46" s="86"/>
      <c r="AD46" s="86"/>
      <c r="AE46" s="86"/>
      <c r="AF46" s="86"/>
      <c r="AG46" s="55">
        <f>IF(Kalk3!$AA$22,1,0)</f>
        <v>0</v>
      </c>
      <c r="AK46" s="55" t="s">
        <v>22100</v>
      </c>
      <c r="AL46" s="66">
        <f>Kalk3!$Q$25*Kalk3!$H$37</f>
        <v>0</v>
      </c>
      <c r="AM46" s="55" t="s">
        <v>20872</v>
      </c>
    </row>
    <row r="47" spans="2:54" ht="24.95" customHeight="1">
      <c r="B47" s="93">
        <f t="shared" si="2"/>
        <v>0</v>
      </c>
      <c r="C47" s="60"/>
      <c r="D47" s="60"/>
      <c r="E47" s="60" t="str">
        <f>VLOOKUP(1594,Sprachindex!$A:$Z,Erhebungsbogen!$Y$20,FALSE)</f>
        <v>[EH]</v>
      </c>
      <c r="F47" s="60" t="s">
        <v>25458</v>
      </c>
      <c r="G47" s="514" t="str">
        <f>VLOOKUP(1627,Sprachindex!$A:$Z,Erhebungsbogen!$Y$20,FALSE)</f>
        <v>Aufpreis Planungsstunde</v>
      </c>
      <c r="H47" s="514"/>
      <c r="I47" s="514"/>
      <c r="J47" s="514"/>
      <c r="K47" s="514"/>
      <c r="L47" s="514"/>
      <c r="M47" s="514"/>
      <c r="N47" s="514"/>
      <c r="O47" s="514"/>
      <c r="P47" s="514"/>
      <c r="Q47" s="514"/>
      <c r="R47" s="514"/>
      <c r="S47" s="514"/>
      <c r="T47" s="514"/>
      <c r="U47" s="352">
        <f>Preisliste!F28</f>
        <v>0</v>
      </c>
      <c r="V47" s="352">
        <f t="shared" si="0"/>
        <v>0</v>
      </c>
      <c r="W47" s="86"/>
      <c r="X47" s="86"/>
      <c r="Y47" s="86"/>
      <c r="Z47" s="86"/>
      <c r="AA47" s="86"/>
      <c r="AB47" s="86"/>
      <c r="AC47" s="86"/>
      <c r="AD47" s="86"/>
      <c r="AE47" s="86"/>
      <c r="AF47" s="86"/>
      <c r="AG47" s="55">
        <f>IF(Kalk3!$AA$24,1,0)</f>
        <v>0</v>
      </c>
      <c r="AK47" s="55" t="s">
        <v>22100</v>
      </c>
      <c r="AL47" s="66">
        <f>Kalk3!$X$25*Kalk3!$H$37</f>
        <v>0</v>
      </c>
      <c r="AM47" s="55" t="s">
        <v>22102</v>
      </c>
      <c r="BA47" s="56" t="s">
        <v>7662</v>
      </c>
      <c r="BB47" s="55" t="s">
        <v>22113</v>
      </c>
    </row>
    <row r="48" spans="2:54" ht="24.95" customHeight="1">
      <c r="B48" s="93">
        <f t="shared" si="2"/>
        <v>0</v>
      </c>
      <c r="C48" s="60"/>
      <c r="D48" s="60"/>
      <c r="E48" s="60" t="str">
        <f>VLOOKUP(1594,Sprachindex!$A:$Z,Erhebungsbogen!$Y$20,FALSE)</f>
        <v>[EH]</v>
      </c>
      <c r="F48" s="60" t="s">
        <v>25461</v>
      </c>
      <c r="G48" s="514" t="str">
        <f>VLOOKUP(2259,Sprachindex!$A:$Z,Erhebungsbogen!$Y$20,FALSE)</f>
        <v>Ausfräsungen Dammbalken</v>
      </c>
      <c r="H48" s="514"/>
      <c r="I48" s="514"/>
      <c r="J48" s="514"/>
      <c r="K48" s="514"/>
      <c r="L48" s="514"/>
      <c r="M48" s="514"/>
      <c r="N48" s="514"/>
      <c r="O48" s="514"/>
      <c r="P48" s="514"/>
      <c r="Q48" s="514"/>
      <c r="R48" s="514"/>
      <c r="S48" s="514"/>
      <c r="T48" s="514"/>
      <c r="U48" s="352">
        <f>Preisliste!F161</f>
        <v>80</v>
      </c>
      <c r="V48" s="352">
        <f t="shared" si="0"/>
        <v>0</v>
      </c>
      <c r="W48" s="86"/>
      <c r="X48" s="86"/>
      <c r="Y48" s="86"/>
      <c r="Z48" s="86"/>
      <c r="AA48" s="86"/>
      <c r="AB48" s="86"/>
      <c r="AC48" s="86"/>
      <c r="AD48" s="86"/>
      <c r="AE48" s="86"/>
      <c r="AF48" s="86"/>
      <c r="AG48" s="55">
        <f>IF(Kalk3!$AA$21,1,0)</f>
        <v>0</v>
      </c>
      <c r="AK48" s="55" t="s">
        <v>22100</v>
      </c>
      <c r="AL48" s="66">
        <f>Kalk3!$Q$24*Kalk3!$H$37</f>
        <v>0</v>
      </c>
      <c r="AM48" s="55" t="s">
        <v>22102</v>
      </c>
      <c r="BA48" s="56"/>
    </row>
    <row r="49" spans="2:84" ht="24.95" customHeight="1">
      <c r="B49" s="94">
        <f t="shared" ref="B49:B51" si="3">IF(AG49=1,AL49,0)</f>
        <v>0</v>
      </c>
      <c r="C49" s="60"/>
      <c r="D49" s="60">
        <f t="shared" ref="D49:D50" si="4">B49</f>
        <v>0</v>
      </c>
      <c r="E49" s="60" t="str">
        <f>VLOOKUP(1596,Sprachindex!$A:$Z,Erhebungsbogen!$Y$20,FALSE)</f>
        <v>[lfm]</v>
      </c>
      <c r="F49" s="60" t="s">
        <v>21943</v>
      </c>
      <c r="G49" s="514" t="str">
        <f>VLOOKUP(1649,Sprachindex!$A:$Z,Erhebungsbogen!$Y$20,FALSE) &amp; " [" &amp; VLOOKUP(992,Sprachindex!$A:$Z,Erhebungsbogen!$Y$20,FALSE) &amp; " =1 "&amp; VLOOKUP(1512,Sprachindex!$A:$Z,Erhebungsbogen!$Y$20,FALSE) &amp; "]"</f>
        <v>Bodendichtung 25 [VPE =1 lfm]</v>
      </c>
      <c r="H49" s="514"/>
      <c r="I49" s="514"/>
      <c r="J49" s="514"/>
      <c r="K49" s="514"/>
      <c r="L49" s="514"/>
      <c r="M49" s="514"/>
      <c r="N49" s="514"/>
      <c r="O49" s="514"/>
      <c r="P49" s="514"/>
      <c r="Q49" s="514"/>
      <c r="R49" s="514"/>
      <c r="S49" s="514"/>
      <c r="T49" s="514"/>
      <c r="U49" s="352">
        <f>VLOOKUP(F49,Preisliste!C:F,4,FALSE)</f>
        <v>29.7</v>
      </c>
      <c r="V49" s="352">
        <f>U49*D49</f>
        <v>0</v>
      </c>
      <c r="W49" s="86"/>
      <c r="X49" s="86"/>
      <c r="Y49" s="86"/>
      <c r="Z49" s="86"/>
      <c r="AA49" s="86"/>
      <c r="AB49" s="86"/>
      <c r="AC49" s="86"/>
      <c r="AD49" s="86"/>
      <c r="AE49" s="86"/>
      <c r="AF49" s="86"/>
      <c r="AG49" s="55">
        <f>IF(AND(Kalk3!$AA$19=1,Kalk3!$AA$29=FALSE,AND(Kalk3!H28&gt;0,Kalk3!H29&gt;Kalk3!B1)),1,0)</f>
        <v>0</v>
      </c>
      <c r="AK49" s="55" t="s">
        <v>22100</v>
      </c>
      <c r="AL49" s="66">
        <f>Kalk3!$AH$45</f>
        <v>0</v>
      </c>
      <c r="AM49" s="55" t="s">
        <v>17115</v>
      </c>
      <c r="BA49" s="56" t="s">
        <v>22111</v>
      </c>
      <c r="BB49" s="55" t="s">
        <v>22112</v>
      </c>
    </row>
    <row r="50" spans="2:84" ht="24.95" customHeight="1">
      <c r="B50" s="94">
        <f t="shared" si="3"/>
        <v>0</v>
      </c>
      <c r="C50" s="60"/>
      <c r="D50" s="60">
        <f t="shared" si="4"/>
        <v>0</v>
      </c>
      <c r="E50" s="60" t="str">
        <f>VLOOKUP(1596,Sprachindex!$A:$Z,Erhebungsbogen!$Y$20,FALSE)</f>
        <v>[lfm]</v>
      </c>
      <c r="F50" s="60" t="s">
        <v>21944</v>
      </c>
      <c r="G50" s="514" t="str">
        <f>VLOOKUP(1650,Sprachindex!$A:$Z,Erhebungsbogen!$Y$20,FALSE) &amp; " [" &amp; VLOOKUP(992,Sprachindex!$A:$Z,Erhebungsbogen!$Y$20,FALSE) &amp; " =1 "&amp; VLOOKUP(1512,Sprachindex!$A:$Z,Erhebungsbogen!$Y$20,FALSE) &amp; "]"</f>
        <v>Bodendichtung 50 [VPE =1 lfm]</v>
      </c>
      <c r="H50" s="514"/>
      <c r="I50" s="514"/>
      <c r="J50" s="514"/>
      <c r="K50" s="514"/>
      <c r="L50" s="514"/>
      <c r="M50" s="514"/>
      <c r="N50" s="514"/>
      <c r="O50" s="514"/>
      <c r="P50" s="514"/>
      <c r="Q50" s="514"/>
      <c r="R50" s="514"/>
      <c r="S50" s="514"/>
      <c r="T50" s="514"/>
      <c r="U50" s="352">
        <f>VLOOKUP(F50,Preisliste!C:F,4,FALSE)</f>
        <v>29.7</v>
      </c>
      <c r="V50" s="352">
        <f t="shared" ref="V50:V51" si="5">U50*D50</f>
        <v>0</v>
      </c>
      <c r="W50" s="86"/>
      <c r="X50" s="86"/>
      <c r="Y50" s="86"/>
      <c r="Z50" s="86"/>
      <c r="AA50" s="86"/>
      <c r="AB50" s="86"/>
      <c r="AC50" s="86"/>
      <c r="AD50" s="86"/>
      <c r="AE50" s="86"/>
      <c r="AF50" s="86"/>
      <c r="AG50" s="244">
        <f>IF(AND(OR(Kalk3!$AA$19=2,Kalk3!$AA$19=3),Kalk3!$AA$29=FALSE,AND(Kalk3!H28&gt;0,Kalk3!H29&gt;0)),1,0)</f>
        <v>0</v>
      </c>
      <c r="AK50" s="55" t="s">
        <v>22100</v>
      </c>
      <c r="AL50" s="66">
        <f>Kalk3!$AH$45</f>
        <v>0</v>
      </c>
      <c r="AM50" s="55" t="s">
        <v>17115</v>
      </c>
    </row>
    <row r="51" spans="2:84" ht="24.95" customHeight="1">
      <c r="B51" s="94">
        <f t="shared" si="3"/>
        <v>0</v>
      </c>
      <c r="C51" s="60"/>
      <c r="D51" s="60">
        <f>B51</f>
        <v>0</v>
      </c>
      <c r="E51" s="60" t="str">
        <f>VLOOKUP(1596,Sprachindex!$A:$Z,Erhebungsbogen!$Y$20,FALSE)</f>
        <v>[lfm]</v>
      </c>
      <c r="F51" s="60" t="s">
        <v>21945</v>
      </c>
      <c r="G51" s="514" t="str">
        <f>VLOOKUP(1651,Sprachindex!$A:$Z,Erhebungsbogen!$Y$20,FALSE) &amp; " [" &amp; VLOOKUP(992,Sprachindex!$A:$Z,Erhebungsbogen!$Y$20,FALSE) &amp; " =1 "&amp; VLOOKUP(1512,Sprachindex!$A:$Z,Erhebungsbogen!$Y$20,FALSE) &amp; "]"</f>
        <v>Bodendichtung 80 [VPE =1 lfm]</v>
      </c>
      <c r="H51" s="514"/>
      <c r="I51" s="514"/>
      <c r="J51" s="514"/>
      <c r="K51" s="514"/>
      <c r="L51" s="514"/>
      <c r="M51" s="514"/>
      <c r="N51" s="514"/>
      <c r="O51" s="514"/>
      <c r="P51" s="514"/>
      <c r="Q51" s="514"/>
      <c r="R51" s="514"/>
      <c r="S51" s="514"/>
      <c r="T51" s="514"/>
      <c r="U51" s="352">
        <f>VLOOKUP(F51,Preisliste!C:F,4,FALSE)</f>
        <v>47.9</v>
      </c>
      <c r="V51" s="352">
        <f t="shared" si="5"/>
        <v>0</v>
      </c>
      <c r="W51" s="86"/>
      <c r="X51" s="86"/>
      <c r="Y51" s="86"/>
      <c r="Z51" s="86"/>
      <c r="AA51" s="86"/>
      <c r="AB51" s="86"/>
      <c r="AC51" s="86"/>
      <c r="AD51" s="86"/>
      <c r="AE51" s="86"/>
      <c r="AF51" s="86"/>
      <c r="AG51" s="55">
        <f>IF(AND(Kalk3!$AA$19=4,Kalk3!$AA$29=FALSE,AND(Kalk3!H28&gt;0,Kalk3!H29&gt;Kalk3!B1)),1,0)</f>
        <v>0</v>
      </c>
      <c r="AK51" s="55" t="s">
        <v>22100</v>
      </c>
      <c r="AL51" s="66">
        <f>Kalk3!$AH$45</f>
        <v>0</v>
      </c>
      <c r="AM51" s="55" t="s">
        <v>17115</v>
      </c>
    </row>
    <row r="52" spans="2:84" ht="24.95" customHeight="1">
      <c r="B52" s="93">
        <f>IF(AG52=1,CE52,0)</f>
        <v>0</v>
      </c>
      <c r="C52" s="60"/>
      <c r="D52" s="60"/>
      <c r="E52" s="60" t="str">
        <f>VLOOKUP(1600,Sprachindex!$A:$Z,Erhebungsbogen!$Y$20,FALSE)</f>
        <v>[Stk]</v>
      </c>
      <c r="F52" s="60" t="s">
        <v>21934</v>
      </c>
      <c r="G52" s="514" t="str">
        <f>VLOOKUP(1653,Sprachindex!$A:$Z,Erhebungsbogen!$Y$20,FALSE)</f>
        <v>Bodenhülse 50/80 Aluminium beschichtet inkl. Deckel mit Dichtung</v>
      </c>
      <c r="H52" s="514"/>
      <c r="I52" s="514"/>
      <c r="J52" s="514"/>
      <c r="K52" s="514"/>
      <c r="L52" s="514"/>
      <c r="M52" s="514"/>
      <c r="N52" s="514"/>
      <c r="O52" s="514"/>
      <c r="P52" s="514"/>
      <c r="Q52" s="514"/>
      <c r="R52" s="514"/>
      <c r="S52" s="514"/>
      <c r="T52" s="514"/>
      <c r="U52" s="352">
        <f>VLOOKUP(F52,Preisliste!C:F,4,FALSE)</f>
        <v>439.95</v>
      </c>
      <c r="V52" s="352">
        <f t="shared" ref="V52:V55" si="6">U52*B52</f>
        <v>0</v>
      </c>
      <c r="W52" s="86"/>
      <c r="X52" s="86"/>
      <c r="Y52" s="86"/>
      <c r="Z52" s="86"/>
      <c r="AA52" s="86"/>
      <c r="AB52" s="86"/>
      <c r="AC52" s="86"/>
      <c r="AD52" s="86"/>
      <c r="AE52" s="86"/>
      <c r="AF52" s="86"/>
      <c r="AG52" s="55">
        <f>IF(AND(BS52=1,CE52&gt;0),1,0)</f>
        <v>0</v>
      </c>
      <c r="AH52" s="55">
        <f>(Kalk3!$H$33-1)*Kalk3!$H$37</f>
        <v>0</v>
      </c>
      <c r="AI52" s="55" t="s">
        <v>22103</v>
      </c>
      <c r="AL52" s="55">
        <f>(Kalk3!$H$33-1)*Kalk3!$H$37</f>
        <v>0</v>
      </c>
      <c r="AM52" s="55" t="s">
        <v>22114</v>
      </c>
      <c r="AP52" s="55">
        <f>IF(OR(Kalk3!$AA$19=2,Kalk3!$AA$19=3),1,0)</f>
        <v>1</v>
      </c>
      <c r="AQ52" s="55">
        <v>50</v>
      </c>
      <c r="AT52" s="55">
        <f>IF(Kalk3!$AA$19=4,1,0)</f>
        <v>0</v>
      </c>
      <c r="AU52" s="55">
        <v>80</v>
      </c>
      <c r="AX52" s="55">
        <f>IF(AND(AP52=1,Kalk3!$O$20&gt;0),Kalk3!$O$20,0)</f>
        <v>0</v>
      </c>
      <c r="AY52" s="55" t="s">
        <v>22110</v>
      </c>
      <c r="BB52" s="55">
        <f>IF(AND(AP52=1,Kalk3!$O$21&gt;0),Kalk3!$O$21,0)</f>
        <v>0</v>
      </c>
      <c r="BC52" s="55" t="s">
        <v>22080</v>
      </c>
      <c r="BG52" s="55">
        <f>IF(AND(AT52=1,Kalk3!$AA$20=2),'STK3'!AL52,0)</f>
        <v>0</v>
      </c>
      <c r="BH52" s="55" t="s">
        <v>22105</v>
      </c>
      <c r="BK52" s="55">
        <f>IF(AND(AT52=1,BG52=0,Kalk3!$O$20&gt;0),Kalk3!$O$20,0)</f>
        <v>0</v>
      </c>
      <c r="BL52" s="55" t="s">
        <v>22109</v>
      </c>
      <c r="BO52" s="55">
        <f>IF(AND(AT52=1,BG52=0,Kalk3!$O$21&gt;0),Kalk3!$O$21,0)</f>
        <v>0</v>
      </c>
      <c r="BP52" s="55" t="s">
        <v>22108</v>
      </c>
      <c r="BS52" s="55">
        <f>IF(Kalk3!$AA$17=1,1,0)</f>
        <v>1</v>
      </c>
      <c r="BT52" s="55" t="s">
        <v>22082</v>
      </c>
      <c r="BX52" s="55">
        <f>IF(AP52=1,AH52-BB52,0)</f>
        <v>0</v>
      </c>
      <c r="BY52" s="55" t="s">
        <v>22106</v>
      </c>
      <c r="CA52" s="55">
        <f>IF(AND(AT52=1,BG52=0),AL52-BK52-BO52,0)</f>
        <v>0</v>
      </c>
      <c r="CB52" s="55" t="s">
        <v>22107</v>
      </c>
      <c r="CD52" s="55" t="s">
        <v>22100</v>
      </c>
      <c r="CE52" s="55">
        <f>IF(CA52&lt;0,0,BX52+CA52)</f>
        <v>0</v>
      </c>
      <c r="CF52" s="55" t="s">
        <v>20872</v>
      </c>
    </row>
    <row r="53" spans="2:84" ht="24.95" customHeight="1">
      <c r="B53" s="93">
        <f>IF(AG53=1,CE53,0)</f>
        <v>0</v>
      </c>
      <c r="C53" s="60"/>
      <c r="D53" s="60"/>
      <c r="E53" s="60" t="str">
        <f>VLOOKUP(1600,Sprachindex!$A:$Z,Erhebungsbogen!$Y$20,FALSE)</f>
        <v>[Stk]</v>
      </c>
      <c r="F53" s="60" t="s">
        <v>21935</v>
      </c>
      <c r="G53" s="514" t="str">
        <f>VLOOKUP(1654,Sprachindex!$A:$Z,Erhebungsbogen!$Y$20,FALSE)</f>
        <v>Bodenhülse 50/80 Edelstahl beschichtet inkl. Deckel mit Dichtung</v>
      </c>
      <c r="H53" s="514"/>
      <c r="I53" s="514"/>
      <c r="J53" s="514"/>
      <c r="K53" s="514"/>
      <c r="L53" s="514"/>
      <c r="M53" s="514"/>
      <c r="N53" s="514"/>
      <c r="O53" s="514"/>
      <c r="P53" s="514"/>
      <c r="Q53" s="514"/>
      <c r="R53" s="514"/>
      <c r="S53" s="514"/>
      <c r="T53" s="514"/>
      <c r="U53" s="352">
        <f>VLOOKUP(F53,Preisliste!C:F,4,FALSE)</f>
        <v>767.55</v>
      </c>
      <c r="V53" s="352">
        <f t="shared" si="6"/>
        <v>0</v>
      </c>
      <c r="W53" s="86"/>
      <c r="X53" s="86"/>
      <c r="Y53" s="86"/>
      <c r="Z53" s="86"/>
      <c r="AA53" s="86"/>
      <c r="AB53" s="86"/>
      <c r="AC53" s="86"/>
      <c r="AD53" s="86"/>
      <c r="AE53" s="86"/>
      <c r="AF53" s="86"/>
      <c r="AG53" s="55">
        <f t="shared" ref="AG53:AG55" si="7">IF(AND(BS53=1,CE53&gt;0),1,0)</f>
        <v>0</v>
      </c>
      <c r="AH53" s="55">
        <f>(Kalk3!$H$33-1)*Kalk3!$H$37</f>
        <v>0</v>
      </c>
      <c r="AI53" s="55" t="s">
        <v>22103</v>
      </c>
      <c r="AL53" s="55">
        <f>(Kalk3!$H$33-1)*Kalk3!$H$37</f>
        <v>0</v>
      </c>
      <c r="AM53" s="55" t="s">
        <v>22114</v>
      </c>
      <c r="AP53" s="55">
        <f>IF(OR(Kalk3!$AA$19=2,Kalk3!$AA$19=3),1,0)</f>
        <v>1</v>
      </c>
      <c r="AQ53" s="55">
        <v>50</v>
      </c>
      <c r="AT53" s="55">
        <f>IF(Kalk3!$AA$19=4,1,0)</f>
        <v>0</v>
      </c>
      <c r="AU53" s="55">
        <v>80</v>
      </c>
      <c r="AX53" s="55">
        <f>IF(AND(AP53=1,Kalk3!$O$20&gt;0),Kalk3!$O$20,0)</f>
        <v>0</v>
      </c>
      <c r="AY53" s="55" t="s">
        <v>22110</v>
      </c>
      <c r="BB53" s="55">
        <f>IF(AND(AP53=1,Kalk3!$O$21&gt;0),Kalk3!$O$21,0)</f>
        <v>0</v>
      </c>
      <c r="BC53" s="55" t="s">
        <v>22080</v>
      </c>
      <c r="BG53" s="55">
        <f>IF(AND(AT53=1,Kalk3!$AA$20=2),'STK3'!AL53,0)</f>
        <v>0</v>
      </c>
      <c r="BH53" s="55" t="s">
        <v>22105</v>
      </c>
      <c r="BK53" s="55">
        <f>IF(AND(AT53=1,BG53=0,Kalk3!$O$20&gt;0),Kalk3!$O$20,0)</f>
        <v>0</v>
      </c>
      <c r="BL53" s="55" t="s">
        <v>22109</v>
      </c>
      <c r="BO53" s="55">
        <f>IF(AND(AT53=1,BG53=0,Kalk3!$O$21&gt;0),Kalk3!$O$21,0)</f>
        <v>0</v>
      </c>
      <c r="BP53" s="55" t="s">
        <v>22108</v>
      </c>
      <c r="BS53" s="55">
        <f>IF(Kalk3!$AA$17=2,1,0)</f>
        <v>0</v>
      </c>
      <c r="BT53" s="55" t="s">
        <v>22104</v>
      </c>
      <c r="BX53" s="55">
        <f>IF(AP53=1,AH53-AX53-BB53,0)</f>
        <v>0</v>
      </c>
      <c r="BY53" s="55" t="s">
        <v>22106</v>
      </c>
      <c r="CA53" s="55">
        <f>IF(AND(AT53=1,BG53=0),AL53-BK53-BO53,0)</f>
        <v>0</v>
      </c>
      <c r="CB53" s="55" t="s">
        <v>22107</v>
      </c>
      <c r="CD53" s="55" t="s">
        <v>22100</v>
      </c>
      <c r="CE53" s="55">
        <f>IF(CA53&lt;0,0,BX53+CA53)</f>
        <v>0</v>
      </c>
      <c r="CF53" s="55" t="s">
        <v>20872</v>
      </c>
    </row>
    <row r="54" spans="2:84" ht="24.95" customHeight="1">
      <c r="B54" s="93">
        <f>IF(AG54=1,CE54,0)</f>
        <v>0</v>
      </c>
      <c r="C54" s="60"/>
      <c r="D54" s="60"/>
      <c r="E54" s="60" t="str">
        <f>VLOOKUP(1600,Sprachindex!$A:$Z,Erhebungsbogen!$Y$20,FALSE)</f>
        <v>[Stk]</v>
      </c>
      <c r="F54" s="60" t="s">
        <v>21936</v>
      </c>
      <c r="G54" s="514" t="str">
        <f>VLOOKUP(2122,Sprachindex!$A:$Z,Erhebungsbogen!$Y$20,FALSE)</f>
        <v>Bodenhülse (GROSS) 50 Vario und 80 beschichtet inkl. Aluminiumdeckel und Dichtung</v>
      </c>
      <c r="H54" s="514"/>
      <c r="I54" s="514"/>
      <c r="J54" s="514"/>
      <c r="K54" s="514"/>
      <c r="L54" s="514"/>
      <c r="M54" s="514"/>
      <c r="N54" s="514"/>
      <c r="O54" s="514"/>
      <c r="P54" s="514"/>
      <c r="Q54" s="514"/>
      <c r="R54" s="514"/>
      <c r="S54" s="514"/>
      <c r="T54" s="514"/>
      <c r="U54" s="352">
        <f>VLOOKUP(F54,Preisliste!C:F,4,FALSE)</f>
        <v>850.8</v>
      </c>
      <c r="V54" s="352">
        <f t="shared" si="6"/>
        <v>0</v>
      </c>
      <c r="W54" s="86"/>
      <c r="X54" s="86"/>
      <c r="Y54" s="86"/>
      <c r="Z54" s="86"/>
      <c r="AA54" s="86"/>
      <c r="AB54" s="86"/>
      <c r="AC54" s="86"/>
      <c r="AD54" s="86"/>
      <c r="AE54" s="86"/>
      <c r="AF54" s="86"/>
      <c r="AG54" s="55">
        <f t="shared" si="7"/>
        <v>0</v>
      </c>
      <c r="AH54" s="55">
        <f>(Kalk3!$H$33-1)*Kalk3!$H$37</f>
        <v>0</v>
      </c>
      <c r="AI54" s="55" t="s">
        <v>22103</v>
      </c>
      <c r="AL54" s="55">
        <f>(Kalk3!$H$33-1)*Kalk3!$H$37</f>
        <v>0</v>
      </c>
      <c r="AM54" s="55" t="s">
        <v>22114</v>
      </c>
      <c r="AP54" s="55">
        <f>IF(OR(Kalk3!$AA$19=2,Kalk3!$AA$19=3),1,0)</f>
        <v>1</v>
      </c>
      <c r="AQ54" s="55">
        <v>50</v>
      </c>
      <c r="AT54" s="55">
        <f>IF(Kalk3!$AA$19=4,1,0)</f>
        <v>0</v>
      </c>
      <c r="AU54" s="55">
        <v>80</v>
      </c>
      <c r="BB54" s="55">
        <f>IF(AND(AP54=1,Kalk3!$O$21&gt;0),Kalk3!$O$21,0)</f>
        <v>0</v>
      </c>
      <c r="BC54" s="55" t="s">
        <v>22080</v>
      </c>
      <c r="BG54" s="55">
        <f>IF(AND(AT54=1,Kalk3!$AA$20=2),'STK3'!AL54,0)</f>
        <v>0</v>
      </c>
      <c r="BH54" s="55" t="s">
        <v>22105</v>
      </c>
      <c r="BK54" s="55">
        <f>IF(AND(AT54=1,BG54=0,Kalk3!$O$20&gt;0),Kalk3!$O$20,0)</f>
        <v>0</v>
      </c>
      <c r="BL54" s="55" t="s">
        <v>22109</v>
      </c>
      <c r="BO54" s="55">
        <f>IF(AND(AT54=1,BG54=0,Kalk3!$O$21&gt;0),Kalk3!$O$21,0)</f>
        <v>0</v>
      </c>
      <c r="BP54" s="55" t="s">
        <v>22108</v>
      </c>
      <c r="BS54" s="55">
        <f>IF(Kalk3!$AA$17=1,1,0)</f>
        <v>1</v>
      </c>
      <c r="BT54" s="55" t="s">
        <v>22082</v>
      </c>
      <c r="BX54" s="55">
        <f>AX54+BB54</f>
        <v>0</v>
      </c>
      <c r="BY54" s="55" t="s">
        <v>22106</v>
      </c>
      <c r="CA54" s="55">
        <f>BG54+BK54+BO54</f>
        <v>0</v>
      </c>
      <c r="CB54" s="55" t="s">
        <v>22107</v>
      </c>
      <c r="CD54" s="55" t="s">
        <v>22100</v>
      </c>
      <c r="CE54" s="55">
        <f>BX54+CA54</f>
        <v>0</v>
      </c>
      <c r="CF54" s="55" t="s">
        <v>20872</v>
      </c>
    </row>
    <row r="55" spans="2:84" ht="24.95" customHeight="1">
      <c r="B55" s="93">
        <f>IF(AG55=1,CE55,0)</f>
        <v>0</v>
      </c>
      <c r="C55" s="60"/>
      <c r="D55" s="60"/>
      <c r="E55" s="60" t="str">
        <f>VLOOKUP(1600,Sprachindex!$A:$Z,Erhebungsbogen!$Y$20,FALSE)</f>
        <v>[Stk]</v>
      </c>
      <c r="F55" s="60" t="s">
        <v>21937</v>
      </c>
      <c r="G55" s="514" t="str">
        <f>VLOOKUP(2123,Sprachindex!$A:$Z,Erhebungsbogen!$Y$20,FALSE)</f>
        <v>Bodenhülse (GROSS) 50 Vario und 80 beschichtet inkl. Edelstahldeckel und Dichtung</v>
      </c>
      <c r="H55" s="514"/>
      <c r="I55" s="514"/>
      <c r="J55" s="514"/>
      <c r="K55" s="514"/>
      <c r="L55" s="514"/>
      <c r="M55" s="514"/>
      <c r="N55" s="514"/>
      <c r="O55" s="514"/>
      <c r="P55" s="514"/>
      <c r="Q55" s="514"/>
      <c r="R55" s="514"/>
      <c r="S55" s="514"/>
      <c r="T55" s="514"/>
      <c r="U55" s="352">
        <f>VLOOKUP(F55,Preisliste!C:F,4,FALSE)</f>
        <v>1090.3</v>
      </c>
      <c r="V55" s="352">
        <f t="shared" si="6"/>
        <v>0</v>
      </c>
      <c r="W55" s="86"/>
      <c r="X55" s="86"/>
      <c r="Y55" s="86"/>
      <c r="Z55" s="86"/>
      <c r="AA55" s="86"/>
      <c r="AB55" s="86"/>
      <c r="AC55" s="86"/>
      <c r="AD55" s="86"/>
      <c r="AE55" s="86"/>
      <c r="AF55" s="86"/>
      <c r="AG55" s="55">
        <f t="shared" si="7"/>
        <v>0</v>
      </c>
      <c r="AH55" s="55">
        <f>(Kalk3!$H$33-1)*Kalk3!$H$37</f>
        <v>0</v>
      </c>
      <c r="AI55" s="55" t="s">
        <v>22103</v>
      </c>
      <c r="AL55" s="55">
        <f>(Kalk3!$H$33-1)*Kalk3!$H$37</f>
        <v>0</v>
      </c>
      <c r="AM55" s="55" t="s">
        <v>22114</v>
      </c>
      <c r="AP55" s="55">
        <f>IF(OR(Kalk3!$AA$19=2,Kalk3!$AA$19=3),1,0)</f>
        <v>1</v>
      </c>
      <c r="AQ55" s="55">
        <v>50</v>
      </c>
      <c r="AT55" s="55">
        <f>IF(Kalk3!$AA$19=4,1,0)</f>
        <v>0</v>
      </c>
      <c r="AU55" s="55">
        <v>80</v>
      </c>
      <c r="AX55" s="55">
        <f>IF(AND(AP55=1,Kalk3!$O$20&gt;0),Kalk3!$O$20,0)</f>
        <v>0</v>
      </c>
      <c r="AY55" s="55" t="s">
        <v>22110</v>
      </c>
      <c r="BB55" s="55">
        <f>IF(AND(AP55=1,Kalk3!$O$21&gt;0),Kalk3!$O$21,0)</f>
        <v>0</v>
      </c>
      <c r="BC55" s="55" t="s">
        <v>22080</v>
      </c>
      <c r="BG55" s="55">
        <f>IF(AND(AT55=1,Kalk3!$AA$20=2),'STK3'!AL55,0)</f>
        <v>0</v>
      </c>
      <c r="BH55" s="55" t="s">
        <v>22105</v>
      </c>
      <c r="BK55" s="55">
        <f>IF(AND(AT55=1,BG55=0,Kalk3!$O$20&gt;0),Kalk3!$O$20,0)</f>
        <v>0</v>
      </c>
      <c r="BL55" s="55" t="s">
        <v>22109</v>
      </c>
      <c r="BO55" s="55">
        <f>IF(AND(AT55=1,BG55=0,Kalk3!$O$21&gt;0),Kalk3!$O$21,0)</f>
        <v>0</v>
      </c>
      <c r="BP55" s="55" t="s">
        <v>22108</v>
      </c>
      <c r="BS55" s="55">
        <f>IF(Kalk3!$AA$17=2,1,0)</f>
        <v>0</v>
      </c>
      <c r="BT55" s="55" t="s">
        <v>22104</v>
      </c>
      <c r="BX55" s="55">
        <f>AX55+BB55</f>
        <v>0</v>
      </c>
      <c r="BY55" s="55" t="s">
        <v>22106</v>
      </c>
      <c r="CA55" s="55">
        <f>BG55+BK55+BO55</f>
        <v>0</v>
      </c>
      <c r="CB55" s="55" t="s">
        <v>22107</v>
      </c>
      <c r="CD55" s="55" t="s">
        <v>22100</v>
      </c>
      <c r="CE55" s="55">
        <f>BX55+CA55</f>
        <v>0</v>
      </c>
      <c r="CF55" s="55" t="s">
        <v>20872</v>
      </c>
    </row>
    <row r="56" spans="2:84" ht="24.95" customHeight="1">
      <c r="B56" s="93">
        <f>IF(AG56=1,AH56*AL56,0)</f>
        <v>0</v>
      </c>
      <c r="C56" s="138">
        <f>IF(AG56=1,AT56,0)</f>
        <v>0</v>
      </c>
      <c r="D56" s="60">
        <f>B56*C56/1000</f>
        <v>0</v>
      </c>
      <c r="E56" s="60" t="str">
        <f>VLOOKUP(1598,Sprachindex!$A:$Z,Erhebungsbogen!$Y$20,FALSE)</f>
        <v>[mm]</v>
      </c>
      <c r="F56" s="60" t="s">
        <v>21877</v>
      </c>
      <c r="G56" s="514" t="str">
        <f>VLOOKUP(1660,Sprachindex!$A:$Z,Erhebungsbogen!$Y$20,FALSE) &amp; IF(AND(Kalk3!$AA$5=2,Kalk3!$AA$15),", " &amp; VLOOKUP(1645,Sprachindex!$A:$Z,Erhebungsbogen!$Y$20,FALSE) &amp; " " &amp; $U$8,", "&amp; VLOOKUP(1648,Sprachindex!$A:$Z,Erhebungsbogen!$Y$20,FALSE)) &amp; " (" &amp; ROUNDUP(C56/1000*Preisliste!I36,2) &amp; " " &amp; VLOOKUP(1744,Sprachindex!$A:$Z,Erhebungsbogen!$Y$20,FALSE) &amp; ")"</f>
        <v>Dammbalken 25/200 exkl. Dichtung, gesägt und entgratet, blank (0 kg/Stk)</v>
      </c>
      <c r="H56" s="514"/>
      <c r="I56" s="514"/>
      <c r="J56" s="514"/>
      <c r="K56" s="514"/>
      <c r="L56" s="514"/>
      <c r="M56" s="514"/>
      <c r="N56" s="514"/>
      <c r="O56" s="514"/>
      <c r="P56" s="514"/>
      <c r="Q56" s="514"/>
      <c r="R56" s="514"/>
      <c r="S56" s="514"/>
      <c r="T56" s="514"/>
      <c r="U56" s="352">
        <f>IF(AND(Kalk3!$AA$5=2,Kalk3!$AA$15),VLOOKUP(F56,Preisliste!C:G,5,FALSE),VLOOKUP(F56,Preisliste!C:G,4,FALSE))</f>
        <v>104.55</v>
      </c>
      <c r="V56" s="352">
        <f>U56*D56</f>
        <v>0</v>
      </c>
      <c r="W56" s="86"/>
      <c r="X56" s="86"/>
      <c r="Y56" s="86"/>
      <c r="Z56" s="143">
        <f>IF(AND(Kalk3!$AA$5=2,Kalk3!$AA$15),(VLOOKUP(F56,Preisliste!C:G,5,FALSE)-VLOOKUP(F56,Preisliste!C:G,4,FALSE))*D56/1000,0)</f>
        <v>0</v>
      </c>
      <c r="AA56" s="86"/>
      <c r="AB56" s="86"/>
      <c r="AC56" s="86"/>
      <c r="AD56" s="86"/>
      <c r="AE56" s="86"/>
      <c r="AF56" s="86"/>
      <c r="AG56" s="55">
        <f>IF(Kalk3!$AA$19=1,1,0)</f>
        <v>0</v>
      </c>
      <c r="AH56" s="66">
        <f>Kalk3!$H$33*Kalk3!$H$37</f>
        <v>1</v>
      </c>
      <c r="AI56" s="55" t="s">
        <v>22081</v>
      </c>
      <c r="AK56" s="55" t="s">
        <v>22079</v>
      </c>
      <c r="AL56" s="66">
        <f>Kalk3!$AH$40</f>
        <v>0</v>
      </c>
      <c r="AM56" s="55" t="s">
        <v>22096</v>
      </c>
      <c r="AT56" s="66">
        <f>Kalk3!$AH$38</f>
        <v>0</v>
      </c>
      <c r="AU56" s="55" t="s">
        <v>21845</v>
      </c>
    </row>
    <row r="57" spans="2:84" ht="24.95" customHeight="1">
      <c r="B57" s="93">
        <f t="shared" ref="B57:B58" si="8">IF(AG57=1,AH57*AL57,0)</f>
        <v>0</v>
      </c>
      <c r="C57" s="138">
        <f>IF(AG57=1,AT57,0)</f>
        <v>0</v>
      </c>
      <c r="D57" s="60">
        <f t="shared" ref="D57:D59" si="9">B57*C57/1000</f>
        <v>0</v>
      </c>
      <c r="E57" s="60" t="str">
        <f>VLOOKUP(1598,Sprachindex!$A:$Z,Erhebungsbogen!$Y$20,FALSE)</f>
        <v>[mm]</v>
      </c>
      <c r="F57" s="60" t="s">
        <v>21878</v>
      </c>
      <c r="G57" s="514" t="str">
        <f>VLOOKUP(1661,Sprachindex!$A:$Z,Erhebungsbogen!$Y$20,FALSE) &amp; IF(AND(Kalk3!$AA$5=2,Kalk3!$AA$15),", " &amp; VLOOKUP(1645,Sprachindex!$A:$Z,Erhebungsbogen!$Y$20,FALSE) &amp; " " &amp; $U$8,", "&amp; VLOOKUP(1648,Sprachindex!$A:$Z,Erhebungsbogen!$Y$20,FALSE)) &amp; " (" &amp; ROUNDUP(C57/1000*Preisliste!I37,2) &amp; " " &amp; VLOOKUP(1744,Sprachindex!$A:$Z,Erhebungsbogen!$Y$20,FALSE) &amp; ")"</f>
        <v>Dammbalken 50/150 exkl. Dichtung, gesägt und entgratet, blank (0 kg/Stk)</v>
      </c>
      <c r="H57" s="514"/>
      <c r="I57" s="514"/>
      <c r="J57" s="514"/>
      <c r="K57" s="514"/>
      <c r="L57" s="514"/>
      <c r="M57" s="514"/>
      <c r="N57" s="514"/>
      <c r="O57" s="514"/>
      <c r="P57" s="514"/>
      <c r="Q57" s="514"/>
      <c r="R57" s="514"/>
      <c r="S57" s="514"/>
      <c r="T57" s="514"/>
      <c r="U57" s="352">
        <f>IF(AND(Kalk3!$AA$5=2,Kalk3!$AA$15),VLOOKUP(F57,Preisliste!C:G,5,FALSE),VLOOKUP(F57,Preisliste!C:G,4,FALSE))</f>
        <v>138.30000000000001</v>
      </c>
      <c r="V57" s="352">
        <f t="shared" ref="V57:V59" si="10">U57*D57</f>
        <v>0</v>
      </c>
      <c r="W57" s="86"/>
      <c r="X57" s="86"/>
      <c r="Y57" s="86"/>
      <c r="Z57" s="143">
        <f>IF(AND(Kalk3!$AA$5=2,Kalk3!$AA$15),(VLOOKUP(F57,Preisliste!C:G,5,FALSE)-VLOOKUP(F57,Preisliste!C:G,4,FALSE))*D57/1000,0)</f>
        <v>0</v>
      </c>
      <c r="AA57" s="86"/>
      <c r="AB57" s="86"/>
      <c r="AC57" s="86"/>
      <c r="AD57" s="86"/>
      <c r="AE57" s="86"/>
      <c r="AF57" s="86"/>
      <c r="AG57" s="244">
        <f>IF(AND(Kalk3!$AA$19=2,AND(Kalk3!H28&gt;0,Kalk3!H29&gt;0)),1,0)</f>
        <v>0</v>
      </c>
      <c r="AH57" s="66">
        <f>Kalk3!$H$33*Kalk3!$H$37</f>
        <v>1</v>
      </c>
      <c r="AI57" s="55" t="s">
        <v>22081</v>
      </c>
      <c r="AK57" s="55" t="s">
        <v>22079</v>
      </c>
      <c r="AL57" s="66">
        <f>Kalk3!$AH$40</f>
        <v>0</v>
      </c>
      <c r="AM57" s="55" t="s">
        <v>22096</v>
      </c>
      <c r="AT57" s="66">
        <f>Kalk3!$AH$38</f>
        <v>0</v>
      </c>
      <c r="AU57" s="55" t="s">
        <v>21845</v>
      </c>
    </row>
    <row r="58" spans="2:84" ht="24.95" customHeight="1">
      <c r="B58" s="93">
        <f t="shared" si="8"/>
        <v>0</v>
      </c>
      <c r="C58" s="138">
        <f>IF(AG58=1,AT58,0)</f>
        <v>0</v>
      </c>
      <c r="D58" s="60">
        <f t="shared" si="9"/>
        <v>0</v>
      </c>
      <c r="E58" s="60" t="str">
        <f>VLOOKUP(1598,Sprachindex!$A:$Z,Erhebungsbogen!$Y$20,FALSE)</f>
        <v>[mm]</v>
      </c>
      <c r="F58" s="60" t="s">
        <v>21879</v>
      </c>
      <c r="G58" s="514" t="str">
        <f>VLOOKUP(1662,Sprachindex!$A:$Z,Erhebungsbogen!$Y$20,FALSE) &amp; IF(AND(Kalk3!$AA$5=2,Kalk3!$AA$15),", " &amp; VLOOKUP(1645,Sprachindex!$A:$Z,Erhebungsbogen!$Y$20,FALSE) &amp; " " &amp; $U$8,", "&amp; VLOOKUP(1648,Sprachindex!$A:$Z,Erhebungsbogen!$Y$20,FALSE)) &amp; " (" &amp; ROUNDUP(C58/1000*Preisliste!I38,2) &amp; " " &amp; VLOOKUP(1744,Sprachindex!$A:$Z,Erhebungsbogen!$Y$20,FALSE) &amp; ")"</f>
        <v>Dammbalken 50/200 exkl. Dichtung, gesägt und entgratet, blank (0 kg/Stk)</v>
      </c>
      <c r="H58" s="514"/>
      <c r="I58" s="514"/>
      <c r="J58" s="514"/>
      <c r="K58" s="514"/>
      <c r="L58" s="514"/>
      <c r="M58" s="514"/>
      <c r="N58" s="514"/>
      <c r="O58" s="514"/>
      <c r="P58" s="514"/>
      <c r="Q58" s="514"/>
      <c r="R58" s="514"/>
      <c r="S58" s="514"/>
      <c r="T58" s="514"/>
      <c r="U58" s="352">
        <f>IF(AND(Kalk3!$AA$5=2,Kalk3!$AA$15),VLOOKUP(F58,Preisliste!C:G,5,FALSE),VLOOKUP(F58,Preisliste!C:G,4,FALSE))</f>
        <v>132.1</v>
      </c>
      <c r="V58" s="352">
        <f t="shared" si="10"/>
        <v>0</v>
      </c>
      <c r="W58" s="86"/>
      <c r="X58" s="86"/>
      <c r="Y58" s="86"/>
      <c r="Z58" s="143">
        <f>IF(AND(Kalk3!$AA$5=2,Kalk3!$AA$15),(VLOOKUP(F58,Preisliste!C:G,5,FALSE)-VLOOKUP(F58,Preisliste!C:G,4,FALSE))*D58/1000,0)</f>
        <v>0</v>
      </c>
      <c r="AA58" s="86"/>
      <c r="AB58" s="86"/>
      <c r="AC58" s="86"/>
      <c r="AD58" s="86"/>
      <c r="AE58" s="86"/>
      <c r="AF58" s="86"/>
      <c r="AG58" s="55">
        <f>IF(Kalk3!$AA$19=3,1,0)</f>
        <v>1</v>
      </c>
      <c r="AH58" s="66">
        <f>Kalk3!$H$33*Kalk3!$H$37</f>
        <v>1</v>
      </c>
      <c r="AI58" s="55" t="s">
        <v>22081</v>
      </c>
      <c r="AK58" s="55" t="s">
        <v>22079</v>
      </c>
      <c r="AL58" s="66">
        <f>Kalk3!$AH$40</f>
        <v>0</v>
      </c>
      <c r="AM58" s="55" t="s">
        <v>22096</v>
      </c>
      <c r="AT58" s="66">
        <f>Kalk3!$AH$38</f>
        <v>0</v>
      </c>
      <c r="AU58" s="55" t="s">
        <v>21845</v>
      </c>
    </row>
    <row r="59" spans="2:84" ht="24.95" customHeight="1">
      <c r="B59" s="93">
        <f>IF(AG59=1,AH59*AL59,0)</f>
        <v>0</v>
      </c>
      <c r="C59" s="138">
        <f>IF(AG59=1,AT59,0)</f>
        <v>0</v>
      </c>
      <c r="D59" s="60">
        <f t="shared" si="9"/>
        <v>0</v>
      </c>
      <c r="E59" s="60" t="str">
        <f>VLOOKUP(1598,Sprachindex!$A:$Z,Erhebungsbogen!$Y$20,FALSE)</f>
        <v>[mm]</v>
      </c>
      <c r="F59" s="60" t="s">
        <v>21880</v>
      </c>
      <c r="G59" s="514" t="str">
        <f>VLOOKUP(1663,Sprachindex!$A:$Z,Erhebungsbogen!$Y$20,FALSE) &amp; IF(AND(Kalk3!$AA$5=2,Kalk3!$AA$15),", " &amp; VLOOKUP(1645,Sprachindex!$A:$Z,Erhebungsbogen!$Y$20,FALSE) &amp; " " &amp; $U$8,", "&amp; VLOOKUP(1648,Sprachindex!$A:$Z,Erhebungsbogen!$Y$20,FALSE)) &amp; " (" &amp; ROUNDUP(C59/1000*Preisliste!I39,2) &amp; " " &amp; VLOOKUP(1744,Sprachindex!$A:$Z,Erhebungsbogen!$Y$20,FALSE) &amp; ")"</f>
        <v>Dammbalken 80/200 exkl. Dichtung, gesägt und entgratet, blank (0 kg/Stk)</v>
      </c>
      <c r="H59" s="514"/>
      <c r="I59" s="514"/>
      <c r="J59" s="514"/>
      <c r="K59" s="514"/>
      <c r="L59" s="514"/>
      <c r="M59" s="514"/>
      <c r="N59" s="514"/>
      <c r="O59" s="514"/>
      <c r="P59" s="514"/>
      <c r="Q59" s="514"/>
      <c r="R59" s="514"/>
      <c r="S59" s="514"/>
      <c r="T59" s="514"/>
      <c r="U59" s="352">
        <f>IF(AND(Kalk3!$AA$5=2,Kalk3!$AA$15),VLOOKUP(F59,Preisliste!C:G,5,FALSE),VLOOKUP(F59,Preisliste!C:G,4,FALSE))</f>
        <v>203.05</v>
      </c>
      <c r="V59" s="352">
        <f t="shared" si="10"/>
        <v>0</v>
      </c>
      <c r="W59" s="86"/>
      <c r="X59" s="86"/>
      <c r="Y59" s="86"/>
      <c r="Z59" s="143">
        <f>IF(AND(Kalk3!$AA$5=2,Kalk3!$AA$15),(VLOOKUP(F59,Preisliste!C:G,5,FALSE)-VLOOKUP(F59,Preisliste!C:G,4,FALSE))*D59/1000,0)</f>
        <v>0</v>
      </c>
      <c r="AA59" s="86"/>
      <c r="AB59" s="86"/>
      <c r="AC59" s="86"/>
      <c r="AD59" s="86"/>
      <c r="AE59" s="86"/>
      <c r="AF59" s="86"/>
      <c r="AG59" s="55">
        <f>IF(Kalk3!$AA$19=4,1,0)</f>
        <v>0</v>
      </c>
      <c r="AH59" s="66">
        <f>Kalk3!$H$33*Kalk3!$H$37</f>
        <v>1</v>
      </c>
      <c r="AI59" s="55" t="s">
        <v>22081</v>
      </c>
      <c r="AK59" s="55" t="s">
        <v>22079</v>
      </c>
      <c r="AL59" s="66">
        <f>Kalk3!$AH$40</f>
        <v>0</v>
      </c>
      <c r="AM59" s="55" t="s">
        <v>22096</v>
      </c>
      <c r="AT59" s="66">
        <f>Kalk3!$AH$38</f>
        <v>0</v>
      </c>
      <c r="AU59" s="55" t="s">
        <v>21845</v>
      </c>
    </row>
    <row r="60" spans="2:84" ht="24.95" customHeight="1">
      <c r="B60" s="94">
        <f>IF(AG60=1,AL60,0)</f>
        <v>0</v>
      </c>
      <c r="C60" s="60"/>
      <c r="D60" s="60">
        <f>B60</f>
        <v>0</v>
      </c>
      <c r="E60" s="60" t="str">
        <f>VLOOKUP(1601,Sprachindex!$A:$Z,Erhebungsbogen!$Y$20,FALSE)</f>
        <v>[VPE]</v>
      </c>
      <c r="F60" s="60" t="s">
        <v>21947</v>
      </c>
      <c r="G60" s="514" t="str">
        <f>VLOOKUP(1664,Sprachindex!$A:$Z,Erhebungsbogen!$Y$20,FALSE) &amp; " [" &amp; VLOOKUP(992,Sprachindex!$A:$Z,Erhebungsbogen!$Y$20,FALSE) &amp; " =25 "&amp; VLOOKUP(1512,Sprachindex!$A:$Z,Erhebungsbogen!$Y$20,FALSE) &amp; "]"</f>
        <v>Dammbalkendichtung (25) [VPE =25 lfm]</v>
      </c>
      <c r="H60" s="514"/>
      <c r="I60" s="514"/>
      <c r="J60" s="514"/>
      <c r="K60" s="514"/>
      <c r="L60" s="514"/>
      <c r="M60" s="514"/>
      <c r="N60" s="514"/>
      <c r="O60" s="514"/>
      <c r="P60" s="514"/>
      <c r="Q60" s="514"/>
      <c r="R60" s="514"/>
      <c r="S60" s="514"/>
      <c r="T60" s="514"/>
      <c r="U60" s="352">
        <f>VLOOKUP(F60,Preisliste!C:F,4,FALSE)</f>
        <v>72.599999999999994</v>
      </c>
      <c r="V60" s="352">
        <f t="shared" ref="V60:V61" si="11">U60*D60</f>
        <v>0</v>
      </c>
      <c r="W60" s="86"/>
      <c r="X60" s="86"/>
      <c r="Y60" s="86"/>
      <c r="Z60" s="86"/>
      <c r="AA60" s="86"/>
      <c r="AB60" s="86"/>
      <c r="AC60" s="86"/>
      <c r="AD60" s="86"/>
      <c r="AE60" s="86"/>
      <c r="AF60" s="86"/>
      <c r="AG60" s="55">
        <f>IF(Kalk3!$AA$19=1,1,0)</f>
        <v>0</v>
      </c>
      <c r="AK60" s="55" t="s">
        <v>22100</v>
      </c>
      <c r="AL60" s="66">
        <f>Kalk3!$AH$43</f>
        <v>0</v>
      </c>
      <c r="AM60" s="55" t="s">
        <v>12148</v>
      </c>
    </row>
    <row r="61" spans="2:84" ht="24.95" customHeight="1">
      <c r="B61" s="94">
        <f>IF(AG61=1,AL61,0)</f>
        <v>0</v>
      </c>
      <c r="C61" s="60"/>
      <c r="D61" s="60">
        <f>B61</f>
        <v>0</v>
      </c>
      <c r="E61" s="60" t="str">
        <f>VLOOKUP(1601,Sprachindex!$A:$Z,Erhebungsbogen!$Y$20,FALSE)</f>
        <v>[VPE]</v>
      </c>
      <c r="F61" s="60" t="s">
        <v>21946</v>
      </c>
      <c r="G61" s="514" t="str">
        <f>VLOOKUP(1665,Sprachindex!$A:$Z,Erhebungsbogen!$Y$20,FALSE) &amp; " [" &amp; VLOOKUP(992,Sprachindex!$A:$Z,Erhebungsbogen!$Y$20,FALSE) &amp; " =25 "&amp; VLOOKUP(1512,Sprachindex!$A:$Z,Erhebungsbogen!$Y$20,FALSE) &amp; "]"</f>
        <v>Dammbalkendichtung (50+80) [VPE =25 lfm]</v>
      </c>
      <c r="H61" s="514"/>
      <c r="I61" s="514"/>
      <c r="J61" s="514"/>
      <c r="K61" s="514"/>
      <c r="L61" s="514"/>
      <c r="M61" s="514"/>
      <c r="N61" s="514"/>
      <c r="O61" s="514"/>
      <c r="P61" s="514"/>
      <c r="Q61" s="514"/>
      <c r="R61" s="514"/>
      <c r="S61" s="514"/>
      <c r="T61" s="514"/>
      <c r="U61" s="352">
        <f>VLOOKUP(F61,Preisliste!C:F,4,FALSE)</f>
        <v>73.45</v>
      </c>
      <c r="V61" s="352">
        <f t="shared" si="11"/>
        <v>0</v>
      </c>
      <c r="W61" s="86"/>
      <c r="X61" s="86"/>
      <c r="Y61" s="86"/>
      <c r="Z61" s="86"/>
      <c r="AA61" s="86"/>
      <c r="AB61" s="86"/>
      <c r="AC61" s="86"/>
      <c r="AD61" s="86"/>
      <c r="AE61" s="86"/>
      <c r="AF61" s="86"/>
      <c r="AG61" s="55">
        <f>IF(AND(OR(Kalk3!$AA$19=2,Kalk3!$AA$19=3,Kalk3!$AA$19=4),AND(Kalk3!H28&gt;0,Kalk3!H29&gt;0)),1,0)</f>
        <v>0</v>
      </c>
      <c r="AK61" s="55" t="s">
        <v>22100</v>
      </c>
      <c r="AL61" s="66">
        <f>Kalk3!$AH$43</f>
        <v>0</v>
      </c>
      <c r="AM61" s="55" t="s">
        <v>12148</v>
      </c>
    </row>
    <row r="62" spans="2:84" ht="24.95" customHeight="1">
      <c r="B62" s="93">
        <v>1</v>
      </c>
      <c r="C62" s="60"/>
      <c r="D62" s="60"/>
      <c r="E62" s="60" t="str">
        <f>VLOOKUP(1600,Sprachindex!$A:$Z,Erhebungsbogen!$Y$20,FALSE)</f>
        <v>[Stk]</v>
      </c>
      <c r="F62" s="60" t="s">
        <v>21977</v>
      </c>
      <c r="G62" s="514" t="str">
        <f>VLOOKUP(1666,Sprachindex!$A:$Z,Erhebungsbogen!$Y$20,FALSE)</f>
        <v>Dammbalkenhaken</v>
      </c>
      <c r="H62" s="514"/>
      <c r="I62" s="514"/>
      <c r="J62" s="514"/>
      <c r="K62" s="514"/>
      <c r="L62" s="514"/>
      <c r="M62" s="514"/>
      <c r="N62" s="514"/>
      <c r="O62" s="514"/>
      <c r="P62" s="514"/>
      <c r="Q62" s="514"/>
      <c r="R62" s="514"/>
      <c r="S62" s="514"/>
      <c r="T62" s="514"/>
      <c r="U62" s="352">
        <f>VLOOKUP(F62,Preisliste!C:F,4,FALSE)</f>
        <v>0</v>
      </c>
      <c r="V62" s="352">
        <f t="shared" ref="V62" si="12">U62*B62</f>
        <v>0</v>
      </c>
      <c r="W62" s="86"/>
      <c r="X62" s="86"/>
      <c r="Y62" s="86"/>
      <c r="Z62" s="86"/>
      <c r="AA62" s="86"/>
      <c r="AB62" s="86"/>
      <c r="AC62" s="86"/>
      <c r="AD62" s="86"/>
      <c r="AE62" s="86"/>
      <c r="AF62" s="86"/>
    </row>
    <row r="63" spans="2:84" ht="24.95" customHeight="1">
      <c r="B63" s="94">
        <f t="shared" ref="B63:B65" si="13">IF(AG63=1,AL63,0)</f>
        <v>0</v>
      </c>
      <c r="C63" s="60"/>
      <c r="D63" s="60">
        <f t="shared" ref="D63:D67" si="14">B63</f>
        <v>0</v>
      </c>
      <c r="E63" s="60" t="str">
        <f>VLOOKUP(1596,Sprachindex!$A:$Z,Erhebungsbogen!$Y$20,FALSE)</f>
        <v>[lfm]</v>
      </c>
      <c r="F63" s="60" t="s">
        <v>21974</v>
      </c>
      <c r="G63" s="514" t="str">
        <f>VLOOKUP(1672,Sprachindex!$A:$Z,Erhebungsbogen!$Y$20,FALSE) &amp; " [" &amp; VLOOKUP(992,Sprachindex!$A:$Z,Erhebungsbogen!$Y$20,FALSE) &amp; " =1 "&amp; VLOOKUP(1512,Sprachindex!$A:$Z,Erhebungsbogen!$Y$20,FALSE) &amp; "]"</f>
        <v>Dauerbodendichtung 25 [VPE =1 lfm]</v>
      </c>
      <c r="H63" s="514"/>
      <c r="I63" s="514"/>
      <c r="J63" s="514"/>
      <c r="K63" s="514"/>
      <c r="L63" s="514"/>
      <c r="M63" s="514"/>
      <c r="N63" s="514"/>
      <c r="O63" s="514"/>
      <c r="P63" s="514"/>
      <c r="Q63" s="514"/>
      <c r="R63" s="514"/>
      <c r="S63" s="514"/>
      <c r="T63" s="514"/>
      <c r="U63" s="352">
        <f>VLOOKUP(F63,Preisliste!C:F,4,FALSE)</f>
        <v>38.1</v>
      </c>
      <c r="V63" s="352">
        <f t="shared" ref="V63:V65" si="15">U63*D63</f>
        <v>0</v>
      </c>
      <c r="W63" s="86"/>
      <c r="X63" s="86"/>
      <c r="Y63" s="86"/>
      <c r="Z63" s="86"/>
      <c r="AA63" s="86"/>
      <c r="AB63" s="86"/>
      <c r="AC63" s="86"/>
      <c r="AD63" s="86"/>
      <c r="AE63" s="86"/>
      <c r="AF63" s="86"/>
      <c r="AG63" s="55">
        <f>IF(AND(Kalk3!$AA$19=1,Kalk3!$AA$29),1,0)</f>
        <v>0</v>
      </c>
      <c r="AK63" s="55" t="s">
        <v>22100</v>
      </c>
      <c r="AL63" s="66">
        <f>Kalk3!$AH$45</f>
        <v>0</v>
      </c>
      <c r="AM63" s="55" t="s">
        <v>17115</v>
      </c>
    </row>
    <row r="64" spans="2:84" ht="24.95" customHeight="1">
      <c r="B64" s="94">
        <f t="shared" si="13"/>
        <v>0</v>
      </c>
      <c r="C64" s="60"/>
      <c r="D64" s="60">
        <f t="shared" si="14"/>
        <v>0</v>
      </c>
      <c r="E64" s="60" t="str">
        <f>VLOOKUP(1596,Sprachindex!$A:$Z,Erhebungsbogen!$Y$20,FALSE)</f>
        <v>[lfm]</v>
      </c>
      <c r="F64" s="60" t="s">
        <v>21949</v>
      </c>
      <c r="G64" s="514" t="str">
        <f>VLOOKUP(1673,Sprachindex!$A:$Z,Erhebungsbogen!$Y$20,FALSE) &amp; " [" &amp; VLOOKUP(992,Sprachindex!$A:$Z,Erhebungsbogen!$Y$20,FALSE) &amp; " =1 "&amp; VLOOKUP(1512,Sprachindex!$A:$Z,Erhebungsbogen!$Y$20,FALSE) &amp; "]"</f>
        <v>Dauerbodendichtung 50 [VPE =1 lfm]</v>
      </c>
      <c r="H64" s="514"/>
      <c r="I64" s="514"/>
      <c r="J64" s="514"/>
      <c r="K64" s="514"/>
      <c r="L64" s="514"/>
      <c r="M64" s="514"/>
      <c r="N64" s="514"/>
      <c r="O64" s="514"/>
      <c r="P64" s="514"/>
      <c r="Q64" s="514"/>
      <c r="R64" s="514"/>
      <c r="S64" s="514"/>
      <c r="T64" s="514"/>
      <c r="U64" s="352">
        <f>VLOOKUP(F64,Preisliste!C:F,4,FALSE)</f>
        <v>58.65</v>
      </c>
      <c r="V64" s="352">
        <f t="shared" si="15"/>
        <v>0</v>
      </c>
      <c r="W64" s="86"/>
      <c r="X64" s="86"/>
      <c r="Y64" s="86"/>
      <c r="Z64" s="86"/>
      <c r="AA64" s="86"/>
      <c r="AB64" s="86"/>
      <c r="AC64" s="86"/>
      <c r="AD64" s="86"/>
      <c r="AE64" s="86"/>
      <c r="AF64" s="86"/>
      <c r="AG64" s="55">
        <f>IF(AND(OR(Kalk3!$AA$19=2,Kalk3!$AA$19=3),Kalk3!$AA$29),1,0)</f>
        <v>0</v>
      </c>
      <c r="AK64" s="55" t="s">
        <v>22100</v>
      </c>
      <c r="AL64" s="66">
        <f>Kalk3!$AH$45</f>
        <v>0</v>
      </c>
      <c r="AM64" s="55" t="s">
        <v>17115</v>
      </c>
    </row>
    <row r="65" spans="2:53" ht="24.95" customHeight="1">
      <c r="B65" s="94">
        <f t="shared" si="13"/>
        <v>0</v>
      </c>
      <c r="C65" s="60"/>
      <c r="D65" s="60">
        <f t="shared" si="14"/>
        <v>0</v>
      </c>
      <c r="E65" s="60" t="str">
        <f>VLOOKUP(1596,Sprachindex!$A:$Z,Erhebungsbogen!$Y$20,FALSE)</f>
        <v>[lfm]</v>
      </c>
      <c r="F65" s="60" t="s">
        <v>21950</v>
      </c>
      <c r="G65" s="514" t="str">
        <f>VLOOKUP(1674,Sprachindex!$A:$Z,Erhebungsbogen!$Y$20,FALSE) &amp; " [" &amp; VLOOKUP(992,Sprachindex!$A:$Z,Erhebungsbogen!$Y$20,FALSE) &amp; " =1 "&amp; VLOOKUP(1512,Sprachindex!$A:$Z,Erhebungsbogen!$Y$20,FALSE) &amp; "]"</f>
        <v>Dauerbodendichtung 80 [VPE =1 lfm]</v>
      </c>
      <c r="H65" s="514"/>
      <c r="I65" s="514"/>
      <c r="J65" s="514"/>
      <c r="K65" s="514"/>
      <c r="L65" s="514"/>
      <c r="M65" s="514"/>
      <c r="N65" s="514"/>
      <c r="O65" s="514"/>
      <c r="P65" s="514"/>
      <c r="Q65" s="514"/>
      <c r="R65" s="514"/>
      <c r="S65" s="514"/>
      <c r="T65" s="514"/>
      <c r="U65" s="352">
        <f>VLOOKUP(F65,Preisliste!C:F,4,FALSE)</f>
        <v>99.05</v>
      </c>
      <c r="V65" s="352">
        <f t="shared" si="15"/>
        <v>0</v>
      </c>
      <c r="W65" s="86"/>
      <c r="X65" s="86"/>
      <c r="Y65" s="86"/>
      <c r="Z65" s="86"/>
      <c r="AA65" s="86"/>
      <c r="AB65" s="86"/>
      <c r="AC65" s="86"/>
      <c r="AD65" s="86"/>
      <c r="AE65" s="86"/>
      <c r="AF65" s="86"/>
      <c r="AG65" s="55">
        <f>IF(AND(Kalk3!$AA$19=4,Kalk3!$AA$29),1,0)</f>
        <v>0</v>
      </c>
      <c r="AK65" s="55" t="s">
        <v>22100</v>
      </c>
      <c r="AL65" s="66">
        <f>Kalk3!$AH$45</f>
        <v>0</v>
      </c>
      <c r="AM65" s="55" t="s">
        <v>17115</v>
      </c>
    </row>
    <row r="66" spans="2:53" ht="24.95" customHeight="1">
      <c r="B66" s="93">
        <f>IF(AND(AG66&gt;0,AL66&gt;0),AL66,0)</f>
        <v>0</v>
      </c>
      <c r="C66" s="60"/>
      <c r="D66" s="60">
        <f t="shared" si="14"/>
        <v>0</v>
      </c>
      <c r="E66" s="60" t="str">
        <f>VLOOKUP(1600,Sprachindex!$A:$Z,Erhebungsbogen!$Y$20,FALSE)</f>
        <v>[Stk]</v>
      </c>
      <c r="F66" s="60" t="s">
        <v>21978</v>
      </c>
      <c r="G66" s="514" t="str">
        <f>VLOOKUP(1681,Sprachindex!$A:$Z,Erhebungsbogen!$Y$20,FALSE)</f>
        <v>Dichtungsroller 25/50</v>
      </c>
      <c r="H66" s="515"/>
      <c r="I66" s="515"/>
      <c r="J66" s="515"/>
      <c r="K66" s="515"/>
      <c r="L66" s="515"/>
      <c r="M66" s="515"/>
      <c r="N66" s="515"/>
      <c r="O66" s="515"/>
      <c r="P66" s="515"/>
      <c r="Q66" s="515"/>
      <c r="R66" s="515"/>
      <c r="S66" s="515"/>
      <c r="T66" s="516"/>
      <c r="U66" s="352">
        <f>VLOOKUP(F66,Preisliste!C:F,4,FALSE)</f>
        <v>49.75</v>
      </c>
      <c r="V66" s="352">
        <f t="shared" ref="V66:V129" si="16">U66*B66</f>
        <v>0</v>
      </c>
      <c r="W66" s="86"/>
      <c r="X66" s="86"/>
      <c r="Y66" s="86"/>
      <c r="Z66" s="86"/>
      <c r="AA66" s="86"/>
      <c r="AB66" s="86"/>
      <c r="AC66" s="86"/>
      <c r="AD66" s="86"/>
      <c r="AE66" s="86"/>
      <c r="AF66" s="86"/>
      <c r="AG66" s="55">
        <f>IF(AND(Kalk3!$AA$33,Kalk3!$Q$36&gt;0),1,0)</f>
        <v>0</v>
      </c>
      <c r="AK66" s="55" t="s">
        <v>22100</v>
      </c>
      <c r="AL66" s="66">
        <f>Kalk3!Q36*Kalk3!$H$37</f>
        <v>0</v>
      </c>
      <c r="AM66" s="55" t="s">
        <v>20872</v>
      </c>
    </row>
    <row r="67" spans="2:53" ht="24.95" customHeight="1">
      <c r="B67" s="93">
        <f>IF(AND(AG67&gt;0,AL67&gt;0),AL67,0)</f>
        <v>0</v>
      </c>
      <c r="C67" s="60"/>
      <c r="D67" s="60">
        <f t="shared" si="14"/>
        <v>0</v>
      </c>
      <c r="E67" s="60" t="str">
        <f>VLOOKUP(1600,Sprachindex!$A:$Z,Erhebungsbogen!$Y$20,FALSE)</f>
        <v>[Stk]</v>
      </c>
      <c r="F67" s="60" t="s">
        <v>21979</v>
      </c>
      <c r="G67" s="514" t="str">
        <f>VLOOKUP(1682,Sprachindex!$A:$Z,Erhebungsbogen!$Y$20,FALSE)</f>
        <v>Dichtungsroller 80</v>
      </c>
      <c r="H67" s="515"/>
      <c r="I67" s="515"/>
      <c r="J67" s="515"/>
      <c r="K67" s="515"/>
      <c r="L67" s="515"/>
      <c r="M67" s="515"/>
      <c r="N67" s="515"/>
      <c r="O67" s="515"/>
      <c r="P67" s="515"/>
      <c r="Q67" s="515"/>
      <c r="R67" s="515"/>
      <c r="S67" s="515"/>
      <c r="T67" s="516"/>
      <c r="U67" s="352">
        <f>VLOOKUP(F67,Preisliste!C:F,4,FALSE)</f>
        <v>49.75</v>
      </c>
      <c r="V67" s="352">
        <f t="shared" si="16"/>
        <v>0</v>
      </c>
      <c r="W67" s="86"/>
      <c r="X67" s="86"/>
      <c r="Y67" s="86"/>
      <c r="Z67" s="86"/>
      <c r="AA67" s="86"/>
      <c r="AB67" s="86"/>
      <c r="AC67" s="86"/>
      <c r="AD67" s="86"/>
      <c r="AE67" s="86"/>
      <c r="AF67" s="86"/>
      <c r="AG67" s="55">
        <f>IF(AND(Kalk3!$AA$34,Kalk3!$Q$37&gt;0),1,0)</f>
        <v>0</v>
      </c>
      <c r="AK67" s="55" t="s">
        <v>22100</v>
      </c>
      <c r="AL67" s="66">
        <f>Kalk3!Q37*Kalk3!$H$37</f>
        <v>0</v>
      </c>
      <c r="AM67" s="55" t="s">
        <v>20872</v>
      </c>
    </row>
    <row r="68" spans="2:53" ht="24.95" customHeight="1">
      <c r="B68" s="93">
        <f>IF(AG68=1,AZ68,0)</f>
        <v>0</v>
      </c>
      <c r="C68" s="60">
        <v>750</v>
      </c>
      <c r="D68" s="60"/>
      <c r="E68" s="60" t="str">
        <f>VLOOKUP(1600,Sprachindex!$A:$Z,Erhebungsbogen!$Y$20,FALSE)</f>
        <v>[Stk]</v>
      </c>
      <c r="F68" s="60" t="s">
        <v>21884</v>
      </c>
      <c r="G68" s="514" t="str">
        <f>VLOOKUP(2124,Sprachindex!$A:$Z,Erhebungsbogen!$Y$20,FALSE) &amp; IF(AND(Kalk3!$AA$5=2,Kalk3!$AA$13),", " &amp; VLOOKUP(1645,Sprachindex!$A:$Z,Erhebungsbogen!$Y$20,FALSE) &amp; " " &amp; $U$8,", "&amp; VLOOKUP(1648,Sprachindex!$A:$Z,Erhebungsbogen!$Y$20,FALSE))</f>
        <v>Grundprofil 25 (H-Profil v.d.L.) exkl. Dichtung, gebohrt und entgratet, blank</v>
      </c>
      <c r="H68" s="514"/>
      <c r="I68" s="514"/>
      <c r="J68" s="514"/>
      <c r="K68" s="514"/>
      <c r="L68" s="514"/>
      <c r="M68" s="514"/>
      <c r="N68" s="514"/>
      <c r="O68" s="514"/>
      <c r="P68" s="514"/>
      <c r="Q68" s="514"/>
      <c r="R68" s="514"/>
      <c r="S68" s="514"/>
      <c r="T68" s="514"/>
      <c r="U68" s="352">
        <f>IF(AND(Kalk3!$AA$5=2,Kalk3!$AA$13),VLOOKUP(F68,Preisliste!C:G,5,FALSE),VLOOKUP(F68,Preisliste!C:G,4,FALSE))</f>
        <v>95</v>
      </c>
      <c r="V68" s="352">
        <f t="shared" si="16"/>
        <v>0</v>
      </c>
      <c r="W68" s="86"/>
      <c r="X68" s="86"/>
      <c r="Y68" s="86"/>
      <c r="Z68" s="143">
        <f>IF(AND(Kalk3!$AA$5=2,Kalk3!$AA$13),(VLOOKUP(F68,Preisliste!C:G,5,FALSE)-VLOOKUP(F68,Preisliste!C:G,4,FALSE))*B68,0)</f>
        <v>0</v>
      </c>
      <c r="AA68" s="86"/>
      <c r="AB68" s="86"/>
      <c r="AC68" s="86"/>
      <c r="AD68" s="86"/>
      <c r="AE68" s="86"/>
      <c r="AF68" s="86"/>
      <c r="AG68" s="55">
        <f>IF(AND(AH68=1,AL68=1,AP68=1,AND(Kalk3!H28&gt;0,Kalk3!H29&gt;Kalk3!B1)),1,0)</f>
        <v>0</v>
      </c>
      <c r="AH68" s="66">
        <f>IF(Kalk3!$AA$19=1,1,0)</f>
        <v>0</v>
      </c>
      <c r="AI68" s="55">
        <v>25</v>
      </c>
      <c r="AK68" s="55" t="s">
        <v>22079</v>
      </c>
      <c r="AL68" s="66">
        <f>IF(OR(Kalk3!$AA$7=1,Kalk3!$AA$9=1),1,0)</f>
        <v>1</v>
      </c>
      <c r="AM68" s="55" t="s">
        <v>22083</v>
      </c>
      <c r="AO68" s="55" t="s">
        <v>22079</v>
      </c>
      <c r="AP68" s="66">
        <f>IF(Kalk3!$AI$51=AQ68,1,0)</f>
        <v>1</v>
      </c>
      <c r="AQ68" s="55">
        <v>750</v>
      </c>
      <c r="AU68" s="66">
        <f>IF(Kalk3!$AA$7=1,1,0)</f>
        <v>1</v>
      </c>
      <c r="AV68" s="55" t="s">
        <v>19882</v>
      </c>
      <c r="AW68" s="66">
        <f>IF(Kalk3!$AA$9=1,1,0)</f>
        <v>1</v>
      </c>
      <c r="AX68" s="55" t="s">
        <v>20310</v>
      </c>
      <c r="AY68" s="55" t="s">
        <v>22100</v>
      </c>
      <c r="AZ68" s="66">
        <f>(AU68+AW68)*Kalk3!$H$37</f>
        <v>2</v>
      </c>
      <c r="BA68" s="55" t="s">
        <v>22101</v>
      </c>
    </row>
    <row r="69" spans="2:53" ht="24.95" customHeight="1">
      <c r="B69" s="93">
        <f t="shared" ref="B69:B82" si="17">IF(AG69=1,AZ69,0)</f>
        <v>0</v>
      </c>
      <c r="C69" s="60">
        <v>1350</v>
      </c>
      <c r="D69" s="60"/>
      <c r="E69" s="60" t="str">
        <f>VLOOKUP(1600,Sprachindex!$A:$Z,Erhebungsbogen!$Y$20,FALSE)</f>
        <v>[Stk]</v>
      </c>
      <c r="F69" s="60" t="s">
        <v>21885</v>
      </c>
      <c r="G69" s="514" t="str">
        <f>VLOOKUP(2124,Sprachindex!$A:$Z,Erhebungsbogen!$Y$20,FALSE) &amp; IF(AND(Kalk3!$AA$5=2,Kalk3!$AA$13),", " &amp; VLOOKUP(1645,Sprachindex!$A:$Z,Erhebungsbogen!$Y$20,FALSE) &amp; " " &amp; $U$8,", "&amp; VLOOKUP(1648,Sprachindex!$A:$Z,Erhebungsbogen!$Y$20,FALSE))</f>
        <v>Grundprofil 25 (H-Profil v.d.L.) exkl. Dichtung, gebohrt und entgratet, blank</v>
      </c>
      <c r="H69" s="514"/>
      <c r="I69" s="514"/>
      <c r="J69" s="514"/>
      <c r="K69" s="514"/>
      <c r="L69" s="514"/>
      <c r="M69" s="514"/>
      <c r="N69" s="514"/>
      <c r="O69" s="514"/>
      <c r="P69" s="514"/>
      <c r="Q69" s="514"/>
      <c r="R69" s="514"/>
      <c r="S69" s="514"/>
      <c r="T69" s="514"/>
      <c r="U69" s="352">
        <f>IF(AND(Kalk3!$AA$5=2,Kalk3!$AA$13),VLOOKUP(F69,Preisliste!C:G,5,FALSE),VLOOKUP(F69,Preisliste!C:G,4,FALSE))</f>
        <v>149.85</v>
      </c>
      <c r="V69" s="352">
        <f t="shared" si="16"/>
        <v>0</v>
      </c>
      <c r="W69" s="86"/>
      <c r="X69" s="86"/>
      <c r="Y69" s="86"/>
      <c r="Z69" s="143">
        <f>IF(AND(Kalk3!$AA$5=2,Kalk3!$AA$13),(VLOOKUP(F69,Preisliste!C:G,5,FALSE)-VLOOKUP(F69,Preisliste!C:G,4,FALSE))*B69,0)</f>
        <v>0</v>
      </c>
      <c r="AA69" s="86"/>
      <c r="AB69" s="86"/>
      <c r="AC69" s="86"/>
      <c r="AD69" s="86"/>
      <c r="AE69" s="86"/>
      <c r="AF69" s="86"/>
      <c r="AG69" s="55">
        <f t="shared" ref="AG69:AG72" si="18">IF(AND(AH69=1,AL69=1,AP69=1),1,0)</f>
        <v>0</v>
      </c>
      <c r="AH69" s="66">
        <f>IF(Kalk3!$AA$19=1,1,0)</f>
        <v>0</v>
      </c>
      <c r="AI69" s="55">
        <v>25</v>
      </c>
      <c r="AK69" s="55" t="s">
        <v>22079</v>
      </c>
      <c r="AL69" s="66">
        <f>IF(OR(Kalk3!$AA$7=1,Kalk3!$AA$9=1),1,0)</f>
        <v>1</v>
      </c>
      <c r="AM69" s="55" t="s">
        <v>22083</v>
      </c>
      <c r="AO69" s="55" t="s">
        <v>22079</v>
      </c>
      <c r="AP69" s="66">
        <f>IF(Kalk3!$AI$51=AQ69,1,0)</f>
        <v>0</v>
      </c>
      <c r="AQ69" s="55">
        <v>1350</v>
      </c>
      <c r="AU69" s="66">
        <f>IF(Kalk3!$AA$7=1,1,0)</f>
        <v>1</v>
      </c>
      <c r="AV69" s="55" t="s">
        <v>19882</v>
      </c>
      <c r="AW69" s="66">
        <f>IF(Kalk3!$AA$9=1,1,0)</f>
        <v>1</v>
      </c>
      <c r="AX69" s="55" t="s">
        <v>20310</v>
      </c>
      <c r="AY69" s="55" t="s">
        <v>22100</v>
      </c>
      <c r="AZ69" s="66">
        <f>(AU69+AW69)*Kalk3!$H$37</f>
        <v>2</v>
      </c>
      <c r="BA69" s="55" t="s">
        <v>22101</v>
      </c>
    </row>
    <row r="70" spans="2:53" ht="24.95" customHeight="1">
      <c r="B70" s="93">
        <f t="shared" si="17"/>
        <v>0</v>
      </c>
      <c r="C70" s="60">
        <v>1750</v>
      </c>
      <c r="D70" s="60"/>
      <c r="E70" s="60" t="str">
        <f>VLOOKUP(1600,Sprachindex!$A:$Z,Erhebungsbogen!$Y$20,FALSE)</f>
        <v>[Stk]</v>
      </c>
      <c r="F70" s="60" t="s">
        <v>21984</v>
      </c>
      <c r="G70" s="514" t="str">
        <f>VLOOKUP(2124,Sprachindex!$A:$Z,Erhebungsbogen!$Y$20,FALSE) &amp; IF(AND(Kalk3!$AA$5=2,Kalk3!$AA$13),", " &amp; VLOOKUP(1645,Sprachindex!$A:$Z,Erhebungsbogen!$Y$20,FALSE) &amp; " " &amp; $U$8,", "&amp; VLOOKUP(1648,Sprachindex!$A:$Z,Erhebungsbogen!$Y$20,FALSE))</f>
        <v>Grundprofil 25 (H-Profil v.d.L.) exkl. Dichtung, gebohrt und entgratet, blank</v>
      </c>
      <c r="H70" s="514"/>
      <c r="I70" s="514"/>
      <c r="J70" s="514"/>
      <c r="K70" s="514"/>
      <c r="L70" s="514"/>
      <c r="M70" s="514"/>
      <c r="N70" s="514"/>
      <c r="O70" s="514"/>
      <c r="P70" s="514"/>
      <c r="Q70" s="514"/>
      <c r="R70" s="514"/>
      <c r="S70" s="514"/>
      <c r="T70" s="514"/>
      <c r="U70" s="352">
        <f>IF(AND(Kalk3!$AA$5=2,Kalk3!$AA$13),VLOOKUP(F70,Preisliste!C:G,5,FALSE),VLOOKUP(F70,Preisliste!C:G,4,FALSE))</f>
        <v>186.4</v>
      </c>
      <c r="V70" s="352">
        <f t="shared" si="16"/>
        <v>0</v>
      </c>
      <c r="W70" s="86"/>
      <c r="X70" s="86"/>
      <c r="Y70" s="86"/>
      <c r="Z70" s="143">
        <f>IF(AND(Kalk3!$AA$5=2,Kalk3!$AA$13),(VLOOKUP(F70,Preisliste!C:G,5,FALSE)-VLOOKUP(F70,Preisliste!C:G,4,FALSE))*B70,0)</f>
        <v>0</v>
      </c>
      <c r="AA70" s="86"/>
      <c r="AB70" s="86"/>
      <c r="AC70" s="86"/>
      <c r="AD70" s="86"/>
      <c r="AE70" s="86"/>
      <c r="AF70" s="86"/>
      <c r="AG70" s="55">
        <f t="shared" si="18"/>
        <v>0</v>
      </c>
      <c r="AH70" s="66">
        <f>IF(Kalk3!$AA$19=1,1,0)</f>
        <v>0</v>
      </c>
      <c r="AI70" s="55">
        <v>25</v>
      </c>
      <c r="AK70" s="55" t="s">
        <v>22079</v>
      </c>
      <c r="AL70" s="66">
        <f>IF(OR(Kalk3!$AA$7=1,Kalk3!$AA$9=1),1,0)</f>
        <v>1</v>
      </c>
      <c r="AM70" s="55" t="s">
        <v>22083</v>
      </c>
      <c r="AO70" s="55" t="s">
        <v>22079</v>
      </c>
      <c r="AP70" s="66">
        <f>IF(Kalk3!$AI$51=AQ70,1,0)</f>
        <v>0</v>
      </c>
      <c r="AQ70" s="55">
        <v>1750</v>
      </c>
      <c r="AU70" s="66">
        <f>IF(Kalk3!$AA$7=1,1,0)</f>
        <v>1</v>
      </c>
      <c r="AV70" s="55" t="s">
        <v>19882</v>
      </c>
      <c r="AW70" s="66">
        <f>IF(Kalk3!$AA$9=1,1,0)</f>
        <v>1</v>
      </c>
      <c r="AX70" s="55" t="s">
        <v>20310</v>
      </c>
      <c r="AY70" s="55" t="s">
        <v>22100</v>
      </c>
      <c r="AZ70" s="66">
        <f>(AU70+AW70)*Kalk3!$H$37</f>
        <v>2</v>
      </c>
      <c r="BA70" s="55" t="s">
        <v>22101</v>
      </c>
    </row>
    <row r="71" spans="2:53" ht="24.95" customHeight="1">
      <c r="B71" s="93">
        <f t="shared" si="17"/>
        <v>0</v>
      </c>
      <c r="C71" s="60">
        <v>2150</v>
      </c>
      <c r="D71" s="60"/>
      <c r="E71" s="60" t="str">
        <f>VLOOKUP(1600,Sprachindex!$A:$Z,Erhebungsbogen!$Y$20,FALSE)</f>
        <v>[Stk]</v>
      </c>
      <c r="F71" s="60" t="s">
        <v>21985</v>
      </c>
      <c r="G71" s="514" t="str">
        <f>VLOOKUP(2124,Sprachindex!$A:$Z,Erhebungsbogen!$Y$20,FALSE) &amp; IF(AND(Kalk3!$AA$5=2,Kalk3!$AA$13),", " &amp; VLOOKUP(1645,Sprachindex!$A:$Z,Erhebungsbogen!$Y$20,FALSE) &amp; " " &amp; $U$8,", "&amp; VLOOKUP(1648,Sprachindex!$A:$Z,Erhebungsbogen!$Y$20,FALSE))</f>
        <v>Grundprofil 25 (H-Profil v.d.L.) exkl. Dichtung, gebohrt und entgratet, blank</v>
      </c>
      <c r="H71" s="514"/>
      <c r="I71" s="514"/>
      <c r="J71" s="514"/>
      <c r="K71" s="514"/>
      <c r="L71" s="514"/>
      <c r="M71" s="514"/>
      <c r="N71" s="514"/>
      <c r="O71" s="514"/>
      <c r="P71" s="514"/>
      <c r="Q71" s="514"/>
      <c r="R71" s="514"/>
      <c r="S71" s="514"/>
      <c r="T71" s="514"/>
      <c r="U71" s="352">
        <f>IF(AND(Kalk3!$AA$5=2,Kalk3!$AA$13),VLOOKUP(F71,Preisliste!C:G,5,FALSE),VLOOKUP(F71,Preisliste!C:G,4,FALSE))</f>
        <v>222.9</v>
      </c>
      <c r="V71" s="352">
        <f t="shared" si="16"/>
        <v>0</v>
      </c>
      <c r="W71" s="86"/>
      <c r="X71" s="86"/>
      <c r="Y71" s="86"/>
      <c r="Z71" s="143">
        <f>IF(AND(Kalk3!$AA$5=2,Kalk3!$AA$13),(VLOOKUP(F71,Preisliste!C:G,5,FALSE)-VLOOKUP(F71,Preisliste!C:G,4,FALSE))*B71,0)</f>
        <v>0</v>
      </c>
      <c r="AA71" s="86"/>
      <c r="AB71" s="86"/>
      <c r="AC71" s="86"/>
      <c r="AD71" s="86"/>
      <c r="AE71" s="86"/>
      <c r="AF71" s="86"/>
      <c r="AG71" s="55">
        <f t="shared" si="18"/>
        <v>0</v>
      </c>
      <c r="AH71" s="66">
        <f>IF(Kalk3!$AA$19=1,1,0)</f>
        <v>0</v>
      </c>
      <c r="AI71" s="55">
        <v>25</v>
      </c>
      <c r="AK71" s="55" t="s">
        <v>22079</v>
      </c>
      <c r="AL71" s="66">
        <f>IF(OR(Kalk3!$AA$7=1,Kalk3!$AA$9=1),1,0)</f>
        <v>1</v>
      </c>
      <c r="AM71" s="55" t="s">
        <v>22083</v>
      </c>
      <c r="AO71" s="55" t="s">
        <v>22079</v>
      </c>
      <c r="AP71" s="66">
        <f>IF(Kalk3!$AI$51=AQ71,1,0)</f>
        <v>0</v>
      </c>
      <c r="AQ71" s="55">
        <v>2150</v>
      </c>
      <c r="AU71" s="66">
        <f>IF(Kalk3!$AA$7=1,1,0)</f>
        <v>1</v>
      </c>
      <c r="AV71" s="55" t="s">
        <v>19882</v>
      </c>
      <c r="AW71" s="66">
        <f>IF(Kalk3!$AA$9=1,1,0)</f>
        <v>1</v>
      </c>
      <c r="AX71" s="55" t="s">
        <v>20310</v>
      </c>
      <c r="AY71" s="55" t="s">
        <v>22100</v>
      </c>
      <c r="AZ71" s="66">
        <f>(AU71+AW71)*Kalk3!$H$37</f>
        <v>2</v>
      </c>
      <c r="BA71" s="55" t="s">
        <v>22101</v>
      </c>
    </row>
    <row r="72" spans="2:53" ht="24.95" customHeight="1">
      <c r="B72" s="93">
        <f t="shared" si="17"/>
        <v>0</v>
      </c>
      <c r="C72" s="60">
        <f>IF(AG72=1,AS72,0)</f>
        <v>0</v>
      </c>
      <c r="D72" s="60"/>
      <c r="E72" s="60" t="str">
        <f>VLOOKUP(1600,Sprachindex!$A:$Z,Erhebungsbogen!$Y$20,FALSE)</f>
        <v>[Stk]</v>
      </c>
      <c r="F72" s="60" t="s">
        <v>21883</v>
      </c>
      <c r="G72" s="514" t="str">
        <f>VLOOKUP(2125,Sprachindex!$A:$Z,Erhebungsbogen!$Y$20,FALSE)</f>
        <v>Grundprofil 25 (H-Profil v.d.L.) Sonderlänge exkl. Dichtung, (Stangenware)</v>
      </c>
      <c r="H72" s="514"/>
      <c r="I72" s="514"/>
      <c r="J72" s="514"/>
      <c r="K72" s="514"/>
      <c r="L72" s="514"/>
      <c r="M72" s="514"/>
      <c r="N72" s="514"/>
      <c r="O72" s="514"/>
      <c r="P72" s="514"/>
      <c r="Q72" s="514"/>
      <c r="R72" s="514"/>
      <c r="S72" s="514"/>
      <c r="T72" s="514"/>
      <c r="U72" s="352">
        <f>IF(AND(Kalk3!$AA$5=2,Kalk3!$AA$13),VLOOKUP(F72,Preisliste!C:G,5,FALSE),VLOOKUP(F72,Preisliste!C:G,4,FALSE))</f>
        <v>72</v>
      </c>
      <c r="V72" s="352">
        <f>U72*C72*B72/1000</f>
        <v>0</v>
      </c>
      <c r="W72" s="86"/>
      <c r="X72" s="86"/>
      <c r="Y72" s="86"/>
      <c r="Z72" s="143">
        <f>IF(AND(Kalk3!$AA$5=2,Kalk3!$AA$13),(VLOOKUP(F72,Preisliste!C:G,5,FALSE)-VLOOKUP(F72,Preisliste!C:G,4,FALSE))*B72,0)</f>
        <v>0</v>
      </c>
      <c r="AA72" s="86"/>
      <c r="AB72" s="86"/>
      <c r="AC72" s="86"/>
      <c r="AD72" s="86"/>
      <c r="AE72" s="86"/>
      <c r="AF72" s="86"/>
      <c r="AG72" s="55">
        <f t="shared" si="18"/>
        <v>0</v>
      </c>
      <c r="AH72" s="66">
        <f>IF(Kalk3!$AA$19=1,1,0)</f>
        <v>0</v>
      </c>
      <c r="AI72" s="55">
        <v>25</v>
      </c>
      <c r="AK72" s="55" t="s">
        <v>22079</v>
      </c>
      <c r="AL72" s="66">
        <f>IF(OR(Kalk3!$AA$7=1,Kalk3!$AA$9=1),1,0)</f>
        <v>1</v>
      </c>
      <c r="AM72" s="55" t="s">
        <v>22083</v>
      </c>
      <c r="AO72" s="55" t="s">
        <v>22079</v>
      </c>
      <c r="AP72" s="66">
        <f>IF(Kalk3!$AH$52&gt;AQ72,1,0)</f>
        <v>0</v>
      </c>
      <c r="AQ72" s="55">
        <v>2150</v>
      </c>
      <c r="AR72" s="55" t="s">
        <v>22084</v>
      </c>
      <c r="AS72" s="66">
        <f>Kalk3!$AH$52</f>
        <v>0</v>
      </c>
      <c r="AU72" s="66">
        <f>IF(Kalk3!$AA$7=1,1,0)</f>
        <v>1</v>
      </c>
      <c r="AV72" s="55" t="s">
        <v>19882</v>
      </c>
      <c r="AW72" s="66">
        <f>IF(Kalk3!$AA$9=1,1,0)</f>
        <v>1</v>
      </c>
      <c r="AX72" s="55" t="s">
        <v>20310</v>
      </c>
      <c r="AY72" s="55" t="s">
        <v>22100</v>
      </c>
      <c r="AZ72" s="66">
        <f>(AU72+AW72)*Kalk3!$H$37</f>
        <v>2</v>
      </c>
      <c r="BA72" s="55" t="s">
        <v>22101</v>
      </c>
    </row>
    <row r="73" spans="2:53" ht="24.95" customHeight="1">
      <c r="B73" s="93">
        <f t="shared" si="17"/>
        <v>0</v>
      </c>
      <c r="C73" s="60">
        <v>750</v>
      </c>
      <c r="D73" s="60"/>
      <c r="E73" s="60" t="str">
        <f>VLOOKUP(1600,Sprachindex!$A:$Z,Erhebungsbogen!$Y$20,FALSE)</f>
        <v>[Stk]</v>
      </c>
      <c r="F73" s="60" t="s">
        <v>21896</v>
      </c>
      <c r="G73" s="514" t="str">
        <f>VLOOKUP(1717,Sprachindex!$A:$Z,Erhebungsbogen!$Y$20,FALSE) &amp; IF(AND(Kalk3!$AA$5=2,Kalk3!$AA$13),", " &amp; VLOOKUP(1645,Sprachindex!$A:$Z,Erhebungsbogen!$Y$20,FALSE) &amp; " " &amp; $U$8,", "&amp; VLOOKUP(1648,Sprachindex!$A:$Z,Erhebungsbogen!$Y$20,FALSE))</f>
        <v>Grundprofil 50 (H-Profil v.d.L.) exkl. Dichtung, gebohrt und entgratet, blank</v>
      </c>
      <c r="H73" s="514"/>
      <c r="I73" s="514"/>
      <c r="J73" s="514"/>
      <c r="K73" s="514"/>
      <c r="L73" s="514"/>
      <c r="M73" s="514"/>
      <c r="N73" s="514"/>
      <c r="O73" s="514"/>
      <c r="P73" s="514"/>
      <c r="Q73" s="514"/>
      <c r="R73" s="514"/>
      <c r="S73" s="514"/>
      <c r="T73" s="514"/>
      <c r="U73" s="352">
        <f>IF(AND(Kalk3!$AA$5=2,Kalk3!$AA$13),VLOOKUP(F73,Preisliste!C:G,5,FALSE),VLOOKUP(F73,Preisliste!C:G,4,FALSE))</f>
        <v>144.85</v>
      </c>
      <c r="V73" s="352">
        <f t="shared" si="16"/>
        <v>0</v>
      </c>
      <c r="W73" s="86"/>
      <c r="X73" s="86"/>
      <c r="Y73" s="86"/>
      <c r="Z73" s="143">
        <f>IF(AND(Kalk3!$AA$5=2,Kalk3!$AA$13),(VLOOKUP(F73,Preisliste!C:G,5,FALSE)-VLOOKUP(F73,Preisliste!C:G,4,FALSE))*B73,0)</f>
        <v>0</v>
      </c>
      <c r="AA73" s="86"/>
      <c r="AB73" s="86"/>
      <c r="AC73" s="86"/>
      <c r="AD73" s="86"/>
      <c r="AE73" s="86"/>
      <c r="AF73" s="86"/>
      <c r="AG73" s="250">
        <f>IF(AND(AH73=1,AL73=1,AP73=1,AND(Kalk3!H28&gt;0,Kalk3!H29&gt;0)),1,0)</f>
        <v>0</v>
      </c>
      <c r="AH73" s="66">
        <f>IF(OR(Kalk3!$AA$19=2,Kalk3!$AA$19=3),1,0)</f>
        <v>1</v>
      </c>
      <c r="AI73" s="55">
        <v>50</v>
      </c>
      <c r="AK73" s="55" t="s">
        <v>22079</v>
      </c>
      <c r="AL73" s="66">
        <f>IF(OR(Kalk3!$AA$7=1,Kalk3!$AA$9=1),1,0)</f>
        <v>1</v>
      </c>
      <c r="AM73" s="55" t="s">
        <v>22083</v>
      </c>
      <c r="AO73" s="55" t="s">
        <v>22079</v>
      </c>
      <c r="AP73" s="250">
        <f>IF(Kalk3!$AI$51=AQ73,1,0)</f>
        <v>1</v>
      </c>
      <c r="AQ73" s="55">
        <v>750</v>
      </c>
      <c r="AU73" s="66">
        <f>IF(Kalk3!$AA$7=1,1,0)</f>
        <v>1</v>
      </c>
      <c r="AV73" s="55" t="s">
        <v>19882</v>
      </c>
      <c r="AW73" s="66">
        <f>IF(Kalk3!$AA$9=1,1,0)</f>
        <v>1</v>
      </c>
      <c r="AX73" s="55" t="s">
        <v>20310</v>
      </c>
      <c r="AY73" s="55" t="s">
        <v>22100</v>
      </c>
      <c r="AZ73" s="66">
        <f>(AU73+AW73)*Kalk3!$H$37</f>
        <v>2</v>
      </c>
      <c r="BA73" s="55" t="s">
        <v>22101</v>
      </c>
    </row>
    <row r="74" spans="2:53" ht="24.95" customHeight="1">
      <c r="B74" s="93">
        <f t="shared" si="17"/>
        <v>0</v>
      </c>
      <c r="C74" s="60">
        <v>1350</v>
      </c>
      <c r="D74" s="60"/>
      <c r="E74" s="60" t="str">
        <f>VLOOKUP(1600,Sprachindex!$A:$Z,Erhebungsbogen!$Y$20,FALSE)</f>
        <v>[Stk]</v>
      </c>
      <c r="F74" s="60" t="s">
        <v>21897</v>
      </c>
      <c r="G74" s="514" t="str">
        <f>VLOOKUP(1717,Sprachindex!$A:$Z,Erhebungsbogen!$Y$20,FALSE) &amp; IF(AND(Kalk3!$AA$5=2,Kalk3!$AA$13),", " &amp; VLOOKUP(1645,Sprachindex!$A:$Z,Erhebungsbogen!$Y$20,FALSE) &amp; " " &amp; $U$8,", "&amp; VLOOKUP(1648,Sprachindex!$A:$Z,Erhebungsbogen!$Y$20,FALSE))</f>
        <v>Grundprofil 50 (H-Profil v.d.L.) exkl. Dichtung, gebohrt und entgratet, blank</v>
      </c>
      <c r="H74" s="514"/>
      <c r="I74" s="514"/>
      <c r="J74" s="514"/>
      <c r="K74" s="514"/>
      <c r="L74" s="514"/>
      <c r="M74" s="514"/>
      <c r="N74" s="514"/>
      <c r="O74" s="514"/>
      <c r="P74" s="514"/>
      <c r="Q74" s="514"/>
      <c r="R74" s="514"/>
      <c r="S74" s="514"/>
      <c r="T74" s="514"/>
      <c r="U74" s="352">
        <f>IF(AND(Kalk3!$AA$5=2,Kalk3!$AA$13),VLOOKUP(F74,Preisliste!C:G,5,FALSE),VLOOKUP(F74,Preisliste!C:G,4,FALSE))</f>
        <v>228.1</v>
      </c>
      <c r="V74" s="352">
        <f t="shared" si="16"/>
        <v>0</v>
      </c>
      <c r="W74" s="86"/>
      <c r="X74" s="86"/>
      <c r="Y74" s="86"/>
      <c r="Z74" s="143">
        <f>IF(AND(Kalk3!$AA$5=2,Kalk3!$AA$13),(VLOOKUP(F74,Preisliste!C:G,5,FALSE)-VLOOKUP(F74,Preisliste!C:G,4,FALSE))*B74,0)</f>
        <v>0</v>
      </c>
      <c r="AA74" s="86"/>
      <c r="AB74" s="86"/>
      <c r="AC74" s="86"/>
      <c r="AD74" s="86"/>
      <c r="AE74" s="86"/>
      <c r="AF74" s="86"/>
      <c r="AG74" s="244">
        <f>IF(AND(AH74=1,AL74=1,AP74=1,AND(Kalk3!H28&gt;0,Kalk3!H29&gt;0)),1,0)</f>
        <v>0</v>
      </c>
      <c r="AH74" s="66">
        <f>IF(OR(Kalk3!$AA$19=2,Kalk3!$AA$19=3),1,0)</f>
        <v>1</v>
      </c>
      <c r="AI74" s="55">
        <v>50</v>
      </c>
      <c r="AK74" s="55" t="s">
        <v>22079</v>
      </c>
      <c r="AL74" s="66">
        <f>IF(OR(Kalk3!$AA$7=1,Kalk3!$AA$9=1),1,0)</f>
        <v>1</v>
      </c>
      <c r="AM74" s="55" t="s">
        <v>22083</v>
      </c>
      <c r="AO74" s="55" t="s">
        <v>22079</v>
      </c>
      <c r="AP74" s="66">
        <f>IF(Kalk3!$AI$51=AQ74,1,0)</f>
        <v>0</v>
      </c>
      <c r="AQ74" s="55">
        <v>1350</v>
      </c>
      <c r="AU74" s="66">
        <f>IF(Kalk3!$AA$7=1,1,0)</f>
        <v>1</v>
      </c>
      <c r="AV74" s="55" t="s">
        <v>19882</v>
      </c>
      <c r="AW74" s="66">
        <f>IF(Kalk3!$AA$9=1,1,0)</f>
        <v>1</v>
      </c>
      <c r="AX74" s="55" t="s">
        <v>20310</v>
      </c>
      <c r="AY74" s="55" t="s">
        <v>22100</v>
      </c>
      <c r="AZ74" s="66">
        <f>(AU74+AW74)*Kalk3!$H$37</f>
        <v>2</v>
      </c>
      <c r="BA74" s="55" t="s">
        <v>22101</v>
      </c>
    </row>
    <row r="75" spans="2:53" ht="24.95" customHeight="1">
      <c r="B75" s="93">
        <f t="shared" si="17"/>
        <v>0</v>
      </c>
      <c r="C75" s="60">
        <v>1750</v>
      </c>
      <c r="D75" s="60"/>
      <c r="E75" s="60" t="str">
        <f>VLOOKUP(1600,Sprachindex!$A:$Z,Erhebungsbogen!$Y$20,FALSE)</f>
        <v>[Stk]</v>
      </c>
      <c r="F75" s="60" t="s">
        <v>21898</v>
      </c>
      <c r="G75" s="514" t="str">
        <f>VLOOKUP(1717,Sprachindex!$A:$Z,Erhebungsbogen!$Y$20,FALSE) &amp; IF(AND(Kalk3!$AA$5=2,Kalk3!$AA$13),", " &amp; VLOOKUP(1645,Sprachindex!$A:$Z,Erhebungsbogen!$Y$20,FALSE) &amp; " " &amp; $U$8,", "&amp; VLOOKUP(1648,Sprachindex!$A:$Z,Erhebungsbogen!$Y$20,FALSE))</f>
        <v>Grundprofil 50 (H-Profil v.d.L.) exkl. Dichtung, gebohrt und entgratet, blank</v>
      </c>
      <c r="H75" s="514"/>
      <c r="I75" s="514"/>
      <c r="J75" s="514"/>
      <c r="K75" s="514"/>
      <c r="L75" s="514"/>
      <c r="M75" s="514"/>
      <c r="N75" s="514"/>
      <c r="O75" s="514"/>
      <c r="P75" s="514"/>
      <c r="Q75" s="514"/>
      <c r="R75" s="514"/>
      <c r="S75" s="514"/>
      <c r="T75" s="514"/>
      <c r="U75" s="352">
        <f>IF(AND(Kalk3!$AA$5=2,Kalk3!$AA$13),VLOOKUP(F75,Preisliste!C:G,5,FALSE),VLOOKUP(F75,Preisliste!C:G,4,FALSE))</f>
        <v>284.14999999999998</v>
      </c>
      <c r="V75" s="352">
        <f t="shared" si="16"/>
        <v>0</v>
      </c>
      <c r="W75" s="86"/>
      <c r="X75" s="86"/>
      <c r="Y75" s="86"/>
      <c r="Z75" s="143">
        <f>IF(AND(Kalk3!$AA$5=2,Kalk3!$AA$13),(VLOOKUP(F75,Preisliste!C:G,5,FALSE)-VLOOKUP(F75,Preisliste!C:G,4,FALSE))*B75,0)</f>
        <v>0</v>
      </c>
      <c r="AA75" s="86"/>
      <c r="AB75" s="86"/>
      <c r="AC75" s="86"/>
      <c r="AD75" s="86"/>
      <c r="AE75" s="86"/>
      <c r="AF75" s="86"/>
      <c r="AG75" s="55">
        <f t="shared" ref="AG75:AG77" si="19">IF(AND(AH75=1,AL75=1,AP75=1),1,0)</f>
        <v>0</v>
      </c>
      <c r="AH75" s="66">
        <f>IF(OR(Kalk3!$AA$19=2,Kalk3!$AA$19=3),1,0)</f>
        <v>1</v>
      </c>
      <c r="AI75" s="55">
        <v>50</v>
      </c>
      <c r="AK75" s="55" t="s">
        <v>22079</v>
      </c>
      <c r="AL75" s="66">
        <f>IF(OR(Kalk3!$AA$7=1,Kalk3!$AA$9=1),1,0)</f>
        <v>1</v>
      </c>
      <c r="AM75" s="55" t="s">
        <v>22083</v>
      </c>
      <c r="AO75" s="55" t="s">
        <v>22079</v>
      </c>
      <c r="AP75" s="66">
        <f>IF(Kalk3!$AI$51=AQ75,1,0)</f>
        <v>0</v>
      </c>
      <c r="AQ75" s="55">
        <v>1750</v>
      </c>
      <c r="AU75" s="66">
        <f>IF(Kalk3!$AA$7=1,1,0)</f>
        <v>1</v>
      </c>
      <c r="AV75" s="55" t="s">
        <v>19882</v>
      </c>
      <c r="AW75" s="66">
        <f>IF(Kalk3!$AA$9=1,1,0)</f>
        <v>1</v>
      </c>
      <c r="AX75" s="55" t="s">
        <v>20310</v>
      </c>
      <c r="AY75" s="55" t="s">
        <v>22100</v>
      </c>
      <c r="AZ75" s="66">
        <f>(AU75+AW75)*Kalk3!$H$37</f>
        <v>2</v>
      </c>
      <c r="BA75" s="55" t="s">
        <v>22101</v>
      </c>
    </row>
    <row r="76" spans="2:53" ht="24.95" customHeight="1">
      <c r="B76" s="93">
        <f t="shared" si="17"/>
        <v>0</v>
      </c>
      <c r="C76" s="60">
        <v>2150</v>
      </c>
      <c r="D76" s="60"/>
      <c r="E76" s="60" t="str">
        <f>VLOOKUP(1600,Sprachindex!$A:$Z,Erhebungsbogen!$Y$20,FALSE)</f>
        <v>[Stk]</v>
      </c>
      <c r="F76" s="60" t="s">
        <v>21899</v>
      </c>
      <c r="G76" s="514" t="str">
        <f>VLOOKUP(1717,Sprachindex!$A:$Z,Erhebungsbogen!$Y$20,FALSE) &amp; IF(AND(Kalk3!$AA$5=2,Kalk3!$AA$13),", " &amp; VLOOKUP(1645,Sprachindex!$A:$Z,Erhebungsbogen!$Y$20,FALSE) &amp; " " &amp; $U$8,", "&amp; VLOOKUP(1648,Sprachindex!$A:$Z,Erhebungsbogen!$Y$20,FALSE))</f>
        <v>Grundprofil 50 (H-Profil v.d.L.) exkl. Dichtung, gebohrt und entgratet, blank</v>
      </c>
      <c r="H76" s="514"/>
      <c r="I76" s="514"/>
      <c r="J76" s="514"/>
      <c r="K76" s="514"/>
      <c r="L76" s="514"/>
      <c r="M76" s="514"/>
      <c r="N76" s="514"/>
      <c r="O76" s="514"/>
      <c r="P76" s="514"/>
      <c r="Q76" s="514"/>
      <c r="R76" s="514"/>
      <c r="S76" s="514"/>
      <c r="T76" s="514"/>
      <c r="U76" s="352">
        <f>IF(AND(Kalk3!$AA$5=2,Kalk3!$AA$13),VLOOKUP(F76,Preisliste!C:G,5,FALSE),VLOOKUP(F76,Preisliste!C:G,4,FALSE))</f>
        <v>340.25</v>
      </c>
      <c r="V76" s="352">
        <f t="shared" si="16"/>
        <v>0</v>
      </c>
      <c r="W76" s="86"/>
      <c r="X76" s="86"/>
      <c r="Y76" s="86"/>
      <c r="Z76" s="143">
        <f>IF(AND(Kalk3!$AA$5=2,Kalk3!$AA$13),(VLOOKUP(F76,Preisliste!C:G,5,FALSE)-VLOOKUP(F76,Preisliste!C:G,4,FALSE))*B76,0)</f>
        <v>0</v>
      </c>
      <c r="AA76" s="86"/>
      <c r="AB76" s="86"/>
      <c r="AC76" s="86"/>
      <c r="AD76" s="86"/>
      <c r="AE76" s="86"/>
      <c r="AF76" s="86"/>
      <c r="AG76" s="55">
        <f t="shared" si="19"/>
        <v>0</v>
      </c>
      <c r="AH76" s="66">
        <f>IF(OR(Kalk3!$AA$19=2,Kalk3!$AA$19=3),1,0)</f>
        <v>1</v>
      </c>
      <c r="AI76" s="55">
        <v>50</v>
      </c>
      <c r="AK76" s="55" t="s">
        <v>22079</v>
      </c>
      <c r="AL76" s="66">
        <f>IF(OR(Kalk3!$AA$7=1,Kalk3!$AA$9=1),1,0)</f>
        <v>1</v>
      </c>
      <c r="AM76" s="55" t="s">
        <v>22083</v>
      </c>
      <c r="AO76" s="55" t="s">
        <v>22079</v>
      </c>
      <c r="AP76" s="66">
        <f>IF(Kalk3!$AI$51=AQ76,1,0)</f>
        <v>0</v>
      </c>
      <c r="AQ76" s="55">
        <v>2150</v>
      </c>
      <c r="AU76" s="66">
        <f>IF(Kalk3!$AA$7=1,1,0)</f>
        <v>1</v>
      </c>
      <c r="AV76" s="55" t="s">
        <v>19882</v>
      </c>
      <c r="AW76" s="66">
        <f>IF(Kalk3!$AA$9=1,1,0)</f>
        <v>1</v>
      </c>
      <c r="AX76" s="55" t="s">
        <v>20310</v>
      </c>
      <c r="AY76" s="55" t="s">
        <v>22100</v>
      </c>
      <c r="AZ76" s="66">
        <f>(AU76+AW76)*Kalk3!$H$37</f>
        <v>2</v>
      </c>
      <c r="BA76" s="55" t="s">
        <v>22101</v>
      </c>
    </row>
    <row r="77" spans="2:53" ht="24.95" customHeight="1">
      <c r="B77" s="93">
        <f t="shared" si="17"/>
        <v>0</v>
      </c>
      <c r="C77" s="60">
        <f>IF(AG77=1,AS77,0)</f>
        <v>0</v>
      </c>
      <c r="D77" s="60"/>
      <c r="E77" s="60" t="str">
        <f>VLOOKUP(1600,Sprachindex!$A:$Z,Erhebungsbogen!$Y$20,FALSE)</f>
        <v>[Stk]</v>
      </c>
      <c r="F77" s="60" t="s">
        <v>21900</v>
      </c>
      <c r="G77" s="514" t="str">
        <f>VLOOKUP(1718,Sprachindex!$A:$Z,Erhebungsbogen!$Y$20,FALSE)</f>
        <v>Grundprofil 50 (H-Profil v.d.L.) Sonderlänge exkl. Dichtung, (Stangenware)</v>
      </c>
      <c r="H77" s="514"/>
      <c r="I77" s="514"/>
      <c r="J77" s="514"/>
      <c r="K77" s="514"/>
      <c r="L77" s="514"/>
      <c r="M77" s="514"/>
      <c r="N77" s="514"/>
      <c r="O77" s="514"/>
      <c r="P77" s="514"/>
      <c r="Q77" s="514"/>
      <c r="R77" s="514"/>
      <c r="S77" s="514"/>
      <c r="T77" s="514"/>
      <c r="U77" s="352">
        <f>IF(AND(Kalk3!$AA$5=2,Kalk3!$AA$13),VLOOKUP(F77,Preisliste!C:G,5,FALSE),VLOOKUP(F77,Preisliste!C:G,4,FALSE))</f>
        <v>148.5</v>
      </c>
      <c r="V77" s="352">
        <f>U77*C77*B77/1000</f>
        <v>0</v>
      </c>
      <c r="W77" s="86"/>
      <c r="X77" s="86"/>
      <c r="Y77" s="86"/>
      <c r="Z77" s="143">
        <f>IF(AND(Kalk3!$AA$5=2,Kalk3!$AA$13),(VLOOKUP(F77,Preisliste!C:G,5,FALSE)-VLOOKUP(F77,Preisliste!C:G,4,FALSE))*B77,0)</f>
        <v>0</v>
      </c>
      <c r="AA77" s="86"/>
      <c r="AB77" s="86"/>
      <c r="AC77" s="86"/>
      <c r="AD77" s="86"/>
      <c r="AE77" s="86"/>
      <c r="AF77" s="86"/>
      <c r="AG77" s="55">
        <f t="shared" si="19"/>
        <v>0</v>
      </c>
      <c r="AH77" s="66">
        <f>IF(OR(Kalk3!$AA$19=2,Kalk3!$AA$19=3),1,0)</f>
        <v>1</v>
      </c>
      <c r="AI77" s="55">
        <v>50</v>
      </c>
      <c r="AK77" s="55" t="s">
        <v>22079</v>
      </c>
      <c r="AL77" s="66">
        <f>IF(OR(Kalk3!$AA$7=1,Kalk3!$AA$9=1),1,0)</f>
        <v>1</v>
      </c>
      <c r="AM77" s="55" t="s">
        <v>22083</v>
      </c>
      <c r="AO77" s="55" t="s">
        <v>22079</v>
      </c>
      <c r="AP77" s="66">
        <f>IF(Kalk3!$AH$52&gt;AQ77,1,0)</f>
        <v>0</v>
      </c>
      <c r="AQ77" s="55">
        <v>2150</v>
      </c>
      <c r="AR77" s="55" t="s">
        <v>22084</v>
      </c>
      <c r="AS77" s="66">
        <f>Kalk3!$AH$52</f>
        <v>0</v>
      </c>
      <c r="AU77" s="66">
        <f>IF(Kalk3!$AA$7=1,1,0)</f>
        <v>1</v>
      </c>
      <c r="AV77" s="55" t="s">
        <v>19882</v>
      </c>
      <c r="AW77" s="66">
        <f>IF(Kalk3!$AA$9=1,1,0)</f>
        <v>1</v>
      </c>
      <c r="AX77" s="55" t="s">
        <v>20310</v>
      </c>
      <c r="AY77" s="55" t="s">
        <v>22100</v>
      </c>
      <c r="AZ77" s="66">
        <f>(AU77+AW77)*Kalk3!$H$37</f>
        <v>2</v>
      </c>
      <c r="BA77" s="55" t="s">
        <v>22101</v>
      </c>
    </row>
    <row r="78" spans="2:53" ht="24.95" customHeight="1">
      <c r="B78" s="93">
        <f t="shared" si="17"/>
        <v>0</v>
      </c>
      <c r="C78" s="60">
        <v>750</v>
      </c>
      <c r="D78" s="60"/>
      <c r="E78" s="60" t="str">
        <f>VLOOKUP(1600,Sprachindex!$A:$Z,Erhebungsbogen!$Y$20,FALSE)</f>
        <v>[Stk]</v>
      </c>
      <c r="F78" s="60" t="s">
        <v>21901</v>
      </c>
      <c r="G78" s="514" t="str">
        <f>VLOOKUP(1720,Sprachindex!$A:$Z,Erhebungsbogen!$Y$20,FALSE) &amp; IF(AND(Kalk3!$AA$5=2,Kalk3!$AA$13),", " &amp; VLOOKUP(1645,Sprachindex!$A:$Z,Erhebungsbogen!$Y$20,FALSE) &amp; " " &amp; $U$8,", "&amp; VLOOKUP(1648,Sprachindex!$A:$Z,Erhebungsbogen!$Y$20,FALSE))</f>
        <v>Grundprofil 80 (H-Profil v.d.L.) exkl. Dichtung, gebohrt und entgratet, blank</v>
      </c>
      <c r="H78" s="514"/>
      <c r="I78" s="514"/>
      <c r="J78" s="514"/>
      <c r="K78" s="514"/>
      <c r="L78" s="514"/>
      <c r="M78" s="514"/>
      <c r="N78" s="514"/>
      <c r="O78" s="514"/>
      <c r="P78" s="514"/>
      <c r="Q78" s="514"/>
      <c r="R78" s="514"/>
      <c r="S78" s="514"/>
      <c r="T78" s="514"/>
      <c r="U78" s="352">
        <f>IF(AND(Kalk3!$AA$5=2,Kalk3!$AA$13),VLOOKUP(F78,Preisliste!C:G,5,FALSE),VLOOKUP(F78,Preisliste!C:G,4,FALSE))</f>
        <v>160.5</v>
      </c>
      <c r="V78" s="352">
        <f t="shared" si="16"/>
        <v>0</v>
      </c>
      <c r="W78" s="86"/>
      <c r="X78" s="86"/>
      <c r="Y78" s="86"/>
      <c r="Z78" s="143">
        <f>IF(AND(Kalk3!$AA$5=2,Kalk3!$AA$13),(VLOOKUP(F78,Preisliste!C:G,5,FALSE)-VLOOKUP(F78,Preisliste!C:G,4,FALSE))*B78,0)</f>
        <v>0</v>
      </c>
      <c r="AA78" s="86"/>
      <c r="AB78" s="86"/>
      <c r="AC78" s="86"/>
      <c r="AD78" s="86"/>
      <c r="AE78" s="86"/>
      <c r="AF78" s="86"/>
      <c r="AG78" s="55">
        <f>IF(AND(AH78=1,AL78=1,AP78=1,AND(Kalk3!H28&gt;0,Kalk3!H29&gt;Kalk3!B1)),1,0)</f>
        <v>0</v>
      </c>
      <c r="AH78" s="66">
        <f>IF(Kalk3!$AA$19=4,1,0)</f>
        <v>0</v>
      </c>
      <c r="AI78" s="55">
        <v>80</v>
      </c>
      <c r="AK78" s="55" t="s">
        <v>22079</v>
      </c>
      <c r="AL78" s="66">
        <f>IF(OR(Kalk3!$AA$7=1,Kalk3!$AA$9=1),1,0)</f>
        <v>1</v>
      </c>
      <c r="AM78" s="55" t="s">
        <v>22083</v>
      </c>
      <c r="AO78" s="55" t="s">
        <v>22079</v>
      </c>
      <c r="AP78" s="66">
        <f>IF(Kalk3!$AI$51=AQ78,1,0)</f>
        <v>1</v>
      </c>
      <c r="AQ78" s="55">
        <v>750</v>
      </c>
      <c r="AU78" s="66">
        <f>IF(Kalk3!$AA$7=1,1,0)</f>
        <v>1</v>
      </c>
      <c r="AV78" s="55" t="s">
        <v>19882</v>
      </c>
      <c r="AW78" s="66">
        <f>IF(Kalk3!$AA$9=1,1,0)</f>
        <v>1</v>
      </c>
      <c r="AX78" s="55" t="s">
        <v>20310</v>
      </c>
      <c r="AY78" s="55" t="s">
        <v>22100</v>
      </c>
      <c r="AZ78" s="66">
        <f>(AU78+AW78)*Kalk3!$H$37</f>
        <v>2</v>
      </c>
      <c r="BA78" s="55" t="s">
        <v>22101</v>
      </c>
    </row>
    <row r="79" spans="2:53" ht="24.95" customHeight="1">
      <c r="B79" s="93">
        <f t="shared" si="17"/>
        <v>0</v>
      </c>
      <c r="C79" s="60">
        <v>1350</v>
      </c>
      <c r="D79" s="60"/>
      <c r="E79" s="60" t="str">
        <f>VLOOKUP(1600,Sprachindex!$A:$Z,Erhebungsbogen!$Y$20,FALSE)</f>
        <v>[Stk]</v>
      </c>
      <c r="F79" s="60" t="s">
        <v>21902</v>
      </c>
      <c r="G79" s="514" t="str">
        <f>VLOOKUP(1720,Sprachindex!$A:$Z,Erhebungsbogen!$Y$20,FALSE) &amp; IF(AND(Kalk3!$AA$5=2,Kalk3!$AA$13),", " &amp; VLOOKUP(1645,Sprachindex!$A:$Z,Erhebungsbogen!$Y$20,FALSE) &amp; " " &amp; $U$8,", "&amp; VLOOKUP(1648,Sprachindex!$A:$Z,Erhebungsbogen!$Y$20,FALSE))</f>
        <v>Grundprofil 80 (H-Profil v.d.L.) exkl. Dichtung, gebohrt und entgratet, blank</v>
      </c>
      <c r="H79" s="514"/>
      <c r="I79" s="514"/>
      <c r="J79" s="514"/>
      <c r="K79" s="514"/>
      <c r="L79" s="514"/>
      <c r="M79" s="514"/>
      <c r="N79" s="514"/>
      <c r="O79" s="514"/>
      <c r="P79" s="514"/>
      <c r="Q79" s="514"/>
      <c r="R79" s="514"/>
      <c r="S79" s="514"/>
      <c r="T79" s="514"/>
      <c r="U79" s="352">
        <f>IF(AND(Kalk3!$AA$5=2,Kalk3!$AA$13),VLOOKUP(F79,Preisliste!C:G,5,FALSE),VLOOKUP(F79,Preisliste!C:G,4,FALSE))</f>
        <v>256.5</v>
      </c>
      <c r="V79" s="352">
        <f t="shared" si="16"/>
        <v>0</v>
      </c>
      <c r="W79" s="86"/>
      <c r="X79" s="86"/>
      <c r="Y79" s="86"/>
      <c r="Z79" s="143">
        <f>IF(AND(Kalk3!$AA$5=2,Kalk3!$AA$13),(VLOOKUP(F79,Preisliste!C:G,5,FALSE)-VLOOKUP(F79,Preisliste!C:G,4,FALSE))*B79,0)</f>
        <v>0</v>
      </c>
      <c r="AA79" s="86"/>
      <c r="AB79" s="86"/>
      <c r="AC79" s="86"/>
      <c r="AD79" s="86"/>
      <c r="AE79" s="86"/>
      <c r="AF79" s="86"/>
      <c r="AG79" s="55">
        <f t="shared" ref="AG79:AG82" si="20">IF(AND(AH79=1,AL79=1,AP79=1),1,0)</f>
        <v>0</v>
      </c>
      <c r="AH79" s="66">
        <f>IF(Kalk3!$AA$19=4,1,0)</f>
        <v>0</v>
      </c>
      <c r="AI79" s="55">
        <v>80</v>
      </c>
      <c r="AK79" s="55" t="s">
        <v>22079</v>
      </c>
      <c r="AL79" s="66">
        <f>IF(OR(Kalk3!$AA$7=1,Kalk3!$AA$9=1),1,0)</f>
        <v>1</v>
      </c>
      <c r="AM79" s="55" t="s">
        <v>22083</v>
      </c>
      <c r="AO79" s="55" t="s">
        <v>22079</v>
      </c>
      <c r="AP79" s="66">
        <f>IF(Kalk3!$AI$51=AQ79,1,0)</f>
        <v>0</v>
      </c>
      <c r="AQ79" s="55">
        <v>1350</v>
      </c>
      <c r="AU79" s="66">
        <f>IF(Kalk3!$AA$7=1,1,0)</f>
        <v>1</v>
      </c>
      <c r="AV79" s="55" t="s">
        <v>19882</v>
      </c>
      <c r="AW79" s="66">
        <f>IF(Kalk3!$AA$9=1,1,0)</f>
        <v>1</v>
      </c>
      <c r="AX79" s="55" t="s">
        <v>20310</v>
      </c>
      <c r="AY79" s="55" t="s">
        <v>22100</v>
      </c>
      <c r="AZ79" s="66">
        <f>(AU79+AW79)*Kalk3!$H$37</f>
        <v>2</v>
      </c>
      <c r="BA79" s="55" t="s">
        <v>22101</v>
      </c>
    </row>
    <row r="80" spans="2:53" ht="24.95" customHeight="1">
      <c r="B80" s="93">
        <f t="shared" si="17"/>
        <v>0</v>
      </c>
      <c r="C80" s="60">
        <v>1750</v>
      </c>
      <c r="D80" s="60"/>
      <c r="E80" s="60" t="str">
        <f>VLOOKUP(1600,Sprachindex!$A:$Z,Erhebungsbogen!$Y$20,FALSE)</f>
        <v>[Stk]</v>
      </c>
      <c r="F80" s="60" t="s">
        <v>21903</v>
      </c>
      <c r="G80" s="514" t="str">
        <f>VLOOKUP(1720,Sprachindex!$A:$Z,Erhebungsbogen!$Y$20,FALSE) &amp; IF(AND(Kalk3!$AA$5=2,Kalk3!$AA$13),", " &amp; VLOOKUP(1645,Sprachindex!$A:$Z,Erhebungsbogen!$Y$20,FALSE) &amp; " " &amp; $U$8,", "&amp; VLOOKUP(1648,Sprachindex!$A:$Z,Erhebungsbogen!$Y$20,FALSE))</f>
        <v>Grundprofil 80 (H-Profil v.d.L.) exkl. Dichtung, gebohrt und entgratet, blank</v>
      </c>
      <c r="H80" s="514"/>
      <c r="I80" s="514"/>
      <c r="J80" s="514"/>
      <c r="K80" s="514"/>
      <c r="L80" s="514"/>
      <c r="M80" s="514"/>
      <c r="N80" s="514"/>
      <c r="O80" s="514"/>
      <c r="P80" s="514"/>
      <c r="Q80" s="514"/>
      <c r="R80" s="514"/>
      <c r="S80" s="514"/>
      <c r="T80" s="514"/>
      <c r="U80" s="352">
        <f>IF(AND(Kalk3!$AA$5=2,Kalk3!$AA$13),VLOOKUP(F80,Preisliste!C:G,5,FALSE),VLOOKUP(F80,Preisliste!C:G,4,FALSE))</f>
        <v>320.85000000000002</v>
      </c>
      <c r="V80" s="352">
        <f t="shared" si="16"/>
        <v>0</v>
      </c>
      <c r="W80" s="86"/>
      <c r="X80" s="86"/>
      <c r="Y80" s="86"/>
      <c r="Z80" s="143">
        <f>IF(AND(Kalk3!$AA$5=2,Kalk3!$AA$13),(VLOOKUP(F80,Preisliste!C:G,5,FALSE)-VLOOKUP(F80,Preisliste!C:G,4,FALSE))*B80,0)</f>
        <v>0</v>
      </c>
      <c r="AA80" s="86"/>
      <c r="AB80" s="86"/>
      <c r="AC80" s="86"/>
      <c r="AD80" s="86"/>
      <c r="AE80" s="86"/>
      <c r="AF80" s="86"/>
      <c r="AG80" s="55">
        <f t="shared" si="20"/>
        <v>0</v>
      </c>
      <c r="AH80" s="66">
        <f>IF(Kalk3!$AA$19=4,1,0)</f>
        <v>0</v>
      </c>
      <c r="AI80" s="55">
        <v>80</v>
      </c>
      <c r="AK80" s="55" t="s">
        <v>22079</v>
      </c>
      <c r="AL80" s="66">
        <f>IF(OR(Kalk3!$AA$7=1,Kalk3!$AA$9=1),1,0)</f>
        <v>1</v>
      </c>
      <c r="AM80" s="55" t="s">
        <v>22083</v>
      </c>
      <c r="AO80" s="55" t="s">
        <v>22079</v>
      </c>
      <c r="AP80" s="66">
        <f>IF(Kalk3!$AI$51=AQ80,1,0)</f>
        <v>0</v>
      </c>
      <c r="AQ80" s="55">
        <v>1750</v>
      </c>
      <c r="AU80" s="66">
        <f>IF(Kalk3!$AA$7=1,1,0)</f>
        <v>1</v>
      </c>
      <c r="AV80" s="55" t="s">
        <v>19882</v>
      </c>
      <c r="AW80" s="66">
        <f>IF(Kalk3!$AA$9=1,1,0)</f>
        <v>1</v>
      </c>
      <c r="AX80" s="55" t="s">
        <v>20310</v>
      </c>
      <c r="AY80" s="55" t="s">
        <v>22100</v>
      </c>
      <c r="AZ80" s="66">
        <f>(AU80+AW80)*Kalk3!$H$37</f>
        <v>2</v>
      </c>
      <c r="BA80" s="55" t="s">
        <v>22101</v>
      </c>
    </row>
    <row r="81" spans="2:53" ht="24.95" customHeight="1">
      <c r="B81" s="93">
        <f t="shared" si="17"/>
        <v>0</v>
      </c>
      <c r="C81" s="60">
        <v>2150</v>
      </c>
      <c r="D81" s="60"/>
      <c r="E81" s="60" t="str">
        <f>VLOOKUP(1600,Sprachindex!$A:$Z,Erhebungsbogen!$Y$20,FALSE)</f>
        <v>[Stk]</v>
      </c>
      <c r="F81" s="60" t="s">
        <v>21904</v>
      </c>
      <c r="G81" s="514" t="str">
        <f>VLOOKUP(1720,Sprachindex!$A:$Z,Erhebungsbogen!$Y$20,FALSE) &amp; IF(AND(Kalk3!$AA$5=2,Kalk3!$AA$13),", " &amp; VLOOKUP(1645,Sprachindex!$A:$Z,Erhebungsbogen!$Y$20,FALSE) &amp; " " &amp; $U$8,", "&amp; VLOOKUP(1648,Sprachindex!$A:$Z,Erhebungsbogen!$Y$20,FALSE))</f>
        <v>Grundprofil 80 (H-Profil v.d.L.) exkl. Dichtung, gebohrt und entgratet, blank</v>
      </c>
      <c r="H81" s="514"/>
      <c r="I81" s="514"/>
      <c r="J81" s="514"/>
      <c r="K81" s="514"/>
      <c r="L81" s="514"/>
      <c r="M81" s="514"/>
      <c r="N81" s="514"/>
      <c r="O81" s="514"/>
      <c r="P81" s="514"/>
      <c r="Q81" s="514"/>
      <c r="R81" s="514"/>
      <c r="S81" s="514"/>
      <c r="T81" s="514"/>
      <c r="U81" s="352">
        <f>IF(AND(Kalk3!$AA$5=2,Kalk3!$AA$13),VLOOKUP(F81,Preisliste!C:G,5,FALSE),VLOOKUP(F81,Preisliste!C:G,4,FALSE))</f>
        <v>385.4</v>
      </c>
      <c r="V81" s="352">
        <f t="shared" si="16"/>
        <v>0</v>
      </c>
      <c r="W81" s="86"/>
      <c r="X81" s="86"/>
      <c r="Y81" s="86"/>
      <c r="Z81" s="143">
        <f>IF(AND(Kalk3!$AA$5=2,Kalk3!$AA$13),(VLOOKUP(F81,Preisliste!C:G,5,FALSE)-VLOOKUP(F81,Preisliste!C:G,4,FALSE))*B81,0)</f>
        <v>0</v>
      </c>
      <c r="AA81" s="86"/>
      <c r="AB81" s="86"/>
      <c r="AC81" s="86"/>
      <c r="AD81" s="86"/>
      <c r="AE81" s="86"/>
      <c r="AF81" s="86"/>
      <c r="AG81" s="55">
        <f t="shared" si="20"/>
        <v>0</v>
      </c>
      <c r="AH81" s="66">
        <f>IF(Kalk3!$AA$19=4,1,0)</f>
        <v>0</v>
      </c>
      <c r="AI81" s="55">
        <v>80</v>
      </c>
      <c r="AK81" s="55" t="s">
        <v>22079</v>
      </c>
      <c r="AL81" s="66">
        <f>IF(OR(Kalk3!$AA$7=1,Kalk3!$AA$9=1),1,0)</f>
        <v>1</v>
      </c>
      <c r="AM81" s="55" t="s">
        <v>22083</v>
      </c>
      <c r="AO81" s="55" t="s">
        <v>22079</v>
      </c>
      <c r="AP81" s="66">
        <f>IF(Kalk3!$AI$51=AQ81,1,0)</f>
        <v>0</v>
      </c>
      <c r="AQ81" s="55">
        <v>2150</v>
      </c>
      <c r="AU81" s="66">
        <f>IF(Kalk3!$AA$7=1,1,0)</f>
        <v>1</v>
      </c>
      <c r="AV81" s="55" t="s">
        <v>19882</v>
      </c>
      <c r="AW81" s="66">
        <f>IF(Kalk3!$AA$9=1,1,0)</f>
        <v>1</v>
      </c>
      <c r="AX81" s="55" t="s">
        <v>20310</v>
      </c>
      <c r="AY81" s="55" t="s">
        <v>22100</v>
      </c>
      <c r="AZ81" s="66">
        <f>(AU81+AW81)*Kalk3!$H$37</f>
        <v>2</v>
      </c>
      <c r="BA81" s="55" t="s">
        <v>22101</v>
      </c>
    </row>
    <row r="82" spans="2:53" ht="24.95" customHeight="1">
      <c r="B82" s="93">
        <f t="shared" si="17"/>
        <v>0</v>
      </c>
      <c r="C82" s="60">
        <f>IF(AG82=1,AS82,0)</f>
        <v>0</v>
      </c>
      <c r="D82" s="60"/>
      <c r="E82" s="60" t="str">
        <f>VLOOKUP(1600,Sprachindex!$A:$Z,Erhebungsbogen!$Y$20,FALSE)</f>
        <v>[Stk]</v>
      </c>
      <c r="F82" s="60" t="s">
        <v>21905</v>
      </c>
      <c r="G82" s="514" t="str">
        <f>VLOOKUP(1721,Sprachindex!$A:$Z,Erhebungsbogen!$Y$20,FALSE)</f>
        <v>Grundprofil 80 (H-Profil v.d.L.) Sonderlänge exkl. Dichtung, (Stangenware)</v>
      </c>
      <c r="H82" s="514"/>
      <c r="I82" s="514"/>
      <c r="J82" s="514"/>
      <c r="K82" s="514"/>
      <c r="L82" s="514"/>
      <c r="M82" s="514"/>
      <c r="N82" s="514"/>
      <c r="O82" s="514"/>
      <c r="P82" s="514"/>
      <c r="Q82" s="514"/>
      <c r="R82" s="514"/>
      <c r="S82" s="514"/>
      <c r="T82" s="514"/>
      <c r="U82" s="352">
        <f>IF(AND(Kalk3!$AA$5=2,Kalk3!$AA$13),VLOOKUP(F82,Preisliste!C:G,5,FALSE),VLOOKUP(F82,Preisliste!C:G,4,FALSE))</f>
        <v>162.25</v>
      </c>
      <c r="V82" s="352">
        <f t="shared" si="16"/>
        <v>0</v>
      </c>
      <c r="W82" s="86"/>
      <c r="X82" s="86"/>
      <c r="Y82" s="86"/>
      <c r="Z82" s="143">
        <f>IF(AND(Kalk3!$AA$5=2,Kalk3!$AA$13),(VLOOKUP(F82,Preisliste!C:G,5,FALSE)-VLOOKUP(F82,Preisliste!C:G,4,FALSE))*B82,0)</f>
        <v>0</v>
      </c>
      <c r="AA82" s="86"/>
      <c r="AB82" s="86"/>
      <c r="AC82" s="86"/>
      <c r="AD82" s="86"/>
      <c r="AE82" s="86"/>
      <c r="AF82" s="86"/>
      <c r="AG82" s="55">
        <f t="shared" si="20"/>
        <v>0</v>
      </c>
      <c r="AH82" s="66">
        <f>IF(Kalk3!$AA$19=4,1,0)</f>
        <v>0</v>
      </c>
      <c r="AI82" s="55">
        <v>80</v>
      </c>
      <c r="AK82" s="55" t="s">
        <v>22079</v>
      </c>
      <c r="AL82" s="66">
        <f>IF(OR(Kalk3!$AA$7=1,Kalk3!$AA$9=1),1,0)</f>
        <v>1</v>
      </c>
      <c r="AM82" s="55" t="s">
        <v>22083</v>
      </c>
      <c r="AO82" s="55" t="s">
        <v>22079</v>
      </c>
      <c r="AP82" s="66">
        <f>IF(Kalk3!$AH$52&gt;AQ82,1,0)</f>
        <v>0</v>
      </c>
      <c r="AQ82" s="55">
        <v>2150</v>
      </c>
      <c r="AR82" s="55" t="s">
        <v>22084</v>
      </c>
      <c r="AS82" s="66">
        <f>Kalk3!$AH$52</f>
        <v>0</v>
      </c>
      <c r="AU82" s="66">
        <f>IF(Kalk3!$AA$7=1,1,0)</f>
        <v>1</v>
      </c>
      <c r="AV82" s="55" t="s">
        <v>19882</v>
      </c>
      <c r="AW82" s="66">
        <f>IF(Kalk3!$AA$9=1,1,0)</f>
        <v>1</v>
      </c>
      <c r="AX82" s="55" t="s">
        <v>20310</v>
      </c>
      <c r="AY82" s="55" t="s">
        <v>22100</v>
      </c>
      <c r="AZ82" s="66">
        <f>(AU82+AW82)*Kalk3!$H$37</f>
        <v>2</v>
      </c>
      <c r="BA82" s="55" t="s">
        <v>22101</v>
      </c>
    </row>
    <row r="83" spans="2:53" ht="24.95" customHeight="1">
      <c r="B83" s="94">
        <f>IF(AG83=1,AL83,0)</f>
        <v>0</v>
      </c>
      <c r="C83" s="60"/>
      <c r="D83" s="60">
        <f>B83</f>
        <v>0</v>
      </c>
      <c r="E83" s="60" t="str">
        <f>VLOOKUP(1601,Sprachindex!$A:$Z,Erhebungsbogen!$Y$20,FALSE)</f>
        <v>[VPE]</v>
      </c>
      <c r="F83" s="60" t="s">
        <v>21948</v>
      </c>
      <c r="G83" s="514" t="str">
        <f>VLOOKUP(1723,Sprachindex!$A:$Z,Erhebungsbogen!$Y$20,FALSE) &amp; " [" &amp; VLOOKUP(992,Sprachindex!$A:$Z,Erhebungsbogen!$Y$20,FALSE) &amp; " =10 "&amp; VLOOKUP(1512,Sprachindex!$A:$Z,Erhebungsbogen!$Y$20,FALSE) &amp; "]"</f>
        <v>Grundprofildichtung [VPE =10 lfm]</v>
      </c>
      <c r="H83" s="514"/>
      <c r="I83" s="514"/>
      <c r="J83" s="514"/>
      <c r="K83" s="514"/>
      <c r="L83" s="514"/>
      <c r="M83" s="514"/>
      <c r="N83" s="514"/>
      <c r="O83" s="514"/>
      <c r="P83" s="514"/>
      <c r="Q83" s="514"/>
      <c r="R83" s="514"/>
      <c r="S83" s="514"/>
      <c r="T83" s="514"/>
      <c r="U83" s="352">
        <f>VLOOKUP(F83,Preisliste!C:F,4,FALSE)</f>
        <v>67.05</v>
      </c>
      <c r="V83" s="352">
        <f t="shared" ref="V83" si="21">U83*D83</f>
        <v>0</v>
      </c>
      <c r="W83" s="86"/>
      <c r="X83" s="86"/>
      <c r="Y83" s="86"/>
      <c r="Z83" s="86"/>
      <c r="AA83" s="86"/>
      <c r="AB83" s="86"/>
      <c r="AC83" s="86"/>
      <c r="AD83" s="86"/>
      <c r="AE83" s="86"/>
      <c r="AF83" s="86"/>
      <c r="AG83" s="244">
        <f>IF(AND(Kalk3!H28&gt;0,Kalk3!H29&gt;0),1,0)</f>
        <v>0</v>
      </c>
      <c r="AK83" s="55" t="s">
        <v>22100</v>
      </c>
      <c r="AL83" s="66">
        <f>Kalk3!AH54</f>
        <v>0</v>
      </c>
      <c r="AM83" s="55" t="s">
        <v>12148</v>
      </c>
    </row>
    <row r="84" spans="2:53" ht="24.95" customHeight="1">
      <c r="B84" s="93">
        <f>IF(AG84=1,AU84,0)</f>
        <v>0</v>
      </c>
      <c r="C84" s="60"/>
      <c r="D84" s="60"/>
      <c r="E84" s="60" t="str">
        <f>VLOOKUP(1599,Sprachindex!$A:$Z,Erhebungsbogen!$Y$20,FALSE)</f>
        <v>[Paar]</v>
      </c>
      <c r="F84" s="60" t="s">
        <v>21972</v>
      </c>
      <c r="G84" s="514" t="str">
        <f>VLOOKUP(1724,Sprachindex!$A:$Z,Erhebungsbogen!$Y$20,FALSE)</f>
        <v>Halterung für Dammbalken</v>
      </c>
      <c r="H84" s="514"/>
      <c r="I84" s="514"/>
      <c r="J84" s="514"/>
      <c r="K84" s="514"/>
      <c r="L84" s="514"/>
      <c r="M84" s="514"/>
      <c r="N84" s="514"/>
      <c r="O84" s="514"/>
      <c r="P84" s="514"/>
      <c r="Q84" s="514"/>
      <c r="R84" s="514"/>
      <c r="S84" s="514"/>
      <c r="T84" s="514"/>
      <c r="U84" s="352">
        <f>VLOOKUP(F84,Preisliste!C:F,4,FALSE)</f>
        <v>215.75</v>
      </c>
      <c r="V84" s="352">
        <f t="shared" si="16"/>
        <v>0</v>
      </c>
      <c r="W84" s="86"/>
      <c r="X84" s="86"/>
      <c r="Y84" s="86"/>
      <c r="Z84" s="86"/>
      <c r="AA84" s="86"/>
      <c r="AB84" s="86"/>
      <c r="AC84" s="86"/>
      <c r="AD84" s="86"/>
      <c r="AE84" s="86"/>
      <c r="AF84" s="86"/>
      <c r="AG84" s="55">
        <f>IF(Kalk3!$AA$30,1,0)</f>
        <v>0</v>
      </c>
      <c r="AL84" s="66">
        <f>IF(Kalk3!AA19=1,12,IF(Kalk3!AA19=2,7,IF(Kalk3!AA19=3,6,IF(Kalk3!AA19=4,4,0))))</f>
        <v>6</v>
      </c>
      <c r="AM84" s="55" t="s">
        <v>22116</v>
      </c>
      <c r="AP84" s="66">
        <f>Kalk3!AH41</f>
        <v>0</v>
      </c>
      <c r="AQ84" s="55" t="s">
        <v>22117</v>
      </c>
      <c r="AU84" s="66">
        <f>ROUNDUP(AP84/AL84,0)</f>
        <v>0</v>
      </c>
      <c r="AV84" s="55" t="s">
        <v>22118</v>
      </c>
      <c r="AX84" s="21"/>
    </row>
    <row r="85" spans="2:53" ht="24.95" customHeight="1">
      <c r="B85" s="93">
        <f>IF(AND(AG85&gt;0,AL85&gt;0),AL85,0)</f>
        <v>0</v>
      </c>
      <c r="C85" s="60"/>
      <c r="D85" s="60"/>
      <c r="E85" s="60" t="str">
        <f>VLOOKUP(1600,Sprachindex!$A:$Z,Erhebungsbogen!$Y$20,FALSE)</f>
        <v>[Stk]</v>
      </c>
      <c r="F85" s="60" t="s">
        <v>21976</v>
      </c>
      <c r="G85" s="514" t="str">
        <f>VLOOKUP(2126,Sprachindex!$A:$Z,Erhebungsbogen!$Y$20,FALSE)</f>
        <v>Hebehilfe für Bodenhülsendeckel</v>
      </c>
      <c r="H85" s="514"/>
      <c r="I85" s="514"/>
      <c r="J85" s="514"/>
      <c r="K85" s="514"/>
      <c r="L85" s="514"/>
      <c r="M85" s="514"/>
      <c r="N85" s="514"/>
      <c r="O85" s="514"/>
      <c r="P85" s="514"/>
      <c r="Q85" s="514"/>
      <c r="R85" s="514"/>
      <c r="S85" s="514"/>
      <c r="T85" s="514"/>
      <c r="U85" s="352">
        <f>VLOOKUP(F85,Preisliste!C:F,4,FALSE)</f>
        <v>131.5</v>
      </c>
      <c r="V85" s="352">
        <f t="shared" si="16"/>
        <v>0</v>
      </c>
      <c r="W85" s="86"/>
      <c r="X85" s="86"/>
      <c r="Y85" s="86"/>
      <c r="Z85" s="86"/>
      <c r="AA85" s="86"/>
      <c r="AB85" s="86"/>
      <c r="AC85" s="86"/>
      <c r="AD85" s="86"/>
      <c r="AE85" s="86"/>
      <c r="AF85" s="86"/>
      <c r="AG85" s="55">
        <f>IF(AND(Kalk3!$AA$32,Kalk3!Q35&gt;0),1,0)</f>
        <v>0</v>
      </c>
      <c r="AK85" s="55" t="s">
        <v>22100</v>
      </c>
      <c r="AL85" s="66">
        <f>Kalk3!Q35*Kalk3!$H$37</f>
        <v>1</v>
      </c>
      <c r="AM85" s="55" t="s">
        <v>20872</v>
      </c>
      <c r="AX85" s="21"/>
    </row>
    <row r="86" spans="2:53" ht="24.95" customHeight="1">
      <c r="B86" s="93">
        <f>IF(AG86=1,AL86,0)</f>
        <v>0</v>
      </c>
      <c r="C86" s="60"/>
      <c r="D86" s="60"/>
      <c r="E86" s="60" t="str">
        <f>VLOOKUP(1600,Sprachindex!$A:$Z,Erhebungsbogen!$Y$20,FALSE)</f>
        <v>[Stk]</v>
      </c>
      <c r="F86" s="60" t="s">
        <v>21973</v>
      </c>
      <c r="G86" s="514" t="str">
        <f>VLOOKUP(2127,Sprachindex!$A:$Z,Erhebungsbogen!$Y$20,FALSE) &amp; IF(AND(Kalk3!$AA$5=2,Kalk3!$AA$16),", " &amp; VLOOKUP(1645,Sprachindex!$A:$Z,Erhebungsbogen!$Y$20,FALSE) &amp; " " &amp; $U$8,"")</f>
        <v>Lagerabdeckung (Mittelteil)</v>
      </c>
      <c r="H86" s="514"/>
      <c r="I86" s="514"/>
      <c r="J86" s="514"/>
      <c r="K86" s="514"/>
      <c r="L86" s="514"/>
      <c r="M86" s="514"/>
      <c r="N86" s="514"/>
      <c r="O86" s="514"/>
      <c r="P86" s="514"/>
      <c r="Q86" s="514"/>
      <c r="R86" s="514"/>
      <c r="S86" s="514"/>
      <c r="T86" s="514"/>
      <c r="U86" s="352">
        <f>IF(AND(Kalk3!$AA$5=2,Kalk3!$AA$16),VLOOKUP(F86,Preisliste!C:G,5,FALSE),VLOOKUP(F86,Preisliste!C:G,4,FALSE))</f>
        <v>125.7</v>
      </c>
      <c r="V86" s="352">
        <f t="shared" si="16"/>
        <v>0</v>
      </c>
      <c r="W86" s="86"/>
      <c r="X86" s="86"/>
      <c r="Y86" s="86"/>
      <c r="Z86" s="143">
        <f>IF(AND(Kalk3!$AA$5=2,Kalk3!$AA$16),(VLOOKUP(F86,Preisliste!C:G,5,FALSE)-VLOOKUP(F86,Preisliste!C:G,4,FALSE))*B86,0)</f>
        <v>0</v>
      </c>
      <c r="AA86" s="86"/>
      <c r="AB86" s="86"/>
      <c r="AC86" s="86"/>
      <c r="AD86" s="86"/>
      <c r="AE86" s="86"/>
      <c r="AF86" s="86"/>
      <c r="AG86" s="55">
        <f>IF(Kalk3!$AA$31,1,0)</f>
        <v>0</v>
      </c>
      <c r="AK86" s="55" t="s">
        <v>22100</v>
      </c>
      <c r="AL86" s="55">
        <f>ROUNDUP(((Kalk3!AH38+50)/445),0)*Kalk3!AH55</f>
        <v>0</v>
      </c>
      <c r="AM86" s="55" t="s">
        <v>20872</v>
      </c>
      <c r="AX86" s="21"/>
    </row>
    <row r="87" spans="2:53" ht="24.95" customHeight="1">
      <c r="B87" s="93">
        <f>IF(AG87=1,AL87,0)</f>
        <v>0</v>
      </c>
      <c r="C87" s="60"/>
      <c r="D87" s="60"/>
      <c r="E87" s="60" t="str">
        <f>VLOOKUP(1600,Sprachindex!$A:$Z,Erhebungsbogen!$Y$20,FALSE)</f>
        <v>[Stk]</v>
      </c>
      <c r="F87" s="60" t="s">
        <v>21975</v>
      </c>
      <c r="G87" s="514" t="str">
        <f>VLOOKUP(2128,Sprachindex!$A:$Z,Erhebungsbogen!$Y$20,FALSE) &amp; IF(AND(Kalk3!$AA$5=2,Kalk3!$AA$16),", " &amp; VLOOKUP(1645,Sprachindex!$A:$Z,Erhebungsbogen!$Y$20,FALSE) &amp; " " &amp; $U$8,"")</f>
        <v>Lagerabdeckung (Seitenteil)</v>
      </c>
      <c r="H87" s="514"/>
      <c r="I87" s="514"/>
      <c r="J87" s="514"/>
      <c r="K87" s="514"/>
      <c r="L87" s="514"/>
      <c r="M87" s="514"/>
      <c r="N87" s="514"/>
      <c r="O87" s="514"/>
      <c r="P87" s="514"/>
      <c r="Q87" s="514"/>
      <c r="R87" s="514"/>
      <c r="S87" s="514"/>
      <c r="T87" s="514"/>
      <c r="U87" s="352">
        <f>IF(AND(Kalk3!$AA$5=2,Kalk3!$AA$16),VLOOKUP(F87,Preisliste!C:G,5,FALSE),VLOOKUP(F87,Preisliste!C:G,4,FALSE))</f>
        <v>49.35</v>
      </c>
      <c r="V87" s="352">
        <f t="shared" si="16"/>
        <v>0</v>
      </c>
      <c r="W87" s="86"/>
      <c r="X87" s="86"/>
      <c r="Y87" s="86"/>
      <c r="Z87" s="143">
        <f>IF(AND(Kalk3!$AA$5=2,Kalk3!$AA$16),(VLOOKUP(F87,Preisliste!C:G,5,FALSE)-VLOOKUP(F87,Preisliste!C:G,4,FALSE))*B87,0)</f>
        <v>0</v>
      </c>
      <c r="AA87" s="86"/>
      <c r="AB87" s="86"/>
      <c r="AC87" s="86"/>
      <c r="AD87" s="86"/>
      <c r="AE87" s="86"/>
      <c r="AF87" s="86"/>
      <c r="AG87" s="55">
        <f>IF(Kalk3!$AA$31,1,0)</f>
        <v>0</v>
      </c>
      <c r="AK87" s="55" t="s">
        <v>22100</v>
      </c>
      <c r="AL87" s="55">
        <f>2*Kalk3!AH55</f>
        <v>0</v>
      </c>
      <c r="AM87" s="55" t="s">
        <v>20872</v>
      </c>
      <c r="AX87" s="21"/>
    </row>
    <row r="88" spans="2:53" ht="24.95" customHeight="1">
      <c r="B88" s="93">
        <f>IF(AND(AG88=1,AU88=1),AL88,0)</f>
        <v>0</v>
      </c>
      <c r="C88" s="60">
        <v>750</v>
      </c>
      <c r="D88" s="60"/>
      <c r="E88" s="60" t="str">
        <f>VLOOKUP(1600,Sprachindex!$A:$Z,Erhebungsbogen!$Y$20,FALSE)</f>
        <v>[Stk]</v>
      </c>
      <c r="F88" s="60" t="s">
        <v>21938</v>
      </c>
      <c r="G88" s="514" t="str">
        <f>VLOOKUP(1774,Sprachindex!$A:$Z,Erhebungsbogen!$Y$20,FALSE)</f>
        <v>Niederhalter inkl. Spannstück, Verbundanker und Gewindestange</v>
      </c>
      <c r="H88" s="514"/>
      <c r="I88" s="514"/>
      <c r="J88" s="514"/>
      <c r="K88" s="514"/>
      <c r="L88" s="514"/>
      <c r="M88" s="514"/>
      <c r="N88" s="514"/>
      <c r="O88" s="514"/>
      <c r="P88" s="514"/>
      <c r="Q88" s="514"/>
      <c r="R88" s="514"/>
      <c r="S88" s="514"/>
      <c r="T88" s="514"/>
      <c r="U88" s="352">
        <f>VLOOKUP(F88,Preisliste!C:F,4,FALSE)</f>
        <v>458.8</v>
      </c>
      <c r="V88" s="352">
        <f t="shared" si="16"/>
        <v>0</v>
      </c>
      <c r="W88" s="86"/>
      <c r="X88" s="86"/>
      <c r="Y88" s="86"/>
      <c r="Z88" s="86"/>
      <c r="AA88" s="86"/>
      <c r="AB88" s="86"/>
      <c r="AC88" s="86"/>
      <c r="AD88" s="86"/>
      <c r="AE88" s="86"/>
      <c r="AF88" s="86"/>
      <c r="AG88" s="55">
        <f>IF(AND(AL88&gt;0,AU88=1),1,0)</f>
        <v>0</v>
      </c>
      <c r="AL88" s="66">
        <f>IF(AND(Kalk3!$AA$26,Kalk3!$Q$29&gt;0),Kalk3!$Q$29,0)*Kalk3!$H$37</f>
        <v>0</v>
      </c>
      <c r="AM88" s="55" t="s">
        <v>20872</v>
      </c>
      <c r="AT88" s="55" t="s">
        <v>22079</v>
      </c>
      <c r="AU88" s="66">
        <f>IF(Kalk3!$AI$51=AV88,1,0)</f>
        <v>1</v>
      </c>
      <c r="AV88" s="55">
        <v>750</v>
      </c>
      <c r="AX88" s="21"/>
    </row>
    <row r="89" spans="2:53" ht="24.95" customHeight="1">
      <c r="B89" s="93">
        <f>IF(AND(AG89=1,AU89=1),AL89,0)</f>
        <v>0</v>
      </c>
      <c r="C89" s="60">
        <v>1350</v>
      </c>
      <c r="D89" s="60"/>
      <c r="E89" s="60" t="str">
        <f>VLOOKUP(1600,Sprachindex!$A:$Z,Erhebungsbogen!$Y$20,FALSE)</f>
        <v>[Stk]</v>
      </c>
      <c r="F89" s="60" t="s">
        <v>21939</v>
      </c>
      <c r="G89" s="514" t="str">
        <f>VLOOKUP(1774,Sprachindex!$A:$Z,Erhebungsbogen!$Y$20,FALSE)</f>
        <v>Niederhalter inkl. Spannstück, Verbundanker und Gewindestange</v>
      </c>
      <c r="H89" s="514"/>
      <c r="I89" s="514"/>
      <c r="J89" s="514"/>
      <c r="K89" s="514"/>
      <c r="L89" s="514"/>
      <c r="M89" s="514"/>
      <c r="N89" s="514"/>
      <c r="O89" s="514"/>
      <c r="P89" s="514"/>
      <c r="Q89" s="514"/>
      <c r="R89" s="514"/>
      <c r="S89" s="514"/>
      <c r="T89" s="514"/>
      <c r="U89" s="352">
        <f>VLOOKUP(F89,Preisliste!C:F,4,FALSE)</f>
        <v>498.35</v>
      </c>
      <c r="V89" s="352">
        <f t="shared" si="16"/>
        <v>0</v>
      </c>
      <c r="W89" s="86"/>
      <c r="X89" s="86"/>
      <c r="Y89" s="86"/>
      <c r="Z89" s="86"/>
      <c r="AA89" s="86"/>
      <c r="AB89" s="86"/>
      <c r="AC89" s="86"/>
      <c r="AD89" s="86"/>
      <c r="AE89" s="86"/>
      <c r="AF89" s="86"/>
      <c r="AG89" s="55">
        <f>IF(AND(AL89&gt;0,AU89=1),1,0)</f>
        <v>0</v>
      </c>
      <c r="AL89" s="66">
        <f>IF(AND(Kalk3!$AA$26,Kalk3!$Q$29&gt;0),Kalk3!$Q$29,0)*Kalk3!$H$37</f>
        <v>0</v>
      </c>
      <c r="AM89" s="55" t="s">
        <v>20872</v>
      </c>
      <c r="AT89" s="55" t="s">
        <v>22079</v>
      </c>
      <c r="AU89" s="66">
        <f>IF(Kalk3!$AI$51=AV89,1,0)</f>
        <v>0</v>
      </c>
      <c r="AV89" s="55">
        <v>1350</v>
      </c>
    </row>
    <row r="90" spans="2:53" ht="24.95" customHeight="1">
      <c r="B90" s="93">
        <f>IF(AND(AG90=1,AU90=1),AL90,0)</f>
        <v>0</v>
      </c>
      <c r="C90" s="60">
        <v>1750</v>
      </c>
      <c r="D90" s="60"/>
      <c r="E90" s="60" t="str">
        <f>VLOOKUP(1600,Sprachindex!$A:$Z,Erhebungsbogen!$Y$20,FALSE)</f>
        <v>[Stk]</v>
      </c>
      <c r="F90" s="60" t="s">
        <v>21940</v>
      </c>
      <c r="G90" s="514" t="str">
        <f>VLOOKUP(1774,Sprachindex!$A:$Z,Erhebungsbogen!$Y$20,FALSE)</f>
        <v>Niederhalter inkl. Spannstück, Verbundanker und Gewindestange</v>
      </c>
      <c r="H90" s="514"/>
      <c r="I90" s="514"/>
      <c r="J90" s="514"/>
      <c r="K90" s="514"/>
      <c r="L90" s="514"/>
      <c r="M90" s="514"/>
      <c r="N90" s="514"/>
      <c r="O90" s="514"/>
      <c r="P90" s="514"/>
      <c r="Q90" s="514"/>
      <c r="R90" s="514"/>
      <c r="S90" s="514"/>
      <c r="T90" s="514"/>
      <c r="U90" s="352">
        <f>VLOOKUP(F90,Preisliste!C:F,4,FALSE)</f>
        <v>555.6</v>
      </c>
      <c r="V90" s="352">
        <f t="shared" si="16"/>
        <v>0</v>
      </c>
      <c r="W90" s="86"/>
      <c r="X90" s="86"/>
      <c r="Y90" s="86"/>
      <c r="Z90" s="86"/>
      <c r="AA90" s="86"/>
      <c r="AB90" s="86"/>
      <c r="AC90" s="86"/>
      <c r="AD90" s="86"/>
      <c r="AE90" s="86"/>
      <c r="AF90" s="86"/>
      <c r="AG90" s="55">
        <f>IF(AND(AL90&gt;0,AU90=1),1,0)</f>
        <v>0</v>
      </c>
      <c r="AL90" s="66">
        <f>IF(AND(Kalk3!$AA$26,Kalk3!$Q$29&gt;0),Kalk3!$Q$29,0)*Kalk3!$H$37</f>
        <v>0</v>
      </c>
      <c r="AM90" s="55" t="s">
        <v>20872</v>
      </c>
      <c r="AT90" s="55" t="s">
        <v>22079</v>
      </c>
      <c r="AU90" s="66">
        <f>IF(Kalk3!$AI$51=AV90,1,0)</f>
        <v>0</v>
      </c>
      <c r="AV90" s="55">
        <v>1750</v>
      </c>
    </row>
    <row r="91" spans="2:53" ht="24.95" customHeight="1">
      <c r="B91" s="93">
        <f>IF(AG91=1,AY91,0)</f>
        <v>0</v>
      </c>
      <c r="C91" s="60">
        <v>750</v>
      </c>
      <c r="D91" s="60"/>
      <c r="E91" s="60" t="str">
        <f>VLOOKUP(1600,Sprachindex!$A:$Z,Erhebungsbogen!$Y$20,FALSE)</f>
        <v>[Stk]</v>
      </c>
      <c r="F91" s="60" t="s">
        <v>21906</v>
      </c>
      <c r="G91" s="514" t="str">
        <f>VLOOKUP(1794,Sprachindex!$A:$Z,Erhebungsbogen!$Y$20,FALSE) &amp; " ( " &amp;Preisliste!H71 &amp; " " &amp; VLOOKUP(1744,Sprachindex!$A:$Z,Erhebungsbogen!$Y$20,FALSE) &amp; ")"</f>
        <v>Rundprofil 50 exkl. Dichtung, gebohrt und entgratet ( 7,801 kg/Stk)</v>
      </c>
      <c r="H91" s="514"/>
      <c r="I91" s="514"/>
      <c r="J91" s="514"/>
      <c r="K91" s="514"/>
      <c r="L91" s="514"/>
      <c r="M91" s="514"/>
      <c r="N91" s="514"/>
      <c r="O91" s="514"/>
      <c r="P91" s="514"/>
      <c r="Q91" s="514"/>
      <c r="R91" s="514"/>
      <c r="S91" s="514"/>
      <c r="T91" s="514"/>
      <c r="U91" s="352">
        <f>VLOOKUP(F91,Preisliste!C:F,4,FALSE)</f>
        <v>369.95</v>
      </c>
      <c r="V91" s="352">
        <f t="shared" si="16"/>
        <v>0</v>
      </c>
      <c r="W91" s="86"/>
      <c r="X91" s="86"/>
      <c r="Y91" s="86"/>
      <c r="Z91" s="86"/>
      <c r="AA91" s="86"/>
      <c r="AB91" s="86"/>
      <c r="AC91" s="86"/>
      <c r="AD91" s="86"/>
      <c r="AE91" s="86"/>
      <c r="AF91" s="86"/>
      <c r="AG91" s="55">
        <f>IF(AND(AH91=1,(AL91-AO91)&gt;0,AU91=1),1,0)</f>
        <v>0</v>
      </c>
      <c r="AH91" s="66">
        <f>IF(OR(Kalk3!$AA$19=2,Kalk3!$AA$19=3),1,0)</f>
        <v>1</v>
      </c>
      <c r="AI91" s="55">
        <v>50</v>
      </c>
      <c r="AL91" s="66">
        <f>IF(Kalk3!$AA$20=1,Kalk3!$H$33-1,0)</f>
        <v>0</v>
      </c>
      <c r="AM91" s="55" t="s">
        <v>22119</v>
      </c>
      <c r="AO91" s="66">
        <f>IF(Kalk3!$O$20&gt;0,Kalk3!$O$20,0)</f>
        <v>0</v>
      </c>
      <c r="AP91" s="55" t="s">
        <v>22121</v>
      </c>
      <c r="AQ91" s="66">
        <f>IF(Kalk3!$O$21&gt;0,Kalk3!$O$21,0)</f>
        <v>0</v>
      </c>
      <c r="AR91" s="55" t="s">
        <v>22120</v>
      </c>
      <c r="AT91" s="55" t="s">
        <v>22079</v>
      </c>
      <c r="AU91" s="66">
        <f>IF(Kalk3!$AI$51=$AV$91,1,0)</f>
        <v>1</v>
      </c>
      <c r="AV91" s="55">
        <v>750</v>
      </c>
      <c r="AX91" s="55" t="s">
        <v>22100</v>
      </c>
      <c r="AY91" s="66">
        <f>IF((AL91-AO91-AQ91)&lt;0,0,AL91-AO91-AQ91)*Kalk3!$H$37</f>
        <v>0</v>
      </c>
      <c r="AZ91" s="55" t="s">
        <v>20872</v>
      </c>
    </row>
    <row r="92" spans="2:53" ht="24.95" customHeight="1">
      <c r="B92" s="93">
        <f t="shared" ref="B92:B100" si="22">IF(AG92=1,AY92,0)</f>
        <v>0</v>
      </c>
      <c r="C92" s="60">
        <v>1350</v>
      </c>
      <c r="D92" s="60"/>
      <c r="E92" s="60" t="str">
        <f>VLOOKUP(1600,Sprachindex!$A:$Z,Erhebungsbogen!$Y$20,FALSE)</f>
        <v>[Stk]</v>
      </c>
      <c r="F92" s="60" t="s">
        <v>21907</v>
      </c>
      <c r="G92" s="514" t="str">
        <f>VLOOKUP(1794,Sprachindex!$A:$Z,Erhebungsbogen!$Y$20,FALSE) &amp; " ( " &amp;Preisliste!H72 &amp; " " &amp; VLOOKUP(1744,Sprachindex!$A:$Z,Erhebungsbogen!$Y$20,FALSE) &amp; ")"</f>
        <v>Rundprofil 50 exkl. Dichtung, gebohrt und entgratet ( 14,041 kg/Stk)</v>
      </c>
      <c r="H92" s="514"/>
      <c r="I92" s="514"/>
      <c r="J92" s="514"/>
      <c r="K92" s="514"/>
      <c r="L92" s="514"/>
      <c r="M92" s="514"/>
      <c r="N92" s="514"/>
      <c r="O92" s="514"/>
      <c r="P92" s="514"/>
      <c r="Q92" s="514"/>
      <c r="R92" s="514"/>
      <c r="S92" s="514"/>
      <c r="T92" s="514"/>
      <c r="U92" s="352">
        <f>VLOOKUP(F92,Preisliste!C:F,4,FALSE)</f>
        <v>440.6</v>
      </c>
      <c r="V92" s="352">
        <f t="shared" si="16"/>
        <v>0</v>
      </c>
      <c r="W92" s="86"/>
      <c r="X92" s="86"/>
      <c r="Y92" s="86"/>
      <c r="Z92" s="86"/>
      <c r="AA92" s="86"/>
      <c r="AB92" s="86"/>
      <c r="AC92" s="86"/>
      <c r="AD92" s="86"/>
      <c r="AE92" s="86"/>
      <c r="AF92" s="86"/>
      <c r="AG92" s="55">
        <f t="shared" ref="AG92:AG100" si="23">IF(AND(AH92=1,(AL92-AO92)&gt;0,AU92=1),1,0)</f>
        <v>0</v>
      </c>
      <c r="AH92" s="66">
        <f>IF(OR(Kalk3!$AA$19=2,Kalk3!$AA$19=3),1,0)</f>
        <v>1</v>
      </c>
      <c r="AI92" s="55">
        <v>50</v>
      </c>
      <c r="AL92" s="66">
        <f>IF(Kalk3!$AA$20=1,Kalk3!$H$33-1,0)</f>
        <v>0</v>
      </c>
      <c r="AM92" s="55" t="s">
        <v>22119</v>
      </c>
      <c r="AO92" s="66">
        <f>IF(Kalk3!$O$20&gt;0,Kalk3!$O$20,0)</f>
        <v>0</v>
      </c>
      <c r="AP92" s="55" t="s">
        <v>22121</v>
      </c>
      <c r="AQ92" s="66">
        <f>IF(Kalk3!$O$21&gt;0,Kalk3!$O$21,0)</f>
        <v>0</v>
      </c>
      <c r="AR92" s="55" t="s">
        <v>22120</v>
      </c>
      <c r="AT92" s="55" t="s">
        <v>22079</v>
      </c>
      <c r="AU92" s="66">
        <f>IF(Kalk3!$AI$51=AV92,1,0)</f>
        <v>0</v>
      </c>
      <c r="AV92" s="55">
        <v>1350</v>
      </c>
      <c r="AX92" s="55" t="s">
        <v>22100</v>
      </c>
      <c r="AY92" s="66">
        <f>IF((AL92-AO92-AQ92)&lt;0,0,AL92-AO92-AQ92)*Kalk3!$H$37</f>
        <v>0</v>
      </c>
      <c r="AZ92" s="55" t="s">
        <v>20872</v>
      </c>
    </row>
    <row r="93" spans="2:53" ht="24.95" customHeight="1">
      <c r="B93" s="93">
        <f t="shared" si="22"/>
        <v>0</v>
      </c>
      <c r="C93" s="60">
        <v>1750</v>
      </c>
      <c r="D93" s="60"/>
      <c r="E93" s="60" t="str">
        <f>VLOOKUP(1600,Sprachindex!$A:$Z,Erhebungsbogen!$Y$20,FALSE)</f>
        <v>[Stk]</v>
      </c>
      <c r="F93" s="60" t="s">
        <v>21908</v>
      </c>
      <c r="G93" s="514" t="str">
        <f>VLOOKUP(1794,Sprachindex!$A:$Z,Erhebungsbogen!$Y$20,FALSE) &amp; " ( " &amp;Preisliste!H73 &amp; " " &amp; VLOOKUP(1744,Sprachindex!$A:$Z,Erhebungsbogen!$Y$20,FALSE) &amp; ")"</f>
        <v>Rundprofil 50 exkl. Dichtung, gebohrt und entgratet ( 18,202 kg/Stk)</v>
      </c>
      <c r="H93" s="514"/>
      <c r="I93" s="514"/>
      <c r="J93" s="514"/>
      <c r="K93" s="514"/>
      <c r="L93" s="514"/>
      <c r="M93" s="514"/>
      <c r="N93" s="514"/>
      <c r="O93" s="514"/>
      <c r="P93" s="514"/>
      <c r="Q93" s="514"/>
      <c r="R93" s="514"/>
      <c r="S93" s="514"/>
      <c r="T93" s="514"/>
      <c r="U93" s="352">
        <f>VLOOKUP(F93,Preisliste!C:F,4,FALSE)</f>
        <v>509.75</v>
      </c>
      <c r="V93" s="352">
        <f t="shared" si="16"/>
        <v>0</v>
      </c>
      <c r="W93" s="86"/>
      <c r="X93" s="86"/>
      <c r="Y93" s="86"/>
      <c r="Z93" s="86"/>
      <c r="AA93" s="86"/>
      <c r="AB93" s="86"/>
      <c r="AC93" s="86"/>
      <c r="AD93" s="86"/>
      <c r="AE93" s="86"/>
      <c r="AF93" s="86"/>
      <c r="AG93" s="55">
        <f t="shared" si="23"/>
        <v>0</v>
      </c>
      <c r="AH93" s="66">
        <f>IF(OR(Kalk3!$AA$19=2,Kalk3!$AA$19=3),1,0)</f>
        <v>1</v>
      </c>
      <c r="AI93" s="55">
        <v>50</v>
      </c>
      <c r="AL93" s="66">
        <f>IF(Kalk3!$AA$20=1,Kalk3!$H$33-1,0)</f>
        <v>0</v>
      </c>
      <c r="AM93" s="55" t="s">
        <v>22119</v>
      </c>
      <c r="AO93" s="66">
        <f>IF(Kalk3!$O$20&gt;0,Kalk3!$O$20,0)</f>
        <v>0</v>
      </c>
      <c r="AP93" s="55" t="s">
        <v>22121</v>
      </c>
      <c r="AQ93" s="66">
        <f>IF(Kalk3!$O$21&gt;0,Kalk3!$O$21,0)</f>
        <v>0</v>
      </c>
      <c r="AR93" s="55" t="s">
        <v>22120</v>
      </c>
      <c r="AT93" s="55" t="s">
        <v>22079</v>
      </c>
      <c r="AU93" s="66">
        <f>IF(Kalk3!$AI$51=AV93,1,0)</f>
        <v>0</v>
      </c>
      <c r="AV93" s="55">
        <v>1750</v>
      </c>
      <c r="AX93" s="55" t="s">
        <v>22100</v>
      </c>
      <c r="AY93" s="66">
        <f>IF((AL93-AO93-AQ93)&lt;0,0,AL93-AO93-AQ93)*Kalk3!$H$37</f>
        <v>0</v>
      </c>
      <c r="AZ93" s="55" t="s">
        <v>20872</v>
      </c>
    </row>
    <row r="94" spans="2:53" ht="24.95" customHeight="1">
      <c r="B94" s="93">
        <f t="shared" si="22"/>
        <v>0</v>
      </c>
      <c r="C94" s="60">
        <v>2150</v>
      </c>
      <c r="D94" s="60"/>
      <c r="E94" s="60" t="str">
        <f>VLOOKUP(1600,Sprachindex!$A:$Z,Erhebungsbogen!$Y$20,FALSE)</f>
        <v>[Stk]</v>
      </c>
      <c r="F94" s="60" t="s">
        <v>21909</v>
      </c>
      <c r="G94" s="514" t="str">
        <f>VLOOKUP(1794,Sprachindex!$A:$Z,Erhebungsbogen!$Y$20,FALSE) &amp; " ( " &amp;Preisliste!H74 &amp; " " &amp; VLOOKUP(1744,Sprachindex!$A:$Z,Erhebungsbogen!$Y$20,FALSE) &amp; ")"</f>
        <v>Rundprofil 50 exkl. Dichtung, gebohrt und entgratet ( 22,362 kg/Stk)</v>
      </c>
      <c r="H94" s="514"/>
      <c r="I94" s="514"/>
      <c r="J94" s="514"/>
      <c r="K94" s="514"/>
      <c r="L94" s="514"/>
      <c r="M94" s="514"/>
      <c r="N94" s="514"/>
      <c r="O94" s="514"/>
      <c r="P94" s="514"/>
      <c r="Q94" s="514"/>
      <c r="R94" s="514"/>
      <c r="S94" s="514"/>
      <c r="T94" s="514"/>
      <c r="U94" s="352">
        <f>VLOOKUP(F94,Preisliste!C:F,4,FALSE)</f>
        <v>554.29999999999995</v>
      </c>
      <c r="V94" s="352">
        <f t="shared" si="16"/>
        <v>0</v>
      </c>
      <c r="W94" s="86"/>
      <c r="X94" s="86"/>
      <c r="Y94" s="86"/>
      <c r="Z94" s="86"/>
      <c r="AA94" s="86"/>
      <c r="AB94" s="86"/>
      <c r="AC94" s="86"/>
      <c r="AD94" s="86"/>
      <c r="AE94" s="86"/>
      <c r="AF94" s="86"/>
      <c r="AG94" s="55">
        <f t="shared" si="23"/>
        <v>0</v>
      </c>
      <c r="AH94" s="66">
        <f>IF(OR(Kalk3!$AA$19=2,Kalk3!$AA$19=3),1,0)</f>
        <v>1</v>
      </c>
      <c r="AI94" s="55">
        <v>50</v>
      </c>
      <c r="AL94" s="66">
        <f>IF(Kalk3!$AA$20=1,Kalk3!$H$33-1,0)</f>
        <v>0</v>
      </c>
      <c r="AM94" s="55" t="s">
        <v>22119</v>
      </c>
      <c r="AO94" s="66">
        <f>IF(Kalk3!$O$20&gt;0,Kalk3!$O$20,0)</f>
        <v>0</v>
      </c>
      <c r="AP94" s="55" t="s">
        <v>22121</v>
      </c>
      <c r="AQ94" s="66">
        <f>IF(Kalk3!$O$21&gt;0,Kalk3!$O$21,0)</f>
        <v>0</v>
      </c>
      <c r="AR94" s="55" t="s">
        <v>22120</v>
      </c>
      <c r="AT94" s="55" t="s">
        <v>22079</v>
      </c>
      <c r="AU94" s="66">
        <f>IF(Kalk3!$AI$51=AV94,1,0)</f>
        <v>0</v>
      </c>
      <c r="AV94" s="55">
        <v>2150</v>
      </c>
      <c r="AX94" s="55" t="s">
        <v>22100</v>
      </c>
      <c r="AY94" s="66">
        <f>IF((AL94-AO94-AQ94)&lt;0,0,AL94-AO94-AQ94)*Kalk3!$H$37</f>
        <v>0</v>
      </c>
      <c r="AZ94" s="55" t="s">
        <v>20872</v>
      </c>
    </row>
    <row r="95" spans="2:53" ht="24.95" customHeight="1">
      <c r="B95" s="93">
        <f t="shared" si="22"/>
        <v>0</v>
      </c>
      <c r="C95" s="60">
        <f>IF(AG95=1,AW95,0)</f>
        <v>0</v>
      </c>
      <c r="D95" s="60"/>
      <c r="E95" s="60" t="str">
        <f>VLOOKUP(1600,Sprachindex!$A:$Z,Erhebungsbogen!$Y$20,FALSE)</f>
        <v>[Stk]</v>
      </c>
      <c r="F95" s="60" t="s">
        <v>21826</v>
      </c>
      <c r="G95" s="514" t="str">
        <f>VLOOKUP(1795,Sprachindex!$A:$Z,Erhebungsbogen!$Y$20,FALSE) &amp; " (" &amp; ROUNDUP(C95/1000*Preisliste!I75,2) &amp; " " &amp; VLOOKUP(1744,Sprachindex!$A:$Z,Erhebungsbogen!$Y$20,FALSE) &amp; ")"</f>
        <v>Rundprofil 50 Sonderlänge exkl. Dichtung, (Stangenware) (0 kg/Stk)</v>
      </c>
      <c r="H95" s="514"/>
      <c r="I95" s="514"/>
      <c r="J95" s="514"/>
      <c r="K95" s="514"/>
      <c r="L95" s="514"/>
      <c r="M95" s="514"/>
      <c r="N95" s="514"/>
      <c r="O95" s="514"/>
      <c r="P95" s="514"/>
      <c r="Q95" s="514"/>
      <c r="R95" s="514"/>
      <c r="S95" s="514"/>
      <c r="T95" s="514"/>
      <c r="U95" s="354">
        <f>VLOOKUP(F95,Preisliste!C:F,4,FALSE)</f>
        <v>0</v>
      </c>
      <c r="V95" s="352">
        <f t="shared" si="16"/>
        <v>0</v>
      </c>
      <c r="W95" s="86"/>
      <c r="X95" s="86"/>
      <c r="Y95" s="86"/>
      <c r="Z95" s="86"/>
      <c r="AA95" s="86"/>
      <c r="AB95" s="86"/>
      <c r="AC95" s="86"/>
      <c r="AD95" s="86"/>
      <c r="AE95" s="86"/>
      <c r="AF95" s="86"/>
      <c r="AG95" s="55">
        <f t="shared" si="23"/>
        <v>0</v>
      </c>
      <c r="AH95" s="66">
        <f>IF(OR(Kalk3!$AA$19=2,Kalk3!$AA$19=3),1,0)</f>
        <v>1</v>
      </c>
      <c r="AI95" s="55">
        <v>50</v>
      </c>
      <c r="AL95" s="66">
        <f>IF(Kalk3!$AA$20=1,Kalk3!$H$33-1,0)</f>
        <v>0</v>
      </c>
      <c r="AM95" s="55" t="s">
        <v>22119</v>
      </c>
      <c r="AO95" s="66">
        <f>IF(Kalk3!$O$20&gt;0,Kalk3!$O$20,0)</f>
        <v>0</v>
      </c>
      <c r="AP95" s="55" t="s">
        <v>22121</v>
      </c>
      <c r="AQ95" s="66">
        <f>IF(Kalk3!$O$21&gt;0,Kalk3!$O$21,0)</f>
        <v>0</v>
      </c>
      <c r="AR95" s="55" t="s">
        <v>22120</v>
      </c>
      <c r="AT95" s="55" t="s">
        <v>22079</v>
      </c>
      <c r="AU95" s="66">
        <f>IF(Kalk3!$AH$52&gt;AV95,1,0)</f>
        <v>0</v>
      </c>
      <c r="AV95" s="55">
        <v>2150</v>
      </c>
      <c r="AW95" s="66">
        <f>Kalk3!$AH$52</f>
        <v>0</v>
      </c>
      <c r="AX95" s="55" t="s">
        <v>22100</v>
      </c>
      <c r="AY95" s="66">
        <f>IF((AL95-AO95-AQ95)&lt;0,0,AL95-AO95-AQ95)*Kalk3!$H$37</f>
        <v>0</v>
      </c>
      <c r="AZ95" s="55" t="s">
        <v>20872</v>
      </c>
    </row>
    <row r="96" spans="2:53" ht="24.95" customHeight="1">
      <c r="B96" s="93">
        <f t="shared" si="22"/>
        <v>0</v>
      </c>
      <c r="C96" s="60">
        <v>750</v>
      </c>
      <c r="D96" s="60"/>
      <c r="E96" s="60" t="str">
        <f>VLOOKUP(1600,Sprachindex!$A:$Z,Erhebungsbogen!$Y$20,FALSE)</f>
        <v>[Stk]</v>
      </c>
      <c r="F96" s="60" t="s">
        <v>21910</v>
      </c>
      <c r="G96" s="514" t="str">
        <f>VLOOKUP(1800,Sprachindex!$A:$Z,Erhebungsbogen!$Y$20,FALSE) &amp; " ( " &amp;Preisliste!H76 &amp; " " &amp; VLOOKUP(1744,Sprachindex!$A:$Z,Erhebungsbogen!$Y$20,FALSE) &amp; ")"</f>
        <v>Rundprofil 80 exkl. Dichtung, gebohrt und entgratet ( 8,444 kg/Stk)</v>
      </c>
      <c r="H96" s="514"/>
      <c r="I96" s="514"/>
      <c r="J96" s="514"/>
      <c r="K96" s="514"/>
      <c r="L96" s="514"/>
      <c r="M96" s="514"/>
      <c r="N96" s="514"/>
      <c r="O96" s="514"/>
      <c r="P96" s="514"/>
      <c r="Q96" s="514"/>
      <c r="R96" s="514"/>
      <c r="S96" s="514"/>
      <c r="T96" s="514"/>
      <c r="U96" s="352">
        <f>VLOOKUP(F96,Preisliste!C:F,4,FALSE)</f>
        <v>404.05</v>
      </c>
      <c r="V96" s="352">
        <f t="shared" si="16"/>
        <v>0</v>
      </c>
      <c r="W96" s="86"/>
      <c r="X96" s="86"/>
      <c r="Y96" s="86"/>
      <c r="Z96" s="86"/>
      <c r="AA96" s="86"/>
      <c r="AB96" s="86"/>
      <c r="AC96" s="86"/>
      <c r="AD96" s="86"/>
      <c r="AE96" s="86"/>
      <c r="AF96" s="86"/>
      <c r="AG96" s="55">
        <f t="shared" si="23"/>
        <v>0</v>
      </c>
      <c r="AH96" s="66">
        <f>IF(Kalk3!$AA$19=4,1,0)</f>
        <v>0</v>
      </c>
      <c r="AI96" s="55">
        <v>80</v>
      </c>
      <c r="AL96" s="66">
        <f>IF(Kalk3!$AA$20=1,Kalk3!$H$33-1,0)</f>
        <v>0</v>
      </c>
      <c r="AM96" s="55" t="s">
        <v>22119</v>
      </c>
      <c r="AO96" s="66">
        <f>IF(Kalk3!$O$20&gt;0,Kalk3!$O$20,0)</f>
        <v>0</v>
      </c>
      <c r="AP96" s="55" t="s">
        <v>22121</v>
      </c>
      <c r="AQ96" s="66">
        <f>IF(Kalk3!$O$21&gt;0,Kalk3!$O$21,0)</f>
        <v>0</v>
      </c>
      <c r="AR96" s="55" t="s">
        <v>22120</v>
      </c>
      <c r="AT96" s="55" t="s">
        <v>22079</v>
      </c>
      <c r="AU96" s="66">
        <f>IF(Kalk3!$AI$51=$AV$91,1,0)</f>
        <v>1</v>
      </c>
      <c r="AV96" s="55">
        <v>750</v>
      </c>
      <c r="AX96" s="55" t="s">
        <v>22100</v>
      </c>
      <c r="AY96" s="66">
        <f>IF((AL96-AO96-AQ96)&lt;0,0,AL96-AO96-AQ96)*Kalk3!$H$37</f>
        <v>0</v>
      </c>
      <c r="AZ96" s="55" t="s">
        <v>20872</v>
      </c>
    </row>
    <row r="97" spans="2:52" ht="24.95" customHeight="1">
      <c r="B97" s="93">
        <f t="shared" si="22"/>
        <v>0</v>
      </c>
      <c r="C97" s="60">
        <v>1350</v>
      </c>
      <c r="D97" s="60"/>
      <c r="E97" s="60" t="str">
        <f>VLOOKUP(1600,Sprachindex!$A:$Z,Erhebungsbogen!$Y$20,FALSE)</f>
        <v>[Stk]</v>
      </c>
      <c r="F97" s="60" t="s">
        <v>21911</v>
      </c>
      <c r="G97" s="514" t="str">
        <f>VLOOKUP(1800,Sprachindex!$A:$Z,Erhebungsbogen!$Y$20,FALSE) &amp; " ( " &amp;Preisliste!H77 &amp; " " &amp; VLOOKUP(1744,Sprachindex!$A:$Z,Erhebungsbogen!$Y$20,FALSE) &amp; ")"</f>
        <v>Rundprofil 80 exkl. Dichtung, gebohrt und entgratet ( 15,198 kg/Stk)</v>
      </c>
      <c r="H97" s="514"/>
      <c r="I97" s="514"/>
      <c r="J97" s="514"/>
      <c r="K97" s="514"/>
      <c r="L97" s="514"/>
      <c r="M97" s="514"/>
      <c r="N97" s="514"/>
      <c r="O97" s="514"/>
      <c r="P97" s="514"/>
      <c r="Q97" s="514"/>
      <c r="R97" s="514"/>
      <c r="S97" s="514"/>
      <c r="T97" s="514"/>
      <c r="U97" s="352">
        <f>VLOOKUP(F97,Preisliste!C:F,4,FALSE)</f>
        <v>507.3</v>
      </c>
      <c r="V97" s="352">
        <f t="shared" si="16"/>
        <v>0</v>
      </c>
      <c r="W97" s="86"/>
      <c r="X97" s="86"/>
      <c r="Y97" s="86"/>
      <c r="Z97" s="86"/>
      <c r="AA97" s="86"/>
      <c r="AB97" s="86"/>
      <c r="AC97" s="86"/>
      <c r="AD97" s="86"/>
      <c r="AE97" s="86"/>
      <c r="AF97" s="86"/>
      <c r="AG97" s="55">
        <f t="shared" si="23"/>
        <v>0</v>
      </c>
      <c r="AH97" s="66">
        <f>IF(Kalk3!$AA$19=4,1,0)</f>
        <v>0</v>
      </c>
      <c r="AI97" s="55">
        <v>80</v>
      </c>
      <c r="AL97" s="66">
        <f>IF(Kalk3!$AA$20=1,Kalk3!$H$33-1,0)</f>
        <v>0</v>
      </c>
      <c r="AM97" s="55" t="s">
        <v>22119</v>
      </c>
      <c r="AO97" s="66">
        <f>IF(Kalk3!$O$20&gt;0,Kalk3!$O$20,0)</f>
        <v>0</v>
      </c>
      <c r="AP97" s="55" t="s">
        <v>22121</v>
      </c>
      <c r="AQ97" s="66">
        <f>IF(Kalk3!$O$21&gt;0,Kalk3!$O$21,0)</f>
        <v>0</v>
      </c>
      <c r="AR97" s="55" t="s">
        <v>22120</v>
      </c>
      <c r="AT97" s="55" t="s">
        <v>22079</v>
      </c>
      <c r="AU97" s="66">
        <f>IF(Kalk3!$AI$51=AV97,1,0)</f>
        <v>0</v>
      </c>
      <c r="AV97" s="55">
        <v>1350</v>
      </c>
      <c r="AX97" s="55" t="s">
        <v>22100</v>
      </c>
      <c r="AY97" s="66">
        <f>IF((AL97-AO97-AQ97)&lt;0,0,AL97-AO97-AQ97)*Kalk3!$H$37</f>
        <v>0</v>
      </c>
      <c r="AZ97" s="55" t="s">
        <v>20872</v>
      </c>
    </row>
    <row r="98" spans="2:52" ht="24.95" customHeight="1">
      <c r="B98" s="93">
        <f t="shared" si="22"/>
        <v>0</v>
      </c>
      <c r="C98" s="60">
        <v>1750</v>
      </c>
      <c r="D98" s="60"/>
      <c r="E98" s="60" t="str">
        <f>VLOOKUP(1600,Sprachindex!$A:$Z,Erhebungsbogen!$Y$20,FALSE)</f>
        <v>[Stk]</v>
      </c>
      <c r="F98" s="60" t="s">
        <v>21912</v>
      </c>
      <c r="G98" s="514" t="str">
        <f>VLOOKUP(1800,Sprachindex!$A:$Z,Erhebungsbogen!$Y$20,FALSE) &amp; " ( " &amp;Preisliste!H78 &amp; " " &amp; VLOOKUP(1744,Sprachindex!$A:$Z,Erhebungsbogen!$Y$20,FALSE) &amp; ")"</f>
        <v>Rundprofil 80 exkl. Dichtung, gebohrt und entgratet ( 19,702 kg/Stk)</v>
      </c>
      <c r="H98" s="514"/>
      <c r="I98" s="514"/>
      <c r="J98" s="514"/>
      <c r="K98" s="514"/>
      <c r="L98" s="514"/>
      <c r="M98" s="514"/>
      <c r="N98" s="514"/>
      <c r="O98" s="514"/>
      <c r="P98" s="514"/>
      <c r="Q98" s="514"/>
      <c r="R98" s="514"/>
      <c r="S98" s="514"/>
      <c r="T98" s="514"/>
      <c r="U98" s="352">
        <f>VLOOKUP(F98,Preisliste!C:F,4,FALSE)</f>
        <v>576.20000000000005</v>
      </c>
      <c r="V98" s="352">
        <f t="shared" si="16"/>
        <v>0</v>
      </c>
      <c r="W98" s="86"/>
      <c r="X98" s="86"/>
      <c r="Y98" s="86"/>
      <c r="Z98" s="86"/>
      <c r="AA98" s="86"/>
      <c r="AB98" s="86"/>
      <c r="AC98" s="86"/>
      <c r="AD98" s="86"/>
      <c r="AE98" s="86"/>
      <c r="AF98" s="86"/>
      <c r="AG98" s="55">
        <f t="shared" si="23"/>
        <v>0</v>
      </c>
      <c r="AH98" s="66">
        <f>IF(Kalk3!$AA$19=4,1,0)</f>
        <v>0</v>
      </c>
      <c r="AI98" s="55">
        <v>80</v>
      </c>
      <c r="AL98" s="66">
        <f>IF(Kalk3!$AA$20=1,Kalk3!$H$33-1,0)</f>
        <v>0</v>
      </c>
      <c r="AM98" s="55" t="s">
        <v>22119</v>
      </c>
      <c r="AO98" s="66">
        <f>IF(Kalk3!$O$20&gt;0,Kalk3!$O$20,0)</f>
        <v>0</v>
      </c>
      <c r="AP98" s="55" t="s">
        <v>22121</v>
      </c>
      <c r="AQ98" s="66">
        <f>IF(Kalk3!$O$21&gt;0,Kalk3!$O$21,0)</f>
        <v>0</v>
      </c>
      <c r="AR98" s="55" t="s">
        <v>22120</v>
      </c>
      <c r="AT98" s="55" t="s">
        <v>22079</v>
      </c>
      <c r="AU98" s="66">
        <f>IF(Kalk3!$AI$51=AV98,1,0)</f>
        <v>0</v>
      </c>
      <c r="AV98" s="55">
        <v>1750</v>
      </c>
      <c r="AX98" s="55" t="s">
        <v>22100</v>
      </c>
      <c r="AY98" s="66">
        <f>IF((AL98-AO98-AQ98)&lt;0,0,AL98-AO98-AQ98)*Kalk3!$H$37</f>
        <v>0</v>
      </c>
      <c r="AZ98" s="55" t="s">
        <v>20872</v>
      </c>
    </row>
    <row r="99" spans="2:52" ht="24.95" customHeight="1">
      <c r="B99" s="93">
        <f t="shared" si="22"/>
        <v>0</v>
      </c>
      <c r="C99" s="60">
        <v>2150</v>
      </c>
      <c r="D99" s="60"/>
      <c r="E99" s="60" t="str">
        <f>VLOOKUP(1600,Sprachindex!$A:$Z,Erhebungsbogen!$Y$20,FALSE)</f>
        <v>[Stk]</v>
      </c>
      <c r="F99" s="60" t="s">
        <v>21913</v>
      </c>
      <c r="G99" s="514" t="str">
        <f>VLOOKUP(1800,Sprachindex!$A:$Z,Erhebungsbogen!$Y$20,FALSE) &amp; " ( " &amp;Preisliste!H79 &amp; " " &amp; VLOOKUP(1744,Sprachindex!$A:$Z,Erhebungsbogen!$Y$20,FALSE) &amp; ")"</f>
        <v>Rundprofil 80 exkl. Dichtung, gebohrt und entgratet ( 24,205 kg/Stk)</v>
      </c>
      <c r="H99" s="514"/>
      <c r="I99" s="514"/>
      <c r="J99" s="514"/>
      <c r="K99" s="514"/>
      <c r="L99" s="514"/>
      <c r="M99" s="514"/>
      <c r="N99" s="514"/>
      <c r="O99" s="514"/>
      <c r="P99" s="514"/>
      <c r="Q99" s="514"/>
      <c r="R99" s="514"/>
      <c r="S99" s="514"/>
      <c r="T99" s="514"/>
      <c r="U99" s="352">
        <f>VLOOKUP(F99,Preisliste!C:F,4,FALSE)</f>
        <v>644.85</v>
      </c>
      <c r="V99" s="352">
        <f t="shared" si="16"/>
        <v>0</v>
      </c>
      <c r="W99" s="86"/>
      <c r="X99" s="86"/>
      <c r="Y99" s="86"/>
      <c r="Z99" s="86"/>
      <c r="AA99" s="86"/>
      <c r="AB99" s="86"/>
      <c r="AC99" s="86"/>
      <c r="AD99" s="86"/>
      <c r="AE99" s="86"/>
      <c r="AF99" s="86"/>
      <c r="AG99" s="55">
        <f t="shared" si="23"/>
        <v>0</v>
      </c>
      <c r="AH99" s="66">
        <f>IF(Kalk3!$AA$19=4,1,0)</f>
        <v>0</v>
      </c>
      <c r="AI99" s="55">
        <v>80</v>
      </c>
      <c r="AL99" s="66">
        <f>IF(Kalk3!$AA$20=1,Kalk3!$H$33-1,0)</f>
        <v>0</v>
      </c>
      <c r="AM99" s="55" t="s">
        <v>22119</v>
      </c>
      <c r="AO99" s="66">
        <f>IF(Kalk3!$O$20&gt;0,Kalk3!$O$20,0)</f>
        <v>0</v>
      </c>
      <c r="AP99" s="55" t="s">
        <v>22121</v>
      </c>
      <c r="AQ99" s="66">
        <f>IF(Kalk3!$O$21&gt;0,Kalk3!$O$21,0)</f>
        <v>0</v>
      </c>
      <c r="AR99" s="55" t="s">
        <v>22120</v>
      </c>
      <c r="AT99" s="55" t="s">
        <v>22079</v>
      </c>
      <c r="AU99" s="66">
        <f>IF(Kalk3!$AI$51=AV99,1,0)</f>
        <v>0</v>
      </c>
      <c r="AV99" s="55">
        <v>2150</v>
      </c>
      <c r="AX99" s="55" t="s">
        <v>22100</v>
      </c>
      <c r="AY99" s="66">
        <f>IF((AL99-AO99-AQ99)&lt;0,0,AL99-AO99-AQ99)*Kalk3!$H$37</f>
        <v>0</v>
      </c>
      <c r="AZ99" s="55" t="s">
        <v>20872</v>
      </c>
    </row>
    <row r="100" spans="2:52" ht="24.95" customHeight="1">
      <c r="B100" s="93">
        <f t="shared" si="22"/>
        <v>0</v>
      </c>
      <c r="C100" s="60">
        <f>IF(AG100=1,AW100,0)</f>
        <v>0</v>
      </c>
      <c r="D100" s="60"/>
      <c r="E100" s="60" t="str">
        <f>VLOOKUP(1600,Sprachindex!$A:$Z,Erhebungsbogen!$Y$20,FALSE)</f>
        <v>[Stk]</v>
      </c>
      <c r="F100" s="60" t="s">
        <v>21826</v>
      </c>
      <c r="G100" s="514" t="str">
        <f>VLOOKUP(1803,Sprachindex!$A:$Z,Erhebungsbogen!$Y$20,FALSE) &amp; " (" &amp; ROUNDUP(C100/1000*Preisliste!I80,2) &amp; " " &amp; VLOOKUP(1744,Sprachindex!$A:$Z,Erhebungsbogen!$Y$20,FALSE) &amp; ")"</f>
        <v>Rundprofil 80 Sonderlänge exkl. Dichtung, (Stangenware) (0 kg/Stk)</v>
      </c>
      <c r="H100" s="514"/>
      <c r="I100" s="514"/>
      <c r="J100" s="514"/>
      <c r="K100" s="514"/>
      <c r="L100" s="514"/>
      <c r="M100" s="514"/>
      <c r="N100" s="514"/>
      <c r="O100" s="514"/>
      <c r="P100" s="514"/>
      <c r="Q100" s="514"/>
      <c r="R100" s="514"/>
      <c r="S100" s="514"/>
      <c r="T100" s="514"/>
      <c r="U100" s="354">
        <f>VLOOKUP(F100,Preisliste!C:F,4,FALSE)</f>
        <v>0</v>
      </c>
      <c r="V100" s="352">
        <f t="shared" si="16"/>
        <v>0</v>
      </c>
      <c r="W100" s="86"/>
      <c r="X100" s="86"/>
      <c r="Y100" s="86"/>
      <c r="Z100" s="86"/>
      <c r="AA100" s="86"/>
      <c r="AB100" s="86"/>
      <c r="AC100" s="86"/>
      <c r="AD100" s="86"/>
      <c r="AE100" s="86"/>
      <c r="AF100" s="86"/>
      <c r="AG100" s="55">
        <f t="shared" si="23"/>
        <v>0</v>
      </c>
      <c r="AH100" s="66">
        <f>IF(Kalk3!$AA$19=4,1,0)</f>
        <v>0</v>
      </c>
      <c r="AI100" s="55">
        <v>80</v>
      </c>
      <c r="AL100" s="66">
        <f>IF(Kalk3!$AA$20=1,Kalk3!$H$33-1,0)</f>
        <v>0</v>
      </c>
      <c r="AM100" s="55" t="s">
        <v>22119</v>
      </c>
      <c r="AO100" s="66">
        <f>IF(Kalk3!$O$20&gt;0,Kalk3!$O$20,0)</f>
        <v>0</v>
      </c>
      <c r="AP100" s="55" t="s">
        <v>22121</v>
      </c>
      <c r="AQ100" s="66">
        <f>IF(Kalk3!$O$21&gt;0,Kalk3!$O$21,0)</f>
        <v>0</v>
      </c>
      <c r="AR100" s="55" t="s">
        <v>22120</v>
      </c>
      <c r="AT100" s="55" t="s">
        <v>22079</v>
      </c>
      <c r="AU100" s="66">
        <f>IF(Kalk3!$AH$52&gt;AV100,1,0)</f>
        <v>0</v>
      </c>
      <c r="AV100" s="55">
        <v>2150</v>
      </c>
      <c r="AW100" s="66">
        <f>Kalk3!$AH$52</f>
        <v>0</v>
      </c>
      <c r="AX100" s="55" t="s">
        <v>22100</v>
      </c>
      <c r="AY100" s="66">
        <f>IF((AL100-AO100-AQ100)&lt;0,0,AL100-AO100-AQ100)*Kalk3!$H$37</f>
        <v>0</v>
      </c>
      <c r="AZ100" s="55" t="s">
        <v>20872</v>
      </c>
    </row>
    <row r="101" spans="2:52" ht="24.95" customHeight="1">
      <c r="B101" s="93">
        <f>IF(AG101=1,AL101,0)</f>
        <v>0</v>
      </c>
      <c r="C101" s="60">
        <v>750</v>
      </c>
      <c r="D101" s="60"/>
      <c r="E101" s="60" t="str">
        <f>VLOOKUP(1600,Sprachindex!$A:$Z,Erhebungsbogen!$Y$20,FALSE)</f>
        <v>[Stk]</v>
      </c>
      <c r="F101" s="60" t="s">
        <v>21914</v>
      </c>
      <c r="G101" s="517" t="str">
        <f>VLOOKUP(1801,Sprachindex!$A:$Z,Erhebungsbogen!$Y$20,FALSE) &amp; " ( " &amp;Preisliste!H81 &amp; " " &amp; VLOOKUP(1744,Sprachindex!$A:$Z,Erhebungsbogen!$Y$20,FALSE) &amp; ")"</f>
        <v>Rundprofil 80 gr. exkl. Dichtung, gebohrt und entgratet ( 11,012 kg/Stk)</v>
      </c>
      <c r="H101" s="515"/>
      <c r="I101" s="515"/>
      <c r="J101" s="515"/>
      <c r="K101" s="515"/>
      <c r="L101" s="515"/>
      <c r="M101" s="515"/>
      <c r="N101" s="515"/>
      <c r="O101" s="515"/>
      <c r="P101" s="515"/>
      <c r="Q101" s="515"/>
      <c r="R101" s="515"/>
      <c r="S101" s="515"/>
      <c r="T101" s="516"/>
      <c r="U101" s="352">
        <f>VLOOKUP(F101,Preisliste!C:F,4,FALSE)</f>
        <v>538.25</v>
      </c>
      <c r="V101" s="352">
        <f t="shared" si="16"/>
        <v>0</v>
      </c>
      <c r="W101" s="86"/>
      <c r="X101" s="86"/>
      <c r="Y101" s="86"/>
      <c r="Z101" s="86"/>
      <c r="AA101" s="86"/>
      <c r="AB101" s="86"/>
      <c r="AC101" s="86"/>
      <c r="AD101" s="86"/>
      <c r="AE101" s="86"/>
      <c r="AF101" s="86"/>
      <c r="AG101" s="55">
        <f>IF(AND(AH101=1,AL101&gt;0,AU101=1),1,0)</f>
        <v>0</v>
      </c>
      <c r="AH101" s="66">
        <f>IF(Kalk3!$AA$19=4,1,0)</f>
        <v>0</v>
      </c>
      <c r="AI101" s="55">
        <v>80</v>
      </c>
      <c r="AK101" s="55" t="s">
        <v>22079</v>
      </c>
      <c r="AL101" s="66">
        <f>IF(AND(Kalk3!$AA$19=4,Kalk3!$AA$20=2),Kalk3!$H$33-1-AO101-AQ101,0)</f>
        <v>0</v>
      </c>
      <c r="AM101" s="55" t="s">
        <v>22086</v>
      </c>
      <c r="AO101" s="66">
        <f>IF(Kalk3!$O$20&gt;0,Kalk3!$O$20,0)</f>
        <v>0</v>
      </c>
      <c r="AP101" s="55" t="s">
        <v>22121</v>
      </c>
      <c r="AQ101" s="66">
        <f>IF(Kalk3!$O$21&gt;0,Kalk3!$O$21,0)</f>
        <v>0</v>
      </c>
      <c r="AR101" s="55" t="s">
        <v>22120</v>
      </c>
      <c r="AT101" s="55" t="s">
        <v>22079</v>
      </c>
      <c r="AU101" s="66">
        <f>IF(Kalk3!$AI$51=$AV$91,1,0)</f>
        <v>1</v>
      </c>
      <c r="AV101" s="55">
        <v>750</v>
      </c>
      <c r="AX101" s="55" t="s">
        <v>22100</v>
      </c>
      <c r="AY101" s="66">
        <f>AL101*Kalk3!$H$37</f>
        <v>0</v>
      </c>
      <c r="AZ101" s="55" t="s">
        <v>20872</v>
      </c>
    </row>
    <row r="102" spans="2:52" ht="24.95" customHeight="1">
      <c r="B102" s="93">
        <f>IF(AG102=1,AY102,0)</f>
        <v>0</v>
      </c>
      <c r="C102" s="60">
        <v>1350</v>
      </c>
      <c r="D102" s="60"/>
      <c r="E102" s="60" t="str">
        <f>VLOOKUP(1600,Sprachindex!$A:$Z,Erhebungsbogen!$Y$20,FALSE)</f>
        <v>[Stk]</v>
      </c>
      <c r="F102" s="60" t="s">
        <v>21915</v>
      </c>
      <c r="G102" s="517" t="str">
        <f>VLOOKUP(1801,Sprachindex!$A:$Z,Erhebungsbogen!$Y$20,FALSE) &amp; " ( " &amp;Preisliste!H82 &amp; " " &amp; VLOOKUP(1744,Sprachindex!$A:$Z,Erhebungsbogen!$Y$20,FALSE) &amp; ")"</f>
        <v>Rundprofil 80 gr. exkl. Dichtung, gebohrt und entgratet ( 19,821 kg/Stk)</v>
      </c>
      <c r="H102" s="515"/>
      <c r="I102" s="515"/>
      <c r="J102" s="515"/>
      <c r="K102" s="515"/>
      <c r="L102" s="515"/>
      <c r="M102" s="515"/>
      <c r="N102" s="515"/>
      <c r="O102" s="515"/>
      <c r="P102" s="515"/>
      <c r="Q102" s="515"/>
      <c r="R102" s="515"/>
      <c r="S102" s="515"/>
      <c r="T102" s="516"/>
      <c r="U102" s="352">
        <f>VLOOKUP(F102,Preisliste!C:F,4,FALSE)</f>
        <v>672.9</v>
      </c>
      <c r="V102" s="352">
        <f t="shared" si="16"/>
        <v>0</v>
      </c>
      <c r="W102" s="86"/>
      <c r="X102" s="86"/>
      <c r="Y102" s="86"/>
      <c r="Z102" s="86"/>
      <c r="AA102" s="86"/>
      <c r="AB102" s="86"/>
      <c r="AC102" s="86"/>
      <c r="AD102" s="86"/>
      <c r="AE102" s="86"/>
      <c r="AF102" s="86"/>
      <c r="AG102" s="55">
        <f t="shared" ref="AG102:AG105" si="24">IF(AND(AH102=1,AL102&gt;0,AU102=1),1,0)</f>
        <v>0</v>
      </c>
      <c r="AH102" s="66">
        <f>IF(Kalk3!$AA$19=4,1,0)</f>
        <v>0</v>
      </c>
      <c r="AI102" s="55">
        <v>80</v>
      </c>
      <c r="AK102" s="55" t="s">
        <v>22079</v>
      </c>
      <c r="AL102" s="66">
        <f>IF(AND(Kalk3!$AA$19=4,Kalk3!$AA$20=2),Kalk3!$H$33-1-AO102-AQ102,0)</f>
        <v>0</v>
      </c>
      <c r="AM102" s="55" t="s">
        <v>22086</v>
      </c>
      <c r="AO102" s="66">
        <f>IF(Kalk3!$O$20&gt;0,Kalk3!$O$20,0)</f>
        <v>0</v>
      </c>
      <c r="AP102" s="55" t="s">
        <v>22121</v>
      </c>
      <c r="AQ102" s="66">
        <f>IF(Kalk3!$O$21&gt;0,Kalk3!$O$21,0)</f>
        <v>0</v>
      </c>
      <c r="AR102" s="55" t="s">
        <v>22120</v>
      </c>
      <c r="AT102" s="55" t="s">
        <v>22079</v>
      </c>
      <c r="AU102" s="66">
        <f>IF(Kalk3!$AI$51=AV102,1,0)</f>
        <v>0</v>
      </c>
      <c r="AV102" s="55">
        <v>1350</v>
      </c>
      <c r="AX102" s="55" t="s">
        <v>22100</v>
      </c>
      <c r="AY102" s="66">
        <f>AL102*Kalk3!$H$37</f>
        <v>0</v>
      </c>
      <c r="AZ102" s="55" t="s">
        <v>20872</v>
      </c>
    </row>
    <row r="103" spans="2:52" ht="24.95" customHeight="1">
      <c r="B103" s="93">
        <f t="shared" ref="B103:B105" si="25">IF(AG103=1,AL103,0)</f>
        <v>0</v>
      </c>
      <c r="C103" s="60">
        <v>1750</v>
      </c>
      <c r="D103" s="60"/>
      <c r="E103" s="60" t="str">
        <f>VLOOKUP(1600,Sprachindex!$A:$Z,Erhebungsbogen!$Y$20,FALSE)</f>
        <v>[Stk]</v>
      </c>
      <c r="F103" s="60" t="s">
        <v>21916</v>
      </c>
      <c r="G103" s="517" t="str">
        <f>VLOOKUP(1801,Sprachindex!$A:$Z,Erhebungsbogen!$Y$20,FALSE) &amp; " ( " &amp;Preisliste!H83 &amp; " " &amp; VLOOKUP(1744,Sprachindex!$A:$Z,Erhebungsbogen!$Y$20,FALSE) &amp; ")"</f>
        <v>Rundprofil 80 gr. exkl. Dichtung, gebohrt und entgratet ( 25,694 kg/Stk)</v>
      </c>
      <c r="H103" s="515"/>
      <c r="I103" s="515"/>
      <c r="J103" s="515"/>
      <c r="K103" s="515"/>
      <c r="L103" s="515"/>
      <c r="M103" s="515"/>
      <c r="N103" s="515"/>
      <c r="O103" s="515"/>
      <c r="P103" s="515"/>
      <c r="Q103" s="515"/>
      <c r="R103" s="515"/>
      <c r="S103" s="515"/>
      <c r="T103" s="516"/>
      <c r="U103" s="352">
        <f>VLOOKUP(F103,Preisliste!C:F,4,FALSE)</f>
        <v>762.7</v>
      </c>
      <c r="V103" s="352">
        <f t="shared" si="16"/>
        <v>0</v>
      </c>
      <c r="W103" s="86"/>
      <c r="X103" s="86"/>
      <c r="Y103" s="86"/>
      <c r="Z103" s="86"/>
      <c r="AA103" s="86"/>
      <c r="AB103" s="86"/>
      <c r="AC103" s="86"/>
      <c r="AD103" s="86"/>
      <c r="AE103" s="86"/>
      <c r="AF103" s="86"/>
      <c r="AG103" s="55">
        <f t="shared" si="24"/>
        <v>0</v>
      </c>
      <c r="AH103" s="66">
        <f>IF(Kalk3!$AA$19=4,1,0)</f>
        <v>0</v>
      </c>
      <c r="AI103" s="55">
        <v>80</v>
      </c>
      <c r="AK103" s="55" t="s">
        <v>22079</v>
      </c>
      <c r="AL103" s="66">
        <f>IF(AND(Kalk3!$AA$19=4,Kalk3!$AA$20=2),Kalk3!$H$33-1-AO103-AQ103,0)</f>
        <v>0</v>
      </c>
      <c r="AM103" s="55" t="s">
        <v>22086</v>
      </c>
      <c r="AO103" s="66">
        <f>IF(Kalk3!$O$20&gt;0,Kalk3!$O$20,0)</f>
        <v>0</v>
      </c>
      <c r="AP103" s="55" t="s">
        <v>22121</v>
      </c>
      <c r="AQ103" s="66">
        <f>IF(Kalk3!$O$21&gt;0,Kalk3!$O$21,0)</f>
        <v>0</v>
      </c>
      <c r="AR103" s="55" t="s">
        <v>22120</v>
      </c>
      <c r="AT103" s="55" t="s">
        <v>22079</v>
      </c>
      <c r="AU103" s="66">
        <f>IF(Kalk3!$AI$51=AV103,1,0)</f>
        <v>0</v>
      </c>
      <c r="AV103" s="55">
        <v>1750</v>
      </c>
      <c r="AX103" s="55" t="s">
        <v>22100</v>
      </c>
      <c r="AY103" s="66">
        <f>AL103*Kalk3!$H$37</f>
        <v>0</v>
      </c>
      <c r="AZ103" s="55" t="s">
        <v>20872</v>
      </c>
    </row>
    <row r="104" spans="2:52" ht="24.95" customHeight="1">
      <c r="B104" s="93">
        <f t="shared" si="25"/>
        <v>0</v>
      </c>
      <c r="C104" s="60">
        <v>2150</v>
      </c>
      <c r="D104" s="60"/>
      <c r="E104" s="60" t="str">
        <f>VLOOKUP(1600,Sprachindex!$A:$Z,Erhebungsbogen!$Y$20,FALSE)</f>
        <v>[Stk]</v>
      </c>
      <c r="F104" s="60" t="s">
        <v>21917</v>
      </c>
      <c r="G104" s="517" t="str">
        <f>VLOOKUP(1801,Sprachindex!$A:$Z,Erhebungsbogen!$Y$20,FALSE) &amp; " ( " &amp;Preisliste!H84 &amp; " " &amp; VLOOKUP(1744,Sprachindex!$A:$Z,Erhebungsbogen!$Y$20,FALSE) &amp; ")"</f>
        <v>Rundprofil 80 gr. exkl. Dichtung, gebohrt und entgratet ( 31,566 kg/Stk)</v>
      </c>
      <c r="H104" s="515"/>
      <c r="I104" s="515"/>
      <c r="J104" s="515"/>
      <c r="K104" s="515"/>
      <c r="L104" s="515"/>
      <c r="M104" s="515"/>
      <c r="N104" s="515"/>
      <c r="O104" s="515"/>
      <c r="P104" s="515"/>
      <c r="Q104" s="515"/>
      <c r="R104" s="515"/>
      <c r="S104" s="515"/>
      <c r="T104" s="516"/>
      <c r="U104" s="352">
        <f>VLOOKUP(F104,Preisliste!C:F,4,FALSE)</f>
        <v>852.3</v>
      </c>
      <c r="V104" s="352">
        <f t="shared" si="16"/>
        <v>0</v>
      </c>
      <c r="W104" s="86"/>
      <c r="X104" s="86"/>
      <c r="Y104" s="86"/>
      <c r="Z104" s="86"/>
      <c r="AA104" s="86"/>
      <c r="AB104" s="86"/>
      <c r="AC104" s="86"/>
      <c r="AD104" s="86"/>
      <c r="AE104" s="86"/>
      <c r="AF104" s="86"/>
      <c r="AG104" s="55">
        <f t="shared" si="24"/>
        <v>0</v>
      </c>
      <c r="AH104" s="66">
        <f>IF(Kalk3!$AA$19=4,1,0)</f>
        <v>0</v>
      </c>
      <c r="AI104" s="55">
        <v>80</v>
      </c>
      <c r="AK104" s="55" t="s">
        <v>22079</v>
      </c>
      <c r="AL104" s="66">
        <f>IF(AND(Kalk3!$AA$19=4,Kalk3!$AA$20=2),Kalk3!$H$33-1-AO104-AQ104,0)</f>
        <v>0</v>
      </c>
      <c r="AM104" s="55" t="s">
        <v>22086</v>
      </c>
      <c r="AO104" s="66">
        <f>IF(Kalk3!$O$20&gt;0,Kalk3!$O$20,0)</f>
        <v>0</v>
      </c>
      <c r="AP104" s="55" t="s">
        <v>22121</v>
      </c>
      <c r="AQ104" s="66">
        <f>IF(Kalk3!$O$21&gt;0,Kalk3!$O$21,0)</f>
        <v>0</v>
      </c>
      <c r="AR104" s="55" t="s">
        <v>22120</v>
      </c>
      <c r="AT104" s="55" t="s">
        <v>22079</v>
      </c>
      <c r="AU104" s="66">
        <f>IF(Kalk3!$AI$51=AV104,1,0)</f>
        <v>0</v>
      </c>
      <c r="AV104" s="55">
        <v>2150</v>
      </c>
      <c r="AX104" s="55" t="s">
        <v>22100</v>
      </c>
      <c r="AY104" s="66">
        <f>AL104*Kalk3!$H$37</f>
        <v>0</v>
      </c>
      <c r="AZ104" s="55" t="s">
        <v>20872</v>
      </c>
    </row>
    <row r="105" spans="2:52" ht="24.95" customHeight="1">
      <c r="B105" s="93">
        <f t="shared" si="25"/>
        <v>0</v>
      </c>
      <c r="C105" s="60">
        <f>IF(AG105=1,AW105,0)</f>
        <v>0</v>
      </c>
      <c r="D105" s="60"/>
      <c r="E105" s="60" t="str">
        <f>VLOOKUP(1600,Sprachindex!$A:$Z,Erhebungsbogen!$Y$20,FALSE)</f>
        <v>[Stk]</v>
      </c>
      <c r="F105" s="60" t="s">
        <v>21826</v>
      </c>
      <c r="G105" s="514" t="str">
        <f>VLOOKUP(1802,Sprachindex!$A:$Z,Erhebungsbogen!$Y$20,FALSE) &amp; " (" &amp; ROUNDUP(C105/1000*Preisliste!I85,2) &amp; " " &amp; VLOOKUP(1744,Sprachindex!$A:$Z,Erhebungsbogen!$Y$20,FALSE) &amp; ")"</f>
        <v>Rundprofil 80 gr. Sonderlänge exkl. Dichtung, (Stangenware) (0 kg/Stk)</v>
      </c>
      <c r="H105" s="514"/>
      <c r="I105" s="514"/>
      <c r="J105" s="514"/>
      <c r="K105" s="514"/>
      <c r="L105" s="514"/>
      <c r="M105" s="514"/>
      <c r="N105" s="514"/>
      <c r="O105" s="514"/>
      <c r="P105" s="514"/>
      <c r="Q105" s="514"/>
      <c r="R105" s="514"/>
      <c r="S105" s="514"/>
      <c r="T105" s="514"/>
      <c r="U105" s="354">
        <f>VLOOKUP(F105,Preisliste!C:F,4,FALSE)</f>
        <v>0</v>
      </c>
      <c r="V105" s="352">
        <f t="shared" si="16"/>
        <v>0</v>
      </c>
      <c r="W105" s="86"/>
      <c r="X105" s="86"/>
      <c r="Y105" s="86"/>
      <c r="Z105" s="86"/>
      <c r="AA105" s="86"/>
      <c r="AB105" s="86"/>
      <c r="AC105" s="86"/>
      <c r="AD105" s="86"/>
      <c r="AE105" s="86"/>
      <c r="AF105" s="86"/>
      <c r="AG105" s="55">
        <f t="shared" si="24"/>
        <v>0</v>
      </c>
      <c r="AH105" s="66">
        <f>IF(Kalk3!$AA$19=4,1,0)</f>
        <v>0</v>
      </c>
      <c r="AI105" s="55">
        <v>80</v>
      </c>
      <c r="AK105" s="55" t="s">
        <v>22079</v>
      </c>
      <c r="AL105" s="66">
        <f>IF(AND(Kalk3!$AA$19=4,Kalk3!$AA$20=2),Kalk3!$H$33-1-AO105-AQ105,0)</f>
        <v>0</v>
      </c>
      <c r="AM105" s="55" t="s">
        <v>22086</v>
      </c>
      <c r="AO105" s="66">
        <f>IF(Kalk3!$O$20&gt;0,Kalk3!$O$20,0)</f>
        <v>0</v>
      </c>
      <c r="AP105" s="55" t="s">
        <v>22121</v>
      </c>
      <c r="AQ105" s="66">
        <f>IF(Kalk3!$O$21&gt;0,Kalk3!$O$21,0)</f>
        <v>0</v>
      </c>
      <c r="AR105" s="55" t="s">
        <v>22120</v>
      </c>
      <c r="AT105" s="55" t="s">
        <v>22079</v>
      </c>
      <c r="AU105" s="66">
        <f>IF(Kalk3!$AH$52&gt;AV105,1,0)</f>
        <v>0</v>
      </c>
      <c r="AV105" s="55">
        <v>2150</v>
      </c>
      <c r="AW105" s="66">
        <f>Kalk3!$AH$52</f>
        <v>0</v>
      </c>
      <c r="AX105" s="55" t="s">
        <v>22100</v>
      </c>
      <c r="AY105" s="66">
        <f>AL105*Kalk3!$H$37</f>
        <v>0</v>
      </c>
      <c r="AZ105" s="55" t="s">
        <v>20872</v>
      </c>
    </row>
    <row r="106" spans="2:52" ht="24.95" customHeight="1">
      <c r="B106" s="93">
        <f>IF(AG106=1,AY106,0)</f>
        <v>0</v>
      </c>
      <c r="C106" s="60">
        <v>750</v>
      </c>
      <c r="D106" s="60"/>
      <c r="E106" s="60" t="str">
        <f>VLOOKUP(1600,Sprachindex!$A:$Z,Erhebungsbogen!$Y$20,FALSE)</f>
        <v>[Stk]</v>
      </c>
      <c r="F106" s="60" t="s">
        <v>21918</v>
      </c>
      <c r="G106" s="514" t="str">
        <f>VLOOKUP(1796,Sprachindex!$A:$Z,Erhebungsbogen!$Y$20,FALSE) &amp; " ( " &amp;Preisliste!H86 &amp; " " &amp; VLOOKUP(1744,Sprachindex!$A:$Z,Erhebungsbogen!$Y$20,FALSE) &amp; ")"</f>
        <v>Rundprofil 50-90° exkl. Dichtung, gebohrt und entgratet ( 7,383 kg/Stk)</v>
      </c>
      <c r="H106" s="514"/>
      <c r="I106" s="514"/>
      <c r="J106" s="514"/>
      <c r="K106" s="514"/>
      <c r="L106" s="514"/>
      <c r="M106" s="514"/>
      <c r="N106" s="514"/>
      <c r="O106" s="514"/>
      <c r="P106" s="514"/>
      <c r="Q106" s="514"/>
      <c r="R106" s="514"/>
      <c r="S106" s="514"/>
      <c r="T106" s="514"/>
      <c r="U106" s="352">
        <f>VLOOKUP(F106,Preisliste!C:F,4,FALSE)</f>
        <v>478.05</v>
      </c>
      <c r="V106" s="352">
        <f t="shared" si="16"/>
        <v>0</v>
      </c>
      <c r="W106" s="86"/>
      <c r="X106" s="86"/>
      <c r="Y106" s="86"/>
      <c r="Z106" s="86"/>
      <c r="AA106" s="86"/>
      <c r="AB106" s="86"/>
      <c r="AC106" s="86"/>
      <c r="AD106" s="86"/>
      <c r="AE106" s="86"/>
      <c r="AF106" s="86"/>
      <c r="AG106" s="55">
        <f>IF(AND(AH106=1,AU106=1),1,0)</f>
        <v>1</v>
      </c>
      <c r="AH106" s="66">
        <f>IF(OR(Kalk3!$AA$19=2,Kalk3!$AA$19=3),1,0)</f>
        <v>1</v>
      </c>
      <c r="AI106" s="55">
        <v>50</v>
      </c>
      <c r="AK106" s="55" t="s">
        <v>22079</v>
      </c>
      <c r="AP106" s="66">
        <f>IF(Kalk3!$O$20&gt;0,Kalk3!$O$20,0)</f>
        <v>0</v>
      </c>
      <c r="AQ106" s="55" t="s">
        <v>22121</v>
      </c>
      <c r="AT106" s="55" t="s">
        <v>22079</v>
      </c>
      <c r="AU106" s="66">
        <f>IF(Kalk3!$AI$51=$AV$91,1,0)</f>
        <v>1</v>
      </c>
      <c r="AV106" s="55">
        <v>750</v>
      </c>
      <c r="AX106" s="55" t="s">
        <v>22100</v>
      </c>
      <c r="AY106" s="66">
        <f>AP106*Kalk3!$H$37</f>
        <v>0</v>
      </c>
      <c r="AZ106" s="55" t="s">
        <v>20872</v>
      </c>
    </row>
    <row r="107" spans="2:52" ht="24.95" customHeight="1">
      <c r="B107" s="93">
        <f t="shared" ref="B107:B161" si="26">IF(AG107=1,AY107,0)</f>
        <v>0</v>
      </c>
      <c r="C107" s="60">
        <v>1350</v>
      </c>
      <c r="D107" s="60"/>
      <c r="E107" s="60" t="str">
        <f>VLOOKUP(1600,Sprachindex!$A:$Z,Erhebungsbogen!$Y$20,FALSE)</f>
        <v>[Stk]</v>
      </c>
      <c r="F107" s="60" t="s">
        <v>21919</v>
      </c>
      <c r="G107" s="514" t="str">
        <f>VLOOKUP(1796,Sprachindex!$A:$Z,Erhebungsbogen!$Y$20,FALSE) &amp; " ( " &amp;Preisliste!H87 &amp; " " &amp; VLOOKUP(1744,Sprachindex!$A:$Z,Erhebungsbogen!$Y$20,FALSE) &amp; ")"</f>
        <v>Rundprofil 50-90° exkl. Dichtung, gebohrt und entgratet ( 13,289 kg/Stk)</v>
      </c>
      <c r="H107" s="514"/>
      <c r="I107" s="514"/>
      <c r="J107" s="514"/>
      <c r="K107" s="514"/>
      <c r="L107" s="514"/>
      <c r="M107" s="514"/>
      <c r="N107" s="514"/>
      <c r="O107" s="514"/>
      <c r="P107" s="514"/>
      <c r="Q107" s="514"/>
      <c r="R107" s="514"/>
      <c r="S107" s="514"/>
      <c r="T107" s="514"/>
      <c r="U107" s="352">
        <f>VLOOKUP(F107,Preisliste!C:F,4,FALSE)</f>
        <v>557.4</v>
      </c>
      <c r="V107" s="352">
        <f t="shared" si="16"/>
        <v>0</v>
      </c>
      <c r="W107" s="86"/>
      <c r="X107" s="86"/>
      <c r="Y107" s="86"/>
      <c r="Z107" s="86"/>
      <c r="AA107" s="86"/>
      <c r="AB107" s="86"/>
      <c r="AC107" s="86"/>
      <c r="AD107" s="86"/>
      <c r="AE107" s="86"/>
      <c r="AF107" s="86"/>
      <c r="AG107" s="55">
        <f>IF(AND(AH107=1,AP107&gt;0,AU107=1),1,0)</f>
        <v>0</v>
      </c>
      <c r="AH107" s="66">
        <f>IF(OR(Kalk3!$AA$19=2,Kalk3!$AA$19=3),1,0)</f>
        <v>1</v>
      </c>
      <c r="AI107" s="55">
        <v>50</v>
      </c>
      <c r="AK107" s="55" t="s">
        <v>22079</v>
      </c>
      <c r="AP107" s="66">
        <f>IF(Kalk3!$O$20&gt;0,Kalk3!$O$20,0)</f>
        <v>0</v>
      </c>
      <c r="AQ107" s="55" t="s">
        <v>22121</v>
      </c>
      <c r="AT107" s="55" t="s">
        <v>22079</v>
      </c>
      <c r="AU107" s="66">
        <f>IF(Kalk3!$AI$51=AV107,1,0)</f>
        <v>0</v>
      </c>
      <c r="AV107" s="55">
        <v>1350</v>
      </c>
      <c r="AX107" s="55" t="s">
        <v>22100</v>
      </c>
      <c r="AY107" s="66">
        <f>AP107*Kalk3!$H$37</f>
        <v>0</v>
      </c>
      <c r="AZ107" s="55" t="s">
        <v>20872</v>
      </c>
    </row>
    <row r="108" spans="2:52" ht="24.95" customHeight="1">
      <c r="B108" s="93">
        <f t="shared" si="26"/>
        <v>0</v>
      </c>
      <c r="C108" s="60">
        <v>1750</v>
      </c>
      <c r="D108" s="60"/>
      <c r="E108" s="60" t="str">
        <f>VLOOKUP(1600,Sprachindex!$A:$Z,Erhebungsbogen!$Y$20,FALSE)</f>
        <v>[Stk]</v>
      </c>
      <c r="F108" s="60" t="s">
        <v>21920</v>
      </c>
      <c r="G108" s="514" t="str">
        <f>VLOOKUP(1796,Sprachindex!$A:$Z,Erhebungsbogen!$Y$20,FALSE) &amp; " ( " &amp;Preisliste!H88 &amp; " " &amp; VLOOKUP(1744,Sprachindex!$A:$Z,Erhebungsbogen!$Y$20,FALSE) &amp; ")"</f>
        <v>Rundprofil 50-90° exkl. Dichtung, gebohrt und entgratet ( 17,227 kg/Stk)</v>
      </c>
      <c r="H108" s="514"/>
      <c r="I108" s="514"/>
      <c r="J108" s="514"/>
      <c r="K108" s="514"/>
      <c r="L108" s="514"/>
      <c r="M108" s="514"/>
      <c r="N108" s="514"/>
      <c r="O108" s="514"/>
      <c r="P108" s="514"/>
      <c r="Q108" s="514"/>
      <c r="R108" s="514"/>
      <c r="S108" s="514"/>
      <c r="T108" s="514"/>
      <c r="U108" s="352">
        <f>VLOOKUP(F108,Preisliste!C:F,4,FALSE)</f>
        <v>610.25</v>
      </c>
      <c r="V108" s="352">
        <f t="shared" si="16"/>
        <v>0</v>
      </c>
      <c r="W108" s="86"/>
      <c r="X108" s="86"/>
      <c r="Y108" s="86"/>
      <c r="Z108" s="86"/>
      <c r="AA108" s="86"/>
      <c r="AB108" s="86"/>
      <c r="AC108" s="86"/>
      <c r="AD108" s="86"/>
      <c r="AE108" s="86"/>
      <c r="AF108" s="86"/>
      <c r="AG108" s="55">
        <f t="shared" ref="AG108:AG160" si="27">IF(AND(AH108=1,AU108=1),1,0)</f>
        <v>0</v>
      </c>
      <c r="AH108" s="66">
        <f>IF(OR(Kalk3!$AA$19=2,Kalk3!$AA$19=3),1,0)</f>
        <v>1</v>
      </c>
      <c r="AI108" s="55">
        <v>50</v>
      </c>
      <c r="AK108" s="55" t="s">
        <v>22079</v>
      </c>
      <c r="AP108" s="66">
        <f>IF(Kalk3!$O$20&gt;0,Kalk3!$O$20,0)</f>
        <v>0</v>
      </c>
      <c r="AQ108" s="55" t="s">
        <v>22121</v>
      </c>
      <c r="AT108" s="55" t="s">
        <v>22079</v>
      </c>
      <c r="AU108" s="66">
        <f>IF(Kalk3!$AI$51=AV108,1,0)</f>
        <v>0</v>
      </c>
      <c r="AV108" s="55">
        <v>1750</v>
      </c>
      <c r="AX108" s="55" t="s">
        <v>22100</v>
      </c>
      <c r="AY108" s="66">
        <f>AP108*Kalk3!$H$37</f>
        <v>0</v>
      </c>
      <c r="AZ108" s="55" t="s">
        <v>20872</v>
      </c>
    </row>
    <row r="109" spans="2:52" ht="24.95" customHeight="1">
      <c r="B109" s="93">
        <f t="shared" si="26"/>
        <v>0</v>
      </c>
      <c r="C109" s="60">
        <v>2150</v>
      </c>
      <c r="D109" s="60"/>
      <c r="E109" s="60" t="str">
        <f>VLOOKUP(1600,Sprachindex!$A:$Z,Erhebungsbogen!$Y$20,FALSE)</f>
        <v>[Stk]</v>
      </c>
      <c r="F109" s="60" t="s">
        <v>21921</v>
      </c>
      <c r="G109" s="514" t="str">
        <f>VLOOKUP(1796,Sprachindex!$A:$Z,Erhebungsbogen!$Y$20,FALSE) &amp; " ( " &amp;Preisliste!H89 &amp; " " &amp; VLOOKUP(1744,Sprachindex!$A:$Z,Erhebungsbogen!$Y$20,FALSE) &amp; ")"</f>
        <v>Rundprofil 50-90° exkl. Dichtung, gebohrt und entgratet ( 21,165 kg/Stk)</v>
      </c>
      <c r="H109" s="514"/>
      <c r="I109" s="514"/>
      <c r="J109" s="514"/>
      <c r="K109" s="514"/>
      <c r="L109" s="514"/>
      <c r="M109" s="514"/>
      <c r="N109" s="514"/>
      <c r="O109" s="514"/>
      <c r="P109" s="514"/>
      <c r="Q109" s="514"/>
      <c r="R109" s="514"/>
      <c r="S109" s="514"/>
      <c r="T109" s="514"/>
      <c r="U109" s="352">
        <f>VLOOKUP(F109,Preisliste!C:F,4,FALSE)</f>
        <v>663.3</v>
      </c>
      <c r="V109" s="352">
        <f t="shared" si="16"/>
        <v>0</v>
      </c>
      <c r="W109" s="86"/>
      <c r="X109" s="86"/>
      <c r="Y109" s="86"/>
      <c r="Z109" s="86"/>
      <c r="AA109" s="86"/>
      <c r="AB109" s="86"/>
      <c r="AC109" s="86"/>
      <c r="AD109" s="86"/>
      <c r="AE109" s="86"/>
      <c r="AF109" s="86"/>
      <c r="AG109" s="55">
        <f t="shared" si="27"/>
        <v>0</v>
      </c>
      <c r="AH109" s="66">
        <f>IF(OR(Kalk3!$AA$19=2,Kalk3!$AA$19=3),1,0)</f>
        <v>1</v>
      </c>
      <c r="AI109" s="55">
        <v>50</v>
      </c>
      <c r="AK109" s="55" t="s">
        <v>22079</v>
      </c>
      <c r="AP109" s="66">
        <f>IF(Kalk3!$O$20&gt;0,Kalk3!$O$20,0)</f>
        <v>0</v>
      </c>
      <c r="AQ109" s="55" t="s">
        <v>22121</v>
      </c>
      <c r="AT109" s="55" t="s">
        <v>22079</v>
      </c>
      <c r="AU109" s="66">
        <f>IF(Kalk3!$AI$51=AV109,1,0)</f>
        <v>0</v>
      </c>
      <c r="AV109" s="55">
        <v>2150</v>
      </c>
      <c r="AX109" s="55" t="s">
        <v>22100</v>
      </c>
      <c r="AY109" s="66">
        <f>AP109*Kalk3!$H$37</f>
        <v>0</v>
      </c>
      <c r="AZ109" s="55" t="s">
        <v>20872</v>
      </c>
    </row>
    <row r="110" spans="2:52" ht="24.95" customHeight="1">
      <c r="B110" s="93">
        <f t="shared" si="26"/>
        <v>0</v>
      </c>
      <c r="C110" s="60">
        <f>IF(AG110=1,AW110,0)</f>
        <v>0</v>
      </c>
      <c r="D110" s="60"/>
      <c r="E110" s="60" t="str">
        <f>VLOOKUP(1600,Sprachindex!$A:$Z,Erhebungsbogen!$Y$20,FALSE)</f>
        <v>[Stk]</v>
      </c>
      <c r="F110" s="60" t="s">
        <v>21826</v>
      </c>
      <c r="G110" s="514" t="str">
        <f>VLOOKUP(1797,Sprachindex!$A:$Z,Erhebungsbogen!$Y$20,FALSE) &amp; " (" &amp; ROUNDUP(C110/1000*Preisliste!I90,2) &amp; " " &amp; VLOOKUP(1744,Sprachindex!$A:$Z,Erhebungsbogen!$Y$20,FALSE) &amp; ")"</f>
        <v>Rundprofil 50-90° Sonderlänge exkl. Dichtung, (Stangenware) (0 kg/Stk)</v>
      </c>
      <c r="H110" s="514"/>
      <c r="I110" s="514"/>
      <c r="J110" s="514"/>
      <c r="K110" s="514"/>
      <c r="L110" s="514"/>
      <c r="M110" s="514"/>
      <c r="N110" s="514"/>
      <c r="O110" s="514"/>
      <c r="P110" s="514"/>
      <c r="Q110" s="514"/>
      <c r="R110" s="514"/>
      <c r="S110" s="514"/>
      <c r="T110" s="514"/>
      <c r="U110" s="354">
        <f>VLOOKUP(F110,Preisliste!C:F,4,FALSE)</f>
        <v>0</v>
      </c>
      <c r="V110" s="352">
        <f t="shared" si="16"/>
        <v>0</v>
      </c>
      <c r="W110" s="86"/>
      <c r="X110" s="86"/>
      <c r="Y110" s="86"/>
      <c r="Z110" s="86"/>
      <c r="AA110" s="86"/>
      <c r="AB110" s="86"/>
      <c r="AC110" s="86"/>
      <c r="AD110" s="86"/>
      <c r="AE110" s="86"/>
      <c r="AF110" s="86"/>
      <c r="AG110" s="55">
        <f t="shared" si="27"/>
        <v>0</v>
      </c>
      <c r="AH110" s="66">
        <f>IF(OR(Kalk3!$AA$19=2,Kalk3!$AA$19=3),1,0)</f>
        <v>1</v>
      </c>
      <c r="AI110" s="55">
        <v>50</v>
      </c>
      <c r="AK110" s="55" t="s">
        <v>22079</v>
      </c>
      <c r="AP110" s="66">
        <f>IF(Kalk3!$O$20&gt;0,Kalk3!$O$20,0)</f>
        <v>0</v>
      </c>
      <c r="AQ110" s="55" t="s">
        <v>22121</v>
      </c>
      <c r="AT110" s="55" t="s">
        <v>22079</v>
      </c>
      <c r="AU110" s="66">
        <f>IF(Kalk3!$AH$52&gt;AV110,1,0)</f>
        <v>0</v>
      </c>
      <c r="AV110" s="55">
        <v>2150</v>
      </c>
      <c r="AW110" s="66">
        <f>Kalk3!$AH$52</f>
        <v>0</v>
      </c>
      <c r="AX110" s="55" t="s">
        <v>22100</v>
      </c>
      <c r="AY110" s="66">
        <f>AP110*Kalk3!$H$37</f>
        <v>0</v>
      </c>
      <c r="AZ110" s="55" t="s">
        <v>20872</v>
      </c>
    </row>
    <row r="111" spans="2:52" ht="24.95" customHeight="1">
      <c r="B111" s="93">
        <f t="shared" si="26"/>
        <v>0</v>
      </c>
      <c r="C111" s="60">
        <v>750</v>
      </c>
      <c r="D111" s="60"/>
      <c r="E111" s="60" t="str">
        <f>VLOOKUP(1600,Sprachindex!$A:$Z,Erhebungsbogen!$Y$20,FALSE)</f>
        <v>[Stk]</v>
      </c>
      <c r="F111" s="60" t="s">
        <v>21922</v>
      </c>
      <c r="G111" s="514" t="str">
        <f>VLOOKUP(1804,Sprachindex!$A:$Z,Erhebungsbogen!$Y$20,FALSE) &amp; " ( " &amp;Preisliste!H91 &amp; " " &amp; VLOOKUP(1744,Sprachindex!$A:$Z,Erhebungsbogen!$Y$20,FALSE) &amp; ")"</f>
        <v>Rundprofil 80-90° exkl. Dichtung, gebohrt und entgratet ( 11,264 kg/Stk)</v>
      </c>
      <c r="H111" s="514"/>
      <c r="I111" s="514"/>
      <c r="J111" s="514"/>
      <c r="K111" s="514"/>
      <c r="L111" s="514"/>
      <c r="M111" s="514"/>
      <c r="N111" s="514"/>
      <c r="O111" s="514"/>
      <c r="P111" s="514"/>
      <c r="Q111" s="514"/>
      <c r="R111" s="514"/>
      <c r="S111" s="514"/>
      <c r="T111" s="514"/>
      <c r="U111" s="352">
        <f>VLOOKUP(F111,Preisliste!C:F,4,FALSE)</f>
        <v>544.6</v>
      </c>
      <c r="V111" s="352">
        <f t="shared" si="16"/>
        <v>0</v>
      </c>
      <c r="W111" s="86"/>
      <c r="X111" s="86"/>
      <c r="Y111" s="86"/>
      <c r="Z111" s="86"/>
      <c r="AA111" s="86"/>
      <c r="AB111" s="86"/>
      <c r="AC111" s="86"/>
      <c r="AD111" s="86"/>
      <c r="AE111" s="86"/>
      <c r="AF111" s="86"/>
      <c r="AG111" s="55">
        <f t="shared" si="27"/>
        <v>0</v>
      </c>
      <c r="AH111" s="66">
        <f>IF(Kalk3!$AA$19=4,1,0)</f>
        <v>0</v>
      </c>
      <c r="AI111" s="55">
        <v>80</v>
      </c>
      <c r="AK111" s="55" t="s">
        <v>22079</v>
      </c>
      <c r="AP111" s="66">
        <f>IF(Kalk3!$O$20&gt;0,Kalk3!$O$20,0)</f>
        <v>0</v>
      </c>
      <c r="AQ111" s="55" t="s">
        <v>22121</v>
      </c>
      <c r="AT111" s="55" t="s">
        <v>22079</v>
      </c>
      <c r="AU111" s="66">
        <f>IF(Kalk3!$AI$51=$AV$91,1,0)</f>
        <v>1</v>
      </c>
      <c r="AV111" s="55">
        <v>750</v>
      </c>
      <c r="AX111" s="55" t="s">
        <v>22100</v>
      </c>
      <c r="AY111" s="66">
        <f>AP111*Kalk3!$H$37</f>
        <v>0</v>
      </c>
      <c r="AZ111" s="55" t="s">
        <v>20872</v>
      </c>
    </row>
    <row r="112" spans="2:52" ht="24.95" customHeight="1">
      <c r="B112" s="93">
        <f t="shared" si="26"/>
        <v>0</v>
      </c>
      <c r="C112" s="60">
        <v>1350</v>
      </c>
      <c r="D112" s="60"/>
      <c r="E112" s="60" t="str">
        <f>VLOOKUP(1600,Sprachindex!$A:$Z,Erhebungsbogen!$Y$20,FALSE)</f>
        <v>[Stk]</v>
      </c>
      <c r="F112" s="60" t="s">
        <v>21923</v>
      </c>
      <c r="G112" s="514" t="str">
        <f>VLOOKUP(1804,Sprachindex!$A:$Z,Erhebungsbogen!$Y$20,FALSE) &amp; " ( " &amp;Preisliste!H92 &amp; " " &amp; VLOOKUP(1744,Sprachindex!$A:$Z,Erhebungsbogen!$Y$20,FALSE) &amp; ")"</f>
        <v>Rundprofil 80-90° exkl. Dichtung, gebohrt und entgratet ( 20,276 kg/Stk)</v>
      </c>
      <c r="H112" s="514"/>
      <c r="I112" s="514"/>
      <c r="J112" s="514"/>
      <c r="K112" s="514"/>
      <c r="L112" s="514"/>
      <c r="M112" s="514"/>
      <c r="N112" s="514"/>
      <c r="O112" s="514"/>
      <c r="P112" s="514"/>
      <c r="Q112" s="514"/>
      <c r="R112" s="514"/>
      <c r="S112" s="514"/>
      <c r="T112" s="514"/>
      <c r="U112" s="352">
        <f>VLOOKUP(F112,Preisliste!C:F,4,FALSE)</f>
        <v>682.6</v>
      </c>
      <c r="V112" s="352">
        <f t="shared" si="16"/>
        <v>0</v>
      </c>
      <c r="W112" s="86"/>
      <c r="X112" s="86"/>
      <c r="Y112" s="86"/>
      <c r="Z112" s="86"/>
      <c r="AA112" s="86"/>
      <c r="AB112" s="86"/>
      <c r="AC112" s="86"/>
      <c r="AD112" s="86"/>
      <c r="AE112" s="86"/>
      <c r="AF112" s="86"/>
      <c r="AG112" s="55">
        <f t="shared" si="27"/>
        <v>0</v>
      </c>
      <c r="AH112" s="66">
        <f>IF(Kalk3!$AA$19=4,1,0)</f>
        <v>0</v>
      </c>
      <c r="AI112" s="55">
        <v>80</v>
      </c>
      <c r="AK112" s="55" t="s">
        <v>22079</v>
      </c>
      <c r="AP112" s="66">
        <f>IF(Kalk3!$O$20&gt;0,Kalk3!$O$20,0)</f>
        <v>0</v>
      </c>
      <c r="AQ112" s="55" t="s">
        <v>22121</v>
      </c>
      <c r="AT112" s="55" t="s">
        <v>22079</v>
      </c>
      <c r="AU112" s="66">
        <f>IF(Kalk3!$AI$51=AV112,1,0)</f>
        <v>0</v>
      </c>
      <c r="AV112" s="55">
        <v>1350</v>
      </c>
      <c r="AX112" s="55" t="s">
        <v>22100</v>
      </c>
      <c r="AY112" s="66">
        <f>AP112*Kalk3!$H$37</f>
        <v>0</v>
      </c>
      <c r="AZ112" s="55" t="s">
        <v>20872</v>
      </c>
    </row>
    <row r="113" spans="2:52" ht="24.95" customHeight="1">
      <c r="B113" s="93">
        <f t="shared" si="26"/>
        <v>0</v>
      </c>
      <c r="C113" s="60">
        <v>1750</v>
      </c>
      <c r="D113" s="60"/>
      <c r="E113" s="60" t="str">
        <f>VLOOKUP(1600,Sprachindex!$A:$Z,Erhebungsbogen!$Y$20,FALSE)</f>
        <v>[Stk]</v>
      </c>
      <c r="F113" s="60" t="s">
        <v>21924</v>
      </c>
      <c r="G113" s="514" t="str">
        <f>VLOOKUP(1804,Sprachindex!$A:$Z,Erhebungsbogen!$Y$20,FALSE) &amp; " ( " &amp;Preisliste!H93 &amp; " " &amp; VLOOKUP(1744,Sprachindex!$A:$Z,Erhebungsbogen!$Y$20,FALSE) &amp; ")"</f>
        <v>Rundprofil 80-90° exkl. Dichtung, gebohrt und entgratet ( 26,283 kg/Stk)</v>
      </c>
      <c r="H113" s="514"/>
      <c r="I113" s="514"/>
      <c r="J113" s="514"/>
      <c r="K113" s="514"/>
      <c r="L113" s="514"/>
      <c r="M113" s="514"/>
      <c r="N113" s="514"/>
      <c r="O113" s="514"/>
      <c r="P113" s="514"/>
      <c r="Q113" s="514"/>
      <c r="R113" s="514"/>
      <c r="S113" s="514"/>
      <c r="T113" s="514"/>
      <c r="U113" s="352">
        <f>VLOOKUP(F113,Preisliste!C:F,4,FALSE)</f>
        <v>774.8</v>
      </c>
      <c r="V113" s="352">
        <f t="shared" si="16"/>
        <v>0</v>
      </c>
      <c r="W113" s="86"/>
      <c r="X113" s="86"/>
      <c r="Y113" s="86"/>
      <c r="Z113" s="86"/>
      <c r="AA113" s="86"/>
      <c r="AB113" s="86"/>
      <c r="AC113" s="86"/>
      <c r="AD113" s="86"/>
      <c r="AE113" s="86"/>
      <c r="AF113" s="86"/>
      <c r="AG113" s="55">
        <f t="shared" si="27"/>
        <v>0</v>
      </c>
      <c r="AH113" s="66">
        <f>IF(Kalk3!$AA$19=4,1,0)</f>
        <v>0</v>
      </c>
      <c r="AI113" s="55">
        <v>80</v>
      </c>
      <c r="AK113" s="55" t="s">
        <v>22079</v>
      </c>
      <c r="AP113" s="66">
        <f>IF(Kalk3!$O$20&gt;0,Kalk3!$O$20,0)</f>
        <v>0</v>
      </c>
      <c r="AQ113" s="55" t="s">
        <v>22121</v>
      </c>
      <c r="AT113" s="55" t="s">
        <v>22079</v>
      </c>
      <c r="AU113" s="66">
        <f>IF(Kalk3!$AI$51=AV113,1,0)</f>
        <v>0</v>
      </c>
      <c r="AV113" s="55">
        <v>1750</v>
      </c>
      <c r="AX113" s="55" t="s">
        <v>22100</v>
      </c>
      <c r="AY113" s="66">
        <f>AP113*Kalk3!$H$37</f>
        <v>0</v>
      </c>
      <c r="AZ113" s="55" t="s">
        <v>20872</v>
      </c>
    </row>
    <row r="114" spans="2:52" ht="24.95" customHeight="1">
      <c r="B114" s="93">
        <f t="shared" si="26"/>
        <v>0</v>
      </c>
      <c r="C114" s="60">
        <v>2150</v>
      </c>
      <c r="D114" s="60"/>
      <c r="E114" s="60" t="str">
        <f>VLOOKUP(1600,Sprachindex!$A:$Z,Erhebungsbogen!$Y$20,FALSE)</f>
        <v>[Stk]</v>
      </c>
      <c r="F114" s="60" t="s">
        <v>21925</v>
      </c>
      <c r="G114" s="514" t="str">
        <f>VLOOKUP(1804,Sprachindex!$A:$Z,Erhebungsbogen!$Y$20,FALSE) &amp; " ( " &amp;Preisliste!H94 &amp; " " &amp; VLOOKUP(1744,Sprachindex!$A:$Z,Erhebungsbogen!$Y$20,FALSE) &amp; ")"</f>
        <v>Rundprofil 80-90° exkl. Dichtung, gebohrt und entgratet ( 32,291 kg/Stk)</v>
      </c>
      <c r="H114" s="514"/>
      <c r="I114" s="514"/>
      <c r="J114" s="514"/>
      <c r="K114" s="514"/>
      <c r="L114" s="514"/>
      <c r="M114" s="514"/>
      <c r="N114" s="514"/>
      <c r="O114" s="514"/>
      <c r="P114" s="514"/>
      <c r="Q114" s="514"/>
      <c r="R114" s="514"/>
      <c r="S114" s="514"/>
      <c r="T114" s="514"/>
      <c r="U114" s="352">
        <f>VLOOKUP(F114,Preisliste!C:F,4,FALSE)</f>
        <v>866.75</v>
      </c>
      <c r="V114" s="352">
        <f t="shared" si="16"/>
        <v>0</v>
      </c>
      <c r="W114" s="86"/>
      <c r="X114" s="86"/>
      <c r="Y114" s="86"/>
      <c r="Z114" s="86"/>
      <c r="AA114" s="86"/>
      <c r="AB114" s="86"/>
      <c r="AC114" s="86"/>
      <c r="AD114" s="86"/>
      <c r="AE114" s="86"/>
      <c r="AF114" s="86"/>
      <c r="AG114" s="55">
        <f t="shared" si="27"/>
        <v>0</v>
      </c>
      <c r="AH114" s="66">
        <f>IF(Kalk3!$AA$19=4,1,0)</f>
        <v>0</v>
      </c>
      <c r="AI114" s="55">
        <v>80</v>
      </c>
      <c r="AK114" s="55" t="s">
        <v>22079</v>
      </c>
      <c r="AP114" s="66">
        <f>IF(Kalk3!$O$20&gt;0,Kalk3!$O$20,0)</f>
        <v>0</v>
      </c>
      <c r="AQ114" s="55" t="s">
        <v>22121</v>
      </c>
      <c r="AT114" s="55" t="s">
        <v>22079</v>
      </c>
      <c r="AU114" s="66">
        <f>IF(Kalk3!$AI$51=AV114,1,0)</f>
        <v>0</v>
      </c>
      <c r="AV114" s="55">
        <v>2150</v>
      </c>
      <c r="AX114" s="55" t="s">
        <v>22100</v>
      </c>
      <c r="AY114" s="66">
        <f>AP114*Kalk3!$H$37</f>
        <v>0</v>
      </c>
      <c r="AZ114" s="55" t="s">
        <v>20872</v>
      </c>
    </row>
    <row r="115" spans="2:52" ht="24.95" customHeight="1">
      <c r="B115" s="93">
        <f t="shared" si="26"/>
        <v>0</v>
      </c>
      <c r="C115" s="60">
        <f>IF(AG115=1,AW115,0)</f>
        <v>0</v>
      </c>
      <c r="D115" s="60"/>
      <c r="E115" s="60" t="str">
        <f>VLOOKUP(1600,Sprachindex!$A:$Z,Erhebungsbogen!$Y$20,FALSE)</f>
        <v>[Stk]</v>
      </c>
      <c r="F115" s="60" t="s">
        <v>21826</v>
      </c>
      <c r="G115" s="514" t="str">
        <f>VLOOKUP(1805,Sprachindex!$A:$Z,Erhebungsbogen!$Y$20,FALSE) &amp; " (" &amp; ROUNDUP(C115/1000*Preisliste!I95,2) &amp; " " &amp; VLOOKUP(1744,Sprachindex!$A:$Z,Erhebungsbogen!$Y$20,FALSE) &amp; ")"</f>
        <v>Rundprofil 80-90° Sonderlänge exkl. Dichtung, (Stangenware) (0 kg/Stk)</v>
      </c>
      <c r="H115" s="514"/>
      <c r="I115" s="514"/>
      <c r="J115" s="514"/>
      <c r="K115" s="514"/>
      <c r="L115" s="514"/>
      <c r="M115" s="514"/>
      <c r="N115" s="514"/>
      <c r="O115" s="514"/>
      <c r="P115" s="514"/>
      <c r="Q115" s="514"/>
      <c r="R115" s="514"/>
      <c r="S115" s="514"/>
      <c r="T115" s="514"/>
      <c r="U115" s="354">
        <f>VLOOKUP(F115,Preisliste!C:F,4,FALSE)</f>
        <v>0</v>
      </c>
      <c r="V115" s="352">
        <f t="shared" si="16"/>
        <v>0</v>
      </c>
      <c r="W115" s="86"/>
      <c r="X115" s="86"/>
      <c r="Y115" s="86"/>
      <c r="Z115" s="86"/>
      <c r="AA115" s="86"/>
      <c r="AB115" s="86"/>
      <c r="AC115" s="86"/>
      <c r="AD115" s="86"/>
      <c r="AE115" s="86"/>
      <c r="AF115" s="86"/>
      <c r="AG115" s="55">
        <f t="shared" si="27"/>
        <v>0</v>
      </c>
      <c r="AH115" s="66">
        <f>IF(Kalk3!$AA$19=4,1,0)</f>
        <v>0</v>
      </c>
      <c r="AI115" s="55">
        <v>80</v>
      </c>
      <c r="AK115" s="55" t="s">
        <v>22079</v>
      </c>
      <c r="AP115" s="66">
        <f>IF(Kalk3!$O$20&gt;0,Kalk3!$O$20,0)</f>
        <v>0</v>
      </c>
      <c r="AQ115" s="55" t="s">
        <v>22121</v>
      </c>
      <c r="AT115" s="55" t="s">
        <v>22079</v>
      </c>
      <c r="AU115" s="66">
        <f>IF(Kalk3!$AH$52&gt;AV115,1,0)</f>
        <v>0</v>
      </c>
      <c r="AV115" s="55">
        <v>2150</v>
      </c>
      <c r="AW115" s="66">
        <f>Kalk3!$AH$52</f>
        <v>0</v>
      </c>
      <c r="AX115" s="55" t="s">
        <v>22100</v>
      </c>
      <c r="AY115" s="66">
        <f>AP115*Kalk3!$H$37</f>
        <v>0</v>
      </c>
      <c r="AZ115" s="55" t="s">
        <v>20872</v>
      </c>
    </row>
    <row r="116" spans="2:52" ht="24.95" customHeight="1">
      <c r="B116" s="93">
        <f t="shared" si="26"/>
        <v>0</v>
      </c>
      <c r="C116" s="60">
        <v>750</v>
      </c>
      <c r="D116" s="60"/>
      <c r="E116" s="60" t="str">
        <f>VLOOKUP(1600,Sprachindex!$A:$Z,Erhebungsbogen!$Y$20,FALSE)</f>
        <v>[Stk]</v>
      </c>
      <c r="F116" s="60" t="s">
        <v>21926</v>
      </c>
      <c r="G116" s="514" t="str">
        <f>VLOOKUP(2129,Sprachindex!$A:$Z,Erhebungsbogen!$Y$20,FALSE) &amp; " ( " &amp;Preisliste!H96 &amp; " " &amp; VLOOKUP(1744,Sprachindex!$A:$Z,Erhebungsbogen!$Y$20,FALSE) &amp; ")"</f>
        <v>Rundprofil 50-Vario 15° exkl. Dichtung, gebohrt und entgratet ( 15,651 kg/Stk)</v>
      </c>
      <c r="H116" s="514"/>
      <c r="I116" s="514"/>
      <c r="J116" s="514"/>
      <c r="K116" s="514"/>
      <c r="L116" s="514"/>
      <c r="M116" s="514"/>
      <c r="N116" s="514"/>
      <c r="O116" s="514"/>
      <c r="P116" s="514"/>
      <c r="Q116" s="514"/>
      <c r="R116" s="514"/>
      <c r="S116" s="514"/>
      <c r="T116" s="514"/>
      <c r="U116" s="352">
        <f>VLOOKUP(F116,Preisliste!C:F,4,FALSE)</f>
        <v>805.1</v>
      </c>
      <c r="V116" s="352">
        <f t="shared" si="16"/>
        <v>0</v>
      </c>
      <c r="W116" s="86"/>
      <c r="X116" s="86"/>
      <c r="Y116" s="86"/>
      <c r="Z116" s="86"/>
      <c r="AA116" s="86"/>
      <c r="AB116" s="86"/>
      <c r="AC116" s="86"/>
      <c r="AD116" s="86"/>
      <c r="AE116" s="86"/>
      <c r="AF116" s="86"/>
      <c r="AG116" s="55">
        <f t="shared" si="27"/>
        <v>1</v>
      </c>
      <c r="AH116" s="66">
        <f>IF(OR(Kalk3!$AA$19=2,Kalk3!$AA$19=3),1,0)</f>
        <v>1</v>
      </c>
      <c r="AI116" s="55">
        <v>50</v>
      </c>
      <c r="AK116" s="55" t="s">
        <v>22079</v>
      </c>
      <c r="AP116" s="66">
        <f>IF(AND(Kalk3!$O$21&gt;0,Kalk3!$N$21="15°"),Kalk3!$O$21,0)</f>
        <v>0</v>
      </c>
      <c r="AQ116" s="55" t="s">
        <v>22087</v>
      </c>
      <c r="AT116" s="55" t="s">
        <v>22079</v>
      </c>
      <c r="AU116" s="66">
        <f>IF(Kalk3!$AI$51=$AV$91,1,0)</f>
        <v>1</v>
      </c>
      <c r="AV116" s="55">
        <v>750</v>
      </c>
      <c r="AX116" s="55" t="s">
        <v>22100</v>
      </c>
      <c r="AY116" s="66">
        <f>AP116*Kalk3!$H$37</f>
        <v>0</v>
      </c>
      <c r="AZ116" s="55" t="s">
        <v>20872</v>
      </c>
    </row>
    <row r="117" spans="2:52" ht="24.95" customHeight="1">
      <c r="B117" s="93">
        <f t="shared" si="26"/>
        <v>0</v>
      </c>
      <c r="C117" s="60">
        <v>1350</v>
      </c>
      <c r="D117" s="60"/>
      <c r="E117" s="60" t="str">
        <f>VLOOKUP(1600,Sprachindex!$A:$Z,Erhebungsbogen!$Y$20,FALSE)</f>
        <v>[Stk]</v>
      </c>
      <c r="F117" s="60" t="s">
        <v>21927</v>
      </c>
      <c r="G117" s="514" t="str">
        <f>VLOOKUP(2129,Sprachindex!$A:$Z,Erhebungsbogen!$Y$20,FALSE) &amp; " ( " &amp;Preisliste!H97 &amp; " " &amp; VLOOKUP(1744,Sprachindex!$A:$Z,Erhebungsbogen!$Y$20,FALSE) &amp; ")"</f>
        <v>Rundprofil 50-Vario 15° exkl. Dichtung, gebohrt und entgratet ( 28,172 kg/Stk)</v>
      </c>
      <c r="H117" s="514"/>
      <c r="I117" s="514"/>
      <c r="J117" s="514"/>
      <c r="K117" s="514"/>
      <c r="L117" s="514"/>
      <c r="M117" s="514"/>
      <c r="N117" s="514"/>
      <c r="O117" s="514"/>
      <c r="P117" s="514"/>
      <c r="Q117" s="514"/>
      <c r="R117" s="514"/>
      <c r="S117" s="514"/>
      <c r="T117" s="514"/>
      <c r="U117" s="352">
        <f>VLOOKUP(F117,Preisliste!C:F,4,FALSE)</f>
        <v>988.05</v>
      </c>
      <c r="V117" s="352">
        <f t="shared" si="16"/>
        <v>0</v>
      </c>
      <c r="W117" s="86"/>
      <c r="X117" s="86"/>
      <c r="Y117" s="86"/>
      <c r="Z117" s="86"/>
      <c r="AA117" s="86"/>
      <c r="AB117" s="86"/>
      <c r="AC117" s="86"/>
      <c r="AD117" s="86"/>
      <c r="AE117" s="86"/>
      <c r="AF117" s="86"/>
      <c r="AG117" s="55">
        <f>IF(AND(AH117=1,AP117&gt;0,AU117=1),1,0)</f>
        <v>0</v>
      </c>
      <c r="AH117" s="66">
        <f>IF(OR(Kalk3!$AA$19=2,Kalk3!$AA$19=3),1,0)</f>
        <v>1</v>
      </c>
      <c r="AI117" s="55">
        <v>50</v>
      </c>
      <c r="AK117" s="55" t="s">
        <v>22079</v>
      </c>
      <c r="AP117" s="66">
        <f>IF(AND(Kalk3!$O$21&gt;0,Kalk3!$N$21="15°"),Kalk3!$O$21,0)</f>
        <v>0</v>
      </c>
      <c r="AQ117" s="55" t="s">
        <v>22087</v>
      </c>
      <c r="AT117" s="55" t="s">
        <v>22079</v>
      </c>
      <c r="AU117" s="66">
        <f>IF(Kalk3!$AI$51=AV117,1,0)</f>
        <v>0</v>
      </c>
      <c r="AV117" s="55">
        <v>1350</v>
      </c>
      <c r="AX117" s="55" t="s">
        <v>22100</v>
      </c>
      <c r="AY117" s="66">
        <f>AP117*Kalk3!$H$37</f>
        <v>0</v>
      </c>
      <c r="AZ117" s="55" t="s">
        <v>20872</v>
      </c>
    </row>
    <row r="118" spans="2:52" ht="24.95" customHeight="1">
      <c r="B118" s="93">
        <f t="shared" si="26"/>
        <v>0</v>
      </c>
      <c r="C118" s="60">
        <v>1750</v>
      </c>
      <c r="D118" s="60"/>
      <c r="E118" s="60" t="str">
        <f>VLOOKUP(1600,Sprachindex!$A:$Z,Erhebungsbogen!$Y$20,FALSE)</f>
        <v>[Stk]</v>
      </c>
      <c r="F118" s="60" t="s">
        <v>21928</v>
      </c>
      <c r="G118" s="514" t="str">
        <f>VLOOKUP(2129,Sprachindex!$A:$Z,Erhebungsbogen!$Y$20,FALSE) &amp; " ( " &amp;Preisliste!H98 &amp; " " &amp; VLOOKUP(1744,Sprachindex!$A:$Z,Erhebungsbogen!$Y$20,FALSE) &amp; ")"</f>
        <v>Rundprofil 50-Vario 15° exkl. Dichtung, gebohrt und entgratet ( 36,519 kg/Stk)</v>
      </c>
      <c r="H118" s="514"/>
      <c r="I118" s="514"/>
      <c r="J118" s="514"/>
      <c r="K118" s="514"/>
      <c r="L118" s="514"/>
      <c r="M118" s="514"/>
      <c r="N118" s="514"/>
      <c r="O118" s="514"/>
      <c r="P118" s="514"/>
      <c r="Q118" s="514"/>
      <c r="R118" s="514"/>
      <c r="S118" s="514"/>
      <c r="T118" s="514"/>
      <c r="U118" s="352">
        <f>VLOOKUP(F118,Preisliste!C:F,4,FALSE)</f>
        <v>1110.0999999999999</v>
      </c>
      <c r="V118" s="352">
        <f t="shared" si="16"/>
        <v>0</v>
      </c>
      <c r="W118" s="86"/>
      <c r="X118" s="86"/>
      <c r="Y118" s="86"/>
      <c r="Z118" s="86"/>
      <c r="AA118" s="86"/>
      <c r="AB118" s="86"/>
      <c r="AC118" s="86"/>
      <c r="AD118" s="86"/>
      <c r="AE118" s="86"/>
      <c r="AF118" s="86"/>
      <c r="AG118" s="55">
        <f t="shared" si="27"/>
        <v>0</v>
      </c>
      <c r="AH118" s="66">
        <f>IF(OR(Kalk3!$AA$19=2,Kalk3!$AA$19=3),1,0)</f>
        <v>1</v>
      </c>
      <c r="AI118" s="55">
        <v>50</v>
      </c>
      <c r="AK118" s="55" t="s">
        <v>22079</v>
      </c>
      <c r="AP118" s="66">
        <f>IF(AND(Kalk3!$O$21&gt;0,Kalk3!$N$21="15°"),Kalk3!$O$21,0)</f>
        <v>0</v>
      </c>
      <c r="AQ118" s="55" t="s">
        <v>22087</v>
      </c>
      <c r="AT118" s="55" t="s">
        <v>22079</v>
      </c>
      <c r="AU118" s="66">
        <f>IF(Kalk3!$AI$51=AV118,1,0)</f>
        <v>0</v>
      </c>
      <c r="AV118" s="55">
        <v>1750</v>
      </c>
      <c r="AX118" s="55" t="s">
        <v>22100</v>
      </c>
      <c r="AY118" s="66">
        <f>AP118*Kalk3!$H$37</f>
        <v>0</v>
      </c>
      <c r="AZ118" s="55" t="s">
        <v>20872</v>
      </c>
    </row>
    <row r="119" spans="2:52" ht="24.95" customHeight="1">
      <c r="B119" s="93">
        <f t="shared" si="26"/>
        <v>0</v>
      </c>
      <c r="C119" s="60">
        <v>2150</v>
      </c>
      <c r="D119" s="60"/>
      <c r="E119" s="60" t="str">
        <f>VLOOKUP(1600,Sprachindex!$A:$Z,Erhebungsbogen!$Y$20,FALSE)</f>
        <v>[Stk]</v>
      </c>
      <c r="F119" s="60" t="s">
        <v>21929</v>
      </c>
      <c r="G119" s="514" t="str">
        <f>VLOOKUP(2129,Sprachindex!$A:$Z,Erhebungsbogen!$Y$20,FALSE) &amp; " ( " &amp;Preisliste!H99 &amp; " " &amp; VLOOKUP(1744,Sprachindex!$A:$Z,Erhebungsbogen!$Y$20,FALSE) &amp; ")"</f>
        <v>Rundprofil 50-Vario 15° exkl. Dichtung, gebohrt und entgratet ( 44,866 kg/Stk)</v>
      </c>
      <c r="H119" s="514"/>
      <c r="I119" s="514"/>
      <c r="J119" s="514"/>
      <c r="K119" s="514"/>
      <c r="L119" s="514"/>
      <c r="M119" s="514"/>
      <c r="N119" s="514"/>
      <c r="O119" s="514"/>
      <c r="P119" s="514"/>
      <c r="Q119" s="514"/>
      <c r="R119" s="514"/>
      <c r="S119" s="514"/>
      <c r="T119" s="514"/>
      <c r="U119" s="352">
        <f>VLOOKUP(F119,Preisliste!C:F,4,FALSE)</f>
        <v>1231.95</v>
      </c>
      <c r="V119" s="352">
        <f t="shared" si="16"/>
        <v>0</v>
      </c>
      <c r="W119" s="86"/>
      <c r="X119" s="86"/>
      <c r="Y119" s="86"/>
      <c r="Z119" s="86"/>
      <c r="AA119" s="86"/>
      <c r="AB119" s="86"/>
      <c r="AC119" s="86"/>
      <c r="AD119" s="86"/>
      <c r="AE119" s="86"/>
      <c r="AF119" s="86"/>
      <c r="AG119" s="55">
        <f t="shared" si="27"/>
        <v>0</v>
      </c>
      <c r="AH119" s="66">
        <f>IF(OR(Kalk3!$AA$19=2,Kalk3!$AA$19=3),1,0)</f>
        <v>1</v>
      </c>
      <c r="AI119" s="55">
        <v>50</v>
      </c>
      <c r="AK119" s="55" t="s">
        <v>22079</v>
      </c>
      <c r="AP119" s="66">
        <f>IF(AND(Kalk3!$O$21&gt;0,Kalk3!$N$21="15°"),Kalk3!$O$21,0)</f>
        <v>0</v>
      </c>
      <c r="AQ119" s="55" t="s">
        <v>22087</v>
      </c>
      <c r="AT119" s="55" t="s">
        <v>22079</v>
      </c>
      <c r="AU119" s="66">
        <f>IF(Kalk3!$AI$51=AV119,1,0)</f>
        <v>0</v>
      </c>
      <c r="AV119" s="55">
        <v>2150</v>
      </c>
      <c r="AX119" s="55" t="s">
        <v>22100</v>
      </c>
      <c r="AY119" s="66">
        <f>AP119*Kalk3!$H$37</f>
        <v>0</v>
      </c>
      <c r="AZ119" s="55" t="s">
        <v>20872</v>
      </c>
    </row>
    <row r="120" spans="2:52" ht="24.95" customHeight="1">
      <c r="B120" s="93">
        <f t="shared" si="26"/>
        <v>0</v>
      </c>
      <c r="C120" s="60">
        <f>IF(AG120=1,AW120,0)</f>
        <v>0</v>
      </c>
      <c r="D120" s="60"/>
      <c r="E120" s="60" t="str">
        <f>VLOOKUP(1600,Sprachindex!$A:$Z,Erhebungsbogen!$Y$20,FALSE)</f>
        <v>[Stk]</v>
      </c>
      <c r="F120" s="60" t="s">
        <v>21826</v>
      </c>
      <c r="G120" s="514" t="str">
        <f>VLOOKUP(2130,Sprachindex!$A:$Z,Erhebungsbogen!$Y$20,FALSE) &amp; " (" &amp; ROUNDUP(C120/1000*Preisliste!I100,2) &amp; " " &amp; VLOOKUP(1744,Sprachindex!$A:$Z,Erhebungsbogen!$Y$20,FALSE) &amp; ")"</f>
        <v>Rundprofil 50-Vario 15° Sonderlänge exkl. Dichtung, (Stangenware) (0 kg/Stk)</v>
      </c>
      <c r="H120" s="514"/>
      <c r="I120" s="514"/>
      <c r="J120" s="514"/>
      <c r="K120" s="514"/>
      <c r="L120" s="514"/>
      <c r="M120" s="514"/>
      <c r="N120" s="514"/>
      <c r="O120" s="514"/>
      <c r="P120" s="514"/>
      <c r="Q120" s="514"/>
      <c r="R120" s="514"/>
      <c r="S120" s="514"/>
      <c r="T120" s="514"/>
      <c r="U120" s="354">
        <f>VLOOKUP(F120,Preisliste!C:F,4,FALSE)</f>
        <v>0</v>
      </c>
      <c r="V120" s="352">
        <f t="shared" si="16"/>
        <v>0</v>
      </c>
      <c r="W120" s="86"/>
      <c r="X120" s="86"/>
      <c r="Y120" s="86"/>
      <c r="Z120" s="86"/>
      <c r="AA120" s="86"/>
      <c r="AB120" s="86"/>
      <c r="AC120" s="86"/>
      <c r="AD120" s="86"/>
      <c r="AE120" s="86"/>
      <c r="AF120" s="86"/>
      <c r="AG120" s="55">
        <f t="shared" si="27"/>
        <v>0</v>
      </c>
      <c r="AH120" s="66">
        <f>IF(OR(Kalk3!$AA$19=2,Kalk3!$AA$19=3),1,0)</f>
        <v>1</v>
      </c>
      <c r="AI120" s="55">
        <v>50</v>
      </c>
      <c r="AK120" s="55" t="s">
        <v>22079</v>
      </c>
      <c r="AP120" s="66">
        <f>IF(AND(Kalk3!$O$21&gt;0,Kalk3!$N$21="15°"),Kalk3!$O$21,0)</f>
        <v>0</v>
      </c>
      <c r="AQ120" s="55" t="s">
        <v>22087</v>
      </c>
      <c r="AT120" s="55" t="s">
        <v>22079</v>
      </c>
      <c r="AU120" s="66">
        <f>IF(Kalk3!$AH$52&gt;AV120,1,0)</f>
        <v>0</v>
      </c>
      <c r="AV120" s="55">
        <v>2150</v>
      </c>
      <c r="AW120" s="66">
        <f>Kalk3!$AH$52</f>
        <v>0</v>
      </c>
      <c r="AX120" s="55" t="s">
        <v>22100</v>
      </c>
      <c r="AY120" s="66">
        <f>AP120*Kalk3!$H$37</f>
        <v>0</v>
      </c>
      <c r="AZ120" s="55" t="s">
        <v>20872</v>
      </c>
    </row>
    <row r="121" spans="2:52" ht="24.95" customHeight="1">
      <c r="B121" s="93">
        <f t="shared" si="26"/>
        <v>0</v>
      </c>
      <c r="C121" s="60">
        <v>750</v>
      </c>
      <c r="D121" s="60"/>
      <c r="E121" s="60" t="str">
        <f>VLOOKUP(1600,Sprachindex!$A:$Z,Erhebungsbogen!$Y$20,FALSE)</f>
        <v>[Stk]</v>
      </c>
      <c r="F121" s="60" t="s">
        <v>22001</v>
      </c>
      <c r="G121" s="514" t="str">
        <f>VLOOKUP(2131,Sprachindex!$A:$Z,Erhebungsbogen!$Y$20,FALSE) &amp; " ( " &amp;Preisliste!H101 &amp; " " &amp; VLOOKUP(1744,Sprachindex!$A:$Z,Erhebungsbogen!$Y$20,FALSE) &amp; ")"</f>
        <v>Rundprofil 50-Vario 30° exkl. Dichtung, gebohrt und entgratet ( 16,516 kg/Stk)</v>
      </c>
      <c r="H121" s="514"/>
      <c r="I121" s="514"/>
      <c r="J121" s="514"/>
      <c r="K121" s="514"/>
      <c r="L121" s="514"/>
      <c r="M121" s="514"/>
      <c r="N121" s="514"/>
      <c r="O121" s="514"/>
      <c r="P121" s="514"/>
      <c r="Q121" s="514"/>
      <c r="R121" s="514"/>
      <c r="S121" s="514"/>
      <c r="T121" s="514"/>
      <c r="U121" s="352">
        <f>VLOOKUP(F121,Preisliste!C:F,4,FALSE)</f>
        <v>805.1</v>
      </c>
      <c r="V121" s="352">
        <f t="shared" si="16"/>
        <v>0</v>
      </c>
      <c r="W121" s="86"/>
      <c r="X121" s="86"/>
      <c r="Y121" s="86"/>
      <c r="Z121" s="86"/>
      <c r="AA121" s="86"/>
      <c r="AB121" s="86"/>
      <c r="AC121" s="86"/>
      <c r="AD121" s="86"/>
      <c r="AE121" s="86"/>
      <c r="AF121" s="86"/>
      <c r="AG121" s="55">
        <f t="shared" si="27"/>
        <v>1</v>
      </c>
      <c r="AH121" s="66">
        <f>IF(OR(Kalk3!$AA$19=2,Kalk3!$AA$19=3),1,0)</f>
        <v>1</v>
      </c>
      <c r="AI121" s="55">
        <v>50</v>
      </c>
      <c r="AK121" s="55" t="s">
        <v>22079</v>
      </c>
      <c r="AP121" s="66">
        <f>IF(AND(Kalk3!$O$21&gt;0,Kalk3!$N$21="30°"),Kalk3!$O$21,0)</f>
        <v>0</v>
      </c>
      <c r="AQ121" s="55" t="s">
        <v>22088</v>
      </c>
      <c r="AT121" s="55" t="s">
        <v>22079</v>
      </c>
      <c r="AU121" s="66">
        <f>IF(Kalk3!$AI$51=$AV$91,1,0)</f>
        <v>1</v>
      </c>
      <c r="AV121" s="55">
        <v>750</v>
      </c>
      <c r="AX121" s="55" t="s">
        <v>22100</v>
      </c>
      <c r="AY121" s="66">
        <f>AP121*Kalk3!$H$37</f>
        <v>0</v>
      </c>
      <c r="AZ121" s="55" t="s">
        <v>20872</v>
      </c>
    </row>
    <row r="122" spans="2:52" ht="24.95" customHeight="1">
      <c r="B122" s="93">
        <f t="shared" si="26"/>
        <v>0</v>
      </c>
      <c r="C122" s="60">
        <v>1350</v>
      </c>
      <c r="D122" s="60"/>
      <c r="E122" s="60" t="str">
        <f>VLOOKUP(1600,Sprachindex!$A:$Z,Erhebungsbogen!$Y$20,FALSE)</f>
        <v>[Stk]</v>
      </c>
      <c r="F122" s="60" t="s">
        <v>22002</v>
      </c>
      <c r="G122" s="514" t="str">
        <f>VLOOKUP(2131,Sprachindex!$A:$Z,Erhebungsbogen!$Y$20,FALSE) &amp; " ( " &amp;Preisliste!H102 &amp; " " &amp; VLOOKUP(1744,Sprachindex!$A:$Z,Erhebungsbogen!$Y$20,FALSE) &amp; ")"</f>
        <v>Rundprofil 50-Vario 30° exkl. Dichtung, gebohrt und entgratet ( 29,728 kg/Stk)</v>
      </c>
      <c r="H122" s="514"/>
      <c r="I122" s="514"/>
      <c r="J122" s="514"/>
      <c r="K122" s="514"/>
      <c r="L122" s="514"/>
      <c r="M122" s="514"/>
      <c r="N122" s="514"/>
      <c r="O122" s="514"/>
      <c r="P122" s="514"/>
      <c r="Q122" s="514"/>
      <c r="R122" s="514"/>
      <c r="S122" s="514"/>
      <c r="T122" s="514"/>
      <c r="U122" s="352">
        <f>VLOOKUP(F122,Preisliste!C:F,4,FALSE)</f>
        <v>988.05</v>
      </c>
      <c r="V122" s="352">
        <f t="shared" si="16"/>
        <v>0</v>
      </c>
      <c r="W122" s="86"/>
      <c r="X122" s="86"/>
      <c r="Y122" s="86"/>
      <c r="Z122" s="86"/>
      <c r="AA122" s="86"/>
      <c r="AB122" s="86"/>
      <c r="AC122" s="86"/>
      <c r="AD122" s="86"/>
      <c r="AE122" s="86"/>
      <c r="AF122" s="86"/>
      <c r="AG122" s="55">
        <f>IF(AND(AH122=1,AP122&gt;0,AU122=1),1,0)</f>
        <v>0</v>
      </c>
      <c r="AH122" s="66">
        <f>IF(OR(Kalk3!$AA$19=2,Kalk3!$AA$19=3),1,0)</f>
        <v>1</v>
      </c>
      <c r="AI122" s="55">
        <v>50</v>
      </c>
      <c r="AK122" s="55" t="s">
        <v>22079</v>
      </c>
      <c r="AP122" s="66">
        <f>IF(AND(Kalk3!$O$21&gt;0,Kalk3!$N$21="30°"),Kalk3!$O$21,0)</f>
        <v>0</v>
      </c>
      <c r="AQ122" s="55" t="s">
        <v>22088</v>
      </c>
      <c r="AT122" s="55" t="s">
        <v>22079</v>
      </c>
      <c r="AU122" s="66">
        <f>IF(Kalk3!$AI$51=AV122,1,0)</f>
        <v>0</v>
      </c>
      <c r="AV122" s="55">
        <v>1350</v>
      </c>
      <c r="AX122" s="55" t="s">
        <v>22100</v>
      </c>
      <c r="AY122" s="66">
        <f>AP122*Kalk3!$H$37</f>
        <v>0</v>
      </c>
      <c r="AZ122" s="55" t="s">
        <v>20872</v>
      </c>
    </row>
    <row r="123" spans="2:52" ht="24.95" customHeight="1">
      <c r="B123" s="93">
        <f t="shared" si="26"/>
        <v>0</v>
      </c>
      <c r="C123" s="60">
        <v>1750</v>
      </c>
      <c r="D123" s="60"/>
      <c r="E123" s="60" t="str">
        <f>VLOOKUP(1600,Sprachindex!$A:$Z,Erhebungsbogen!$Y$20,FALSE)</f>
        <v>[Stk]</v>
      </c>
      <c r="F123" s="60" t="s">
        <v>22003</v>
      </c>
      <c r="G123" s="514" t="str">
        <f>VLOOKUP(2131,Sprachindex!$A:$Z,Erhebungsbogen!$Y$20,FALSE) &amp; " ( " &amp;Preisliste!H103 &amp; " " &amp; VLOOKUP(1744,Sprachindex!$A:$Z,Erhebungsbogen!$Y$20,FALSE) &amp; ")"</f>
        <v>Rundprofil 50-Vario 30° exkl. Dichtung, gebohrt und entgratet ( 38,537 kg/Stk)</v>
      </c>
      <c r="H123" s="514"/>
      <c r="I123" s="514"/>
      <c r="J123" s="514"/>
      <c r="K123" s="514"/>
      <c r="L123" s="514"/>
      <c r="M123" s="514"/>
      <c r="N123" s="514"/>
      <c r="O123" s="514"/>
      <c r="P123" s="514"/>
      <c r="Q123" s="514"/>
      <c r="R123" s="514"/>
      <c r="S123" s="514"/>
      <c r="T123" s="514"/>
      <c r="U123" s="352">
        <f>VLOOKUP(F123,Preisliste!C:F,4,FALSE)</f>
        <v>1110.0999999999999</v>
      </c>
      <c r="V123" s="352">
        <f t="shared" si="16"/>
        <v>0</v>
      </c>
      <c r="W123" s="86"/>
      <c r="X123" s="86"/>
      <c r="Y123" s="86"/>
      <c r="Z123" s="86"/>
      <c r="AA123" s="86"/>
      <c r="AB123" s="86"/>
      <c r="AC123" s="86"/>
      <c r="AD123" s="86"/>
      <c r="AE123" s="86"/>
      <c r="AF123" s="86"/>
      <c r="AG123" s="55">
        <f t="shared" si="27"/>
        <v>0</v>
      </c>
      <c r="AH123" s="66">
        <f>IF(OR(Kalk3!$AA$19=2,Kalk3!$AA$19=3),1,0)</f>
        <v>1</v>
      </c>
      <c r="AI123" s="55">
        <v>50</v>
      </c>
      <c r="AK123" s="55" t="s">
        <v>22079</v>
      </c>
      <c r="AP123" s="66">
        <f>IF(AND(Kalk3!$O$21&gt;0,Kalk3!$N$21="30°"),Kalk3!$O$21,0)</f>
        <v>0</v>
      </c>
      <c r="AQ123" s="55" t="s">
        <v>22088</v>
      </c>
      <c r="AT123" s="55" t="s">
        <v>22079</v>
      </c>
      <c r="AU123" s="66">
        <f>IF(Kalk3!$AI$51=AV123,1,0)</f>
        <v>0</v>
      </c>
      <c r="AV123" s="55">
        <v>1750</v>
      </c>
      <c r="AX123" s="55" t="s">
        <v>22100</v>
      </c>
      <c r="AY123" s="66">
        <f>AP123*Kalk3!$H$37</f>
        <v>0</v>
      </c>
      <c r="AZ123" s="55" t="s">
        <v>20872</v>
      </c>
    </row>
    <row r="124" spans="2:52" ht="24.95" customHeight="1">
      <c r="B124" s="93">
        <f t="shared" si="26"/>
        <v>0</v>
      </c>
      <c r="C124" s="60">
        <v>2150</v>
      </c>
      <c r="D124" s="60"/>
      <c r="E124" s="60" t="str">
        <f>VLOOKUP(1600,Sprachindex!$A:$Z,Erhebungsbogen!$Y$20,FALSE)</f>
        <v>[Stk]</v>
      </c>
      <c r="F124" s="60" t="s">
        <v>22004</v>
      </c>
      <c r="G124" s="514" t="str">
        <f>VLOOKUP(2131,Sprachindex!$A:$Z,Erhebungsbogen!$Y$20,FALSE) &amp; " ( " &amp;Preisliste!H104 &amp; " " &amp; VLOOKUP(1744,Sprachindex!$A:$Z,Erhebungsbogen!$Y$20,FALSE) &amp; ")"</f>
        <v>Rundprofil 50-Vario 30° exkl. Dichtung, gebohrt und entgratet ( 47,345 kg/Stk)</v>
      </c>
      <c r="H124" s="514"/>
      <c r="I124" s="514"/>
      <c r="J124" s="514"/>
      <c r="K124" s="514"/>
      <c r="L124" s="514"/>
      <c r="M124" s="514"/>
      <c r="N124" s="514"/>
      <c r="O124" s="514"/>
      <c r="P124" s="514"/>
      <c r="Q124" s="514"/>
      <c r="R124" s="514"/>
      <c r="S124" s="514"/>
      <c r="T124" s="514"/>
      <c r="U124" s="352">
        <f>VLOOKUP(F124,Preisliste!C:F,4,FALSE)</f>
        <v>1231.95</v>
      </c>
      <c r="V124" s="352">
        <f t="shared" si="16"/>
        <v>0</v>
      </c>
      <c r="W124" s="86"/>
      <c r="X124" s="86"/>
      <c r="Y124" s="86"/>
      <c r="Z124" s="86"/>
      <c r="AA124" s="86"/>
      <c r="AB124" s="86"/>
      <c r="AC124" s="86"/>
      <c r="AD124" s="86"/>
      <c r="AE124" s="86"/>
      <c r="AF124" s="86"/>
      <c r="AG124" s="55">
        <f t="shared" si="27"/>
        <v>0</v>
      </c>
      <c r="AH124" s="66">
        <f>IF(OR(Kalk3!$AA$19=2,Kalk3!$AA$19=3),1,0)</f>
        <v>1</v>
      </c>
      <c r="AI124" s="55">
        <v>50</v>
      </c>
      <c r="AK124" s="55" t="s">
        <v>22079</v>
      </c>
      <c r="AP124" s="66">
        <f>IF(AND(Kalk3!$O$21&gt;0,Kalk3!$N$21="30°"),Kalk3!$O$21,0)</f>
        <v>0</v>
      </c>
      <c r="AQ124" s="55" t="s">
        <v>22088</v>
      </c>
      <c r="AT124" s="55" t="s">
        <v>22079</v>
      </c>
      <c r="AU124" s="66">
        <f>IF(Kalk3!$AI$51=AV124,1,0)</f>
        <v>0</v>
      </c>
      <c r="AV124" s="55">
        <v>2150</v>
      </c>
      <c r="AX124" s="55" t="s">
        <v>22100</v>
      </c>
      <c r="AY124" s="66">
        <f>AP124*Kalk3!$H$37</f>
        <v>0</v>
      </c>
      <c r="AZ124" s="55" t="s">
        <v>20872</v>
      </c>
    </row>
    <row r="125" spans="2:52" ht="24.95" customHeight="1">
      <c r="B125" s="93">
        <f t="shared" si="26"/>
        <v>0</v>
      </c>
      <c r="C125" s="60">
        <f>IF(AG125=1,AW125,0)</f>
        <v>0</v>
      </c>
      <c r="D125" s="60"/>
      <c r="E125" s="60" t="str">
        <f>VLOOKUP(1600,Sprachindex!$A:$Z,Erhebungsbogen!$Y$20,FALSE)</f>
        <v>[Stk]</v>
      </c>
      <c r="F125" s="60" t="s">
        <v>21826</v>
      </c>
      <c r="G125" s="514" t="str">
        <f>VLOOKUP(2132,Sprachindex!$A:$Z,Erhebungsbogen!$Y$20,FALSE) &amp; " (" &amp; ROUNDUP(C125/1000*Preisliste!I105,2) &amp; " " &amp; VLOOKUP(1744,Sprachindex!$A:$Z,Erhebungsbogen!$Y$20,FALSE) &amp; ")"</f>
        <v>Rundprofil 50-Vario 30° Sonderlänge exkl. Dichtung, (Stangenware) (0 kg/Stk)</v>
      </c>
      <c r="H125" s="514"/>
      <c r="I125" s="514"/>
      <c r="J125" s="514"/>
      <c r="K125" s="514"/>
      <c r="L125" s="514"/>
      <c r="M125" s="514"/>
      <c r="N125" s="514"/>
      <c r="O125" s="514"/>
      <c r="P125" s="514"/>
      <c r="Q125" s="514"/>
      <c r="R125" s="514"/>
      <c r="S125" s="514"/>
      <c r="T125" s="514"/>
      <c r="U125" s="354">
        <f>VLOOKUP(F125,Preisliste!C:F,4,FALSE)</f>
        <v>0</v>
      </c>
      <c r="V125" s="352">
        <f t="shared" si="16"/>
        <v>0</v>
      </c>
      <c r="W125" s="86"/>
      <c r="X125" s="86"/>
      <c r="Y125" s="86"/>
      <c r="Z125" s="86"/>
      <c r="AA125" s="86"/>
      <c r="AB125" s="86"/>
      <c r="AC125" s="86"/>
      <c r="AD125" s="86"/>
      <c r="AE125" s="86"/>
      <c r="AF125" s="86"/>
      <c r="AG125" s="55">
        <f t="shared" si="27"/>
        <v>0</v>
      </c>
      <c r="AH125" s="66">
        <f>IF(OR(Kalk3!$AA$19=2,Kalk3!$AA$19=3),1,0)</f>
        <v>1</v>
      </c>
      <c r="AI125" s="55">
        <v>50</v>
      </c>
      <c r="AK125" s="55" t="s">
        <v>22079</v>
      </c>
      <c r="AP125" s="66">
        <f>IF(AND(Kalk3!$O$21&gt;0,Kalk3!$N$21="30°"),Kalk3!$O$21,0)</f>
        <v>0</v>
      </c>
      <c r="AQ125" s="55" t="s">
        <v>22088</v>
      </c>
      <c r="AT125" s="55" t="s">
        <v>22079</v>
      </c>
      <c r="AU125" s="66">
        <f>IF(Kalk3!$AH$52&gt;AV125,1,0)</f>
        <v>0</v>
      </c>
      <c r="AV125" s="55">
        <v>2150</v>
      </c>
      <c r="AW125" s="66">
        <f>Kalk3!$AH$52</f>
        <v>0</v>
      </c>
      <c r="AX125" s="55" t="s">
        <v>22100</v>
      </c>
      <c r="AY125" s="66">
        <f>AP125*Kalk3!$H$37</f>
        <v>0</v>
      </c>
      <c r="AZ125" s="55" t="s">
        <v>20872</v>
      </c>
    </row>
    <row r="126" spans="2:52" ht="24.95" customHeight="1">
      <c r="B126" s="93">
        <f t="shared" si="26"/>
        <v>0</v>
      </c>
      <c r="C126" s="60">
        <v>750</v>
      </c>
      <c r="D126" s="60"/>
      <c r="E126" s="60" t="str">
        <f>VLOOKUP(1600,Sprachindex!$A:$Z,Erhebungsbogen!$Y$20,FALSE)</f>
        <v>[Stk]</v>
      </c>
      <c r="F126" s="60" t="s">
        <v>22005</v>
      </c>
      <c r="G126" s="514" t="str">
        <f>VLOOKUP(2133,Sprachindex!$A:$Z,Erhebungsbogen!$Y$20,FALSE) &amp; " ( " &amp;Preisliste!H106 &amp; " " &amp; VLOOKUP(1744,Sprachindex!$A:$Z,Erhebungsbogen!$Y$20,FALSE) &amp; ")"</f>
        <v>Rundprofil 50-Vario 45° exkl. Dichtung, gebohrt und entgratet ( 16,506 kg/Stk)</v>
      </c>
      <c r="H126" s="514"/>
      <c r="I126" s="514"/>
      <c r="J126" s="514"/>
      <c r="K126" s="514"/>
      <c r="L126" s="514"/>
      <c r="M126" s="514"/>
      <c r="N126" s="514"/>
      <c r="O126" s="514"/>
      <c r="P126" s="514"/>
      <c r="Q126" s="514"/>
      <c r="R126" s="514"/>
      <c r="S126" s="514"/>
      <c r="T126" s="514"/>
      <c r="U126" s="352">
        <f>VLOOKUP(F126,Preisliste!C:F,4,FALSE)</f>
        <v>805.1</v>
      </c>
      <c r="V126" s="352">
        <f t="shared" si="16"/>
        <v>0</v>
      </c>
      <c r="W126" s="86"/>
      <c r="X126" s="86"/>
      <c r="Y126" s="86"/>
      <c r="Z126" s="86"/>
      <c r="AA126" s="86"/>
      <c r="AB126" s="86"/>
      <c r="AC126" s="86"/>
      <c r="AD126" s="86"/>
      <c r="AE126" s="86"/>
      <c r="AF126" s="86"/>
      <c r="AG126" s="55">
        <f t="shared" si="27"/>
        <v>1</v>
      </c>
      <c r="AH126" s="66">
        <f>IF(OR(Kalk3!$AA$19=2,Kalk3!$AA$19=3),1,0)</f>
        <v>1</v>
      </c>
      <c r="AI126" s="55">
        <v>50</v>
      </c>
      <c r="AK126" s="55" t="s">
        <v>22079</v>
      </c>
      <c r="AP126" s="66">
        <f>IF(AND(Kalk3!$O$21&gt;0,Kalk3!$N$21="45°"),Kalk3!$O$21,0)</f>
        <v>0</v>
      </c>
      <c r="AQ126" s="55" t="s">
        <v>22089</v>
      </c>
      <c r="AT126" s="55" t="s">
        <v>22079</v>
      </c>
      <c r="AU126" s="66">
        <f>IF(Kalk3!$AI$51=$AV$91,1,0)</f>
        <v>1</v>
      </c>
      <c r="AV126" s="55">
        <v>750</v>
      </c>
      <c r="AX126" s="55" t="s">
        <v>22100</v>
      </c>
      <c r="AY126" s="66">
        <f>AP126*Kalk3!$H$37</f>
        <v>0</v>
      </c>
      <c r="AZ126" s="55" t="s">
        <v>20872</v>
      </c>
    </row>
    <row r="127" spans="2:52" ht="24.95" customHeight="1">
      <c r="B127" s="93">
        <f t="shared" si="26"/>
        <v>0</v>
      </c>
      <c r="C127" s="60">
        <v>1350</v>
      </c>
      <c r="D127" s="60"/>
      <c r="E127" s="60" t="str">
        <f>VLOOKUP(1600,Sprachindex!$A:$Z,Erhebungsbogen!$Y$20,FALSE)</f>
        <v>[Stk]</v>
      </c>
      <c r="F127" s="60" t="s">
        <v>22006</v>
      </c>
      <c r="G127" s="514" t="str">
        <f>VLOOKUP(2133,Sprachindex!$A:$Z,Erhebungsbogen!$Y$20,FALSE) &amp; " ( " &amp;Preisliste!H107 &amp; " " &amp; VLOOKUP(1744,Sprachindex!$A:$Z,Erhebungsbogen!$Y$20,FALSE) &amp; ")"</f>
        <v>Rundprofil 50-Vario 45° exkl. Dichtung, gebohrt und entgratet ( 29,711 kg/Stk)</v>
      </c>
      <c r="H127" s="514"/>
      <c r="I127" s="514"/>
      <c r="J127" s="514"/>
      <c r="K127" s="514"/>
      <c r="L127" s="514"/>
      <c r="M127" s="514"/>
      <c r="N127" s="514"/>
      <c r="O127" s="514"/>
      <c r="P127" s="514"/>
      <c r="Q127" s="514"/>
      <c r="R127" s="514"/>
      <c r="S127" s="514"/>
      <c r="T127" s="514"/>
      <c r="U127" s="352">
        <f>VLOOKUP(F127,Preisliste!C:F,4,FALSE)</f>
        <v>988.05</v>
      </c>
      <c r="V127" s="352">
        <f t="shared" si="16"/>
        <v>0</v>
      </c>
      <c r="W127" s="86"/>
      <c r="X127" s="86"/>
      <c r="Y127" s="86"/>
      <c r="Z127" s="86"/>
      <c r="AA127" s="86"/>
      <c r="AB127" s="86"/>
      <c r="AC127" s="86"/>
      <c r="AD127" s="86"/>
      <c r="AE127" s="86"/>
      <c r="AF127" s="86"/>
      <c r="AG127" s="55">
        <f>IF(AND(AH127=1,AP127&gt;0,AU127=1),1,0)</f>
        <v>0</v>
      </c>
      <c r="AH127" s="66">
        <f>IF(OR(Kalk3!$AA$19=2,Kalk3!$AA$19=3),1,0)</f>
        <v>1</v>
      </c>
      <c r="AI127" s="55">
        <v>50</v>
      </c>
      <c r="AK127" s="55" t="s">
        <v>22079</v>
      </c>
      <c r="AP127" s="66">
        <f>IF(AND(Kalk3!$O$21&gt;0,Kalk3!$N$21="45°"),Kalk3!$O$21,0)</f>
        <v>0</v>
      </c>
      <c r="AQ127" s="55" t="s">
        <v>22089</v>
      </c>
      <c r="AT127" s="55" t="s">
        <v>22079</v>
      </c>
      <c r="AU127" s="66">
        <f>IF(Kalk3!$AI$51=AV127,1,0)</f>
        <v>0</v>
      </c>
      <c r="AV127" s="55">
        <v>1350</v>
      </c>
      <c r="AX127" s="55" t="s">
        <v>22100</v>
      </c>
      <c r="AY127" s="66">
        <f>AP127*Kalk3!$H$37</f>
        <v>0</v>
      </c>
      <c r="AZ127" s="55" t="s">
        <v>20872</v>
      </c>
    </row>
    <row r="128" spans="2:52" ht="24.95" customHeight="1">
      <c r="B128" s="93">
        <f t="shared" si="26"/>
        <v>0</v>
      </c>
      <c r="C128" s="60">
        <v>1750</v>
      </c>
      <c r="D128" s="60"/>
      <c r="E128" s="60" t="str">
        <f>VLOOKUP(1600,Sprachindex!$A:$Z,Erhebungsbogen!$Y$20,FALSE)</f>
        <v>[Stk]</v>
      </c>
      <c r="F128" s="60" t="s">
        <v>22007</v>
      </c>
      <c r="G128" s="514" t="str">
        <f>VLOOKUP(2133,Sprachindex!$A:$Z,Erhebungsbogen!$Y$20,FALSE) &amp; " ( " &amp;Preisliste!H108 &amp; " " &amp; VLOOKUP(1744,Sprachindex!$A:$Z,Erhebungsbogen!$Y$20,FALSE) &amp; ")"</f>
        <v>Rundprofil 50-Vario 45° exkl. Dichtung, gebohrt und entgratet ( 38,514 kg/Stk)</v>
      </c>
      <c r="H128" s="514"/>
      <c r="I128" s="514"/>
      <c r="J128" s="514"/>
      <c r="K128" s="514"/>
      <c r="L128" s="514"/>
      <c r="M128" s="514"/>
      <c r="N128" s="514"/>
      <c r="O128" s="514"/>
      <c r="P128" s="514"/>
      <c r="Q128" s="514"/>
      <c r="R128" s="514"/>
      <c r="S128" s="514"/>
      <c r="T128" s="514"/>
      <c r="U128" s="352">
        <f>VLOOKUP(F128,Preisliste!C:F,4,FALSE)</f>
        <v>1110.0999999999999</v>
      </c>
      <c r="V128" s="352">
        <f t="shared" si="16"/>
        <v>0</v>
      </c>
      <c r="W128" s="86"/>
      <c r="X128" s="86"/>
      <c r="Y128" s="86"/>
      <c r="Z128" s="86"/>
      <c r="AA128" s="86"/>
      <c r="AB128" s="86"/>
      <c r="AC128" s="86"/>
      <c r="AD128" s="86"/>
      <c r="AE128" s="86"/>
      <c r="AF128" s="86"/>
      <c r="AG128" s="55">
        <f t="shared" si="27"/>
        <v>0</v>
      </c>
      <c r="AH128" s="66">
        <f>IF(OR(Kalk3!$AA$19=2,Kalk3!$AA$19=3),1,0)</f>
        <v>1</v>
      </c>
      <c r="AI128" s="55">
        <v>50</v>
      </c>
      <c r="AK128" s="55" t="s">
        <v>22079</v>
      </c>
      <c r="AP128" s="66">
        <f>IF(AND(Kalk3!$O$21&gt;0,Kalk3!$N$21="45°"),Kalk3!$O$21,0)</f>
        <v>0</v>
      </c>
      <c r="AQ128" s="55" t="s">
        <v>22089</v>
      </c>
      <c r="AT128" s="55" t="s">
        <v>22079</v>
      </c>
      <c r="AU128" s="66">
        <f>IF(Kalk3!$AI$51=AV128,1,0)</f>
        <v>0</v>
      </c>
      <c r="AV128" s="55">
        <v>1750</v>
      </c>
      <c r="AX128" s="55" t="s">
        <v>22100</v>
      </c>
      <c r="AY128" s="66">
        <f>AP128*Kalk3!$H$37</f>
        <v>0</v>
      </c>
      <c r="AZ128" s="55" t="s">
        <v>20872</v>
      </c>
    </row>
    <row r="129" spans="2:52" ht="24.95" customHeight="1">
      <c r="B129" s="93">
        <f t="shared" si="26"/>
        <v>0</v>
      </c>
      <c r="C129" s="60">
        <v>2150</v>
      </c>
      <c r="D129" s="60"/>
      <c r="E129" s="60" t="str">
        <f>VLOOKUP(1600,Sprachindex!$A:$Z,Erhebungsbogen!$Y$20,FALSE)</f>
        <v>[Stk]</v>
      </c>
      <c r="F129" s="60" t="s">
        <v>22008</v>
      </c>
      <c r="G129" s="514" t="str">
        <f>VLOOKUP(2133,Sprachindex!$A:$Z,Erhebungsbogen!$Y$20,FALSE) &amp; " ( " &amp;Preisliste!H109 &amp; " " &amp; VLOOKUP(1744,Sprachindex!$A:$Z,Erhebungsbogen!$Y$20,FALSE) &amp; ")"</f>
        <v>Rundprofil 50-Vario 45° exkl. Dichtung, gebohrt und entgratet ( 47,317 kg/Stk)</v>
      </c>
      <c r="H129" s="514"/>
      <c r="I129" s="514"/>
      <c r="J129" s="514"/>
      <c r="K129" s="514"/>
      <c r="L129" s="514"/>
      <c r="M129" s="514"/>
      <c r="N129" s="514"/>
      <c r="O129" s="514"/>
      <c r="P129" s="514"/>
      <c r="Q129" s="514"/>
      <c r="R129" s="514"/>
      <c r="S129" s="514"/>
      <c r="T129" s="514"/>
      <c r="U129" s="352">
        <f>VLOOKUP(F129,Preisliste!C:F,4,FALSE)</f>
        <v>1231.95</v>
      </c>
      <c r="V129" s="352">
        <f t="shared" si="16"/>
        <v>0</v>
      </c>
      <c r="W129" s="86"/>
      <c r="X129" s="86"/>
      <c r="Y129" s="86"/>
      <c r="Z129" s="86"/>
      <c r="AA129" s="86"/>
      <c r="AB129" s="86"/>
      <c r="AC129" s="86"/>
      <c r="AD129" s="86"/>
      <c r="AE129" s="86"/>
      <c r="AF129" s="86"/>
      <c r="AG129" s="55">
        <f t="shared" si="27"/>
        <v>0</v>
      </c>
      <c r="AH129" s="66">
        <f>IF(OR(Kalk3!$AA$19=2,Kalk3!$AA$19=3),1,0)</f>
        <v>1</v>
      </c>
      <c r="AI129" s="55">
        <v>50</v>
      </c>
      <c r="AK129" s="55" t="s">
        <v>22079</v>
      </c>
      <c r="AP129" s="66">
        <f>IF(AND(Kalk3!$O$21&gt;0,Kalk3!$N$21="45°"),Kalk3!$O$21,0)</f>
        <v>0</v>
      </c>
      <c r="AQ129" s="55" t="s">
        <v>22089</v>
      </c>
      <c r="AT129" s="55" t="s">
        <v>22079</v>
      </c>
      <c r="AU129" s="66">
        <f>IF(Kalk3!$AI$51=AV129,1,0)</f>
        <v>0</v>
      </c>
      <c r="AV129" s="55">
        <v>2150</v>
      </c>
      <c r="AX129" s="55" t="s">
        <v>22100</v>
      </c>
      <c r="AY129" s="66">
        <f>AP129*Kalk3!$H$37</f>
        <v>0</v>
      </c>
      <c r="AZ129" s="55" t="s">
        <v>20872</v>
      </c>
    </row>
    <row r="130" spans="2:52" ht="24.95" customHeight="1">
      <c r="B130" s="93">
        <f t="shared" si="26"/>
        <v>0</v>
      </c>
      <c r="C130" s="60">
        <f>IF(AG130=1,AW130,0)</f>
        <v>0</v>
      </c>
      <c r="D130" s="60"/>
      <c r="E130" s="60" t="str">
        <f>VLOOKUP(1600,Sprachindex!$A:$Z,Erhebungsbogen!$Y$20,FALSE)</f>
        <v>[Stk]</v>
      </c>
      <c r="F130" s="60" t="s">
        <v>21826</v>
      </c>
      <c r="G130" s="514" t="str">
        <f>VLOOKUP(2134,Sprachindex!$A:$Z,Erhebungsbogen!$Y$20,FALSE) &amp; " (" &amp; ROUNDUP(C130/1000*Preisliste!I110,2) &amp; " " &amp; VLOOKUP(1744,Sprachindex!$A:$Z,Erhebungsbogen!$Y$20,FALSE) &amp; ")"</f>
        <v>Rundprofil 50-Vario 45° Sonderlänge exkl. Dichtung, (Stangenware) (0 kg/Stk)</v>
      </c>
      <c r="H130" s="514"/>
      <c r="I130" s="514"/>
      <c r="J130" s="514"/>
      <c r="K130" s="514"/>
      <c r="L130" s="514"/>
      <c r="M130" s="514"/>
      <c r="N130" s="514"/>
      <c r="O130" s="514"/>
      <c r="P130" s="514"/>
      <c r="Q130" s="514"/>
      <c r="R130" s="514"/>
      <c r="S130" s="514"/>
      <c r="T130" s="514"/>
      <c r="U130" s="354">
        <f>VLOOKUP(F130,Preisliste!C:F,4,FALSE)</f>
        <v>0</v>
      </c>
      <c r="V130" s="352">
        <f t="shared" ref="V130:V180" si="28">U130*B130</f>
        <v>0</v>
      </c>
      <c r="W130" s="86"/>
      <c r="X130" s="86"/>
      <c r="Y130" s="86"/>
      <c r="Z130" s="86"/>
      <c r="AA130" s="86"/>
      <c r="AB130" s="86"/>
      <c r="AC130" s="86"/>
      <c r="AD130" s="86"/>
      <c r="AE130" s="86"/>
      <c r="AF130" s="86"/>
      <c r="AG130" s="55">
        <f t="shared" si="27"/>
        <v>0</v>
      </c>
      <c r="AH130" s="66">
        <f>IF(OR(Kalk3!$AA$19=2,Kalk3!$AA$19=3),1,0)</f>
        <v>1</v>
      </c>
      <c r="AI130" s="55">
        <v>50</v>
      </c>
      <c r="AK130" s="55" t="s">
        <v>22079</v>
      </c>
      <c r="AP130" s="66">
        <f>IF(AND(Kalk3!$O$21&gt;0,Kalk3!$N$21="45°"),Kalk3!$O$21,0)</f>
        <v>0</v>
      </c>
      <c r="AQ130" s="55" t="s">
        <v>22089</v>
      </c>
      <c r="AT130" s="55" t="s">
        <v>22079</v>
      </c>
      <c r="AU130" s="66">
        <f>IF(Kalk3!$AH$52&gt;AV130,1,0)</f>
        <v>0</v>
      </c>
      <c r="AV130" s="55">
        <v>2150</v>
      </c>
      <c r="AW130" s="66">
        <f>Kalk3!$AH$52</f>
        <v>0</v>
      </c>
      <c r="AX130" s="55" t="s">
        <v>22100</v>
      </c>
      <c r="AY130" s="66">
        <f>AP130*Kalk3!$H$37</f>
        <v>0</v>
      </c>
      <c r="AZ130" s="55" t="s">
        <v>20872</v>
      </c>
    </row>
    <row r="131" spans="2:52" ht="24.95" customHeight="1">
      <c r="B131" s="93">
        <f t="shared" si="26"/>
        <v>0</v>
      </c>
      <c r="C131" s="60">
        <v>750</v>
      </c>
      <c r="D131" s="60"/>
      <c r="E131" s="60" t="str">
        <f>VLOOKUP(1600,Sprachindex!$A:$Z,Erhebungsbogen!$Y$20,FALSE)</f>
        <v>[Stk]</v>
      </c>
      <c r="F131" s="60" t="s">
        <v>22009</v>
      </c>
      <c r="G131" s="514" t="str">
        <f>VLOOKUP(2135,Sprachindex!$A:$Z,Erhebungsbogen!$Y$20,FALSE) &amp; " ( " &amp;Preisliste!H111 &amp; " " &amp; VLOOKUP(1744,Sprachindex!$A:$Z,Erhebungsbogen!$Y$20,FALSE) &amp; ")"</f>
        <v>Rundprofil 50-Vario 60° exkl. Dichtung, gebohrt und entgratet ( 16,516 kg/Stk)</v>
      </c>
      <c r="H131" s="514"/>
      <c r="I131" s="514"/>
      <c r="J131" s="514"/>
      <c r="K131" s="514"/>
      <c r="L131" s="514"/>
      <c r="M131" s="514"/>
      <c r="N131" s="514"/>
      <c r="O131" s="514"/>
      <c r="P131" s="514"/>
      <c r="Q131" s="514"/>
      <c r="R131" s="514"/>
      <c r="S131" s="514"/>
      <c r="T131" s="514"/>
      <c r="U131" s="352">
        <f>VLOOKUP(F131,Preisliste!C:F,4,FALSE)</f>
        <v>805.1</v>
      </c>
      <c r="V131" s="352">
        <f t="shared" si="28"/>
        <v>0</v>
      </c>
      <c r="W131" s="86"/>
      <c r="X131" s="86"/>
      <c r="Y131" s="86"/>
      <c r="Z131" s="86"/>
      <c r="AA131" s="86"/>
      <c r="AB131" s="86"/>
      <c r="AC131" s="86"/>
      <c r="AD131" s="86"/>
      <c r="AE131" s="86"/>
      <c r="AF131" s="86"/>
      <c r="AG131" s="55">
        <f t="shared" si="27"/>
        <v>1</v>
      </c>
      <c r="AH131" s="66">
        <f>IF(OR(Kalk3!$AA$19=2,Kalk3!$AA$19=3),1,0)</f>
        <v>1</v>
      </c>
      <c r="AI131" s="55">
        <v>50</v>
      </c>
      <c r="AK131" s="55" t="s">
        <v>22079</v>
      </c>
      <c r="AP131" s="66">
        <f>IF(AND(Kalk3!$O$21&gt;0,Kalk3!$N$21="60°"),Kalk3!$O$21,0)</f>
        <v>0</v>
      </c>
      <c r="AQ131" s="55" t="s">
        <v>22090</v>
      </c>
      <c r="AT131" s="55" t="s">
        <v>22079</v>
      </c>
      <c r="AU131" s="66">
        <f>IF(Kalk3!$AI$51=$AV$91,1,0)</f>
        <v>1</v>
      </c>
      <c r="AV131" s="55">
        <v>750</v>
      </c>
      <c r="AX131" s="55" t="s">
        <v>22100</v>
      </c>
      <c r="AY131" s="66">
        <f>AP131*Kalk3!$H$37</f>
        <v>0</v>
      </c>
      <c r="AZ131" s="55" t="s">
        <v>20872</v>
      </c>
    </row>
    <row r="132" spans="2:52" ht="24.95" customHeight="1">
      <c r="B132" s="93">
        <f t="shared" si="26"/>
        <v>0</v>
      </c>
      <c r="C132" s="60">
        <v>1350</v>
      </c>
      <c r="D132" s="60"/>
      <c r="E132" s="60" t="str">
        <f>VLOOKUP(1600,Sprachindex!$A:$Z,Erhebungsbogen!$Y$20,FALSE)</f>
        <v>[Stk]</v>
      </c>
      <c r="F132" s="60" t="s">
        <v>22010</v>
      </c>
      <c r="G132" s="514" t="str">
        <f>VLOOKUP(2135,Sprachindex!$A:$Z,Erhebungsbogen!$Y$20,FALSE) &amp; " ( " &amp;Preisliste!H112 &amp; " " &amp; VLOOKUP(1744,Sprachindex!$A:$Z,Erhebungsbogen!$Y$20,FALSE) &amp; ")"</f>
        <v>Rundprofil 50-Vario 60° exkl. Dichtung, gebohrt und entgratet ( 29,728 kg/Stk)</v>
      </c>
      <c r="H132" s="514"/>
      <c r="I132" s="514"/>
      <c r="J132" s="514"/>
      <c r="K132" s="514"/>
      <c r="L132" s="514"/>
      <c r="M132" s="514"/>
      <c r="N132" s="514"/>
      <c r="O132" s="514"/>
      <c r="P132" s="514"/>
      <c r="Q132" s="514"/>
      <c r="R132" s="514"/>
      <c r="S132" s="514"/>
      <c r="T132" s="514"/>
      <c r="U132" s="352">
        <f>VLOOKUP(F132,Preisliste!C:F,4,FALSE)</f>
        <v>988.05</v>
      </c>
      <c r="V132" s="352">
        <f t="shared" si="28"/>
        <v>0</v>
      </c>
      <c r="W132" s="86"/>
      <c r="X132" s="86"/>
      <c r="Y132" s="86"/>
      <c r="Z132" s="86"/>
      <c r="AA132" s="86"/>
      <c r="AB132" s="86"/>
      <c r="AC132" s="86"/>
      <c r="AD132" s="86"/>
      <c r="AE132" s="86"/>
      <c r="AF132" s="86"/>
      <c r="AG132" s="55">
        <f>IF(AND(AH132=1,AP132&gt;0,AU132=1),1,0)</f>
        <v>0</v>
      </c>
      <c r="AH132" s="66">
        <f>IF(OR(Kalk3!$AA$19=2,Kalk3!$AA$19=3),1,0)</f>
        <v>1</v>
      </c>
      <c r="AI132" s="55">
        <v>50</v>
      </c>
      <c r="AK132" s="55" t="s">
        <v>22079</v>
      </c>
      <c r="AP132" s="66">
        <f>IF(AND(Kalk3!$O$21&gt;0,Kalk3!$N$21="60°"),Kalk3!$O$21,0)</f>
        <v>0</v>
      </c>
      <c r="AQ132" s="55" t="s">
        <v>22090</v>
      </c>
      <c r="AT132" s="55" t="s">
        <v>22079</v>
      </c>
      <c r="AU132" s="66">
        <f>IF(Kalk3!$AI$51=AV132,1,0)</f>
        <v>0</v>
      </c>
      <c r="AV132" s="55">
        <v>1350</v>
      </c>
      <c r="AX132" s="55" t="s">
        <v>22100</v>
      </c>
      <c r="AY132" s="66">
        <f>AP132*Kalk3!$H$37</f>
        <v>0</v>
      </c>
      <c r="AZ132" s="55" t="s">
        <v>20872</v>
      </c>
    </row>
    <row r="133" spans="2:52" ht="24.95" customHeight="1">
      <c r="B133" s="93">
        <f t="shared" si="26"/>
        <v>0</v>
      </c>
      <c r="C133" s="60">
        <v>1750</v>
      </c>
      <c r="D133" s="60"/>
      <c r="E133" s="60" t="str">
        <f>VLOOKUP(1600,Sprachindex!$A:$Z,Erhebungsbogen!$Y$20,FALSE)</f>
        <v>[Stk]</v>
      </c>
      <c r="F133" s="60" t="s">
        <v>22011</v>
      </c>
      <c r="G133" s="514" t="str">
        <f>VLOOKUP(2135,Sprachindex!$A:$Z,Erhebungsbogen!$Y$20,FALSE) &amp; " ( " &amp;Preisliste!H113 &amp; " " &amp; VLOOKUP(1744,Sprachindex!$A:$Z,Erhebungsbogen!$Y$20,FALSE) &amp; ")"</f>
        <v>Rundprofil 50-Vario 60° exkl. Dichtung, gebohrt und entgratet ( 38,537 kg/Stk)</v>
      </c>
      <c r="H133" s="514"/>
      <c r="I133" s="514"/>
      <c r="J133" s="514"/>
      <c r="K133" s="514"/>
      <c r="L133" s="514"/>
      <c r="M133" s="514"/>
      <c r="N133" s="514"/>
      <c r="O133" s="514"/>
      <c r="P133" s="514"/>
      <c r="Q133" s="514"/>
      <c r="R133" s="514"/>
      <c r="S133" s="514"/>
      <c r="T133" s="514"/>
      <c r="U133" s="352">
        <f>VLOOKUP(F133,Preisliste!C:F,4,FALSE)</f>
        <v>1110.0999999999999</v>
      </c>
      <c r="V133" s="352">
        <f t="shared" si="28"/>
        <v>0</v>
      </c>
      <c r="W133" s="86"/>
      <c r="X133" s="86"/>
      <c r="Y133" s="86"/>
      <c r="Z133" s="86"/>
      <c r="AA133" s="86"/>
      <c r="AB133" s="86"/>
      <c r="AC133" s="86"/>
      <c r="AD133" s="86"/>
      <c r="AE133" s="86"/>
      <c r="AF133" s="86"/>
      <c r="AG133" s="55">
        <f t="shared" si="27"/>
        <v>0</v>
      </c>
      <c r="AH133" s="66">
        <f>IF(OR(Kalk3!$AA$19=2,Kalk3!$AA$19=3),1,0)</f>
        <v>1</v>
      </c>
      <c r="AI133" s="55">
        <v>50</v>
      </c>
      <c r="AK133" s="55" t="s">
        <v>22079</v>
      </c>
      <c r="AP133" s="66">
        <f>IF(AND(Kalk3!$O$21&gt;0,Kalk3!$N$21="60°"),Kalk3!$O$21,0)</f>
        <v>0</v>
      </c>
      <c r="AQ133" s="55" t="s">
        <v>22090</v>
      </c>
      <c r="AT133" s="55" t="s">
        <v>22079</v>
      </c>
      <c r="AU133" s="66">
        <f>IF(Kalk3!$AI$51=AV133,1,0)</f>
        <v>0</v>
      </c>
      <c r="AV133" s="55">
        <v>1750</v>
      </c>
      <c r="AX133" s="55" t="s">
        <v>22100</v>
      </c>
      <c r="AY133" s="66">
        <f>AP133*Kalk3!$H$37</f>
        <v>0</v>
      </c>
      <c r="AZ133" s="55" t="s">
        <v>20872</v>
      </c>
    </row>
    <row r="134" spans="2:52" ht="24.95" customHeight="1">
      <c r="B134" s="93">
        <f t="shared" si="26"/>
        <v>0</v>
      </c>
      <c r="C134" s="60">
        <v>2150</v>
      </c>
      <c r="D134" s="60"/>
      <c r="E134" s="60" t="str">
        <f>VLOOKUP(1600,Sprachindex!$A:$Z,Erhebungsbogen!$Y$20,FALSE)</f>
        <v>[Stk]</v>
      </c>
      <c r="F134" s="60" t="s">
        <v>22012</v>
      </c>
      <c r="G134" s="514" t="str">
        <f>VLOOKUP(2135,Sprachindex!$A:$Z,Erhebungsbogen!$Y$20,FALSE) &amp; " ( " &amp;Preisliste!H114 &amp; " " &amp; VLOOKUP(1744,Sprachindex!$A:$Z,Erhebungsbogen!$Y$20,FALSE) &amp; ")"</f>
        <v>Rundprofil 50-Vario 60° exkl. Dichtung, gebohrt und entgratet ( 47,345 kg/Stk)</v>
      </c>
      <c r="H134" s="514"/>
      <c r="I134" s="514"/>
      <c r="J134" s="514"/>
      <c r="K134" s="514"/>
      <c r="L134" s="514"/>
      <c r="M134" s="514"/>
      <c r="N134" s="514"/>
      <c r="O134" s="514"/>
      <c r="P134" s="514"/>
      <c r="Q134" s="514"/>
      <c r="R134" s="514"/>
      <c r="S134" s="514"/>
      <c r="T134" s="514"/>
      <c r="U134" s="352">
        <f>VLOOKUP(F134,Preisliste!C:F,4,FALSE)</f>
        <v>1231.95</v>
      </c>
      <c r="V134" s="352">
        <f t="shared" si="28"/>
        <v>0</v>
      </c>
      <c r="W134" s="86"/>
      <c r="X134" s="86"/>
      <c r="Y134" s="86"/>
      <c r="Z134" s="86"/>
      <c r="AA134" s="86"/>
      <c r="AB134" s="86"/>
      <c r="AC134" s="86"/>
      <c r="AD134" s="86"/>
      <c r="AE134" s="86"/>
      <c r="AF134" s="86"/>
      <c r="AG134" s="55">
        <f t="shared" si="27"/>
        <v>0</v>
      </c>
      <c r="AH134" s="66">
        <f>IF(OR(Kalk3!$AA$19=2,Kalk3!$AA$19=3),1,0)</f>
        <v>1</v>
      </c>
      <c r="AI134" s="55">
        <v>50</v>
      </c>
      <c r="AK134" s="55" t="s">
        <v>22079</v>
      </c>
      <c r="AP134" s="66">
        <f>IF(AND(Kalk3!$O$21&gt;0,Kalk3!$N$21="60°"),Kalk3!$O$21,0)</f>
        <v>0</v>
      </c>
      <c r="AQ134" s="55" t="s">
        <v>22090</v>
      </c>
      <c r="AT134" s="55" t="s">
        <v>22079</v>
      </c>
      <c r="AU134" s="66">
        <f>IF(Kalk3!$AI$51=AV134,1,0)</f>
        <v>0</v>
      </c>
      <c r="AV134" s="55">
        <v>2150</v>
      </c>
      <c r="AX134" s="55" t="s">
        <v>22100</v>
      </c>
      <c r="AY134" s="66">
        <f>AP134*Kalk3!$H$37</f>
        <v>0</v>
      </c>
      <c r="AZ134" s="55" t="s">
        <v>20872</v>
      </c>
    </row>
    <row r="135" spans="2:52" ht="24.95" customHeight="1">
      <c r="B135" s="93">
        <f t="shared" si="26"/>
        <v>0</v>
      </c>
      <c r="C135" s="60">
        <f>IF(AG135=1,AW135,0)</f>
        <v>0</v>
      </c>
      <c r="D135" s="60"/>
      <c r="E135" s="60" t="str">
        <f>VLOOKUP(1600,Sprachindex!$A:$Z,Erhebungsbogen!$Y$20,FALSE)</f>
        <v>[Stk]</v>
      </c>
      <c r="F135" s="60" t="s">
        <v>21826</v>
      </c>
      <c r="G135" s="514" t="str">
        <f>VLOOKUP(2136,Sprachindex!$A:$Z,Erhebungsbogen!$Y$20,FALSE) &amp; " (" &amp; ROUNDUP(C135/1000*Preisliste!I115,2) &amp; " " &amp; VLOOKUP(1744,Sprachindex!$A:$Z,Erhebungsbogen!$Y$20,FALSE) &amp; ")"</f>
        <v>Rundprofil 50-Vario 60° Sonderlänge exkl. Dichtung, (Stangenware) (0 kg/Stk)</v>
      </c>
      <c r="H135" s="514"/>
      <c r="I135" s="514"/>
      <c r="J135" s="514"/>
      <c r="K135" s="514"/>
      <c r="L135" s="514"/>
      <c r="M135" s="514"/>
      <c r="N135" s="514"/>
      <c r="O135" s="514"/>
      <c r="P135" s="514"/>
      <c r="Q135" s="514"/>
      <c r="R135" s="514"/>
      <c r="S135" s="514"/>
      <c r="T135" s="514"/>
      <c r="U135" s="354">
        <f>VLOOKUP(F135,Preisliste!C:F,4,FALSE)</f>
        <v>0</v>
      </c>
      <c r="V135" s="352">
        <f t="shared" si="28"/>
        <v>0</v>
      </c>
      <c r="W135" s="86"/>
      <c r="X135" s="86"/>
      <c r="Y135" s="86"/>
      <c r="Z135" s="86"/>
      <c r="AA135" s="86"/>
      <c r="AB135" s="86"/>
      <c r="AC135" s="86"/>
      <c r="AD135" s="86"/>
      <c r="AE135" s="86"/>
      <c r="AF135" s="86"/>
      <c r="AG135" s="55">
        <f t="shared" si="27"/>
        <v>0</v>
      </c>
      <c r="AH135" s="66">
        <f>IF(OR(Kalk3!$AA$19=2,Kalk3!$AA$19=3),1,0)</f>
        <v>1</v>
      </c>
      <c r="AI135" s="55">
        <v>50</v>
      </c>
      <c r="AK135" s="55" t="s">
        <v>22079</v>
      </c>
      <c r="AP135" s="66">
        <f>IF(AND(Kalk3!$O$21&gt;0,Kalk3!$N$21="60°"),Kalk3!$O$21,0)</f>
        <v>0</v>
      </c>
      <c r="AQ135" s="55" t="s">
        <v>22090</v>
      </c>
      <c r="AT135" s="55" t="s">
        <v>22079</v>
      </c>
      <c r="AU135" s="66">
        <f>IF(Kalk3!$AH$52&gt;AV135,1,0)</f>
        <v>0</v>
      </c>
      <c r="AV135" s="55">
        <v>2150</v>
      </c>
      <c r="AW135" s="66">
        <f>Kalk3!$AH$52</f>
        <v>0</v>
      </c>
      <c r="AX135" s="55" t="s">
        <v>22100</v>
      </c>
      <c r="AY135" s="66">
        <f>AP135*Kalk3!$H$37</f>
        <v>0</v>
      </c>
      <c r="AZ135" s="55" t="s">
        <v>20872</v>
      </c>
    </row>
    <row r="136" spans="2:52" ht="24.95" customHeight="1">
      <c r="B136" s="93">
        <f t="shared" si="26"/>
        <v>0</v>
      </c>
      <c r="C136" s="60">
        <v>750</v>
      </c>
      <c r="D136" s="60"/>
      <c r="E136" s="60" t="str">
        <f>VLOOKUP(1600,Sprachindex!$A:$Z,Erhebungsbogen!$Y$20,FALSE)</f>
        <v>[Stk]</v>
      </c>
      <c r="F136" s="60" t="s">
        <v>22013</v>
      </c>
      <c r="G136" s="514" t="str">
        <f>VLOOKUP(2137,Sprachindex!$A:$Z,Erhebungsbogen!$Y$20,FALSE) &amp; " ( " &amp;Preisliste!H116 &amp; " " &amp; VLOOKUP(1744,Sprachindex!$A:$Z,Erhebungsbogen!$Y$20,FALSE) &amp; ")"</f>
        <v>Rundprofil 50-Vario 75° exkl. Dichtung, gebohrt und entgratet ( 15,726 kg/Stk)</v>
      </c>
      <c r="H136" s="514"/>
      <c r="I136" s="514"/>
      <c r="J136" s="514"/>
      <c r="K136" s="514"/>
      <c r="L136" s="514"/>
      <c r="M136" s="514"/>
      <c r="N136" s="514"/>
      <c r="O136" s="514"/>
      <c r="P136" s="514"/>
      <c r="Q136" s="514"/>
      <c r="R136" s="514"/>
      <c r="S136" s="514"/>
      <c r="T136" s="514"/>
      <c r="U136" s="352">
        <f>VLOOKUP(F136,Preisliste!C:F,4,FALSE)</f>
        <v>805.1</v>
      </c>
      <c r="V136" s="352">
        <f t="shared" si="28"/>
        <v>0</v>
      </c>
      <c r="W136" s="86"/>
      <c r="X136" s="86"/>
      <c r="Y136" s="86"/>
      <c r="Z136" s="86"/>
      <c r="AA136" s="86"/>
      <c r="AB136" s="86"/>
      <c r="AC136" s="86"/>
      <c r="AD136" s="86"/>
      <c r="AE136" s="86"/>
      <c r="AF136" s="86"/>
      <c r="AG136" s="55">
        <f t="shared" si="27"/>
        <v>1</v>
      </c>
      <c r="AH136" s="66">
        <f>IF(OR(Kalk3!$AA$19=2,Kalk3!$AA$19=3),1,0)</f>
        <v>1</v>
      </c>
      <c r="AI136" s="55">
        <v>50</v>
      </c>
      <c r="AK136" s="55" t="s">
        <v>22079</v>
      </c>
      <c r="AP136" s="66">
        <f>IF(AND(Kalk3!$O$21&gt;0,Kalk3!$N$21="75°"),Kalk3!$O$21,0)</f>
        <v>0</v>
      </c>
      <c r="AQ136" s="55" t="s">
        <v>22091</v>
      </c>
      <c r="AT136" s="55" t="s">
        <v>22079</v>
      </c>
      <c r="AU136" s="66">
        <f>IF(Kalk3!$AI$51=$AV$91,1,0)</f>
        <v>1</v>
      </c>
      <c r="AV136" s="55">
        <v>750</v>
      </c>
      <c r="AX136" s="55" t="s">
        <v>22100</v>
      </c>
      <c r="AY136" s="66">
        <f>AP136*Kalk3!$H$37</f>
        <v>0</v>
      </c>
      <c r="AZ136" s="55" t="s">
        <v>20872</v>
      </c>
    </row>
    <row r="137" spans="2:52" ht="24.95" customHeight="1">
      <c r="B137" s="93">
        <f t="shared" si="26"/>
        <v>0</v>
      </c>
      <c r="C137" s="60">
        <v>1350</v>
      </c>
      <c r="D137" s="60"/>
      <c r="E137" s="60" t="str">
        <f>VLOOKUP(1600,Sprachindex!$A:$Z,Erhebungsbogen!$Y$20,FALSE)</f>
        <v>[Stk]</v>
      </c>
      <c r="F137" s="60" t="s">
        <v>22014</v>
      </c>
      <c r="G137" s="514" t="str">
        <f>VLOOKUP(2137,Sprachindex!$A:$Z,Erhebungsbogen!$Y$20,FALSE) &amp; " ( " &amp;Preisliste!H117 &amp; " " &amp; VLOOKUP(1744,Sprachindex!$A:$Z,Erhebungsbogen!$Y$20,FALSE) &amp; ")"</f>
        <v>Rundprofil 50-Vario 75° exkl. Dichtung, gebohrt und entgratet ( 28,307 kg/Stk)</v>
      </c>
      <c r="H137" s="514"/>
      <c r="I137" s="514"/>
      <c r="J137" s="514"/>
      <c r="K137" s="514"/>
      <c r="L137" s="514"/>
      <c r="M137" s="514"/>
      <c r="N137" s="514"/>
      <c r="O137" s="514"/>
      <c r="P137" s="514"/>
      <c r="Q137" s="514"/>
      <c r="R137" s="514"/>
      <c r="S137" s="514"/>
      <c r="T137" s="514"/>
      <c r="U137" s="352">
        <f>VLOOKUP(F137,Preisliste!C:F,4,FALSE)</f>
        <v>988.05</v>
      </c>
      <c r="V137" s="352">
        <f t="shared" si="28"/>
        <v>0</v>
      </c>
      <c r="W137" s="86"/>
      <c r="X137" s="86"/>
      <c r="Y137" s="86"/>
      <c r="Z137" s="86"/>
      <c r="AA137" s="86"/>
      <c r="AB137" s="86"/>
      <c r="AC137" s="86"/>
      <c r="AD137" s="86"/>
      <c r="AE137" s="86"/>
      <c r="AF137" s="86"/>
      <c r="AG137" s="55">
        <f>IF(AND(AH137=1,AP137&gt;0,AU137=1),1,0)</f>
        <v>0</v>
      </c>
      <c r="AH137" s="66">
        <f>IF(OR(Kalk3!$AA$19=2,Kalk3!$AA$19=3),1,0)</f>
        <v>1</v>
      </c>
      <c r="AI137" s="55">
        <v>50</v>
      </c>
      <c r="AK137" s="55" t="s">
        <v>22079</v>
      </c>
      <c r="AP137" s="66">
        <f>IF(AND(Kalk3!$O$21&gt;0,Kalk3!$N$21="75°"),Kalk3!$O$21,0)</f>
        <v>0</v>
      </c>
      <c r="AQ137" s="55" t="s">
        <v>22091</v>
      </c>
      <c r="AT137" s="55" t="s">
        <v>22079</v>
      </c>
      <c r="AU137" s="66">
        <f>IF(Kalk3!$AI$51=AV137,1,0)</f>
        <v>0</v>
      </c>
      <c r="AV137" s="55">
        <v>1350</v>
      </c>
      <c r="AX137" s="55" t="s">
        <v>22100</v>
      </c>
      <c r="AY137" s="66">
        <f>AP137*Kalk3!$H$37</f>
        <v>0</v>
      </c>
      <c r="AZ137" s="55" t="s">
        <v>20872</v>
      </c>
    </row>
    <row r="138" spans="2:52" ht="24.95" customHeight="1">
      <c r="B138" s="93">
        <f t="shared" si="26"/>
        <v>0</v>
      </c>
      <c r="C138" s="60">
        <v>1750</v>
      </c>
      <c r="D138" s="60"/>
      <c r="E138" s="60" t="str">
        <f>VLOOKUP(1600,Sprachindex!$A:$Z,Erhebungsbogen!$Y$20,FALSE)</f>
        <v>[Stk]</v>
      </c>
      <c r="F138" s="60" t="s">
        <v>22015</v>
      </c>
      <c r="G138" s="514" t="str">
        <f>VLOOKUP(2137,Sprachindex!$A:$Z,Erhebungsbogen!$Y$20,FALSE) &amp; " ( " &amp;Preisliste!H118 &amp; " " &amp; VLOOKUP(1744,Sprachindex!$A:$Z,Erhebungsbogen!$Y$20,FALSE) &amp; ")"</f>
        <v>Rundprofil 50-Vario 75° exkl. Dichtung, gebohrt und entgratet ( 36,694 kg/Stk)</v>
      </c>
      <c r="H138" s="514"/>
      <c r="I138" s="514"/>
      <c r="J138" s="514"/>
      <c r="K138" s="514"/>
      <c r="L138" s="514"/>
      <c r="M138" s="514"/>
      <c r="N138" s="514"/>
      <c r="O138" s="514"/>
      <c r="P138" s="514"/>
      <c r="Q138" s="514"/>
      <c r="R138" s="514"/>
      <c r="S138" s="514"/>
      <c r="T138" s="514"/>
      <c r="U138" s="352">
        <f>VLOOKUP(F138,Preisliste!C:F,4,FALSE)</f>
        <v>1110.0999999999999</v>
      </c>
      <c r="V138" s="352">
        <f t="shared" si="28"/>
        <v>0</v>
      </c>
      <c r="W138" s="86"/>
      <c r="X138" s="86"/>
      <c r="Y138" s="86"/>
      <c r="Z138" s="86"/>
      <c r="AA138" s="86"/>
      <c r="AB138" s="86"/>
      <c r="AC138" s="86"/>
      <c r="AD138" s="86"/>
      <c r="AE138" s="86"/>
      <c r="AF138" s="86"/>
      <c r="AG138" s="55">
        <f t="shared" si="27"/>
        <v>0</v>
      </c>
      <c r="AH138" s="66">
        <f>IF(OR(Kalk3!$AA$19=2,Kalk3!$AA$19=3),1,0)</f>
        <v>1</v>
      </c>
      <c r="AI138" s="55">
        <v>50</v>
      </c>
      <c r="AK138" s="55" t="s">
        <v>22079</v>
      </c>
      <c r="AP138" s="66">
        <f>IF(AND(Kalk3!$O$21&gt;0,Kalk3!$N$21="75°"),Kalk3!$O$21,0)</f>
        <v>0</v>
      </c>
      <c r="AQ138" s="55" t="s">
        <v>22091</v>
      </c>
      <c r="AT138" s="55" t="s">
        <v>22079</v>
      </c>
      <c r="AU138" s="66">
        <f>IF(Kalk3!$AI$51=AV138,1,0)</f>
        <v>0</v>
      </c>
      <c r="AV138" s="55">
        <v>1750</v>
      </c>
      <c r="AX138" s="55" t="s">
        <v>22100</v>
      </c>
      <c r="AY138" s="66">
        <f>AP138*Kalk3!$H$37</f>
        <v>0</v>
      </c>
      <c r="AZ138" s="55" t="s">
        <v>20872</v>
      </c>
    </row>
    <row r="139" spans="2:52" ht="24.95" customHeight="1">
      <c r="B139" s="93">
        <f t="shared" si="26"/>
        <v>0</v>
      </c>
      <c r="C139" s="60">
        <v>2150</v>
      </c>
      <c r="D139" s="60"/>
      <c r="E139" s="60" t="str">
        <f>VLOOKUP(1600,Sprachindex!$A:$Z,Erhebungsbogen!$Y$20,FALSE)</f>
        <v>[Stk]</v>
      </c>
      <c r="F139" s="60" t="s">
        <v>22016</v>
      </c>
      <c r="G139" s="514" t="str">
        <f>VLOOKUP(2137,Sprachindex!$A:$Z,Erhebungsbogen!$Y$20,FALSE) &amp; " ( " &amp;Preisliste!H119 &amp; " " &amp; VLOOKUP(1744,Sprachindex!$A:$Z,Erhebungsbogen!$Y$20,FALSE) &amp; ")"</f>
        <v>Rundprofil 50-Vario 75° exkl. Dichtung, gebohrt und entgratet ( 45,081 kg/Stk)</v>
      </c>
      <c r="H139" s="514"/>
      <c r="I139" s="514"/>
      <c r="J139" s="514"/>
      <c r="K139" s="514"/>
      <c r="L139" s="514"/>
      <c r="M139" s="514"/>
      <c r="N139" s="514"/>
      <c r="O139" s="514"/>
      <c r="P139" s="514"/>
      <c r="Q139" s="514"/>
      <c r="R139" s="514"/>
      <c r="S139" s="514"/>
      <c r="T139" s="514"/>
      <c r="U139" s="352">
        <f>VLOOKUP(F139,Preisliste!C:F,4,FALSE)</f>
        <v>1231.95</v>
      </c>
      <c r="V139" s="352">
        <f t="shared" si="28"/>
        <v>0</v>
      </c>
      <c r="W139" s="86"/>
      <c r="X139" s="86"/>
      <c r="Y139" s="86"/>
      <c r="Z139" s="86"/>
      <c r="AA139" s="86"/>
      <c r="AB139" s="86"/>
      <c r="AC139" s="86"/>
      <c r="AD139" s="86"/>
      <c r="AE139" s="86"/>
      <c r="AF139" s="86"/>
      <c r="AG139" s="55">
        <f t="shared" si="27"/>
        <v>0</v>
      </c>
      <c r="AH139" s="66">
        <f>IF(OR(Kalk3!$AA$19=2,Kalk3!$AA$19=3),1,0)</f>
        <v>1</v>
      </c>
      <c r="AI139" s="55">
        <v>50</v>
      </c>
      <c r="AK139" s="55" t="s">
        <v>22079</v>
      </c>
      <c r="AP139" s="66">
        <f>IF(AND(Kalk3!$O$21&gt;0,Kalk3!$N$21="75°"),Kalk3!$O$21,0)</f>
        <v>0</v>
      </c>
      <c r="AQ139" s="55" t="s">
        <v>22091</v>
      </c>
      <c r="AT139" s="55" t="s">
        <v>22079</v>
      </c>
      <c r="AU139" s="66">
        <f>IF(Kalk3!$AI$51=AV139,1,0)</f>
        <v>0</v>
      </c>
      <c r="AV139" s="55">
        <v>2150</v>
      </c>
      <c r="AX139" s="55" t="s">
        <v>22100</v>
      </c>
      <c r="AY139" s="66">
        <f>AP139*Kalk3!$H$37</f>
        <v>0</v>
      </c>
      <c r="AZ139" s="55" t="s">
        <v>20872</v>
      </c>
    </row>
    <row r="140" spans="2:52" ht="24.95" customHeight="1">
      <c r="B140" s="93">
        <f t="shared" si="26"/>
        <v>0</v>
      </c>
      <c r="C140" s="60">
        <f>IF(AG140=1,AW140,0)</f>
        <v>0</v>
      </c>
      <c r="D140" s="60"/>
      <c r="E140" s="60" t="str">
        <f>VLOOKUP(1600,Sprachindex!$A:$Z,Erhebungsbogen!$Y$20,FALSE)</f>
        <v>[Stk]</v>
      </c>
      <c r="F140" s="60" t="s">
        <v>21826</v>
      </c>
      <c r="G140" s="514" t="str">
        <f>VLOOKUP(2138,Sprachindex!$A:$Z,Erhebungsbogen!$Y$20,FALSE) &amp; " (" &amp; ROUNDUP(C140/1000*Preisliste!I120,2) &amp; " " &amp; VLOOKUP(1744,Sprachindex!$A:$Z,Erhebungsbogen!$Y$20,FALSE) &amp; ")"</f>
        <v>Rundprofil 50-Vario 75° Sonderlänge exkl. Dichtung, (Stangenware) (0 kg/Stk)</v>
      </c>
      <c r="H140" s="514"/>
      <c r="I140" s="514"/>
      <c r="J140" s="514"/>
      <c r="K140" s="514"/>
      <c r="L140" s="514"/>
      <c r="M140" s="514"/>
      <c r="N140" s="514"/>
      <c r="O140" s="514"/>
      <c r="P140" s="514"/>
      <c r="Q140" s="514"/>
      <c r="R140" s="514"/>
      <c r="S140" s="514"/>
      <c r="T140" s="514"/>
      <c r="U140" s="354">
        <f>VLOOKUP(F140,Preisliste!C:F,4,FALSE)</f>
        <v>0</v>
      </c>
      <c r="V140" s="352">
        <f t="shared" si="28"/>
        <v>0</v>
      </c>
      <c r="W140" s="86"/>
      <c r="X140" s="86"/>
      <c r="Y140" s="86"/>
      <c r="Z140" s="86"/>
      <c r="AA140" s="86"/>
      <c r="AB140" s="86"/>
      <c r="AC140" s="86"/>
      <c r="AD140" s="86"/>
      <c r="AE140" s="86"/>
      <c r="AF140" s="86"/>
      <c r="AG140" s="55">
        <f t="shared" si="27"/>
        <v>0</v>
      </c>
      <c r="AH140" s="66">
        <f>IF(OR(Kalk3!$AA$19=2,Kalk3!$AA$19=3),1,0)</f>
        <v>1</v>
      </c>
      <c r="AI140" s="55">
        <v>50</v>
      </c>
      <c r="AK140" s="55" t="s">
        <v>22079</v>
      </c>
      <c r="AP140" s="66">
        <f>IF(AND(Kalk3!$O$21&gt;0,Kalk3!$N$21="75°"),Kalk3!$O$21,0)</f>
        <v>0</v>
      </c>
      <c r="AQ140" s="55" t="s">
        <v>22091</v>
      </c>
      <c r="AT140" s="55" t="s">
        <v>22079</v>
      </c>
      <c r="AU140" s="66">
        <f>IF(Kalk3!$AH$52&gt;AV140,1,0)</f>
        <v>0</v>
      </c>
      <c r="AV140" s="55">
        <v>2150</v>
      </c>
      <c r="AW140" s="66">
        <f>Kalk3!$AH$52</f>
        <v>0</v>
      </c>
      <c r="AX140" s="55" t="s">
        <v>22100</v>
      </c>
      <c r="AY140" s="66">
        <f>AP140*Kalk3!$H$37</f>
        <v>0</v>
      </c>
      <c r="AZ140" s="55" t="s">
        <v>20872</v>
      </c>
    </row>
    <row r="141" spans="2:52" ht="24.95" customHeight="1">
      <c r="B141" s="93">
        <f t="shared" si="26"/>
        <v>0</v>
      </c>
      <c r="C141" s="60">
        <v>750</v>
      </c>
      <c r="D141" s="60"/>
      <c r="E141" s="60" t="str">
        <f>VLOOKUP(1600,Sprachindex!$A:$Z,Erhebungsbogen!$Y$20,FALSE)</f>
        <v>[Stk]</v>
      </c>
      <c r="F141" s="60" t="s">
        <v>21930</v>
      </c>
      <c r="G141" s="514" t="str">
        <f>VLOOKUP(2139,Sprachindex!$A:$Z,Erhebungsbogen!$Y$20,FALSE) &amp; " ( " &amp;Preisliste!H121 &amp; " " &amp; VLOOKUP(1744,Sprachindex!$A:$Z,Erhebungsbogen!$Y$20,FALSE) &amp; ")"</f>
        <v>Rundprofil 80-Vario 15° exkl. Dichtung, gebohrt und entgratet ( 14,244 kg/Stk)</v>
      </c>
      <c r="H141" s="514"/>
      <c r="I141" s="514"/>
      <c r="J141" s="514"/>
      <c r="K141" s="514"/>
      <c r="L141" s="514"/>
      <c r="M141" s="514"/>
      <c r="N141" s="514"/>
      <c r="O141" s="514"/>
      <c r="P141" s="514"/>
      <c r="Q141" s="514"/>
      <c r="R141" s="514"/>
      <c r="S141" s="514"/>
      <c r="T141" s="514"/>
      <c r="U141" s="352">
        <f>VLOOKUP(F141,Preisliste!C:F,4,FALSE)</f>
        <v>628.54999999999995</v>
      </c>
      <c r="V141" s="352">
        <f t="shared" si="28"/>
        <v>0</v>
      </c>
      <c r="W141" s="86"/>
      <c r="X141" s="86"/>
      <c r="Y141" s="86"/>
      <c r="Z141" s="86"/>
      <c r="AA141" s="86"/>
      <c r="AB141" s="86"/>
      <c r="AC141" s="86"/>
      <c r="AD141" s="86"/>
      <c r="AE141" s="86"/>
      <c r="AF141" s="86"/>
      <c r="AG141" s="55">
        <f t="shared" si="27"/>
        <v>0</v>
      </c>
      <c r="AH141" s="66">
        <f>IF(Kalk3!$AA$19=4,1,0)</f>
        <v>0</v>
      </c>
      <c r="AI141" s="55">
        <v>80</v>
      </c>
      <c r="AK141" s="55" t="s">
        <v>22079</v>
      </c>
      <c r="AP141" s="66">
        <f>IF(AND(Kalk3!$O$21&gt;0,Kalk3!$N$21="15°"),Kalk3!$O$21,0)</f>
        <v>0</v>
      </c>
      <c r="AQ141" s="55" t="s">
        <v>22087</v>
      </c>
      <c r="AT141" s="55" t="s">
        <v>22079</v>
      </c>
      <c r="AU141" s="66">
        <f>IF(Kalk3!$AI$51=$AV$91,1,0)</f>
        <v>1</v>
      </c>
      <c r="AV141" s="55">
        <v>750</v>
      </c>
      <c r="AX141" s="55" t="s">
        <v>22100</v>
      </c>
      <c r="AY141" s="66">
        <f>AP141*Kalk3!$H$37</f>
        <v>0</v>
      </c>
      <c r="AZ141" s="55" t="s">
        <v>20872</v>
      </c>
    </row>
    <row r="142" spans="2:52" ht="24.95" customHeight="1">
      <c r="B142" s="93">
        <f t="shared" si="26"/>
        <v>0</v>
      </c>
      <c r="C142" s="60">
        <v>1350</v>
      </c>
      <c r="D142" s="60"/>
      <c r="E142" s="60" t="str">
        <f>VLOOKUP(1600,Sprachindex!$A:$Z,Erhebungsbogen!$Y$20,FALSE)</f>
        <v>[Stk]</v>
      </c>
      <c r="F142" s="60" t="s">
        <v>21931</v>
      </c>
      <c r="G142" s="514" t="str">
        <f>VLOOKUP(2139,Sprachindex!$A:$Z,Erhebungsbogen!$Y$20,FALSE) &amp; " ( " &amp;Preisliste!H122 &amp; " " &amp; VLOOKUP(1744,Sprachindex!$A:$Z,Erhebungsbogen!$Y$20,FALSE) &amp; ")"</f>
        <v>Rundprofil 80-Vario 15° exkl. Dichtung, gebohrt und entgratet ( 25,639 kg/Stk)</v>
      </c>
      <c r="H142" s="514"/>
      <c r="I142" s="514"/>
      <c r="J142" s="514"/>
      <c r="K142" s="514"/>
      <c r="L142" s="514"/>
      <c r="M142" s="514"/>
      <c r="N142" s="514"/>
      <c r="O142" s="514"/>
      <c r="P142" s="514"/>
      <c r="Q142" s="514"/>
      <c r="R142" s="514"/>
      <c r="S142" s="514"/>
      <c r="T142" s="514"/>
      <c r="U142" s="352">
        <f>VLOOKUP(F142,Preisliste!C:F,4,FALSE)</f>
        <v>814.15</v>
      </c>
      <c r="V142" s="352">
        <f t="shared" si="28"/>
        <v>0</v>
      </c>
      <c r="W142" s="86"/>
      <c r="X142" s="86"/>
      <c r="Y142" s="86"/>
      <c r="Z142" s="86"/>
      <c r="AA142" s="86"/>
      <c r="AB142" s="86"/>
      <c r="AC142" s="86"/>
      <c r="AD142" s="86"/>
      <c r="AE142" s="86"/>
      <c r="AF142" s="86"/>
      <c r="AG142" s="55">
        <f t="shared" si="27"/>
        <v>0</v>
      </c>
      <c r="AH142" s="66">
        <f>IF(Kalk3!$AA$19=4,1,0)</f>
        <v>0</v>
      </c>
      <c r="AI142" s="55">
        <v>80</v>
      </c>
      <c r="AK142" s="55" t="s">
        <v>22079</v>
      </c>
      <c r="AP142" s="66">
        <f>IF(AND(Kalk3!$O$21&gt;0,Kalk3!$N$21="15°"),Kalk3!$O$21,0)</f>
        <v>0</v>
      </c>
      <c r="AQ142" s="55" t="s">
        <v>22087</v>
      </c>
      <c r="AT142" s="55" t="s">
        <v>22079</v>
      </c>
      <c r="AU142" s="66">
        <f>IF(Kalk3!$AI$51=AV142,1,0)</f>
        <v>0</v>
      </c>
      <c r="AV142" s="55">
        <v>1350</v>
      </c>
      <c r="AX142" s="55" t="s">
        <v>22100</v>
      </c>
      <c r="AY142" s="66">
        <f>AP142*Kalk3!$H$37</f>
        <v>0</v>
      </c>
      <c r="AZ142" s="55" t="s">
        <v>20872</v>
      </c>
    </row>
    <row r="143" spans="2:52" ht="24.95" customHeight="1">
      <c r="B143" s="93">
        <f t="shared" si="26"/>
        <v>0</v>
      </c>
      <c r="C143" s="60">
        <v>1750</v>
      </c>
      <c r="D143" s="60"/>
      <c r="E143" s="60" t="str">
        <f>VLOOKUP(1600,Sprachindex!$A:$Z,Erhebungsbogen!$Y$20,FALSE)</f>
        <v>[Stk]</v>
      </c>
      <c r="F143" s="60" t="s">
        <v>21932</v>
      </c>
      <c r="G143" s="514" t="str">
        <f>VLOOKUP(2139,Sprachindex!$A:$Z,Erhebungsbogen!$Y$20,FALSE) &amp; " ( " &amp;Preisliste!H123 &amp; " " &amp; VLOOKUP(1744,Sprachindex!$A:$Z,Erhebungsbogen!$Y$20,FALSE) &amp; ")"</f>
        <v>Rundprofil 80-Vario 15° exkl. Dichtung, gebohrt und entgratet ( 33,236 kg/Stk)</v>
      </c>
      <c r="H143" s="514"/>
      <c r="I143" s="514"/>
      <c r="J143" s="514"/>
      <c r="K143" s="514"/>
      <c r="L143" s="514"/>
      <c r="M143" s="514"/>
      <c r="N143" s="514"/>
      <c r="O143" s="514"/>
      <c r="P143" s="514"/>
      <c r="Q143" s="514"/>
      <c r="R143" s="514"/>
      <c r="S143" s="514"/>
      <c r="T143" s="514"/>
      <c r="U143" s="352">
        <f>VLOOKUP(F143,Preisliste!C:F,4,FALSE)</f>
        <v>937.8</v>
      </c>
      <c r="V143" s="352">
        <f t="shared" si="28"/>
        <v>0</v>
      </c>
      <c r="W143" s="86"/>
      <c r="X143" s="86"/>
      <c r="Y143" s="86"/>
      <c r="Z143" s="86"/>
      <c r="AA143" s="86"/>
      <c r="AB143" s="86"/>
      <c r="AC143" s="86"/>
      <c r="AD143" s="86"/>
      <c r="AE143" s="86"/>
      <c r="AF143" s="86"/>
      <c r="AG143" s="55">
        <f t="shared" si="27"/>
        <v>0</v>
      </c>
      <c r="AH143" s="66">
        <f>IF(Kalk3!$AA$19=4,1,0)</f>
        <v>0</v>
      </c>
      <c r="AI143" s="55">
        <v>80</v>
      </c>
      <c r="AK143" s="55" t="s">
        <v>22079</v>
      </c>
      <c r="AP143" s="66">
        <f>IF(AND(Kalk3!$O$21&gt;0,Kalk3!$N$21="15°"),Kalk3!$O$21,0)</f>
        <v>0</v>
      </c>
      <c r="AQ143" s="55" t="s">
        <v>22087</v>
      </c>
      <c r="AT143" s="55" t="s">
        <v>22079</v>
      </c>
      <c r="AU143" s="66">
        <f>IF(Kalk3!$AI$51=AV143,1,0)</f>
        <v>0</v>
      </c>
      <c r="AV143" s="55">
        <v>1750</v>
      </c>
      <c r="AX143" s="55" t="s">
        <v>22100</v>
      </c>
      <c r="AY143" s="66">
        <f>AP143*Kalk3!$H$37</f>
        <v>0</v>
      </c>
      <c r="AZ143" s="55" t="s">
        <v>20872</v>
      </c>
    </row>
    <row r="144" spans="2:52" ht="24.95" customHeight="1">
      <c r="B144" s="93">
        <f t="shared" si="26"/>
        <v>0</v>
      </c>
      <c r="C144" s="60">
        <v>2150</v>
      </c>
      <c r="D144" s="60"/>
      <c r="E144" s="60" t="str">
        <f>VLOOKUP(1600,Sprachindex!$A:$Z,Erhebungsbogen!$Y$20,FALSE)</f>
        <v>[Stk]</v>
      </c>
      <c r="F144" s="60" t="s">
        <v>21933</v>
      </c>
      <c r="G144" s="514" t="str">
        <f>VLOOKUP(2139,Sprachindex!$A:$Z,Erhebungsbogen!$Y$20,FALSE) &amp; " ( " &amp;Preisliste!H124 &amp; " " &amp; VLOOKUP(1744,Sprachindex!$A:$Z,Erhebungsbogen!$Y$20,FALSE) &amp; ")"</f>
        <v>Rundprofil 80-Vario 15° exkl. Dichtung, gebohrt und entgratet ( 40,833 kg/Stk)</v>
      </c>
      <c r="H144" s="514"/>
      <c r="I144" s="514"/>
      <c r="J144" s="514"/>
      <c r="K144" s="514"/>
      <c r="L144" s="514"/>
      <c r="M144" s="514"/>
      <c r="N144" s="514"/>
      <c r="O144" s="514"/>
      <c r="P144" s="514"/>
      <c r="Q144" s="514"/>
      <c r="R144" s="514"/>
      <c r="S144" s="514"/>
      <c r="T144" s="514"/>
      <c r="U144" s="352">
        <f>VLOOKUP(F144,Preisliste!C:F,4,FALSE)</f>
        <v>1061.5</v>
      </c>
      <c r="V144" s="352">
        <f t="shared" si="28"/>
        <v>0</v>
      </c>
      <c r="W144" s="86"/>
      <c r="X144" s="86"/>
      <c r="Y144" s="86"/>
      <c r="Z144" s="86"/>
      <c r="AA144" s="86"/>
      <c r="AB144" s="86"/>
      <c r="AC144" s="86"/>
      <c r="AD144" s="86"/>
      <c r="AE144" s="86"/>
      <c r="AF144" s="86"/>
      <c r="AG144" s="55">
        <f t="shared" si="27"/>
        <v>0</v>
      </c>
      <c r="AH144" s="66">
        <f>IF(Kalk3!$AA$19=4,1,0)</f>
        <v>0</v>
      </c>
      <c r="AI144" s="55">
        <v>80</v>
      </c>
      <c r="AK144" s="55" t="s">
        <v>22079</v>
      </c>
      <c r="AP144" s="66">
        <f>IF(AND(Kalk3!$O$21&gt;0,Kalk3!$N$21="15°"),Kalk3!$O$21,0)</f>
        <v>0</v>
      </c>
      <c r="AQ144" s="55" t="s">
        <v>22087</v>
      </c>
      <c r="AT144" s="55" t="s">
        <v>22079</v>
      </c>
      <c r="AU144" s="66">
        <f>IF(Kalk3!$AI$51=AV144,1,0)</f>
        <v>0</v>
      </c>
      <c r="AV144" s="55">
        <v>2150</v>
      </c>
      <c r="AX144" s="55" t="s">
        <v>22100</v>
      </c>
      <c r="AY144" s="66">
        <f>AP144*Kalk3!$H$37</f>
        <v>0</v>
      </c>
      <c r="AZ144" s="55" t="s">
        <v>20872</v>
      </c>
    </row>
    <row r="145" spans="2:55" ht="24.95" customHeight="1">
      <c r="B145" s="93">
        <f t="shared" si="26"/>
        <v>0</v>
      </c>
      <c r="C145" s="60">
        <f>IF(AG145=1,AW145,0)</f>
        <v>0</v>
      </c>
      <c r="D145" s="60"/>
      <c r="E145" s="60" t="str">
        <f>VLOOKUP(1600,Sprachindex!$A:$Z,Erhebungsbogen!$Y$20,FALSE)</f>
        <v>[Stk]</v>
      </c>
      <c r="F145" s="60" t="s">
        <v>21826</v>
      </c>
      <c r="G145" s="514" t="str">
        <f>VLOOKUP(2140,Sprachindex!$A:$Z,Erhebungsbogen!$Y$20,FALSE) &amp; " (" &amp; ROUNDUP(C145/1000*Preisliste!I125,2) &amp; " " &amp; VLOOKUP(1744,Sprachindex!$A:$Z,Erhebungsbogen!$Y$20,FALSE) &amp; ")"</f>
        <v>Rundprofil 80-Vario 15° Sonderlänge exkl. Dichtung, (Stangenware) (0 kg/Stk)</v>
      </c>
      <c r="H145" s="514"/>
      <c r="I145" s="514"/>
      <c r="J145" s="514"/>
      <c r="K145" s="514"/>
      <c r="L145" s="514"/>
      <c r="M145" s="514"/>
      <c r="N145" s="514"/>
      <c r="O145" s="514"/>
      <c r="P145" s="514"/>
      <c r="Q145" s="514"/>
      <c r="R145" s="514"/>
      <c r="S145" s="514"/>
      <c r="T145" s="514"/>
      <c r="U145" s="354">
        <f>VLOOKUP(F145,Preisliste!C:F,4,FALSE)</f>
        <v>0</v>
      </c>
      <c r="V145" s="352">
        <f t="shared" si="28"/>
        <v>0</v>
      </c>
      <c r="W145" s="86"/>
      <c r="X145" s="86"/>
      <c r="Y145" s="86"/>
      <c r="Z145" s="86"/>
      <c r="AA145" s="86"/>
      <c r="AB145" s="86"/>
      <c r="AC145" s="86"/>
      <c r="AD145" s="86"/>
      <c r="AE145" s="86"/>
      <c r="AF145" s="86"/>
      <c r="AG145" s="55">
        <f t="shared" si="27"/>
        <v>0</v>
      </c>
      <c r="AH145" s="66">
        <f>IF(Kalk3!$AA$19=4,1,0)</f>
        <v>0</v>
      </c>
      <c r="AI145" s="55">
        <v>80</v>
      </c>
      <c r="AK145" s="55" t="s">
        <v>22079</v>
      </c>
      <c r="AP145" s="66">
        <f>IF(AND(Kalk3!$O$21&gt;0,Kalk3!$N$21="15°"),Kalk3!$O$21,0)</f>
        <v>0</v>
      </c>
      <c r="AQ145" s="55" t="s">
        <v>22087</v>
      </c>
      <c r="AT145" s="55" t="s">
        <v>22079</v>
      </c>
      <c r="AU145" s="66">
        <f>IF(Kalk3!$AH$52&gt;AV145,1,0)</f>
        <v>0</v>
      </c>
      <c r="AV145" s="55">
        <v>2150</v>
      </c>
      <c r="AW145" s="66">
        <f>Kalk3!$AH$52</f>
        <v>0</v>
      </c>
      <c r="AX145" s="55" t="s">
        <v>22100</v>
      </c>
      <c r="AY145" s="66">
        <f>AP145*Kalk3!$H$37</f>
        <v>0</v>
      </c>
      <c r="AZ145" s="55" t="s">
        <v>20872</v>
      </c>
    </row>
    <row r="146" spans="2:55" ht="24.95" customHeight="1">
      <c r="B146" s="93">
        <f t="shared" si="26"/>
        <v>0</v>
      </c>
      <c r="C146" s="60">
        <v>750</v>
      </c>
      <c r="D146" s="60"/>
      <c r="E146" s="60" t="str">
        <f>VLOOKUP(1600,Sprachindex!$A:$Z,Erhebungsbogen!$Y$20,FALSE)</f>
        <v>[Stk]</v>
      </c>
      <c r="F146" s="60" t="s">
        <v>21989</v>
      </c>
      <c r="G146" s="514" t="str">
        <f>VLOOKUP(2141,Sprachindex!$A:$Z,Erhebungsbogen!$Y$20,FALSE) &amp; " ( " &amp;Preisliste!H126 &amp; " " &amp; VLOOKUP(1744,Sprachindex!$A:$Z,Erhebungsbogen!$Y$20,FALSE) &amp; ")"</f>
        <v>Rundprofil 80-Vario 30° exkl. Dichtung, gebohrt und entgratet ( 15,167 kg/Stk)</v>
      </c>
      <c r="H146" s="514"/>
      <c r="I146" s="514"/>
      <c r="J146" s="514"/>
      <c r="K146" s="514"/>
      <c r="L146" s="514"/>
      <c r="M146" s="514"/>
      <c r="N146" s="514"/>
      <c r="O146" s="514"/>
      <c r="P146" s="514"/>
      <c r="Q146" s="514"/>
      <c r="R146" s="514"/>
      <c r="S146" s="514"/>
      <c r="T146" s="514"/>
      <c r="U146" s="352">
        <f>VLOOKUP(F146,Preisliste!C:F,4,FALSE)</f>
        <v>628.54999999999995</v>
      </c>
      <c r="V146" s="352">
        <f t="shared" si="28"/>
        <v>0</v>
      </c>
      <c r="W146" s="86"/>
      <c r="X146" s="86"/>
      <c r="Y146" s="86"/>
      <c r="Z146" s="86"/>
      <c r="AA146" s="86"/>
      <c r="AB146" s="86"/>
      <c r="AC146" s="86"/>
      <c r="AD146" s="86"/>
      <c r="AE146" s="86"/>
      <c r="AF146" s="86"/>
      <c r="AG146" s="55">
        <f t="shared" si="27"/>
        <v>0</v>
      </c>
      <c r="AH146" s="66">
        <f>IF(Kalk3!$AA$19=4,1,0)</f>
        <v>0</v>
      </c>
      <c r="AI146" s="55">
        <v>80</v>
      </c>
      <c r="AK146" s="55" t="s">
        <v>22079</v>
      </c>
      <c r="AP146" s="66">
        <f>IF(AND(Kalk3!$O$21&gt;0,Kalk3!$N$21="30°"),Kalk3!$O$21,0)</f>
        <v>0</v>
      </c>
      <c r="AQ146" s="55" t="s">
        <v>22088</v>
      </c>
      <c r="AT146" s="55" t="s">
        <v>22079</v>
      </c>
      <c r="AU146" s="66">
        <f>IF(Kalk3!$AI$51=$AV$91,1,0)</f>
        <v>1</v>
      </c>
      <c r="AV146" s="55">
        <v>750</v>
      </c>
      <c r="AX146" s="55" t="s">
        <v>22100</v>
      </c>
      <c r="AY146" s="66">
        <f>AP146*Kalk3!$H$37</f>
        <v>0</v>
      </c>
      <c r="AZ146" s="55" t="s">
        <v>20872</v>
      </c>
    </row>
    <row r="147" spans="2:55" ht="24.95" customHeight="1">
      <c r="B147" s="93">
        <f t="shared" si="26"/>
        <v>0</v>
      </c>
      <c r="C147" s="60">
        <v>1350</v>
      </c>
      <c r="D147" s="60"/>
      <c r="E147" s="60" t="str">
        <f>VLOOKUP(1600,Sprachindex!$A:$Z,Erhebungsbogen!$Y$20,FALSE)</f>
        <v>[Stk]</v>
      </c>
      <c r="F147" s="60" t="s">
        <v>21990</v>
      </c>
      <c r="G147" s="514" t="str">
        <f>VLOOKUP(2141,Sprachindex!$A:$Z,Erhebungsbogen!$Y$20,FALSE) &amp; " ( " &amp;Preisliste!H127 &amp; " " &amp; VLOOKUP(1744,Sprachindex!$A:$Z,Erhebungsbogen!$Y$20,FALSE) &amp; ")"</f>
        <v>Rundprofil 80-Vario 30° exkl. Dichtung, gebohrt und entgratet ( 27,301 kg/Stk)</v>
      </c>
      <c r="H147" s="514"/>
      <c r="I147" s="514"/>
      <c r="J147" s="514"/>
      <c r="K147" s="514"/>
      <c r="L147" s="514"/>
      <c r="M147" s="514"/>
      <c r="N147" s="514"/>
      <c r="O147" s="514"/>
      <c r="P147" s="514"/>
      <c r="Q147" s="514"/>
      <c r="R147" s="514"/>
      <c r="S147" s="514"/>
      <c r="T147" s="514"/>
      <c r="U147" s="352">
        <f>VLOOKUP(F147,Preisliste!C:F,4,FALSE)</f>
        <v>814.15</v>
      </c>
      <c r="V147" s="352">
        <f t="shared" si="28"/>
        <v>0</v>
      </c>
      <c r="W147" s="86"/>
      <c r="X147" s="86"/>
      <c r="Y147" s="86"/>
      <c r="Z147" s="86"/>
      <c r="AA147" s="86"/>
      <c r="AB147" s="86"/>
      <c r="AC147" s="86"/>
      <c r="AD147" s="86"/>
      <c r="AE147" s="86"/>
      <c r="AF147" s="86"/>
      <c r="AG147" s="55">
        <f t="shared" si="27"/>
        <v>0</v>
      </c>
      <c r="AH147" s="66">
        <f>IF(Kalk3!$AA$19=4,1,0)</f>
        <v>0</v>
      </c>
      <c r="AI147" s="55">
        <v>80</v>
      </c>
      <c r="AK147" s="55" t="s">
        <v>22079</v>
      </c>
      <c r="AP147" s="66">
        <f>IF(AND(Kalk3!$O$21&gt;0,Kalk3!$N$21="30°"),Kalk3!$O$21,0)</f>
        <v>0</v>
      </c>
      <c r="AQ147" s="55" t="s">
        <v>22088</v>
      </c>
      <c r="AT147" s="55" t="s">
        <v>22079</v>
      </c>
      <c r="AU147" s="66">
        <f>IF(Kalk3!$AI$51=AV147,1,0)</f>
        <v>0</v>
      </c>
      <c r="AV147" s="55">
        <v>1350</v>
      </c>
      <c r="AX147" s="55" t="s">
        <v>22100</v>
      </c>
      <c r="AY147" s="66">
        <f>AP147*Kalk3!$H$37</f>
        <v>0</v>
      </c>
      <c r="AZ147" s="55" t="s">
        <v>20872</v>
      </c>
    </row>
    <row r="148" spans="2:55" ht="24.95" customHeight="1">
      <c r="B148" s="93">
        <f t="shared" si="26"/>
        <v>0</v>
      </c>
      <c r="C148" s="60">
        <v>1750</v>
      </c>
      <c r="D148" s="60"/>
      <c r="E148" s="60" t="str">
        <f>VLOOKUP(1600,Sprachindex!$A:$Z,Erhebungsbogen!$Y$20,FALSE)</f>
        <v>[Stk]</v>
      </c>
      <c r="F148" s="60" t="s">
        <v>21991</v>
      </c>
      <c r="G148" s="514" t="str">
        <f>VLOOKUP(2141,Sprachindex!$A:$Z,Erhebungsbogen!$Y$20,FALSE) &amp; " ( " &amp;Preisliste!H128 &amp; " " &amp; VLOOKUP(1744,Sprachindex!$A:$Z,Erhebungsbogen!$Y$20,FALSE) &amp; ")"</f>
        <v>Rundprofil 80-Vario 30° exkl. Dichtung, gebohrt und entgratet ( 35,39 kg/Stk)</v>
      </c>
      <c r="H148" s="514"/>
      <c r="I148" s="514"/>
      <c r="J148" s="514"/>
      <c r="K148" s="514"/>
      <c r="L148" s="514"/>
      <c r="M148" s="514"/>
      <c r="N148" s="514"/>
      <c r="O148" s="514"/>
      <c r="P148" s="514"/>
      <c r="Q148" s="514"/>
      <c r="R148" s="514"/>
      <c r="S148" s="514"/>
      <c r="T148" s="514"/>
      <c r="U148" s="352">
        <f>VLOOKUP(F148,Preisliste!C:F,4,FALSE)</f>
        <v>937.8</v>
      </c>
      <c r="V148" s="352">
        <f t="shared" si="28"/>
        <v>0</v>
      </c>
      <c r="W148" s="86"/>
      <c r="X148" s="86"/>
      <c r="Y148" s="86"/>
      <c r="Z148" s="86"/>
      <c r="AA148" s="86"/>
      <c r="AB148" s="86"/>
      <c r="AC148" s="86"/>
      <c r="AD148" s="86"/>
      <c r="AE148" s="86"/>
      <c r="AF148" s="86"/>
      <c r="AG148" s="55">
        <f t="shared" si="27"/>
        <v>0</v>
      </c>
      <c r="AH148" s="66">
        <f>IF(Kalk3!$AA$19=4,1,0)</f>
        <v>0</v>
      </c>
      <c r="AI148" s="55">
        <v>80</v>
      </c>
      <c r="AK148" s="55" t="s">
        <v>22079</v>
      </c>
      <c r="AP148" s="66">
        <f>IF(AND(Kalk3!$O$21&gt;0,Kalk3!$N$21="30°"),Kalk3!$O$21,0)</f>
        <v>0</v>
      </c>
      <c r="AQ148" s="55" t="s">
        <v>22088</v>
      </c>
      <c r="AT148" s="55" t="s">
        <v>22079</v>
      </c>
      <c r="AU148" s="66">
        <f>IF(Kalk3!$AI$51=AV148,1,0)</f>
        <v>0</v>
      </c>
      <c r="AV148" s="55">
        <v>1750</v>
      </c>
      <c r="AX148" s="55" t="s">
        <v>22100</v>
      </c>
      <c r="AY148" s="66">
        <f>AP148*Kalk3!$H$37</f>
        <v>0</v>
      </c>
      <c r="AZ148" s="55" t="s">
        <v>20872</v>
      </c>
    </row>
    <row r="149" spans="2:55" ht="24.95" customHeight="1">
      <c r="B149" s="93">
        <f t="shared" si="26"/>
        <v>0</v>
      </c>
      <c r="C149" s="60">
        <v>2150</v>
      </c>
      <c r="D149" s="60"/>
      <c r="E149" s="60" t="str">
        <f>VLOOKUP(1600,Sprachindex!$A:$Z,Erhebungsbogen!$Y$20,FALSE)</f>
        <v>[Stk]</v>
      </c>
      <c r="F149" s="60" t="s">
        <v>21992</v>
      </c>
      <c r="G149" s="514" t="str">
        <f>VLOOKUP(2141,Sprachindex!$A:$Z,Erhebungsbogen!$Y$20,FALSE) &amp; " ( " &amp;Preisliste!H129 &amp; " " &amp; VLOOKUP(1744,Sprachindex!$A:$Z,Erhebungsbogen!$Y$20,FALSE) &amp; ")"</f>
        <v>Rundprofil 80-Vario 30° exkl. Dichtung, gebohrt und entgratet ( 43,479 kg/Stk)</v>
      </c>
      <c r="H149" s="514"/>
      <c r="I149" s="514"/>
      <c r="J149" s="514"/>
      <c r="K149" s="514"/>
      <c r="L149" s="514"/>
      <c r="M149" s="514"/>
      <c r="N149" s="514"/>
      <c r="O149" s="514"/>
      <c r="P149" s="514"/>
      <c r="Q149" s="514"/>
      <c r="R149" s="514"/>
      <c r="S149" s="514"/>
      <c r="T149" s="514"/>
      <c r="U149" s="352">
        <f>VLOOKUP(F149,Preisliste!C:F,4,FALSE)</f>
        <v>1061.5</v>
      </c>
      <c r="V149" s="352">
        <f t="shared" si="28"/>
        <v>0</v>
      </c>
      <c r="W149" s="86"/>
      <c r="X149" s="86"/>
      <c r="Y149" s="86"/>
      <c r="Z149" s="86"/>
      <c r="AA149" s="86"/>
      <c r="AB149" s="86"/>
      <c r="AC149" s="86"/>
      <c r="AD149" s="86"/>
      <c r="AE149" s="86"/>
      <c r="AF149" s="86"/>
      <c r="AG149" s="55">
        <f t="shared" si="27"/>
        <v>0</v>
      </c>
      <c r="AH149" s="66">
        <f>IF(Kalk3!$AA$19=4,1,0)</f>
        <v>0</v>
      </c>
      <c r="AI149" s="55">
        <v>80</v>
      </c>
      <c r="AK149" s="55" t="s">
        <v>22079</v>
      </c>
      <c r="AP149" s="66">
        <f>IF(AND(Kalk3!$O$21&gt;0,Kalk3!$N$21="30°"),Kalk3!$O$21,0)</f>
        <v>0</v>
      </c>
      <c r="AQ149" s="55" t="s">
        <v>22088</v>
      </c>
      <c r="AT149" s="55" t="s">
        <v>22079</v>
      </c>
      <c r="AU149" s="66">
        <f>IF(Kalk3!$AI$51=AV149,1,0)</f>
        <v>0</v>
      </c>
      <c r="AV149" s="55">
        <v>2150</v>
      </c>
      <c r="AX149" s="55" t="s">
        <v>22100</v>
      </c>
      <c r="AY149" s="66">
        <f>AP149*Kalk3!$H$37</f>
        <v>0</v>
      </c>
      <c r="AZ149" s="55" t="s">
        <v>20872</v>
      </c>
    </row>
    <row r="150" spans="2:55" ht="24.95" customHeight="1">
      <c r="B150" s="93">
        <f t="shared" si="26"/>
        <v>0</v>
      </c>
      <c r="C150" s="60">
        <f>IF(AG150=1,AW150,0)</f>
        <v>0</v>
      </c>
      <c r="D150" s="60"/>
      <c r="E150" s="60" t="str">
        <f>VLOOKUP(1600,Sprachindex!$A:$Z,Erhebungsbogen!$Y$20,FALSE)</f>
        <v>[Stk]</v>
      </c>
      <c r="F150" s="60" t="s">
        <v>21826</v>
      </c>
      <c r="G150" s="514" t="str">
        <f>VLOOKUP(2142,Sprachindex!$A:$Z,Erhebungsbogen!$Y$20,FALSE) &amp; " (" &amp; ROUNDUP(C150/1000*Preisliste!I130,2) &amp; " " &amp; VLOOKUP(1744,Sprachindex!$A:$Z,Erhebungsbogen!$Y$20,FALSE) &amp; ")"</f>
        <v>Rundprofil 80-Vario 30° Sonderlänge exkl. Dichtung, (Stangenware) (0 kg/Stk)</v>
      </c>
      <c r="H150" s="514"/>
      <c r="I150" s="514"/>
      <c r="J150" s="514"/>
      <c r="K150" s="514"/>
      <c r="L150" s="514"/>
      <c r="M150" s="514"/>
      <c r="N150" s="514"/>
      <c r="O150" s="514"/>
      <c r="P150" s="514"/>
      <c r="Q150" s="514"/>
      <c r="R150" s="514"/>
      <c r="S150" s="514"/>
      <c r="T150" s="514"/>
      <c r="U150" s="354">
        <f>VLOOKUP(F150,Preisliste!C:F,4,FALSE)</f>
        <v>0</v>
      </c>
      <c r="V150" s="352">
        <f t="shared" si="28"/>
        <v>0</v>
      </c>
      <c r="W150" s="86"/>
      <c r="X150" s="86"/>
      <c r="Y150" s="86"/>
      <c r="Z150" s="86"/>
      <c r="AA150" s="86"/>
      <c r="AB150" s="86"/>
      <c r="AC150" s="86"/>
      <c r="AD150" s="86"/>
      <c r="AE150" s="86"/>
      <c r="AF150" s="86"/>
      <c r="AG150" s="55">
        <f t="shared" si="27"/>
        <v>0</v>
      </c>
      <c r="AH150" s="66">
        <f>IF(Kalk3!$AA$19=4,1,0)</f>
        <v>0</v>
      </c>
      <c r="AI150" s="55">
        <v>80</v>
      </c>
      <c r="AK150" s="55" t="s">
        <v>22079</v>
      </c>
      <c r="AP150" s="66">
        <f>IF(AND(Kalk3!$O$21&gt;0,Kalk3!$N$21="30°"),Kalk3!$O$21,0)</f>
        <v>0</v>
      </c>
      <c r="AQ150" s="55" t="s">
        <v>22088</v>
      </c>
      <c r="AT150" s="55" t="s">
        <v>22079</v>
      </c>
      <c r="AU150" s="66">
        <f>IF(Kalk3!$AH$52&gt;AV150,1,0)</f>
        <v>0</v>
      </c>
      <c r="AV150" s="55">
        <v>2150</v>
      </c>
      <c r="AW150" s="66">
        <f>Kalk3!$AH$52</f>
        <v>0</v>
      </c>
      <c r="AX150" s="55" t="s">
        <v>22100</v>
      </c>
      <c r="AY150" s="66">
        <f>AP150*Kalk3!$H$37</f>
        <v>0</v>
      </c>
      <c r="AZ150" s="55" t="s">
        <v>20872</v>
      </c>
    </row>
    <row r="151" spans="2:55" ht="24.95" customHeight="1">
      <c r="B151" s="93">
        <f t="shared" si="26"/>
        <v>0</v>
      </c>
      <c r="C151" s="60">
        <v>750</v>
      </c>
      <c r="D151" s="60"/>
      <c r="E151" s="60" t="str">
        <f>VLOOKUP(1600,Sprachindex!$A:$Z,Erhebungsbogen!$Y$20,FALSE)</f>
        <v>[Stk]</v>
      </c>
      <c r="F151" s="60" t="s">
        <v>21993</v>
      </c>
      <c r="G151" s="514" t="str">
        <f>VLOOKUP(2143,Sprachindex!$A:$Z,Erhebungsbogen!$Y$20,FALSE) &amp; " ( " &amp;Preisliste!H131 &amp; " " &amp; VLOOKUP(1744,Sprachindex!$A:$Z,Erhebungsbogen!$Y$20,FALSE) &amp; ")"</f>
        <v>Rundprofil 80-Vario 45° exkl. Dichtung, gebohrt und entgratet ( 15,167 kg/Stk)</v>
      </c>
      <c r="H151" s="514"/>
      <c r="I151" s="514"/>
      <c r="J151" s="514"/>
      <c r="K151" s="514"/>
      <c r="L151" s="514"/>
      <c r="M151" s="514"/>
      <c r="N151" s="514"/>
      <c r="O151" s="514"/>
      <c r="P151" s="514"/>
      <c r="Q151" s="514"/>
      <c r="R151" s="514"/>
      <c r="S151" s="514"/>
      <c r="T151" s="514"/>
      <c r="U151" s="352">
        <f>VLOOKUP(F151,Preisliste!C:F,4,FALSE)</f>
        <v>628.54999999999995</v>
      </c>
      <c r="V151" s="352">
        <f t="shared" si="28"/>
        <v>0</v>
      </c>
      <c r="W151" s="86"/>
      <c r="X151" s="86"/>
      <c r="Y151" s="86"/>
      <c r="Z151" s="86"/>
      <c r="AA151" s="86"/>
      <c r="AB151" s="86"/>
      <c r="AC151" s="86"/>
      <c r="AD151" s="86"/>
      <c r="AE151" s="86"/>
      <c r="AF151" s="86"/>
      <c r="AG151" s="55">
        <f t="shared" si="27"/>
        <v>0</v>
      </c>
      <c r="AH151" s="66">
        <f>IF(Kalk3!$AA$19=4,1,0)</f>
        <v>0</v>
      </c>
      <c r="AI151" s="55">
        <v>80</v>
      </c>
      <c r="AK151" s="55" t="s">
        <v>22079</v>
      </c>
      <c r="AP151" s="66">
        <f>IF(AND(Kalk3!$O$21&gt;0,Kalk3!$N$21="45°"),Kalk3!$O$21,0)</f>
        <v>0</v>
      </c>
      <c r="AQ151" s="55" t="s">
        <v>22089</v>
      </c>
      <c r="AT151" s="55" t="s">
        <v>22079</v>
      </c>
      <c r="AU151" s="66">
        <f>IF(Kalk3!$AI$51=$AV$91,1,0)</f>
        <v>1</v>
      </c>
      <c r="AV151" s="55">
        <v>750</v>
      </c>
      <c r="AX151" s="55" t="s">
        <v>22100</v>
      </c>
      <c r="AY151" s="66">
        <f>AP151*Kalk3!$H$37</f>
        <v>0</v>
      </c>
      <c r="AZ151" s="55" t="s">
        <v>20872</v>
      </c>
    </row>
    <row r="152" spans="2:55" ht="24.95" customHeight="1">
      <c r="B152" s="93">
        <f t="shared" si="26"/>
        <v>0</v>
      </c>
      <c r="C152" s="60">
        <v>1350</v>
      </c>
      <c r="D152" s="60"/>
      <c r="E152" s="60" t="str">
        <f>VLOOKUP(1600,Sprachindex!$A:$Z,Erhebungsbogen!$Y$20,FALSE)</f>
        <v>[Stk]</v>
      </c>
      <c r="F152" s="60" t="s">
        <v>21994</v>
      </c>
      <c r="G152" s="514" t="str">
        <f>VLOOKUP(2143,Sprachindex!$A:$Z,Erhebungsbogen!$Y$20,FALSE) &amp; " ( " &amp;Preisliste!H132 &amp; " " &amp; VLOOKUP(1744,Sprachindex!$A:$Z,Erhebungsbogen!$Y$20,FALSE) &amp; ")"</f>
        <v>Rundprofil 80-Vario 45° exkl. Dichtung, gebohrt und entgratet ( 27,301 kg/Stk)</v>
      </c>
      <c r="H152" s="514"/>
      <c r="I152" s="514"/>
      <c r="J152" s="514"/>
      <c r="K152" s="514"/>
      <c r="L152" s="514"/>
      <c r="M152" s="514"/>
      <c r="N152" s="514"/>
      <c r="O152" s="514"/>
      <c r="P152" s="514"/>
      <c r="Q152" s="514"/>
      <c r="R152" s="514"/>
      <c r="S152" s="514"/>
      <c r="T152" s="514"/>
      <c r="U152" s="352">
        <f>VLOOKUP(F152,Preisliste!C:F,4,FALSE)</f>
        <v>814.15</v>
      </c>
      <c r="V152" s="352">
        <f t="shared" si="28"/>
        <v>0</v>
      </c>
      <c r="W152" s="86"/>
      <c r="X152" s="86"/>
      <c r="Y152" s="86"/>
      <c r="Z152" s="86"/>
      <c r="AA152" s="86"/>
      <c r="AB152" s="86"/>
      <c r="AC152" s="86"/>
      <c r="AD152" s="86"/>
      <c r="AE152" s="86"/>
      <c r="AF152" s="86"/>
      <c r="AG152" s="55">
        <f t="shared" si="27"/>
        <v>0</v>
      </c>
      <c r="AH152" s="66">
        <f>IF(Kalk3!$AA$19=4,1,0)</f>
        <v>0</v>
      </c>
      <c r="AI152" s="55">
        <v>80</v>
      </c>
      <c r="AK152" s="55" t="s">
        <v>22079</v>
      </c>
      <c r="AP152" s="66">
        <f>IF(AND(Kalk3!$O$21&gt;0,Kalk3!$N$21="45°"),Kalk3!$O$21,0)</f>
        <v>0</v>
      </c>
      <c r="AQ152" s="55" t="s">
        <v>22089</v>
      </c>
      <c r="AT152" s="55" t="s">
        <v>22079</v>
      </c>
      <c r="AU152" s="66">
        <f>IF(Kalk3!$AI$51=AV152,1,0)</f>
        <v>0</v>
      </c>
      <c r="AV152" s="55">
        <v>1350</v>
      </c>
      <c r="AX152" s="55" t="s">
        <v>22100</v>
      </c>
      <c r="AY152" s="66">
        <f>AP152*Kalk3!$H$37</f>
        <v>0</v>
      </c>
      <c r="AZ152" s="55" t="s">
        <v>20872</v>
      </c>
    </row>
    <row r="153" spans="2:55" ht="24.95" customHeight="1">
      <c r="B153" s="93">
        <f t="shared" si="26"/>
        <v>0</v>
      </c>
      <c r="C153" s="60">
        <v>1750</v>
      </c>
      <c r="D153" s="60"/>
      <c r="E153" s="60" t="str">
        <f>VLOOKUP(1600,Sprachindex!$A:$Z,Erhebungsbogen!$Y$20,FALSE)</f>
        <v>[Stk]</v>
      </c>
      <c r="F153" s="60" t="s">
        <v>21995</v>
      </c>
      <c r="G153" s="514" t="str">
        <f>VLOOKUP(2143,Sprachindex!$A:$Z,Erhebungsbogen!$Y$20,FALSE) &amp; " ( " &amp;Preisliste!H133 &amp; " " &amp; VLOOKUP(1744,Sprachindex!$A:$Z,Erhebungsbogen!$Y$20,FALSE) &amp; ")"</f>
        <v>Rundprofil 80-Vario 45° exkl. Dichtung, gebohrt und entgratet ( 35,39 kg/Stk)</v>
      </c>
      <c r="H153" s="514"/>
      <c r="I153" s="514"/>
      <c r="J153" s="514"/>
      <c r="K153" s="514"/>
      <c r="L153" s="514"/>
      <c r="M153" s="514"/>
      <c r="N153" s="514"/>
      <c r="O153" s="514"/>
      <c r="P153" s="514"/>
      <c r="Q153" s="514"/>
      <c r="R153" s="514"/>
      <c r="S153" s="514"/>
      <c r="T153" s="514"/>
      <c r="U153" s="352">
        <f>VLOOKUP(F153,Preisliste!C:F,4,FALSE)</f>
        <v>937.8</v>
      </c>
      <c r="V153" s="352">
        <f t="shared" si="28"/>
        <v>0</v>
      </c>
      <c r="W153" s="86"/>
      <c r="X153" s="86"/>
      <c r="Y153" s="86"/>
      <c r="Z153" s="86"/>
      <c r="AA153" s="86"/>
      <c r="AB153" s="86"/>
      <c r="AC153" s="86"/>
      <c r="AD153" s="86"/>
      <c r="AE153" s="86"/>
      <c r="AF153" s="86"/>
      <c r="AG153" s="55">
        <f t="shared" si="27"/>
        <v>0</v>
      </c>
      <c r="AH153" s="66">
        <f>IF(Kalk3!$AA$19=4,1,0)</f>
        <v>0</v>
      </c>
      <c r="AI153" s="55">
        <v>80</v>
      </c>
      <c r="AK153" s="55" t="s">
        <v>22079</v>
      </c>
      <c r="AP153" s="66">
        <f>IF(AND(Kalk3!$O$21&gt;0,Kalk3!$N$21="45°"),Kalk3!$O$21,0)</f>
        <v>0</v>
      </c>
      <c r="AQ153" s="55" t="s">
        <v>22089</v>
      </c>
      <c r="AT153" s="55" t="s">
        <v>22079</v>
      </c>
      <c r="AU153" s="66">
        <f>IF(Kalk3!$AI$51=AV153,1,0)</f>
        <v>0</v>
      </c>
      <c r="AV153" s="55">
        <v>1750</v>
      </c>
      <c r="AX153" s="55" t="s">
        <v>22100</v>
      </c>
      <c r="AY153" s="66">
        <f>AP153*Kalk3!$H$37</f>
        <v>0</v>
      </c>
      <c r="AZ153" s="55" t="s">
        <v>20872</v>
      </c>
    </row>
    <row r="154" spans="2:55" ht="24.95" customHeight="1">
      <c r="B154" s="93">
        <f t="shared" si="26"/>
        <v>0</v>
      </c>
      <c r="C154" s="60">
        <v>2150</v>
      </c>
      <c r="D154" s="60"/>
      <c r="E154" s="60" t="str">
        <f>VLOOKUP(1600,Sprachindex!$A:$Z,Erhebungsbogen!$Y$20,FALSE)</f>
        <v>[Stk]</v>
      </c>
      <c r="F154" s="60" t="s">
        <v>21996</v>
      </c>
      <c r="G154" s="514" t="str">
        <f>VLOOKUP(2143,Sprachindex!$A:$Z,Erhebungsbogen!$Y$20,FALSE) &amp; " ( " &amp;Preisliste!H134 &amp; " " &amp; VLOOKUP(1744,Sprachindex!$A:$Z,Erhebungsbogen!$Y$20,FALSE) &amp; ")"</f>
        <v>Rundprofil 80-Vario 45° exkl. Dichtung, gebohrt und entgratet ( 43,479 kg/Stk)</v>
      </c>
      <c r="H154" s="514"/>
      <c r="I154" s="514"/>
      <c r="J154" s="514"/>
      <c r="K154" s="514"/>
      <c r="L154" s="514"/>
      <c r="M154" s="514"/>
      <c r="N154" s="514"/>
      <c r="O154" s="514"/>
      <c r="P154" s="514"/>
      <c r="Q154" s="514"/>
      <c r="R154" s="514"/>
      <c r="S154" s="514"/>
      <c r="T154" s="514"/>
      <c r="U154" s="352">
        <f>VLOOKUP(F154,Preisliste!C:F,4,FALSE)</f>
        <v>1061.5</v>
      </c>
      <c r="V154" s="352">
        <f t="shared" si="28"/>
        <v>0</v>
      </c>
      <c r="W154" s="86"/>
      <c r="X154" s="86"/>
      <c r="Y154" s="86"/>
      <c r="Z154" s="86"/>
      <c r="AA154" s="86"/>
      <c r="AB154" s="86"/>
      <c r="AC154" s="86"/>
      <c r="AD154" s="86"/>
      <c r="AE154" s="86"/>
      <c r="AF154" s="86"/>
      <c r="AG154" s="55">
        <f t="shared" si="27"/>
        <v>0</v>
      </c>
      <c r="AH154" s="66">
        <f>IF(Kalk3!$AA$19=4,1,0)</f>
        <v>0</v>
      </c>
      <c r="AI154" s="55">
        <v>80</v>
      </c>
      <c r="AK154" s="55" t="s">
        <v>22079</v>
      </c>
      <c r="AP154" s="66">
        <f>IF(AND(Kalk3!$O$21&gt;0,Kalk3!$N$21="45°"),Kalk3!$O$21,0)</f>
        <v>0</v>
      </c>
      <c r="AQ154" s="55" t="s">
        <v>22089</v>
      </c>
      <c r="AT154" s="55" t="s">
        <v>22079</v>
      </c>
      <c r="AU154" s="66">
        <f>IF(Kalk3!$AI$51=AV154,1,0)</f>
        <v>0</v>
      </c>
      <c r="AV154" s="55">
        <v>2150</v>
      </c>
      <c r="AX154" s="55" t="s">
        <v>22100</v>
      </c>
      <c r="AY154" s="66">
        <f>AP154*Kalk3!$H$37</f>
        <v>0</v>
      </c>
      <c r="AZ154" s="55" t="s">
        <v>20872</v>
      </c>
    </row>
    <row r="155" spans="2:55" ht="24.95" customHeight="1">
      <c r="B155" s="93">
        <f t="shared" si="26"/>
        <v>0</v>
      </c>
      <c r="C155" s="60">
        <f>IF(AG155=1,AW155,0)</f>
        <v>0</v>
      </c>
      <c r="D155" s="60"/>
      <c r="E155" s="60" t="str">
        <f>VLOOKUP(1600,Sprachindex!$A:$Z,Erhebungsbogen!$Y$20,FALSE)</f>
        <v>[Stk]</v>
      </c>
      <c r="F155" s="60" t="s">
        <v>21826</v>
      </c>
      <c r="G155" s="514" t="str">
        <f>VLOOKUP(2144,Sprachindex!$A:$Z,Erhebungsbogen!$Y$20,FALSE) &amp; " (" &amp; ROUNDUP(C155/1000*Preisliste!I135,2) &amp; " " &amp; VLOOKUP(1744,Sprachindex!$A:$Z,Erhebungsbogen!$Y$20,FALSE) &amp; ")"</f>
        <v>Rundprofil 80-Vario 45° Sonderlänge exkl. Dichtung, (Stangenware) (0 kg/Stk)</v>
      </c>
      <c r="H155" s="514"/>
      <c r="I155" s="514"/>
      <c r="J155" s="514"/>
      <c r="K155" s="514"/>
      <c r="L155" s="514"/>
      <c r="M155" s="514"/>
      <c r="N155" s="514"/>
      <c r="O155" s="514"/>
      <c r="P155" s="514"/>
      <c r="Q155" s="514"/>
      <c r="R155" s="514"/>
      <c r="S155" s="514"/>
      <c r="T155" s="514"/>
      <c r="U155" s="354">
        <f>VLOOKUP(F155,Preisliste!C:F,4,FALSE)</f>
        <v>0</v>
      </c>
      <c r="V155" s="352">
        <f t="shared" si="28"/>
        <v>0</v>
      </c>
      <c r="W155" s="86"/>
      <c r="X155" s="86"/>
      <c r="Y155" s="86"/>
      <c r="Z155" s="86"/>
      <c r="AA155" s="86"/>
      <c r="AB155" s="86"/>
      <c r="AC155" s="86"/>
      <c r="AD155" s="86"/>
      <c r="AE155" s="86"/>
      <c r="AF155" s="86"/>
      <c r="AG155" s="55">
        <f t="shared" si="27"/>
        <v>0</v>
      </c>
      <c r="AH155" s="66">
        <f>IF(Kalk3!$AA$19=4,1,0)</f>
        <v>0</v>
      </c>
      <c r="AI155" s="55">
        <v>80</v>
      </c>
      <c r="AK155" s="55" t="s">
        <v>22079</v>
      </c>
      <c r="AP155" s="66">
        <f>IF(AND(Kalk3!$O$21&gt;0,Kalk3!$N$21="45°"),Kalk3!$O$21,0)</f>
        <v>0</v>
      </c>
      <c r="AQ155" s="55" t="s">
        <v>22089</v>
      </c>
      <c r="AT155" s="55" t="s">
        <v>22079</v>
      </c>
      <c r="AU155" s="66">
        <f>IF(Kalk3!$AH$52&gt;AV155,1,0)</f>
        <v>0</v>
      </c>
      <c r="AV155" s="55">
        <v>2150</v>
      </c>
      <c r="AW155" s="66">
        <f>Kalk3!$AH$52</f>
        <v>0</v>
      </c>
      <c r="AX155" s="55" t="s">
        <v>22100</v>
      </c>
      <c r="AY155" s="66">
        <f>AP155*Kalk3!$H$37</f>
        <v>0</v>
      </c>
      <c r="AZ155" s="55" t="s">
        <v>20872</v>
      </c>
    </row>
    <row r="156" spans="2:55" ht="24.95" customHeight="1">
      <c r="B156" s="93">
        <f t="shared" si="26"/>
        <v>0</v>
      </c>
      <c r="C156" s="60">
        <v>750</v>
      </c>
      <c r="D156" s="60"/>
      <c r="E156" s="60" t="str">
        <f>VLOOKUP(1600,Sprachindex!$A:$Z,Erhebungsbogen!$Y$20,FALSE)</f>
        <v>[Stk]</v>
      </c>
      <c r="F156" s="60" t="s">
        <v>21997</v>
      </c>
      <c r="G156" s="517" t="str">
        <f>VLOOKUP(2145,Sprachindex!$A:$Z,Erhebungsbogen!$Y$20,FALSE) &amp; " ( " &amp;Preisliste!H136 &amp; " " &amp; VLOOKUP(1744,Sprachindex!$A:$Z,Erhebungsbogen!$Y$20,FALSE) &amp; ")"</f>
        <v>Rundprofil 80-Vario 60° exkl. Dichtung, gebohrt und entgratet ( 14,244 kg/Stk)</v>
      </c>
      <c r="H156" s="515"/>
      <c r="I156" s="515"/>
      <c r="J156" s="515"/>
      <c r="K156" s="515"/>
      <c r="L156" s="515"/>
      <c r="M156" s="515"/>
      <c r="N156" s="515"/>
      <c r="O156" s="515"/>
      <c r="P156" s="515"/>
      <c r="Q156" s="515"/>
      <c r="R156" s="515"/>
      <c r="S156" s="515"/>
      <c r="T156" s="516"/>
      <c r="U156" s="352">
        <f>VLOOKUP(F156,Preisliste!C:F,4,FALSE)</f>
        <v>628.54999999999995</v>
      </c>
      <c r="V156" s="352">
        <f t="shared" si="28"/>
        <v>0</v>
      </c>
      <c r="W156" s="86"/>
      <c r="X156" s="86"/>
      <c r="Y156" s="86"/>
      <c r="Z156" s="86"/>
      <c r="AA156" s="86"/>
      <c r="AB156" s="86"/>
      <c r="AC156" s="86"/>
      <c r="AD156" s="86"/>
      <c r="AE156" s="86"/>
      <c r="AF156" s="86"/>
      <c r="AG156" s="55">
        <f t="shared" si="27"/>
        <v>0</v>
      </c>
      <c r="AH156" s="66">
        <f>IF(Kalk3!$AA$19=4,1,0)</f>
        <v>0</v>
      </c>
      <c r="AI156" s="55">
        <v>80</v>
      </c>
      <c r="AK156" s="55" t="s">
        <v>22079</v>
      </c>
      <c r="AP156" s="66">
        <f>IF(AND(Kalk3!$O$21&gt;0,Kalk3!$N$21="60°"),Kalk3!$O$21,0)</f>
        <v>0</v>
      </c>
      <c r="AQ156" s="55" t="s">
        <v>22090</v>
      </c>
      <c r="AT156" s="55" t="s">
        <v>22079</v>
      </c>
      <c r="AU156" s="66">
        <f>IF(Kalk3!$AI$51=$AV$91,1,0)</f>
        <v>1</v>
      </c>
      <c r="AV156" s="55">
        <v>750</v>
      </c>
      <c r="AX156" s="55" t="s">
        <v>22100</v>
      </c>
      <c r="AY156" s="66">
        <f>AP156*Kalk3!$H$37</f>
        <v>0</v>
      </c>
      <c r="AZ156" s="55" t="s">
        <v>20872</v>
      </c>
    </row>
    <row r="157" spans="2:55" ht="24.95" customHeight="1">
      <c r="B157" s="93">
        <f t="shared" si="26"/>
        <v>0</v>
      </c>
      <c r="C157" s="60">
        <v>1350</v>
      </c>
      <c r="D157" s="60"/>
      <c r="E157" s="60" t="str">
        <f>VLOOKUP(1600,Sprachindex!$A:$Z,Erhebungsbogen!$Y$20,FALSE)</f>
        <v>[Stk]</v>
      </c>
      <c r="F157" s="60" t="s">
        <v>21998</v>
      </c>
      <c r="G157" s="517" t="str">
        <f>VLOOKUP(2145,Sprachindex!$A:$Z,Erhebungsbogen!$Y$20,FALSE) &amp; " ( " &amp;Preisliste!H137 &amp; " " &amp; VLOOKUP(1744,Sprachindex!$A:$Z,Erhebungsbogen!$Y$20,FALSE) &amp; ")"</f>
        <v>Rundprofil 80-Vario 60° exkl. Dichtung, gebohrt und entgratet ( 25,639 kg/Stk)</v>
      </c>
      <c r="H157" s="515"/>
      <c r="I157" s="515"/>
      <c r="J157" s="515"/>
      <c r="K157" s="515"/>
      <c r="L157" s="515"/>
      <c r="M157" s="515"/>
      <c r="N157" s="515"/>
      <c r="O157" s="515"/>
      <c r="P157" s="515"/>
      <c r="Q157" s="515"/>
      <c r="R157" s="515"/>
      <c r="S157" s="515"/>
      <c r="T157" s="516"/>
      <c r="U157" s="352">
        <f>VLOOKUP(F157,Preisliste!C:F,4,FALSE)</f>
        <v>814.15</v>
      </c>
      <c r="V157" s="352">
        <f t="shared" si="28"/>
        <v>0</v>
      </c>
      <c r="W157" s="86"/>
      <c r="X157" s="86"/>
      <c r="Y157" s="86"/>
      <c r="Z157" s="86"/>
      <c r="AA157" s="86"/>
      <c r="AB157" s="86"/>
      <c r="AC157" s="86"/>
      <c r="AD157" s="86"/>
      <c r="AE157" s="86"/>
      <c r="AF157" s="86"/>
      <c r="AG157" s="55">
        <f t="shared" si="27"/>
        <v>0</v>
      </c>
      <c r="AH157" s="66">
        <f>IF(Kalk3!$AA$19=4,1,0)</f>
        <v>0</v>
      </c>
      <c r="AI157" s="55">
        <v>80</v>
      </c>
      <c r="AK157" s="55" t="s">
        <v>22079</v>
      </c>
      <c r="AP157" s="66">
        <f>IF(AND(Kalk3!$O$21&gt;0,Kalk3!$N$21="60°"),Kalk3!$O$21,0)</f>
        <v>0</v>
      </c>
      <c r="AQ157" s="55" t="s">
        <v>22090</v>
      </c>
      <c r="AT157" s="55" t="s">
        <v>22079</v>
      </c>
      <c r="AU157" s="66">
        <f>IF(Kalk3!$AI$51=AV157,1,0)</f>
        <v>0</v>
      </c>
      <c r="AV157" s="55">
        <v>1350</v>
      </c>
      <c r="AX157" s="55" t="s">
        <v>22100</v>
      </c>
      <c r="AY157" s="66">
        <f>AP157*Kalk3!$H$37</f>
        <v>0</v>
      </c>
      <c r="AZ157" s="55" t="s">
        <v>20872</v>
      </c>
    </row>
    <row r="158" spans="2:55" ht="24.95" customHeight="1">
      <c r="B158" s="93">
        <f t="shared" si="26"/>
        <v>0</v>
      </c>
      <c r="C158" s="60">
        <v>1750</v>
      </c>
      <c r="D158" s="60"/>
      <c r="E158" s="60" t="str">
        <f>VLOOKUP(1600,Sprachindex!$A:$Z,Erhebungsbogen!$Y$20,FALSE)</f>
        <v>[Stk]</v>
      </c>
      <c r="F158" s="60" t="s">
        <v>21999</v>
      </c>
      <c r="G158" s="517" t="str">
        <f>VLOOKUP(2145,Sprachindex!$A:$Z,Erhebungsbogen!$Y$20,FALSE) &amp; " ( " &amp;Preisliste!H138 &amp; " " &amp; VLOOKUP(1744,Sprachindex!$A:$Z,Erhebungsbogen!$Y$20,FALSE) &amp; ")"</f>
        <v>Rundprofil 80-Vario 60° exkl. Dichtung, gebohrt und entgratet ( 33,236 kg/Stk)</v>
      </c>
      <c r="H158" s="515"/>
      <c r="I158" s="515"/>
      <c r="J158" s="515"/>
      <c r="K158" s="515"/>
      <c r="L158" s="515"/>
      <c r="M158" s="515"/>
      <c r="N158" s="515"/>
      <c r="O158" s="515"/>
      <c r="P158" s="515"/>
      <c r="Q158" s="515"/>
      <c r="R158" s="515"/>
      <c r="S158" s="515"/>
      <c r="T158" s="516"/>
      <c r="U158" s="352">
        <f>VLOOKUP(F158,Preisliste!C:F,4,FALSE)</f>
        <v>937.8</v>
      </c>
      <c r="V158" s="352">
        <f t="shared" si="28"/>
        <v>0</v>
      </c>
      <c r="W158" s="86"/>
      <c r="X158" s="86"/>
      <c r="Y158" s="86"/>
      <c r="Z158" s="86"/>
      <c r="AA158" s="86"/>
      <c r="AB158" s="86"/>
      <c r="AC158" s="86"/>
      <c r="AD158" s="86"/>
      <c r="AE158" s="86"/>
      <c r="AF158" s="86"/>
      <c r="AG158" s="55">
        <f t="shared" si="27"/>
        <v>0</v>
      </c>
      <c r="AH158" s="66">
        <f>IF(Kalk3!$AA$19=4,1,0)</f>
        <v>0</v>
      </c>
      <c r="AI158" s="55">
        <v>80</v>
      </c>
      <c r="AK158" s="55" t="s">
        <v>22079</v>
      </c>
      <c r="AP158" s="66">
        <f>IF(AND(Kalk3!$O$21&gt;0,Kalk3!$N$21="60°"),Kalk3!$O$21,0)</f>
        <v>0</v>
      </c>
      <c r="AQ158" s="55" t="s">
        <v>22090</v>
      </c>
      <c r="AT158" s="55" t="s">
        <v>22079</v>
      </c>
      <c r="AU158" s="66">
        <f>IF(Kalk3!$AI$51=AV158,1,0)</f>
        <v>0</v>
      </c>
      <c r="AV158" s="55">
        <v>1750</v>
      </c>
      <c r="AX158" s="55" t="s">
        <v>22100</v>
      </c>
      <c r="AY158" s="66">
        <f>AP158*Kalk3!$H$37</f>
        <v>0</v>
      </c>
      <c r="AZ158" s="55" t="s">
        <v>20872</v>
      </c>
      <c r="BC158" s="84" t="s">
        <v>22181</v>
      </c>
    </row>
    <row r="159" spans="2:55" ht="24.95" customHeight="1">
      <c r="B159" s="93">
        <f t="shared" si="26"/>
        <v>0</v>
      </c>
      <c r="C159" s="60">
        <v>2150</v>
      </c>
      <c r="D159" s="60"/>
      <c r="E159" s="60" t="str">
        <f>VLOOKUP(1600,Sprachindex!$A:$Z,Erhebungsbogen!$Y$20,FALSE)</f>
        <v>[Stk]</v>
      </c>
      <c r="F159" s="60" t="s">
        <v>22000</v>
      </c>
      <c r="G159" s="517" t="str">
        <f>VLOOKUP(2145,Sprachindex!$A:$Z,Erhebungsbogen!$Y$20,FALSE) &amp; " ( " &amp;Preisliste!H139 &amp; " " &amp; VLOOKUP(1744,Sprachindex!$A:$Z,Erhebungsbogen!$Y$20,FALSE) &amp; ")"</f>
        <v>Rundprofil 80-Vario 60° exkl. Dichtung, gebohrt und entgratet ( 40,833 kg/Stk)</v>
      </c>
      <c r="H159" s="515"/>
      <c r="I159" s="515"/>
      <c r="J159" s="515"/>
      <c r="K159" s="515"/>
      <c r="L159" s="515"/>
      <c r="M159" s="515"/>
      <c r="N159" s="515"/>
      <c r="O159" s="515"/>
      <c r="P159" s="515"/>
      <c r="Q159" s="515"/>
      <c r="R159" s="515"/>
      <c r="S159" s="515"/>
      <c r="T159" s="516"/>
      <c r="U159" s="352">
        <f>VLOOKUP(F159,Preisliste!C:F,4,FALSE)</f>
        <v>1061.5</v>
      </c>
      <c r="V159" s="352">
        <f t="shared" si="28"/>
        <v>0</v>
      </c>
      <c r="W159" s="86"/>
      <c r="X159" s="86"/>
      <c r="Y159" s="86"/>
      <c r="Z159" s="86"/>
      <c r="AA159" s="86"/>
      <c r="AB159" s="86"/>
      <c r="AC159" s="86"/>
      <c r="AD159" s="86"/>
      <c r="AE159" s="86"/>
      <c r="AF159" s="86"/>
      <c r="AG159" s="55">
        <f t="shared" si="27"/>
        <v>0</v>
      </c>
      <c r="AH159" s="66">
        <f>IF(Kalk3!$AA$19=4,1,0)</f>
        <v>0</v>
      </c>
      <c r="AI159" s="55">
        <v>80</v>
      </c>
      <c r="AK159" s="55" t="s">
        <v>22079</v>
      </c>
      <c r="AP159" s="66">
        <f>IF(AND(Kalk3!$O$21&gt;0,Kalk3!$N$21="60°"),Kalk3!$O$21,0)</f>
        <v>0</v>
      </c>
      <c r="AQ159" s="55" t="s">
        <v>22090</v>
      </c>
      <c r="AT159" s="55" t="s">
        <v>22079</v>
      </c>
      <c r="AU159" s="66">
        <f>IF(Kalk3!$AI$51=AV159,1,0)</f>
        <v>0</v>
      </c>
      <c r="AV159" s="55">
        <v>2150</v>
      </c>
      <c r="AX159" s="55" t="s">
        <v>22100</v>
      </c>
      <c r="AY159" s="66">
        <f>AP159*Kalk3!$H$37</f>
        <v>0</v>
      </c>
      <c r="AZ159" s="55" t="s">
        <v>20872</v>
      </c>
      <c r="BC159" s="84" t="s">
        <v>22182</v>
      </c>
    </row>
    <row r="160" spans="2:55" ht="24.95" customHeight="1">
      <c r="B160" s="93">
        <f t="shared" si="26"/>
        <v>0</v>
      </c>
      <c r="C160" s="60">
        <f>IF(AG160=1,AW160,0)</f>
        <v>0</v>
      </c>
      <c r="D160" s="60"/>
      <c r="E160" s="60" t="str">
        <f>VLOOKUP(1600,Sprachindex!$A:$Z,Erhebungsbogen!$Y$20,FALSE)</f>
        <v>[Stk]</v>
      </c>
      <c r="F160" s="60" t="s">
        <v>21826</v>
      </c>
      <c r="G160" s="517" t="str">
        <f>VLOOKUP(2146,Sprachindex!$A:$Z,Erhebungsbogen!$Y$20,FALSE) &amp; " (" &amp; ROUNDUP(C160/1000*Preisliste!I140,2) &amp; " " &amp; VLOOKUP(1744,Sprachindex!$A:$Z,Erhebungsbogen!$Y$20,FALSE) &amp; ")"</f>
        <v>Rundprofil 80-Vario 60° Sonderlänge exkl. Dichtung, (Stangenware) (0 kg/Stk)</v>
      </c>
      <c r="H160" s="515"/>
      <c r="I160" s="515"/>
      <c r="J160" s="515"/>
      <c r="K160" s="515"/>
      <c r="L160" s="515"/>
      <c r="M160" s="515"/>
      <c r="N160" s="515"/>
      <c r="O160" s="515"/>
      <c r="P160" s="515"/>
      <c r="Q160" s="515"/>
      <c r="R160" s="515"/>
      <c r="S160" s="515"/>
      <c r="T160" s="516"/>
      <c r="U160" s="354">
        <f>VLOOKUP(F160,Preisliste!C:F,4,FALSE)</f>
        <v>0</v>
      </c>
      <c r="V160" s="352">
        <f t="shared" si="28"/>
        <v>0</v>
      </c>
      <c r="W160" s="86"/>
      <c r="X160" s="86"/>
      <c r="Y160" s="86"/>
      <c r="Z160" s="86"/>
      <c r="AA160" s="86"/>
      <c r="AB160" s="86"/>
      <c r="AC160" s="86"/>
      <c r="AD160" s="86"/>
      <c r="AE160" s="86"/>
      <c r="AF160" s="86"/>
      <c r="AG160" s="55">
        <f t="shared" si="27"/>
        <v>0</v>
      </c>
      <c r="AH160" s="66">
        <f>IF(Kalk3!$AA$19=4,1,0)</f>
        <v>0</v>
      </c>
      <c r="AI160" s="55">
        <v>80</v>
      </c>
      <c r="AK160" s="55" t="s">
        <v>22079</v>
      </c>
      <c r="AP160" s="66">
        <f>IF(AND(Kalk3!$O$21&gt;0,Kalk3!$N$21="60°"),Kalk3!$O$21,0)</f>
        <v>0</v>
      </c>
      <c r="AQ160" s="55" t="s">
        <v>22090</v>
      </c>
      <c r="AT160" s="55" t="s">
        <v>22079</v>
      </c>
      <c r="AU160" s="66">
        <f>IF(Kalk3!$AH$52&gt;AV160,1,0)</f>
        <v>0</v>
      </c>
      <c r="AV160" s="55">
        <v>2150</v>
      </c>
      <c r="AW160" s="66">
        <f>Kalk3!$AH$52</f>
        <v>0</v>
      </c>
      <c r="AX160" s="55" t="s">
        <v>22100</v>
      </c>
      <c r="AY160" s="66">
        <f>AP160*Kalk3!$H$37</f>
        <v>0</v>
      </c>
      <c r="AZ160" s="55" t="s">
        <v>20872</v>
      </c>
    </row>
    <row r="161" spans="2:53" ht="24.95" customHeight="1">
      <c r="B161" s="93">
        <f t="shared" si="26"/>
        <v>0</v>
      </c>
      <c r="C161" s="60"/>
      <c r="D161" s="60"/>
      <c r="E161" s="60" t="str">
        <f>VLOOKUP(1600,Sprachindex!$A:$Z,Erhebungsbogen!$Y$20,FALSE)</f>
        <v>[Stk]</v>
      </c>
      <c r="F161" s="60" t="s">
        <v>21971</v>
      </c>
      <c r="G161" s="514" t="str">
        <f>VLOOKUP(1814,Sprachindex!$A:$Z,Erhebungsbogen!$Y$20,FALSE)</f>
        <v>Sicherungsschraube für Abdeckung</v>
      </c>
      <c r="H161" s="514"/>
      <c r="I161" s="514"/>
      <c r="J161" s="514"/>
      <c r="K161" s="514"/>
      <c r="L161" s="514"/>
      <c r="M161" s="514"/>
      <c r="N161" s="514"/>
      <c r="O161" s="514"/>
      <c r="P161" s="514"/>
      <c r="Q161" s="514"/>
      <c r="R161" s="514"/>
      <c r="S161" s="514"/>
      <c r="T161" s="514"/>
      <c r="U161" s="352">
        <f>VLOOKUP(F161,Preisliste!C:F,4,FALSE)</f>
        <v>15.9</v>
      </c>
      <c r="V161" s="352">
        <f t="shared" si="28"/>
        <v>0</v>
      </c>
      <c r="W161" s="86"/>
      <c r="X161" s="86"/>
      <c r="Y161" s="86"/>
      <c r="Z161" s="86"/>
      <c r="AA161" s="86"/>
      <c r="AB161" s="86"/>
      <c r="AC161" s="86"/>
      <c r="AD161" s="86"/>
      <c r="AE161" s="86"/>
      <c r="AF161" s="86"/>
      <c r="AG161" s="55">
        <f>IF(Kalk3!$AA$25,1,0)</f>
        <v>0</v>
      </c>
      <c r="AH161" s="66">
        <f>IF(Kalk3!$AA$19=1,0,1)</f>
        <v>1</v>
      </c>
      <c r="AI161" s="55" t="s">
        <v>22183</v>
      </c>
      <c r="AL161" s="66">
        <f>IF(MAX(Kalk3!$AH$51,Kalk3!$AH$52)&lt;=750,1,0)</f>
        <v>1</v>
      </c>
      <c r="AM161" s="55" t="s">
        <v>22184</v>
      </c>
      <c r="AP161" s="66">
        <f>2*Kalk3!H37</f>
        <v>2</v>
      </c>
      <c r="AQ161" s="55" t="s">
        <v>22101</v>
      </c>
      <c r="AT161" s="55" t="s">
        <v>22079</v>
      </c>
      <c r="AU161" s="66">
        <f>IF(AL161=0,2*Kalk3!H37,0)</f>
        <v>0</v>
      </c>
      <c r="AV161" s="55" t="s">
        <v>22185</v>
      </c>
      <c r="AX161" s="55" t="s">
        <v>22100</v>
      </c>
      <c r="AY161" s="66">
        <f>AP161+AU161</f>
        <v>2</v>
      </c>
      <c r="AZ161" s="55" t="s">
        <v>20872</v>
      </c>
    </row>
    <row r="162" spans="2:53" ht="24.95" customHeight="1">
      <c r="B162" s="93">
        <f>IF(AG162=1,AU162,0)</f>
        <v>0</v>
      </c>
      <c r="C162" s="60"/>
      <c r="D162" s="60"/>
      <c r="E162" s="60" t="str">
        <f>VLOOKUP(1600,Sprachindex!$A:$Z,Erhebungsbogen!$Y$20,FALSE)</f>
        <v>[Stk]</v>
      </c>
      <c r="F162" s="60" t="s">
        <v>21942</v>
      </c>
      <c r="G162" s="514" t="str">
        <f>VLOOKUP(1817,Sprachindex!$A:$Z,Erhebungsbogen!$Y$20,FALSE)</f>
        <v>Spannstück mit 6-Kantschraube</v>
      </c>
      <c r="H162" s="514"/>
      <c r="I162" s="514"/>
      <c r="J162" s="514"/>
      <c r="K162" s="514"/>
      <c r="L162" s="514"/>
      <c r="M162" s="514"/>
      <c r="N162" s="514"/>
      <c r="O162" s="514"/>
      <c r="P162" s="514"/>
      <c r="Q162" s="514"/>
      <c r="R162" s="514"/>
      <c r="S162" s="514"/>
      <c r="T162" s="514"/>
      <c r="U162" s="352">
        <f>VLOOKUP(F162,Preisliste!C:F,4,FALSE)</f>
        <v>98.9</v>
      </c>
      <c r="V162" s="352">
        <f t="shared" si="28"/>
        <v>0</v>
      </c>
      <c r="W162" s="86"/>
      <c r="X162" s="86"/>
      <c r="Y162" s="86"/>
      <c r="Z162" s="86"/>
      <c r="AA162" s="86"/>
      <c r="AB162" s="86"/>
      <c r="AC162" s="86"/>
      <c r="AD162" s="86"/>
      <c r="AE162" s="86"/>
      <c r="AF162" s="86"/>
      <c r="AG162" s="55">
        <f>IF(AH162=1,1,0)</f>
        <v>0</v>
      </c>
      <c r="AH162" s="66">
        <f>IF(Kalk3!$AA$28,1,0)</f>
        <v>0</v>
      </c>
      <c r="AI162" s="55" t="s">
        <v>22098</v>
      </c>
      <c r="AK162" s="55" t="s">
        <v>22079</v>
      </c>
      <c r="AL162" s="66">
        <f>IF(Kalk3!$H$33&gt;1,Kalk3!$H$33-1,0)</f>
        <v>0</v>
      </c>
      <c r="AM162" s="55" t="s">
        <v>22085</v>
      </c>
      <c r="AT162" s="55" t="s">
        <v>22100</v>
      </c>
      <c r="AU162" s="66">
        <f>(2+2*AL162-IF(AH165=1,AU165,0))*Kalk3!$H$37</f>
        <v>2</v>
      </c>
      <c r="AV162" s="55" t="s">
        <v>22101</v>
      </c>
    </row>
    <row r="163" spans="2:53" ht="24.95" customHeight="1">
      <c r="B163" s="93">
        <f>IF(AG163=1,AU163,0)</f>
        <v>0</v>
      </c>
      <c r="C163" s="60"/>
      <c r="D163" s="60"/>
      <c r="E163" s="60" t="str">
        <f>VLOOKUP(1600,Sprachindex!$A:$Z,Erhebungsbogen!$Y$20,FALSE)</f>
        <v>[Stk]</v>
      </c>
      <c r="F163" s="60" t="s">
        <v>21941</v>
      </c>
      <c r="G163" s="514" t="str">
        <f>VLOOKUP(1819,Sprachindex!$A:$Z,Erhebungsbogen!$Y$20,FALSE)</f>
        <v>Spannstück mit Sterngriff</v>
      </c>
      <c r="H163" s="514"/>
      <c r="I163" s="514"/>
      <c r="J163" s="514"/>
      <c r="K163" s="514"/>
      <c r="L163" s="514"/>
      <c r="M163" s="514"/>
      <c r="N163" s="514"/>
      <c r="O163" s="514"/>
      <c r="P163" s="514"/>
      <c r="Q163" s="514"/>
      <c r="R163" s="514"/>
      <c r="S163" s="514"/>
      <c r="T163" s="514"/>
      <c r="U163" s="352">
        <f>VLOOKUP(F163,Preisliste!C:F,4,FALSE)</f>
        <v>104.9</v>
      </c>
      <c r="V163" s="352">
        <f t="shared" si="28"/>
        <v>0</v>
      </c>
      <c r="W163" s="86"/>
      <c r="X163" s="86"/>
      <c r="Y163" s="86"/>
      <c r="Z163" s="86"/>
      <c r="AA163" s="86"/>
      <c r="AB163" s="86"/>
      <c r="AC163" s="86"/>
      <c r="AD163" s="86"/>
      <c r="AE163" s="86"/>
      <c r="AF163" s="86"/>
      <c r="AG163" s="55">
        <f>IF(AH163=1,1,0)</f>
        <v>0</v>
      </c>
      <c r="AH163" s="66">
        <f>IF(Kalk3!$AA$27,1,0)</f>
        <v>0</v>
      </c>
      <c r="AI163" s="55" t="s">
        <v>22097</v>
      </c>
      <c r="AK163" s="55" t="s">
        <v>22079</v>
      </c>
      <c r="AL163" s="66">
        <f>IF(Kalk3!$H$33&gt;1,Kalk3!$H$33-1,0)</f>
        <v>0</v>
      </c>
      <c r="AM163" s="55" t="s">
        <v>22085</v>
      </c>
      <c r="AT163" s="55" t="s">
        <v>22100</v>
      </c>
      <c r="AU163" s="66">
        <f>(2+2*AL163-IF(AH164=1,AU164,0))*Kalk3!$H$37</f>
        <v>2</v>
      </c>
      <c r="AV163" s="55" t="s">
        <v>22101</v>
      </c>
    </row>
    <row r="164" spans="2:53" ht="24.95" customHeight="1">
      <c r="B164" s="93">
        <f>IF(AG164=1,AU164,0)</f>
        <v>0</v>
      </c>
      <c r="C164" s="60"/>
      <c r="D164" s="60"/>
      <c r="E164" s="60" t="str">
        <f>VLOOKUP(1600,Sprachindex!$A:$Z,Erhebungsbogen!$Y$20,FALSE)</f>
        <v>[Stk]</v>
      </c>
      <c r="F164" s="60" t="s">
        <v>21981</v>
      </c>
      <c r="G164" s="514" t="str">
        <f>VLOOKUP(2147,Sprachindex!$A:$Z,Erhebungsbogen!$Y$20,FALSE)</f>
        <v>Spannstück mit Sterngriff zum seitlich Einfädeln</v>
      </c>
      <c r="H164" s="514"/>
      <c r="I164" s="514"/>
      <c r="J164" s="514"/>
      <c r="K164" s="514"/>
      <c r="L164" s="514"/>
      <c r="M164" s="514"/>
      <c r="N164" s="514"/>
      <c r="O164" s="514"/>
      <c r="P164" s="514"/>
      <c r="Q164" s="514"/>
      <c r="R164" s="514"/>
      <c r="S164" s="514"/>
      <c r="T164" s="514"/>
      <c r="U164" s="352">
        <f>VLOOKUP(F164,Preisliste!C:F,4,FALSE)</f>
        <v>110.9</v>
      </c>
      <c r="V164" s="352">
        <f t="shared" si="28"/>
        <v>0</v>
      </c>
      <c r="W164" s="86"/>
      <c r="X164" s="86"/>
      <c r="Y164" s="86"/>
      <c r="Z164" s="86"/>
      <c r="AA164" s="86"/>
      <c r="AB164" s="86"/>
      <c r="AC164" s="86"/>
      <c r="AD164" s="86"/>
      <c r="AE164" s="86"/>
      <c r="AF164" s="86"/>
      <c r="AG164" s="55">
        <f>IF(AND(AH164=1,AL164=1,AP164=1),1,0)</f>
        <v>0</v>
      </c>
      <c r="AH164" s="66">
        <f>IF(Kalk3!$AA$19=1,1,0)</f>
        <v>0</v>
      </c>
      <c r="AI164" s="55">
        <v>25</v>
      </c>
      <c r="AK164" s="55" t="s">
        <v>22079</v>
      </c>
      <c r="AL164" s="66">
        <f>IF(Kalk3!$AA$27,1,0)</f>
        <v>0</v>
      </c>
      <c r="AM164" s="55" t="s">
        <v>22097</v>
      </c>
      <c r="AO164" s="55" t="s">
        <v>22079</v>
      </c>
      <c r="AP164" s="66">
        <f>IF(OR(Kalk3!$AA$7=3,Kalk3!$AA$9=3),1,0)</f>
        <v>0</v>
      </c>
      <c r="AQ164" s="55" t="s">
        <v>22099</v>
      </c>
      <c r="AT164" s="55" t="s">
        <v>22100</v>
      </c>
      <c r="AU164" s="66">
        <f>IF(AND(Kalk3!$AA$7=3,Kalk3!$AA$9=3),2,IF(AP164=1,1,0))*Kalk3!$H$37</f>
        <v>0</v>
      </c>
      <c r="AV164" s="55" t="s">
        <v>22101</v>
      </c>
    </row>
    <row r="165" spans="2:53" ht="24.95" customHeight="1">
      <c r="B165" s="93">
        <f>IF(AG165=1,AU165,0)</f>
        <v>0</v>
      </c>
      <c r="C165" s="60"/>
      <c r="D165" s="60"/>
      <c r="E165" s="60" t="str">
        <f>VLOOKUP(1600,Sprachindex!$A:$Z,Erhebungsbogen!$Y$20,FALSE)</f>
        <v>[Stk]</v>
      </c>
      <c r="F165" s="60" t="s">
        <v>21980</v>
      </c>
      <c r="G165" s="514" t="str">
        <f>VLOOKUP(2148,Sprachindex!$A:$Z,Erhebungsbogen!$Y$20,FALSE)</f>
        <v>Spannstück mit Sechskantschraube zum seitlichen Einfädeln</v>
      </c>
      <c r="H165" s="515"/>
      <c r="I165" s="515"/>
      <c r="J165" s="515"/>
      <c r="K165" s="515"/>
      <c r="L165" s="515"/>
      <c r="M165" s="515"/>
      <c r="N165" s="515"/>
      <c r="O165" s="515"/>
      <c r="P165" s="515"/>
      <c r="Q165" s="515"/>
      <c r="R165" s="515"/>
      <c r="S165" s="515"/>
      <c r="T165" s="516"/>
      <c r="U165" s="352">
        <f>VLOOKUP(F165,Preisliste!C:F,4,FALSE)</f>
        <v>106.9</v>
      </c>
      <c r="V165" s="352">
        <f t="shared" si="28"/>
        <v>0</v>
      </c>
      <c r="W165" s="86"/>
      <c r="X165" s="86"/>
      <c r="Y165" s="86"/>
      <c r="Z165" s="86"/>
      <c r="AA165" s="86"/>
      <c r="AB165" s="86"/>
      <c r="AC165" s="86"/>
      <c r="AD165" s="86"/>
      <c r="AE165" s="86"/>
      <c r="AF165" s="86"/>
      <c r="AG165" s="55">
        <f>IF(AND(AH165=1,AL165=1,AP165=1),1,0)</f>
        <v>0</v>
      </c>
      <c r="AH165" s="66">
        <f>IF(Kalk3!$AA$19=1,1,0)</f>
        <v>0</v>
      </c>
      <c r="AI165" s="55">
        <v>25</v>
      </c>
      <c r="AK165" s="55" t="s">
        <v>22079</v>
      </c>
      <c r="AL165" s="66">
        <f>IF(Kalk3!$AA$28,1,0)</f>
        <v>0</v>
      </c>
      <c r="AM165" s="55" t="s">
        <v>22098</v>
      </c>
      <c r="AO165" s="55" t="s">
        <v>22079</v>
      </c>
      <c r="AP165" s="66">
        <f>IF(OR(Kalk3!$AA$7=3,Kalk3!$AA$9=3),1,0)</f>
        <v>0</v>
      </c>
      <c r="AQ165" s="55" t="s">
        <v>22099</v>
      </c>
      <c r="AT165" s="55" t="s">
        <v>22100</v>
      </c>
      <c r="AU165" s="66">
        <f>IF(AND(Kalk3!$AA$7=3,Kalk3!$AA$9=3),2,IF(AP165=1,1,0))*Kalk3!$H$37</f>
        <v>0</v>
      </c>
      <c r="AV165" s="55" t="s">
        <v>22101</v>
      </c>
    </row>
    <row r="166" spans="2:53" ht="24.95" customHeight="1">
      <c r="B166" s="93">
        <f t="shared" ref="B166:B180" si="29">IF(AG166=1,AZ166,0)</f>
        <v>0</v>
      </c>
      <c r="C166" s="60">
        <v>750</v>
      </c>
      <c r="D166" s="60"/>
      <c r="E166" s="60" t="str">
        <f>VLOOKUP(1600,Sprachindex!$A:$Z,Erhebungsbogen!$Y$20,FALSE)</f>
        <v>[Stk]</v>
      </c>
      <c r="F166" s="60" t="s">
        <v>21881</v>
      </c>
      <c r="G166" s="514" t="str">
        <f>VLOOKUP(2149,Sprachindex!$A:$Z,Erhebungsbogen!$Y$20,FALSE) &amp; IF(AND(Kalk3!$AA$5=2,Kalk3!$AA$13),", " &amp; VLOOKUP(1645,Sprachindex!$A:$Z,Erhebungsbogen!$Y$20,FALSE) &amp; " " &amp; $U$8,", "&amp; VLOOKUP(1648,Sprachindex!$A:$Z,Erhebungsbogen!$Y$20,FALSE))</f>
        <v>U-Profil 25 (in der Laibung) exkl. Dichtung, gebohrt und entgratet, blank</v>
      </c>
      <c r="H166" s="515"/>
      <c r="I166" s="515"/>
      <c r="J166" s="515"/>
      <c r="K166" s="515"/>
      <c r="L166" s="515"/>
      <c r="M166" s="515"/>
      <c r="N166" s="515"/>
      <c r="O166" s="515"/>
      <c r="P166" s="515"/>
      <c r="Q166" s="515"/>
      <c r="R166" s="515"/>
      <c r="S166" s="515"/>
      <c r="T166" s="516"/>
      <c r="U166" s="352">
        <f>IF(AND(Kalk3!$AA$5=2,Kalk3!$AA$13),VLOOKUP(F166,Preisliste!C:G,5,FALSE),VLOOKUP(F166,Preisliste!C:G,4,FALSE))</f>
        <v>81.150000000000006</v>
      </c>
      <c r="V166" s="352">
        <f t="shared" si="28"/>
        <v>0</v>
      </c>
      <c r="W166" s="86"/>
      <c r="X166" s="86"/>
      <c r="Y166" s="86"/>
      <c r="Z166" s="143">
        <f>IF(AND(Kalk3!$AA$5=2,Kalk3!$AA$13),(VLOOKUP(F166,Preisliste!C:G,5,FALSE)-VLOOKUP(F166,Preisliste!C:G,4,FALSE))*B166,0)</f>
        <v>0</v>
      </c>
      <c r="AA166" s="86"/>
      <c r="AB166" s="86"/>
      <c r="AC166" s="86"/>
      <c r="AD166" s="86"/>
      <c r="AE166" s="86"/>
      <c r="AF166" s="86"/>
      <c r="AG166" s="55">
        <f>IF(AND(AH166=1,AL166=1,AP166=1,AND(Kalk3!H28&gt;0,Kalk3!H29&gt;0)),1,0)</f>
        <v>0</v>
      </c>
      <c r="AH166" s="66">
        <f>IF(Kalk3!$AA$19=1,1,0)</f>
        <v>0</v>
      </c>
      <c r="AI166" s="55">
        <v>25</v>
      </c>
      <c r="AK166" s="55" t="s">
        <v>22079</v>
      </c>
      <c r="AL166" s="66">
        <f>IF(OR(OR(Kalk3!$AA$7=2,Kalk3!$AA$7=3),OR(Kalk3!$AA$9=2,Kalk3!$AA$9=3)),1,0)</f>
        <v>0</v>
      </c>
      <c r="AM166" s="55" t="s">
        <v>22092</v>
      </c>
      <c r="AO166" s="55" t="s">
        <v>22079</v>
      </c>
      <c r="AP166" s="66">
        <f>IF(Kalk3!$AI$51=AQ166,1,0)</f>
        <v>1</v>
      </c>
      <c r="AQ166" s="55">
        <v>750</v>
      </c>
      <c r="AU166" s="66">
        <f>IF(OR(Kalk3!$AA$7=2,Kalk3!$AA$7=3),1,0)</f>
        <v>0</v>
      </c>
      <c r="AV166" s="55" t="s">
        <v>19882</v>
      </c>
      <c r="AW166" s="66">
        <f>IF(OR(Kalk3!$AA$9=2,Kalk3!$AA$9=3),1,0)</f>
        <v>0</v>
      </c>
      <c r="AX166" s="55" t="s">
        <v>20310</v>
      </c>
      <c r="AY166" s="55" t="s">
        <v>22100</v>
      </c>
      <c r="AZ166" s="66">
        <f>(AU166+AW166)*Kalk3!$H$37</f>
        <v>0</v>
      </c>
      <c r="BA166" s="55" t="s">
        <v>22101</v>
      </c>
    </row>
    <row r="167" spans="2:53" ht="24.95" customHeight="1">
      <c r="B167" s="93">
        <f t="shared" si="29"/>
        <v>0</v>
      </c>
      <c r="C167" s="60">
        <v>1350</v>
      </c>
      <c r="D167" s="60"/>
      <c r="E167" s="60" t="str">
        <f>VLOOKUP(1600,Sprachindex!$A:$Z,Erhebungsbogen!$Y$20,FALSE)</f>
        <v>[Stk]</v>
      </c>
      <c r="F167" s="60" t="s">
        <v>21882</v>
      </c>
      <c r="G167" s="514" t="str">
        <f>VLOOKUP(2149,Sprachindex!$A:$Z,Erhebungsbogen!$Y$20,FALSE) &amp; IF(AND(Kalk3!$AA$5=2,Kalk3!$AA$13),", " &amp; VLOOKUP(1645,Sprachindex!$A:$Z,Erhebungsbogen!$Y$20,FALSE) &amp; " " &amp; $U$8,", "&amp; VLOOKUP(1648,Sprachindex!$A:$Z,Erhebungsbogen!$Y$20,FALSE))</f>
        <v>U-Profil 25 (in der Laibung) exkl. Dichtung, gebohrt und entgratet, blank</v>
      </c>
      <c r="H167" s="515"/>
      <c r="I167" s="515"/>
      <c r="J167" s="515"/>
      <c r="K167" s="515"/>
      <c r="L167" s="515"/>
      <c r="M167" s="515"/>
      <c r="N167" s="515"/>
      <c r="O167" s="515"/>
      <c r="P167" s="515"/>
      <c r="Q167" s="515"/>
      <c r="R167" s="515"/>
      <c r="S167" s="515"/>
      <c r="T167" s="516"/>
      <c r="U167" s="352">
        <f>IF(AND(Kalk3!$AA$5=2,Kalk3!$AA$13),VLOOKUP(F167,Preisliste!C:G,5,FALSE),VLOOKUP(F167,Preisliste!C:G,4,FALSE))</f>
        <v>123.15</v>
      </c>
      <c r="V167" s="352">
        <f t="shared" si="28"/>
        <v>0</v>
      </c>
      <c r="W167" s="86"/>
      <c r="X167" s="86"/>
      <c r="Y167" s="86"/>
      <c r="Z167" s="143">
        <f>IF(AND(Kalk3!$AA$5=2,Kalk3!$AA$13),(VLOOKUP(F167,Preisliste!C:G,5,FALSE)-VLOOKUP(F167,Preisliste!C:G,4,FALSE))*B167,0)</f>
        <v>0</v>
      </c>
      <c r="AA167" s="86"/>
      <c r="AB167" s="86"/>
      <c r="AC167" s="86"/>
      <c r="AD167" s="86"/>
      <c r="AE167" s="86"/>
      <c r="AF167" s="86"/>
      <c r="AG167" s="55">
        <f>IF(AND(AH167=1,AL167=1,AP167=1,AND(Kalk3!H28&gt;0,Kalk3!H29&gt;0)),1,0)</f>
        <v>0</v>
      </c>
      <c r="AH167" s="66">
        <f>IF(Kalk3!$AA$19=1,1,0)</f>
        <v>0</v>
      </c>
      <c r="AI167" s="55">
        <v>25</v>
      </c>
      <c r="AK167" s="55" t="s">
        <v>22079</v>
      </c>
      <c r="AL167" s="66">
        <f>IF(OR(OR(Kalk3!$AA$7=2,Kalk3!$AA$7=3),OR(Kalk3!$AA$9=2,Kalk3!$AA$9=3)),1,0)</f>
        <v>0</v>
      </c>
      <c r="AM167" s="55" t="s">
        <v>22092</v>
      </c>
      <c r="AO167" s="55" t="s">
        <v>22079</v>
      </c>
      <c r="AP167" s="66">
        <f>IF(Kalk3!$AI$51=AQ167,1,0)</f>
        <v>0</v>
      </c>
      <c r="AQ167" s="55">
        <v>1350</v>
      </c>
      <c r="AU167" s="66">
        <f>IF(OR(Kalk3!$AA$7=2,Kalk3!$AA$7=3),1,0)</f>
        <v>0</v>
      </c>
      <c r="AV167" s="55" t="s">
        <v>19882</v>
      </c>
      <c r="AW167" s="66">
        <f>IF(OR(Kalk3!$AA$9=2,Kalk3!$AA$9=3),1,0)</f>
        <v>0</v>
      </c>
      <c r="AX167" s="55" t="s">
        <v>20310</v>
      </c>
      <c r="AY167" s="55" t="s">
        <v>22100</v>
      </c>
      <c r="AZ167" s="66">
        <f>(AU167+AW167)*Kalk3!$H$37</f>
        <v>0</v>
      </c>
      <c r="BA167" s="55" t="s">
        <v>22101</v>
      </c>
    </row>
    <row r="168" spans="2:53" ht="24.95" customHeight="1">
      <c r="B168" s="93">
        <f t="shared" si="29"/>
        <v>0</v>
      </c>
      <c r="C168" s="60">
        <v>1750</v>
      </c>
      <c r="D168" s="60"/>
      <c r="E168" s="60" t="str">
        <f>VLOOKUP(1600,Sprachindex!$A:$Z,Erhebungsbogen!$Y$20,FALSE)</f>
        <v>[Stk]</v>
      </c>
      <c r="F168" s="60" t="s">
        <v>21982</v>
      </c>
      <c r="G168" s="514" t="str">
        <f>VLOOKUP(2149,Sprachindex!$A:$Z,Erhebungsbogen!$Y$20,FALSE) &amp; IF(AND(Kalk3!$AA$5=2,Kalk3!$AA$13),", " &amp; VLOOKUP(1645,Sprachindex!$A:$Z,Erhebungsbogen!$Y$20,FALSE) &amp; " " &amp; $U$8,", "&amp; VLOOKUP(1648,Sprachindex!$A:$Z,Erhebungsbogen!$Y$20,FALSE))</f>
        <v>U-Profil 25 (in der Laibung) exkl. Dichtung, gebohrt und entgratet, blank</v>
      </c>
      <c r="H168" s="515"/>
      <c r="I168" s="515"/>
      <c r="J168" s="515"/>
      <c r="K168" s="515"/>
      <c r="L168" s="515"/>
      <c r="M168" s="515"/>
      <c r="N168" s="515"/>
      <c r="O168" s="515"/>
      <c r="P168" s="515"/>
      <c r="Q168" s="515"/>
      <c r="R168" s="515"/>
      <c r="S168" s="515"/>
      <c r="T168" s="516"/>
      <c r="U168" s="352">
        <f>IF(AND(Kalk3!$AA$5=2,Kalk3!$AA$13),VLOOKUP(F168,Preisliste!C:G,5,FALSE),VLOOKUP(F168,Preisliste!C:G,4,FALSE))</f>
        <v>137.5</v>
      </c>
      <c r="V168" s="352">
        <f t="shared" si="28"/>
        <v>0</v>
      </c>
      <c r="W168" s="86"/>
      <c r="X168" s="86"/>
      <c r="Y168" s="86"/>
      <c r="Z168" s="143">
        <f>IF(AND(Kalk3!$AA$5=2,Kalk3!$AA$13),(VLOOKUP(F168,Preisliste!C:G,5,FALSE)-VLOOKUP(F168,Preisliste!C:G,4,FALSE))*B168,0)</f>
        <v>0</v>
      </c>
      <c r="AA168" s="86"/>
      <c r="AB168" s="86"/>
      <c r="AC168" s="86"/>
      <c r="AD168" s="86"/>
      <c r="AE168" s="86"/>
      <c r="AF168" s="86"/>
      <c r="AG168" s="55">
        <f>IF(AND(AH168=1,AL168=1,AP168=1,AND(Kalk3!H28&gt;0,Kalk3!H29&gt;0)),1,0)</f>
        <v>0</v>
      </c>
      <c r="AH168" s="66">
        <f>IF(Kalk3!$AA$19=1,1,0)</f>
        <v>0</v>
      </c>
      <c r="AI168" s="55">
        <v>25</v>
      </c>
      <c r="AK168" s="55" t="s">
        <v>22079</v>
      </c>
      <c r="AL168" s="66">
        <f>IF(OR(OR(Kalk3!$AA$7=2,Kalk3!$AA$7=3),OR(Kalk3!$AA$9=2,Kalk3!$AA$9=3)),1,0)</f>
        <v>0</v>
      </c>
      <c r="AM168" s="55" t="s">
        <v>22092</v>
      </c>
      <c r="AO168" s="55" t="s">
        <v>22079</v>
      </c>
      <c r="AP168" s="66">
        <f>IF(Kalk3!$AI$51=AQ168,1,0)</f>
        <v>0</v>
      </c>
      <c r="AQ168" s="55">
        <v>1750</v>
      </c>
      <c r="AU168" s="66">
        <f>IF(OR(Kalk3!$AA$7=2,Kalk3!$AA$7=3),1,0)</f>
        <v>0</v>
      </c>
      <c r="AV168" s="55" t="s">
        <v>19882</v>
      </c>
      <c r="AW168" s="66">
        <f>IF(OR(Kalk3!$AA$9=2,Kalk3!$AA$9=3),1,0)</f>
        <v>0</v>
      </c>
      <c r="AX168" s="55" t="s">
        <v>20310</v>
      </c>
      <c r="AY168" s="55" t="s">
        <v>22100</v>
      </c>
      <c r="AZ168" s="66">
        <f>(AU168+AW168)*Kalk3!$H$37</f>
        <v>0</v>
      </c>
      <c r="BA168" s="55" t="s">
        <v>22101</v>
      </c>
    </row>
    <row r="169" spans="2:53" ht="24.95" customHeight="1">
      <c r="B169" s="93">
        <f t="shared" si="29"/>
        <v>0</v>
      </c>
      <c r="C169" s="60">
        <v>2150</v>
      </c>
      <c r="D169" s="60"/>
      <c r="E169" s="60" t="str">
        <f>VLOOKUP(1600,Sprachindex!$A:$Z,Erhebungsbogen!$Y$20,FALSE)</f>
        <v>[Stk]</v>
      </c>
      <c r="F169" s="60" t="s">
        <v>21983</v>
      </c>
      <c r="G169" s="514" t="str">
        <f>VLOOKUP(2149,Sprachindex!$A:$Z,Erhebungsbogen!$Y$20,FALSE) &amp; IF(AND(Kalk3!$AA$5=2,Kalk3!$AA$13),", " &amp; VLOOKUP(1645,Sprachindex!$A:$Z,Erhebungsbogen!$Y$20,FALSE) &amp; " " &amp; $U$8,", "&amp; VLOOKUP(1648,Sprachindex!$A:$Z,Erhebungsbogen!$Y$20,FALSE))</f>
        <v>U-Profil 25 (in der Laibung) exkl. Dichtung, gebohrt und entgratet, blank</v>
      </c>
      <c r="H169" s="515"/>
      <c r="I169" s="515"/>
      <c r="J169" s="515"/>
      <c r="K169" s="515"/>
      <c r="L169" s="515"/>
      <c r="M169" s="515"/>
      <c r="N169" s="515"/>
      <c r="O169" s="515"/>
      <c r="P169" s="515"/>
      <c r="Q169" s="515"/>
      <c r="R169" s="515"/>
      <c r="S169" s="515"/>
      <c r="T169" s="516"/>
      <c r="U169" s="352">
        <f>IF(AND(Kalk3!$AA$5=2,Kalk3!$AA$13),VLOOKUP(F169,Preisliste!C:G,5,FALSE),VLOOKUP(F169,Preisliste!C:G,4,FALSE))</f>
        <v>162.9</v>
      </c>
      <c r="V169" s="352">
        <f t="shared" si="28"/>
        <v>0</v>
      </c>
      <c r="W169" s="86"/>
      <c r="X169" s="86"/>
      <c r="Y169" s="86"/>
      <c r="Z169" s="143">
        <f>IF(AND(Kalk3!$AA$5=2,Kalk3!$AA$13),(VLOOKUP(F169,Preisliste!C:G,5,FALSE)-VLOOKUP(F169,Preisliste!C:G,4,FALSE))*B169,0)</f>
        <v>0</v>
      </c>
      <c r="AA169" s="86"/>
      <c r="AB169" s="86"/>
      <c r="AC169" s="86"/>
      <c r="AD169" s="86"/>
      <c r="AE169" s="86"/>
      <c r="AF169" s="86"/>
      <c r="AG169" s="55">
        <f>IF(AND(AH169=1,AL169=1,AP169=1,AND(Kalk3!H28&gt;0,Kalk3!H29&gt;0)),1,0)</f>
        <v>0</v>
      </c>
      <c r="AH169" s="66">
        <f>IF(Kalk3!$AA$19=1,1,0)</f>
        <v>0</v>
      </c>
      <c r="AI169" s="55">
        <v>25</v>
      </c>
      <c r="AK169" s="55" t="s">
        <v>22079</v>
      </c>
      <c r="AL169" s="66">
        <f>IF(OR(OR(Kalk3!$AA$7=2,Kalk3!$AA$7=3),OR(Kalk3!$AA$9=2,Kalk3!$AA$9=3)),1,0)</f>
        <v>0</v>
      </c>
      <c r="AM169" s="55" t="s">
        <v>22092</v>
      </c>
      <c r="AO169" s="55" t="s">
        <v>22079</v>
      </c>
      <c r="AP169" s="66">
        <f>IF(Kalk3!$AI$51=AQ169,1,0)</f>
        <v>0</v>
      </c>
      <c r="AQ169" s="55">
        <v>2150</v>
      </c>
      <c r="AU169" s="66">
        <f>IF(OR(Kalk3!$AA$7=2,Kalk3!$AA$7=3),1,0)</f>
        <v>0</v>
      </c>
      <c r="AV169" s="55" t="s">
        <v>19882</v>
      </c>
      <c r="AW169" s="66">
        <f>IF(OR(Kalk3!$AA$9=2,Kalk3!$AA$9=3),1,0)</f>
        <v>0</v>
      </c>
      <c r="AX169" s="55" t="s">
        <v>20310</v>
      </c>
      <c r="AY169" s="55" t="s">
        <v>22100</v>
      </c>
      <c r="AZ169" s="66">
        <f>(AU169+AW169)*Kalk3!$H$37</f>
        <v>0</v>
      </c>
      <c r="BA169" s="55" t="s">
        <v>22101</v>
      </c>
    </row>
    <row r="170" spans="2:53" ht="24.95" customHeight="1">
      <c r="B170" s="93">
        <f t="shared" si="29"/>
        <v>0</v>
      </c>
      <c r="C170" s="60">
        <f>IF(AG170=1,AS170,0)</f>
        <v>0</v>
      </c>
      <c r="D170" s="60"/>
      <c r="E170" s="60" t="str">
        <f>VLOOKUP(1600,Sprachindex!$A:$Z,Erhebungsbogen!$Y$20,FALSE)</f>
        <v>[Stk]</v>
      </c>
      <c r="F170" s="60" t="s">
        <v>21883</v>
      </c>
      <c r="G170" s="514" t="str">
        <f>VLOOKUP(1858,Sprachindex!$A:$Z,Erhebungsbogen!$Y$20,FALSE)</f>
        <v>U-Profil 25 Sonderlänge exkl. Dichtung, (Stangenware)</v>
      </c>
      <c r="H170" s="515"/>
      <c r="I170" s="515"/>
      <c r="J170" s="515"/>
      <c r="K170" s="515"/>
      <c r="L170" s="515"/>
      <c r="M170" s="515"/>
      <c r="N170" s="515"/>
      <c r="O170" s="515"/>
      <c r="P170" s="515"/>
      <c r="Q170" s="515"/>
      <c r="R170" s="515"/>
      <c r="S170" s="515"/>
      <c r="T170" s="516"/>
      <c r="U170" s="352">
        <f>IF(AND(Kalk3!$AA$5=2,Kalk3!$AA$13),VLOOKUP(F170,Preisliste!C:G,5,FALSE),VLOOKUP(F170,Preisliste!C:G,4,FALSE))</f>
        <v>72</v>
      </c>
      <c r="V170" s="352">
        <f t="shared" si="28"/>
        <v>0</v>
      </c>
      <c r="W170" s="86"/>
      <c r="X170" s="86"/>
      <c r="Y170" s="86"/>
      <c r="Z170" s="143">
        <f>IF(AND(Kalk3!$AA$5=2,Kalk3!$AA$13),(VLOOKUP(F170,Preisliste!C:G,5,FALSE)-VLOOKUP(F170,Preisliste!C:G,4,FALSE))*B170,0)</f>
        <v>0</v>
      </c>
      <c r="AA170" s="86"/>
      <c r="AB170" s="86"/>
      <c r="AC170" s="86"/>
      <c r="AD170" s="86"/>
      <c r="AE170" s="86"/>
      <c r="AF170" s="86"/>
      <c r="AG170" s="55">
        <f>IF(AND(AH170=1,AL170=1,AP170=1,AND(Kalk3!H28&gt;0,Kalk3!H29&gt;0)),1,0)</f>
        <v>0</v>
      </c>
      <c r="AH170" s="66">
        <f>IF(Kalk3!$AA$19=1,1,0)</f>
        <v>0</v>
      </c>
      <c r="AI170" s="55">
        <v>25</v>
      </c>
      <c r="AK170" s="55" t="s">
        <v>22079</v>
      </c>
      <c r="AL170" s="66">
        <f>IF(OR(OR(Kalk3!$AA$7=1,Kalk3!$AA$7=2,Kalk3!$AA$7=3),OR(Kalk3!$AA$9=1,Kalk3!$AA$9=2,Kalk3!$AA$9=3)),1,0)</f>
        <v>1</v>
      </c>
      <c r="AM170" s="55" t="s">
        <v>22092</v>
      </c>
      <c r="AO170" s="55" t="s">
        <v>22079</v>
      </c>
      <c r="AP170" s="66">
        <f>IF(Kalk3!$AH$52&gt;AQ170,1,0)</f>
        <v>0</v>
      </c>
      <c r="AQ170" s="55">
        <v>2150</v>
      </c>
      <c r="AR170" s="55" t="s">
        <v>22084</v>
      </c>
      <c r="AS170" s="66">
        <f>Kalk3!$AH$52</f>
        <v>0</v>
      </c>
      <c r="AU170" s="66">
        <f>IF(OR(Kalk3!$AA$7=2,Kalk3!$AA$7=3),1,0)</f>
        <v>0</v>
      </c>
      <c r="AV170" s="55" t="s">
        <v>19882</v>
      </c>
      <c r="AW170" s="66">
        <f>IF(OR(Kalk3!$AA$9=2,Kalk3!$AA$9=3),1,0)</f>
        <v>0</v>
      </c>
      <c r="AX170" s="55" t="s">
        <v>20310</v>
      </c>
      <c r="AY170" s="55" t="s">
        <v>22100</v>
      </c>
      <c r="AZ170" s="66">
        <f>(AU170+AW170)*Kalk3!$H$37</f>
        <v>0</v>
      </c>
      <c r="BA170" s="55" t="s">
        <v>22101</v>
      </c>
    </row>
    <row r="171" spans="2:53" ht="24.95" customHeight="1">
      <c r="B171" s="93">
        <f t="shared" si="29"/>
        <v>0</v>
      </c>
      <c r="C171" s="60">
        <v>750</v>
      </c>
      <c r="D171" s="60"/>
      <c r="E171" s="60" t="str">
        <f>VLOOKUP(1600,Sprachindex!$A:$Z,Erhebungsbogen!$Y$20,FALSE)</f>
        <v>[Stk]</v>
      </c>
      <c r="F171" s="60" t="s">
        <v>21886</v>
      </c>
      <c r="G171" s="514" t="str">
        <f>VLOOKUP(1859,Sprachindex!$A:$Z,Erhebungsbogen!$Y$20,FALSE) &amp; IF(AND(Kalk3!$AA$5=2,Kalk3!$AA$13),", " &amp; VLOOKUP(1645,Sprachindex!$A:$Z,Erhebungsbogen!$Y$20,FALSE) &amp; " " &amp; $U$8,", "&amp; VLOOKUP(1648,Sprachindex!$A:$Z,Erhebungsbogen!$Y$20,FALSE))</f>
        <v>U-Profil 50 exkl. Dichtung, gebohrt und entgratet, blank</v>
      </c>
      <c r="H171" s="514"/>
      <c r="I171" s="514"/>
      <c r="J171" s="514"/>
      <c r="K171" s="514"/>
      <c r="L171" s="514"/>
      <c r="M171" s="514"/>
      <c r="N171" s="514"/>
      <c r="O171" s="514"/>
      <c r="P171" s="514"/>
      <c r="Q171" s="514"/>
      <c r="R171" s="514"/>
      <c r="S171" s="514"/>
      <c r="T171" s="514"/>
      <c r="U171" s="352">
        <f>IF(AND(Kalk3!$AA$5=2,Kalk3!$AA$13),VLOOKUP(F171,Preisliste!C:G,5,FALSE),VLOOKUP(F171,Preisliste!C:G,4,FALSE))</f>
        <v>134.25</v>
      </c>
      <c r="V171" s="352">
        <f t="shared" si="28"/>
        <v>0</v>
      </c>
      <c r="W171" s="86"/>
      <c r="X171" s="86"/>
      <c r="Y171" s="86"/>
      <c r="Z171" s="143">
        <f>IF(AND(Kalk3!$AA$5=2,Kalk3!$AA$13),(VLOOKUP(F171,Preisliste!C:G,5,FALSE)-VLOOKUP(F171,Preisliste!C:G,4,FALSE))*B171,0)</f>
        <v>0</v>
      </c>
      <c r="AA171" s="86"/>
      <c r="AB171" s="86"/>
      <c r="AC171" s="86"/>
      <c r="AD171" s="86"/>
      <c r="AE171" s="86"/>
      <c r="AF171" s="86"/>
      <c r="AG171" s="249">
        <f>IF(AND(AH171=1,AL171=1,AP171=1,AND(Kalk3!H28&gt;0,Kalk3!H29&gt;0)),1,0)</f>
        <v>0</v>
      </c>
      <c r="AH171" s="66">
        <f>IF(OR(Kalk3!$AA$19=2,Kalk3!$AA$19=3),1,0)</f>
        <v>1</v>
      </c>
      <c r="AI171" s="55">
        <v>50</v>
      </c>
      <c r="AK171" s="55" t="s">
        <v>22079</v>
      </c>
      <c r="AL171" s="66">
        <f>IF(OR(OR(Kalk3!$AA$7=2,Kalk3!$AA$7=3),OR(Kalk3!$AA$9=2,Kalk3!$AA$9=3)),1,0)</f>
        <v>0</v>
      </c>
      <c r="AM171" s="55" t="s">
        <v>22092</v>
      </c>
      <c r="AO171" s="55" t="s">
        <v>22079</v>
      </c>
      <c r="AP171" s="55">
        <f>IF(Kalk3!$AI$51=AQ171,1,0)</f>
        <v>1</v>
      </c>
      <c r="AQ171" s="55">
        <v>750</v>
      </c>
      <c r="AU171" s="66">
        <f>IF(OR(Kalk3!$AA$7=2,Kalk3!$AA$7=3),1,0)</f>
        <v>0</v>
      </c>
      <c r="AV171" s="55" t="s">
        <v>19882</v>
      </c>
      <c r="AW171" s="66">
        <f>IF(OR(Kalk3!$AA$9=2,Kalk3!$AA$9=3),1,0)</f>
        <v>0</v>
      </c>
      <c r="AX171" s="55" t="s">
        <v>20310</v>
      </c>
      <c r="AY171" s="55" t="s">
        <v>22100</v>
      </c>
      <c r="AZ171" s="66">
        <f>(AU171+AW171)*Kalk3!$H$37</f>
        <v>0</v>
      </c>
      <c r="BA171" s="55" t="s">
        <v>22101</v>
      </c>
    </row>
    <row r="172" spans="2:53" ht="24.95" customHeight="1">
      <c r="B172" s="93">
        <f t="shared" si="29"/>
        <v>0</v>
      </c>
      <c r="C172" s="60">
        <v>1350</v>
      </c>
      <c r="D172" s="60"/>
      <c r="E172" s="60" t="str">
        <f>VLOOKUP(1600,Sprachindex!$A:$Z,Erhebungsbogen!$Y$20,FALSE)</f>
        <v>[Stk]</v>
      </c>
      <c r="F172" s="60" t="s">
        <v>21887</v>
      </c>
      <c r="G172" s="514" t="str">
        <f>VLOOKUP(1859,Sprachindex!$A:$Z,Erhebungsbogen!$Y$20,FALSE) &amp; IF(AND(Kalk3!$AA$5=2,Kalk3!$AA$13),", " &amp; VLOOKUP(1645,Sprachindex!$A:$Z,Erhebungsbogen!$Y$20,FALSE) &amp; " " &amp; $U$8,", "&amp; VLOOKUP(1648,Sprachindex!$A:$Z,Erhebungsbogen!$Y$20,FALSE))</f>
        <v>U-Profil 50 exkl. Dichtung, gebohrt und entgratet, blank</v>
      </c>
      <c r="H172" s="514"/>
      <c r="I172" s="514"/>
      <c r="J172" s="514"/>
      <c r="K172" s="514"/>
      <c r="L172" s="514"/>
      <c r="M172" s="514"/>
      <c r="N172" s="514"/>
      <c r="O172" s="514"/>
      <c r="P172" s="514"/>
      <c r="Q172" s="514"/>
      <c r="R172" s="514"/>
      <c r="S172" s="514"/>
      <c r="T172" s="514"/>
      <c r="U172" s="352">
        <f>IF(AND(Kalk3!$AA$5=2,Kalk3!$AA$13),VLOOKUP(F172,Preisliste!C:G,5,FALSE),VLOOKUP(F172,Preisliste!C:G,4,FALSE))</f>
        <v>206.7</v>
      </c>
      <c r="V172" s="352">
        <f t="shared" si="28"/>
        <v>0</v>
      </c>
      <c r="W172" s="86"/>
      <c r="X172" s="86"/>
      <c r="Y172" s="86"/>
      <c r="Z172" s="143">
        <f>IF(AND(Kalk3!$AA$5=2,Kalk3!$AA$13),(VLOOKUP(F172,Preisliste!C:G,5,FALSE)-VLOOKUP(F172,Preisliste!C:G,4,FALSE))*B172,0)</f>
        <v>0</v>
      </c>
      <c r="AA172" s="86"/>
      <c r="AB172" s="86"/>
      <c r="AC172" s="86"/>
      <c r="AD172" s="86"/>
      <c r="AE172" s="86"/>
      <c r="AF172" s="86"/>
      <c r="AG172" s="55">
        <f>IF(AND(AH172=1,AL172=1,AP172=1,AND(Kalk3!H28&gt;0,Kalk3!H29&gt;0)),1,0)</f>
        <v>0</v>
      </c>
      <c r="AH172" s="66">
        <f>IF(OR(Kalk3!$AA$19=2,Kalk3!$AA$19=3),1,0)</f>
        <v>1</v>
      </c>
      <c r="AI172" s="55">
        <v>50</v>
      </c>
      <c r="AK172" s="55" t="s">
        <v>22079</v>
      </c>
      <c r="AL172" s="66">
        <f>IF(OR(OR(Kalk3!$AA$7=2,Kalk3!$AA$7=3),OR(Kalk3!$AA$9=2,Kalk3!$AA$9=3)),1,0)</f>
        <v>0</v>
      </c>
      <c r="AM172" s="55" t="s">
        <v>22092</v>
      </c>
      <c r="AO172" s="55" t="s">
        <v>22079</v>
      </c>
      <c r="AP172" s="66">
        <f>IF(Kalk3!$AI$51=AQ172,1,0)</f>
        <v>0</v>
      </c>
      <c r="AQ172" s="55">
        <v>1350</v>
      </c>
      <c r="AU172" s="66">
        <f>IF(OR(Kalk3!$AA$7=2,Kalk3!$AA$7=3),1,0)</f>
        <v>0</v>
      </c>
      <c r="AV172" s="55" t="s">
        <v>19882</v>
      </c>
      <c r="AW172" s="66">
        <f>IF(OR(Kalk3!$AA$9=2,Kalk3!$AA$9=3),1,0)</f>
        <v>0</v>
      </c>
      <c r="AX172" s="55" t="s">
        <v>20310</v>
      </c>
      <c r="AY172" s="55" t="s">
        <v>22100</v>
      </c>
      <c r="AZ172" s="66">
        <f>(AU172+AW172)*Kalk3!$H$37</f>
        <v>0</v>
      </c>
      <c r="BA172" s="55" t="s">
        <v>22101</v>
      </c>
    </row>
    <row r="173" spans="2:53" ht="24.95" customHeight="1">
      <c r="B173" s="93">
        <f t="shared" si="29"/>
        <v>0</v>
      </c>
      <c r="C173" s="60">
        <v>1750</v>
      </c>
      <c r="D173" s="60"/>
      <c r="E173" s="60" t="str">
        <f>VLOOKUP(1600,Sprachindex!$A:$Z,Erhebungsbogen!$Y$20,FALSE)</f>
        <v>[Stk]</v>
      </c>
      <c r="F173" s="60" t="s">
        <v>21888</v>
      </c>
      <c r="G173" s="514" t="str">
        <f>VLOOKUP(1859,Sprachindex!$A:$Z,Erhebungsbogen!$Y$20,FALSE) &amp; IF(AND(Kalk3!$AA$5=2,Kalk3!$AA$13),", " &amp; VLOOKUP(1645,Sprachindex!$A:$Z,Erhebungsbogen!$Y$20,FALSE) &amp; " " &amp; $U$8,", "&amp; VLOOKUP(1648,Sprachindex!$A:$Z,Erhebungsbogen!$Y$20,FALSE))</f>
        <v>U-Profil 50 exkl. Dichtung, gebohrt und entgratet, blank</v>
      </c>
      <c r="H173" s="514"/>
      <c r="I173" s="514"/>
      <c r="J173" s="514"/>
      <c r="K173" s="514"/>
      <c r="L173" s="514"/>
      <c r="M173" s="514"/>
      <c r="N173" s="514"/>
      <c r="O173" s="514"/>
      <c r="P173" s="514"/>
      <c r="Q173" s="514"/>
      <c r="R173" s="514"/>
      <c r="S173" s="514"/>
      <c r="T173" s="514"/>
      <c r="U173" s="352">
        <f>IF(AND(Kalk3!$AA$5=2,Kalk3!$AA$13),VLOOKUP(F173,Preisliste!C:G,5,FALSE),VLOOKUP(F173,Preisliste!C:G,4,FALSE))</f>
        <v>256.25</v>
      </c>
      <c r="V173" s="352">
        <f t="shared" si="28"/>
        <v>0</v>
      </c>
      <c r="W173" s="86"/>
      <c r="X173" s="86"/>
      <c r="Y173" s="86"/>
      <c r="Z173" s="143">
        <f>IF(AND(Kalk3!$AA$5=2,Kalk3!$AA$13),(VLOOKUP(F173,Preisliste!C:G,5,FALSE)-VLOOKUP(F173,Preisliste!C:G,4,FALSE))*B173,0)</f>
        <v>0</v>
      </c>
      <c r="AA173" s="86"/>
      <c r="AB173" s="86"/>
      <c r="AC173" s="86"/>
      <c r="AD173" s="86"/>
      <c r="AE173" s="86"/>
      <c r="AF173" s="86"/>
      <c r="AG173" s="55">
        <f>IF(AND(AH173=1,AL173=1,AP173=1,AND(Kalk3!H28&gt;0,Kalk3!H29&gt;0)),1,0)</f>
        <v>0</v>
      </c>
      <c r="AH173" s="66">
        <f>IF(OR(Kalk3!$AA$19=2,Kalk3!$AA$19=3),1,0)</f>
        <v>1</v>
      </c>
      <c r="AI173" s="55">
        <v>50</v>
      </c>
      <c r="AK173" s="55" t="s">
        <v>22079</v>
      </c>
      <c r="AL173" s="66">
        <f>IF(OR(OR(Kalk3!$AA$7=2,Kalk3!$AA$7=3),OR(Kalk3!$AA$9=2,Kalk3!$AA$9=3)),1,0)</f>
        <v>0</v>
      </c>
      <c r="AM173" s="55" t="s">
        <v>22092</v>
      </c>
      <c r="AO173" s="55" t="s">
        <v>22079</v>
      </c>
      <c r="AP173" s="66">
        <f>IF(Kalk3!$AI$51=AQ173,1,0)</f>
        <v>0</v>
      </c>
      <c r="AQ173" s="55">
        <v>1750</v>
      </c>
      <c r="AU173" s="66">
        <f>IF(OR(Kalk3!$AA$7=2,Kalk3!$AA$7=3),1,0)</f>
        <v>0</v>
      </c>
      <c r="AV173" s="55" t="s">
        <v>19882</v>
      </c>
      <c r="AW173" s="66">
        <f>IF(OR(Kalk3!$AA$9=2,Kalk3!$AA$9=3),1,0)</f>
        <v>0</v>
      </c>
      <c r="AX173" s="55" t="s">
        <v>20310</v>
      </c>
      <c r="AY173" s="55" t="s">
        <v>22100</v>
      </c>
      <c r="AZ173" s="66">
        <f>(AU173+AW173)*Kalk3!$H$37</f>
        <v>0</v>
      </c>
      <c r="BA173" s="55" t="s">
        <v>22101</v>
      </c>
    </row>
    <row r="174" spans="2:53" ht="24.95" customHeight="1">
      <c r="B174" s="93">
        <f t="shared" si="29"/>
        <v>0</v>
      </c>
      <c r="C174" s="60">
        <v>2150</v>
      </c>
      <c r="D174" s="60"/>
      <c r="E174" s="60" t="str">
        <f>VLOOKUP(1600,Sprachindex!$A:$Z,Erhebungsbogen!$Y$20,FALSE)</f>
        <v>[Stk]</v>
      </c>
      <c r="F174" s="60" t="s">
        <v>21889</v>
      </c>
      <c r="G174" s="514" t="str">
        <f>VLOOKUP(1859,Sprachindex!$A:$Z,Erhebungsbogen!$Y$20,FALSE) &amp; IF(AND(Kalk3!$AA$5=2,Kalk3!$AA$13),", " &amp; VLOOKUP(1645,Sprachindex!$A:$Z,Erhebungsbogen!$Y$20,FALSE) &amp; " " &amp; $U$8,", "&amp; VLOOKUP(1648,Sprachindex!$A:$Z,Erhebungsbogen!$Y$20,FALSE))</f>
        <v>U-Profil 50 exkl. Dichtung, gebohrt und entgratet, blank</v>
      </c>
      <c r="H174" s="514"/>
      <c r="I174" s="514"/>
      <c r="J174" s="514"/>
      <c r="K174" s="514"/>
      <c r="L174" s="514"/>
      <c r="M174" s="514"/>
      <c r="N174" s="514"/>
      <c r="O174" s="514"/>
      <c r="P174" s="514"/>
      <c r="Q174" s="514"/>
      <c r="R174" s="514"/>
      <c r="S174" s="514"/>
      <c r="T174" s="514"/>
      <c r="U174" s="352">
        <f>IF(AND(Kalk3!$AA$5=2,Kalk3!$AA$13),VLOOKUP(F174,Preisliste!C:G,5,FALSE),VLOOKUP(F174,Preisliste!C:G,4,FALSE))</f>
        <v>306.5</v>
      </c>
      <c r="V174" s="352">
        <f t="shared" si="28"/>
        <v>0</v>
      </c>
      <c r="W174" s="86"/>
      <c r="X174" s="86"/>
      <c r="Y174" s="86"/>
      <c r="Z174" s="143">
        <f>IF(AND(Kalk3!$AA$5=2,Kalk3!$AA$13),(VLOOKUP(F174,Preisliste!C:G,5,FALSE)-VLOOKUP(F174,Preisliste!C:G,4,FALSE))*B174,0)</f>
        <v>0</v>
      </c>
      <c r="AA174" s="86"/>
      <c r="AB174" s="86"/>
      <c r="AC174" s="86"/>
      <c r="AD174" s="86"/>
      <c r="AE174" s="86"/>
      <c r="AF174" s="86"/>
      <c r="AG174" s="55">
        <f>IF(AND(AH174=1,AL174=1,AP174=1,AND(Kalk3!H28&gt;0,Kalk3!H29&gt;0)),1,0)</f>
        <v>0</v>
      </c>
      <c r="AH174" s="66">
        <f>IF(OR(Kalk3!$AA$19=2,Kalk3!$AA$19=3),1,0)</f>
        <v>1</v>
      </c>
      <c r="AI174" s="55">
        <v>50</v>
      </c>
      <c r="AK174" s="55" t="s">
        <v>22079</v>
      </c>
      <c r="AL174" s="66">
        <f>IF(OR(OR(Kalk3!$AA$7=2,Kalk3!$AA$7=3),OR(Kalk3!$AA$9=2,Kalk3!$AA$9=3)),1,0)</f>
        <v>0</v>
      </c>
      <c r="AM174" s="55" t="s">
        <v>22092</v>
      </c>
      <c r="AO174" s="55" t="s">
        <v>22079</v>
      </c>
      <c r="AP174" s="66">
        <f>IF(Kalk3!$AI$51=AQ174,1,0)</f>
        <v>0</v>
      </c>
      <c r="AQ174" s="55">
        <v>2150</v>
      </c>
      <c r="AU174" s="66">
        <f>IF(OR(Kalk3!$AA$7=2,Kalk3!$AA$7=3),1,0)</f>
        <v>0</v>
      </c>
      <c r="AV174" s="55" t="s">
        <v>19882</v>
      </c>
      <c r="AW174" s="66">
        <f>IF(OR(Kalk3!$AA$9=2,Kalk3!$AA$9=3),1,0)</f>
        <v>0</v>
      </c>
      <c r="AX174" s="55" t="s">
        <v>20310</v>
      </c>
      <c r="AY174" s="55" t="s">
        <v>22100</v>
      </c>
      <c r="AZ174" s="66">
        <f>(AU174+AW174)*Kalk3!$H$37</f>
        <v>0</v>
      </c>
      <c r="BA174" s="55" t="s">
        <v>22101</v>
      </c>
    </row>
    <row r="175" spans="2:53" ht="24.95" customHeight="1">
      <c r="B175" s="93">
        <f t="shared" si="29"/>
        <v>0</v>
      </c>
      <c r="C175" s="60">
        <f>IF(AG175=1,AS175,0)</f>
        <v>0</v>
      </c>
      <c r="D175" s="60"/>
      <c r="E175" s="60" t="str">
        <f>VLOOKUP(1600,Sprachindex!$A:$Z,Erhebungsbogen!$Y$20,FALSE)</f>
        <v>[Stk]</v>
      </c>
      <c r="F175" s="60" t="s">
        <v>21890</v>
      </c>
      <c r="G175" s="514" t="str">
        <f>VLOOKUP(1860,Sprachindex!$A:$Z,Erhebungsbogen!$Y$20,FALSE)</f>
        <v>U-Profil 50 Sonderlänge exkl. Dichtung, (Stangenware)</v>
      </c>
      <c r="H175" s="514"/>
      <c r="I175" s="514"/>
      <c r="J175" s="514"/>
      <c r="K175" s="514"/>
      <c r="L175" s="514"/>
      <c r="M175" s="514"/>
      <c r="N175" s="514"/>
      <c r="O175" s="514"/>
      <c r="P175" s="514"/>
      <c r="Q175" s="514"/>
      <c r="R175" s="514"/>
      <c r="S175" s="514"/>
      <c r="T175" s="514"/>
      <c r="U175" s="352">
        <f>IF(AND(Kalk3!$AA$5=2,Kalk3!$AA$13),VLOOKUP(F175,Preisliste!C:G,5,FALSE),VLOOKUP(F175,Preisliste!C:G,4,FALSE))</f>
        <v>117.2</v>
      </c>
      <c r="V175" s="352">
        <f t="shared" si="28"/>
        <v>0</v>
      </c>
      <c r="W175" s="86"/>
      <c r="X175" s="86"/>
      <c r="Y175" s="86"/>
      <c r="Z175" s="143">
        <f>IF(AND(Kalk3!$AA$5=2,Kalk3!$AA$13),(VLOOKUP(F175,Preisliste!C:G,5,FALSE)-VLOOKUP(F175,Preisliste!C:G,4,FALSE))*B175,0)</f>
        <v>0</v>
      </c>
      <c r="AA175" s="86"/>
      <c r="AB175" s="86"/>
      <c r="AC175" s="86"/>
      <c r="AD175" s="86"/>
      <c r="AE175" s="86"/>
      <c r="AF175" s="86"/>
      <c r="AG175" s="55">
        <f>IF(AND(AH175=1,AL175=1,AP175=1,AND(Kalk3!H28&gt;0,Kalk3!H29&gt;0)),1,0)</f>
        <v>0</v>
      </c>
      <c r="AH175" s="66">
        <f>IF(OR(Kalk3!$AA$19=2,Kalk3!$AA$19=3),1,0)</f>
        <v>1</v>
      </c>
      <c r="AI175" s="55">
        <v>50</v>
      </c>
      <c r="AK175" s="55" t="s">
        <v>22079</v>
      </c>
      <c r="AL175" s="66">
        <f>IF(OR(OR(Kalk3!$AA$7=2,Kalk3!$AA$7=3),OR(Kalk3!$AA$9=2,Kalk3!$AA$9=3)),1,0)</f>
        <v>0</v>
      </c>
      <c r="AM175" s="55" t="s">
        <v>22092</v>
      </c>
      <c r="AO175" s="55" t="s">
        <v>22079</v>
      </c>
      <c r="AP175" s="66">
        <f>IF(Kalk3!$AH$52&gt;AQ175,1,0)</f>
        <v>0</v>
      </c>
      <c r="AQ175" s="55">
        <v>2150</v>
      </c>
      <c r="AR175" s="55" t="s">
        <v>22084</v>
      </c>
      <c r="AS175" s="66">
        <f>Kalk3!$AH$52</f>
        <v>0</v>
      </c>
      <c r="AU175" s="66">
        <f>IF(OR(Kalk3!$AA$7=2,Kalk3!$AA$7=3),1,0)</f>
        <v>0</v>
      </c>
      <c r="AV175" s="55" t="s">
        <v>19882</v>
      </c>
      <c r="AW175" s="66">
        <f>IF(OR(Kalk3!$AA$9=2,Kalk3!$AA$9=3),1,0)</f>
        <v>0</v>
      </c>
      <c r="AX175" s="55" t="s">
        <v>20310</v>
      </c>
      <c r="AY175" s="55" t="s">
        <v>22100</v>
      </c>
      <c r="AZ175" s="66">
        <f>(AU175+AW175)*Kalk3!$H$37</f>
        <v>0</v>
      </c>
      <c r="BA175" s="55" t="s">
        <v>22101</v>
      </c>
    </row>
    <row r="176" spans="2:53" ht="24.95" customHeight="1">
      <c r="B176" s="93">
        <f t="shared" si="29"/>
        <v>0</v>
      </c>
      <c r="C176" s="60">
        <v>750</v>
      </c>
      <c r="D176" s="60"/>
      <c r="E176" s="60" t="str">
        <f>VLOOKUP(1600,Sprachindex!$A:$Z,Erhebungsbogen!$Y$20,FALSE)</f>
        <v>[Stk]</v>
      </c>
      <c r="F176" s="60" t="s">
        <v>21891</v>
      </c>
      <c r="G176" s="514" t="str">
        <f>VLOOKUP(1861,Sprachindex!$A:$Z,Erhebungsbogen!$Y$20,FALSE) &amp; IF(AND(Kalk3!$AA$5=2,Kalk3!$AA$13),", " &amp; VLOOKUP(1645,Sprachindex!$A:$Z,Erhebungsbogen!$Y$20,FALSE) &amp; " " &amp; $U$8,", "&amp; VLOOKUP(1648,Sprachindex!$A:$Z,Erhebungsbogen!$Y$20,FALSE))</f>
        <v>U-Profil 80 exkl. Dichtung, gebohrt und entgratet, blank</v>
      </c>
      <c r="H176" s="514"/>
      <c r="I176" s="514"/>
      <c r="J176" s="514"/>
      <c r="K176" s="514"/>
      <c r="L176" s="514"/>
      <c r="M176" s="514"/>
      <c r="N176" s="514"/>
      <c r="O176" s="514"/>
      <c r="P176" s="514"/>
      <c r="Q176" s="514"/>
      <c r="R176" s="514"/>
      <c r="S176" s="514"/>
      <c r="T176" s="514"/>
      <c r="U176" s="352">
        <f>IF(AND(Kalk3!$AA$5=2,Kalk3!$AA$13),VLOOKUP(F176,Preisliste!C:G,5,FALSE),VLOOKUP(F176,Preisliste!C:G,4,FALSE))</f>
        <v>153.25</v>
      </c>
      <c r="V176" s="352">
        <f t="shared" si="28"/>
        <v>0</v>
      </c>
      <c r="W176" s="86"/>
      <c r="X176" s="86"/>
      <c r="Y176" s="86"/>
      <c r="Z176" s="143">
        <f>IF(AND(Kalk3!$AA$5=2,Kalk3!$AA$13),(VLOOKUP(F176,Preisliste!C:G,5,FALSE)-VLOOKUP(F176,Preisliste!C:G,4,FALSE))*B176,0)</f>
        <v>0</v>
      </c>
      <c r="AA176" s="86"/>
      <c r="AB176" s="86"/>
      <c r="AC176" s="86"/>
      <c r="AD176" s="86"/>
      <c r="AE176" s="86"/>
      <c r="AF176" s="86"/>
      <c r="AG176" s="55">
        <f>IF(AND(AH176=1,AL176=1,AP176=1,AND(Kalk3!H28&gt;0,Kalk3!H29&gt;0)),1,0)</f>
        <v>0</v>
      </c>
      <c r="AH176" s="66">
        <f>IF(Kalk3!$AA$19=4,1,0)</f>
        <v>0</v>
      </c>
      <c r="AI176" s="55">
        <v>80</v>
      </c>
      <c r="AK176" s="55" t="s">
        <v>22079</v>
      </c>
      <c r="AL176" s="66">
        <f>IF(OR(OR(Kalk3!$AA$7=2,Kalk3!$AA$7=3),OR(Kalk3!$AA$9=2,Kalk3!$AA$9=3)),1,0)</f>
        <v>0</v>
      </c>
      <c r="AM176" s="55" t="s">
        <v>22092</v>
      </c>
      <c r="AO176" s="55" t="s">
        <v>22079</v>
      </c>
      <c r="AP176" s="66">
        <f>IF(Kalk3!$AI$51=AQ176,1,0)</f>
        <v>1</v>
      </c>
      <c r="AQ176" s="55">
        <v>750</v>
      </c>
      <c r="AU176" s="66">
        <f>IF(OR(Kalk3!$AA$7=2,Kalk3!$AA$7=3),1,0)</f>
        <v>0</v>
      </c>
      <c r="AV176" s="55" t="s">
        <v>19882</v>
      </c>
      <c r="AW176" s="66">
        <f>IF(OR(Kalk3!$AA$9=2,Kalk3!$AA$9=3),1,0)</f>
        <v>0</v>
      </c>
      <c r="AX176" s="55" t="s">
        <v>20310</v>
      </c>
      <c r="AY176" s="55" t="s">
        <v>22100</v>
      </c>
      <c r="AZ176" s="66">
        <f>(AU176+AW176)*Kalk3!$H$37</f>
        <v>0</v>
      </c>
      <c r="BA176" s="55" t="s">
        <v>22101</v>
      </c>
    </row>
    <row r="177" spans="2:53" ht="24.95" customHeight="1">
      <c r="B177" s="93">
        <f t="shared" si="29"/>
        <v>0</v>
      </c>
      <c r="C177" s="60">
        <v>1350</v>
      </c>
      <c r="D177" s="60"/>
      <c r="E177" s="60" t="str">
        <f>VLOOKUP(1600,Sprachindex!$A:$Z,Erhebungsbogen!$Y$20,FALSE)</f>
        <v>[Stk]</v>
      </c>
      <c r="F177" s="60" t="s">
        <v>21892</v>
      </c>
      <c r="G177" s="514" t="str">
        <f>VLOOKUP(1861,Sprachindex!$A:$Z,Erhebungsbogen!$Y$20,FALSE) &amp; IF(AND(Kalk3!$AA$5=2,Kalk3!$AA$13),", " &amp; VLOOKUP(1645,Sprachindex!$A:$Z,Erhebungsbogen!$Y$20,FALSE) &amp; " " &amp; $U$8,", "&amp; VLOOKUP(1648,Sprachindex!$A:$Z,Erhebungsbogen!$Y$20,FALSE))</f>
        <v>U-Profil 80 exkl. Dichtung, gebohrt und entgratet, blank</v>
      </c>
      <c r="H177" s="514"/>
      <c r="I177" s="514"/>
      <c r="J177" s="514"/>
      <c r="K177" s="514"/>
      <c r="L177" s="514"/>
      <c r="M177" s="514"/>
      <c r="N177" s="514"/>
      <c r="O177" s="514"/>
      <c r="P177" s="514"/>
      <c r="Q177" s="514"/>
      <c r="R177" s="514"/>
      <c r="S177" s="514"/>
      <c r="T177" s="514"/>
      <c r="U177" s="352">
        <f>IF(AND(Kalk3!$AA$5=2,Kalk3!$AA$13),VLOOKUP(F177,Preisliste!C:G,5,FALSE),VLOOKUP(F177,Preisliste!C:G,4,FALSE))</f>
        <v>239.85</v>
      </c>
      <c r="V177" s="352">
        <f t="shared" si="28"/>
        <v>0</v>
      </c>
      <c r="W177" s="86"/>
      <c r="X177" s="86"/>
      <c r="Y177" s="86"/>
      <c r="Z177" s="143">
        <f>IF(AND(Kalk3!$AA$5=2,Kalk3!$AA$13),(VLOOKUP(F177,Preisliste!C:G,5,FALSE)-VLOOKUP(F177,Preisliste!C:G,4,FALSE))*B177,0)</f>
        <v>0</v>
      </c>
      <c r="AA177" s="86"/>
      <c r="AB177" s="86"/>
      <c r="AC177" s="86"/>
      <c r="AD177" s="86"/>
      <c r="AE177" s="86"/>
      <c r="AF177" s="86"/>
      <c r="AG177" s="55">
        <f>IF(AND(AH177=1,AL177=1,AP177=1,AND(Kalk3!H28&gt;0,Kalk3!H29&gt;0)),1,0)</f>
        <v>0</v>
      </c>
      <c r="AH177" s="66">
        <f>IF(Kalk3!$AA$19=4,1,0)</f>
        <v>0</v>
      </c>
      <c r="AI177" s="55">
        <v>80</v>
      </c>
      <c r="AK177" s="55" t="s">
        <v>22079</v>
      </c>
      <c r="AL177" s="66">
        <f>IF(OR(OR(Kalk3!$AA$7=2,Kalk3!$AA$7=3),OR(Kalk3!$AA$9=2,Kalk3!$AA$9=3)),1,0)</f>
        <v>0</v>
      </c>
      <c r="AM177" s="55" t="s">
        <v>22092</v>
      </c>
      <c r="AO177" s="55" t="s">
        <v>22079</v>
      </c>
      <c r="AP177" s="66">
        <f>IF(Kalk3!$AI$51=AQ177,1,0)</f>
        <v>0</v>
      </c>
      <c r="AQ177" s="55">
        <v>1350</v>
      </c>
      <c r="AU177" s="66">
        <f>IF(OR(Kalk3!$AA$7=2,Kalk3!$AA$7=3),1,0)</f>
        <v>0</v>
      </c>
      <c r="AV177" s="55" t="s">
        <v>19882</v>
      </c>
      <c r="AW177" s="66">
        <f>IF(OR(Kalk3!$AA$9=2,Kalk3!$AA$9=3),1,0)</f>
        <v>0</v>
      </c>
      <c r="AX177" s="55" t="s">
        <v>20310</v>
      </c>
      <c r="AY177" s="55" t="s">
        <v>22100</v>
      </c>
      <c r="AZ177" s="66">
        <f>(AU177+AW177)*Kalk3!$H$37</f>
        <v>0</v>
      </c>
      <c r="BA177" s="55" t="s">
        <v>22101</v>
      </c>
    </row>
    <row r="178" spans="2:53" ht="24.95" customHeight="1">
      <c r="B178" s="93">
        <f t="shared" si="29"/>
        <v>0</v>
      </c>
      <c r="C178" s="60">
        <v>1750</v>
      </c>
      <c r="D178" s="60"/>
      <c r="E178" s="60" t="str">
        <f>VLOOKUP(1600,Sprachindex!$A:$Z,Erhebungsbogen!$Y$20,FALSE)</f>
        <v>[Stk]</v>
      </c>
      <c r="F178" s="60" t="s">
        <v>21893</v>
      </c>
      <c r="G178" s="514" t="str">
        <f>VLOOKUP(1861,Sprachindex!$A:$Z,Erhebungsbogen!$Y$20,FALSE) &amp; IF(AND(Kalk3!$AA$5=2,Kalk3!$AA$13),", " &amp; VLOOKUP(1645,Sprachindex!$A:$Z,Erhebungsbogen!$Y$20,FALSE) &amp; " " &amp; $U$8,", "&amp; VLOOKUP(1648,Sprachindex!$A:$Z,Erhebungsbogen!$Y$20,FALSE))</f>
        <v>U-Profil 80 exkl. Dichtung, gebohrt und entgratet, blank</v>
      </c>
      <c r="H178" s="514"/>
      <c r="I178" s="514"/>
      <c r="J178" s="514"/>
      <c r="K178" s="514"/>
      <c r="L178" s="514"/>
      <c r="M178" s="514"/>
      <c r="N178" s="514"/>
      <c r="O178" s="514"/>
      <c r="P178" s="514"/>
      <c r="Q178" s="514"/>
      <c r="R178" s="514"/>
      <c r="S178" s="514"/>
      <c r="T178" s="514"/>
      <c r="U178" s="352">
        <f>IF(AND(Kalk3!$AA$5=2,Kalk3!$AA$13),VLOOKUP(F178,Preisliste!C:G,5,FALSE),VLOOKUP(F178,Preisliste!C:G,4,FALSE))</f>
        <v>298.89999999999998</v>
      </c>
      <c r="V178" s="352">
        <f t="shared" si="28"/>
        <v>0</v>
      </c>
      <c r="W178" s="86"/>
      <c r="X178" s="86"/>
      <c r="Y178" s="86"/>
      <c r="Z178" s="143">
        <f>IF(AND(Kalk3!$AA$5=2,Kalk3!$AA$13),(VLOOKUP(F178,Preisliste!C:G,5,FALSE)-VLOOKUP(F178,Preisliste!C:G,4,FALSE))*B178,0)</f>
        <v>0</v>
      </c>
      <c r="AA178" s="86"/>
      <c r="AB178" s="86"/>
      <c r="AC178" s="86"/>
      <c r="AD178" s="86"/>
      <c r="AE178" s="86"/>
      <c r="AF178" s="86"/>
      <c r="AG178" s="55">
        <f>IF(AND(AH178=1,AL178=1,AP178=1,AND(Kalk3!H28&gt;0,Kalk3!H29&gt;0)),1,0)</f>
        <v>0</v>
      </c>
      <c r="AH178" s="66">
        <f>IF(Kalk3!$AA$19=4,1,0)</f>
        <v>0</v>
      </c>
      <c r="AI178" s="55">
        <v>80</v>
      </c>
      <c r="AK178" s="55" t="s">
        <v>22079</v>
      </c>
      <c r="AL178" s="66">
        <f>IF(OR(OR(Kalk3!$AA$7=2,Kalk3!$AA$7=3),OR(Kalk3!$AA$9=2,Kalk3!$AA$9=3)),1,0)</f>
        <v>0</v>
      </c>
      <c r="AM178" s="55" t="s">
        <v>22092</v>
      </c>
      <c r="AO178" s="55" t="s">
        <v>22079</v>
      </c>
      <c r="AP178" s="66">
        <f>IF(Kalk3!$AI$51=AQ178,1,0)</f>
        <v>0</v>
      </c>
      <c r="AQ178" s="55">
        <v>1750</v>
      </c>
      <c r="AU178" s="66">
        <f>IF(OR(Kalk3!$AA$7=2,Kalk3!$AA$7=3),1,0)</f>
        <v>0</v>
      </c>
      <c r="AV178" s="55" t="s">
        <v>19882</v>
      </c>
      <c r="AW178" s="66">
        <f>IF(OR(Kalk3!$AA$9=2,Kalk3!$AA$9=3),1,0)</f>
        <v>0</v>
      </c>
      <c r="AX178" s="55" t="s">
        <v>20310</v>
      </c>
      <c r="AY178" s="55" t="s">
        <v>22100</v>
      </c>
      <c r="AZ178" s="66">
        <f>(AU178+AW178)*Kalk3!$H$37</f>
        <v>0</v>
      </c>
      <c r="BA178" s="55" t="s">
        <v>22101</v>
      </c>
    </row>
    <row r="179" spans="2:53" ht="24.95" customHeight="1">
      <c r="B179" s="93">
        <f t="shared" si="29"/>
        <v>0</v>
      </c>
      <c r="C179" s="60">
        <v>2150</v>
      </c>
      <c r="D179" s="60"/>
      <c r="E179" s="60" t="str">
        <f>VLOOKUP(1600,Sprachindex!$A:$Z,Erhebungsbogen!$Y$20,FALSE)</f>
        <v>[Stk]</v>
      </c>
      <c r="F179" s="60" t="s">
        <v>21894</v>
      </c>
      <c r="G179" s="514" t="str">
        <f>VLOOKUP(1861,Sprachindex!$A:$Z,Erhebungsbogen!$Y$20,FALSE) &amp; IF(AND(Kalk3!$AA$5=2,Kalk3!$AA$13),", " &amp; VLOOKUP(1645,Sprachindex!$A:$Z,Erhebungsbogen!$Y$20,FALSE) &amp; " " &amp; $U$8,", "&amp; VLOOKUP(1648,Sprachindex!$A:$Z,Erhebungsbogen!$Y$20,FALSE))</f>
        <v>U-Profil 80 exkl. Dichtung, gebohrt und entgratet, blank</v>
      </c>
      <c r="H179" s="514"/>
      <c r="I179" s="514"/>
      <c r="J179" s="514"/>
      <c r="K179" s="514"/>
      <c r="L179" s="514"/>
      <c r="M179" s="514"/>
      <c r="N179" s="514"/>
      <c r="O179" s="514"/>
      <c r="P179" s="514"/>
      <c r="Q179" s="514"/>
      <c r="R179" s="514"/>
      <c r="S179" s="514"/>
      <c r="T179" s="514"/>
      <c r="U179" s="352">
        <f>IF(AND(Kalk3!$AA$5=2,Kalk3!$AA$13),VLOOKUP(F179,Preisliste!C:G,5,FALSE),VLOOKUP(F179,Preisliste!C:G,4,FALSE))</f>
        <v>359</v>
      </c>
      <c r="V179" s="352">
        <f t="shared" si="28"/>
        <v>0</v>
      </c>
      <c r="W179" s="86"/>
      <c r="X179" s="86"/>
      <c r="Y179" s="86"/>
      <c r="Z179" s="143">
        <f>IF(AND(Kalk3!$AA$5=2,Kalk3!$AA$13),(VLOOKUP(F179,Preisliste!C:G,5,FALSE)-VLOOKUP(F179,Preisliste!C:G,4,FALSE))*B179,0)</f>
        <v>0</v>
      </c>
      <c r="AA179" s="86"/>
      <c r="AB179" s="86"/>
      <c r="AC179" s="86"/>
      <c r="AD179" s="86"/>
      <c r="AE179" s="86"/>
      <c r="AF179" s="86"/>
      <c r="AG179" s="55">
        <f>IF(AND(AH179=1,AL179=1,AP179=1,AND(Kalk3!H28&gt;0,Kalk3!H29&gt;0)),1,0)</f>
        <v>0</v>
      </c>
      <c r="AH179" s="66">
        <f>IF(Kalk3!$AA$19=4,1,0)</f>
        <v>0</v>
      </c>
      <c r="AI179" s="55">
        <v>80</v>
      </c>
      <c r="AK179" s="55" t="s">
        <v>22079</v>
      </c>
      <c r="AL179" s="66">
        <f>IF(OR(OR(Kalk3!$AA$7=2,Kalk3!$AA$7=3),OR(Kalk3!$AA$9=2,Kalk3!$AA$9=3)),1,0)</f>
        <v>0</v>
      </c>
      <c r="AM179" s="55" t="s">
        <v>22092</v>
      </c>
      <c r="AO179" s="55" t="s">
        <v>22079</v>
      </c>
      <c r="AP179" s="66">
        <f>IF(Kalk3!$AI$51=AQ179,1,0)</f>
        <v>0</v>
      </c>
      <c r="AQ179" s="55">
        <v>2150</v>
      </c>
      <c r="AU179" s="66">
        <f>IF(OR(Kalk3!$AA$7=2,Kalk3!$AA$7=3),1,0)</f>
        <v>0</v>
      </c>
      <c r="AV179" s="55" t="s">
        <v>19882</v>
      </c>
      <c r="AW179" s="66">
        <f>IF(OR(Kalk3!$AA$9=2,Kalk3!$AA$9=3),1,0)</f>
        <v>0</v>
      </c>
      <c r="AX179" s="55" t="s">
        <v>20310</v>
      </c>
      <c r="AY179" s="55" t="s">
        <v>22100</v>
      </c>
      <c r="AZ179" s="66">
        <f>(AU179+AW179)*Kalk3!$H$37</f>
        <v>0</v>
      </c>
      <c r="BA179" s="55" t="s">
        <v>22101</v>
      </c>
    </row>
    <row r="180" spans="2:53" ht="24.95" customHeight="1">
      <c r="B180" s="93">
        <f t="shared" si="29"/>
        <v>0</v>
      </c>
      <c r="C180" s="60">
        <f>IF(AG180=1,AS180,0)</f>
        <v>0</v>
      </c>
      <c r="D180" s="60"/>
      <c r="E180" s="60" t="str">
        <f>VLOOKUP(1600,Sprachindex!$A:$Z,Erhebungsbogen!$Y$20,FALSE)</f>
        <v>[Stk]</v>
      </c>
      <c r="F180" s="60" t="s">
        <v>21895</v>
      </c>
      <c r="G180" s="514" t="str">
        <f>VLOOKUP(1862,Sprachindex!$A:$Z,Erhebungsbogen!$Y$20,FALSE)</f>
        <v>U-Profil 80 Sonderlänge exkl. Dichtung, (Stangenware)</v>
      </c>
      <c r="H180" s="514"/>
      <c r="I180" s="514"/>
      <c r="J180" s="514"/>
      <c r="K180" s="514"/>
      <c r="L180" s="514"/>
      <c r="M180" s="514"/>
      <c r="N180" s="514"/>
      <c r="O180" s="514"/>
      <c r="P180" s="514"/>
      <c r="Q180" s="514"/>
      <c r="R180" s="514"/>
      <c r="S180" s="514"/>
      <c r="T180" s="514"/>
      <c r="U180" s="352">
        <f>IF(AND(Kalk3!$AA$5=2,Kalk3!$AA$13),VLOOKUP(F180,Preisliste!C:G,5,FALSE),VLOOKUP(F180,Preisliste!C:G,4,FALSE))</f>
        <v>141.35</v>
      </c>
      <c r="V180" s="352">
        <f t="shared" si="28"/>
        <v>0</v>
      </c>
      <c r="W180" s="86"/>
      <c r="X180" s="86"/>
      <c r="Y180" s="86"/>
      <c r="Z180" s="143">
        <f>IF(AND(Kalk3!$AA$5=2,Kalk3!$AA$13),(VLOOKUP(F180,Preisliste!C:G,5,FALSE)-VLOOKUP(F180,Preisliste!C:G,4,FALSE))*B180,0)</f>
        <v>0</v>
      </c>
      <c r="AA180" s="86"/>
      <c r="AB180" s="86"/>
      <c r="AC180" s="86"/>
      <c r="AD180" s="86"/>
      <c r="AE180" s="86"/>
      <c r="AF180" s="86"/>
      <c r="AG180" s="55">
        <f>IF(AND(AH180=1,AL180=1,AP180=1,AND(Kalk3!H28&gt;0,Kalk3!H29&gt;0)),1,0)</f>
        <v>0</v>
      </c>
      <c r="AH180" s="66">
        <f>IF(Kalk3!$AA$19=4,1,0)</f>
        <v>0</v>
      </c>
      <c r="AI180" s="55">
        <v>80</v>
      </c>
      <c r="AK180" s="55" t="s">
        <v>22079</v>
      </c>
      <c r="AL180" s="66">
        <f>IF(OR(OR(Kalk3!$AA$7=2,Kalk3!$AA$7=3),OR(Kalk3!$AA$9=2,Kalk3!$AA$9=3)),1,0)</f>
        <v>0</v>
      </c>
      <c r="AM180" s="55" t="s">
        <v>22092</v>
      </c>
      <c r="AO180" s="55" t="s">
        <v>22079</v>
      </c>
      <c r="AP180" s="66">
        <f>IF(Kalk3!$AH$52&gt;AQ180,1,0)</f>
        <v>0</v>
      </c>
      <c r="AQ180" s="55">
        <v>2150</v>
      </c>
      <c r="AR180" s="55" t="s">
        <v>22084</v>
      </c>
      <c r="AS180" s="66">
        <f>Kalk3!$AH$52</f>
        <v>0</v>
      </c>
      <c r="AU180" s="66">
        <f>IF(OR(Kalk3!$AA$7=2,Kalk3!$AA$7=3),1,0)</f>
        <v>0</v>
      </c>
      <c r="AV180" s="55" t="s">
        <v>19882</v>
      </c>
      <c r="AW180" s="66">
        <f>IF(OR(Kalk3!$AA$9=2,Kalk3!$AA$9=3),1,0)</f>
        <v>0</v>
      </c>
      <c r="AX180" s="55" t="s">
        <v>20310</v>
      </c>
      <c r="AY180" s="55" t="s">
        <v>22100</v>
      </c>
      <c r="AZ180" s="66">
        <f>(AU180+AW180)*Kalk3!$H$37</f>
        <v>0</v>
      </c>
      <c r="BA180" s="55" t="s">
        <v>22101</v>
      </c>
    </row>
    <row r="181" spans="2:53">
      <c r="B181" s="91">
        <v>1</v>
      </c>
      <c r="R181" s="56"/>
      <c r="U181" s="56" t="str">
        <f>IF(AND(AB16=1,OR(AB17=1,AB18&gt;=300),AB19&gt;=Preisliste!G176,X19=0),AA181,AB181)</f>
        <v>Summe</v>
      </c>
      <c r="V181" s="355">
        <f>AB19</f>
        <v>0</v>
      </c>
      <c r="AA181" s="55" t="str">
        <f>VLOOKUP(1700,Sprachindex!$A:$Z,Erhebungsbogen!$Y$20,FALSE)</f>
        <v>Endsumme exkl. MwSt.</v>
      </c>
      <c r="AB181" s="55" t="str">
        <f>VLOOKUP(1491,Sprachindex!$A:$Z,Erhebungsbogen!$Y$20,FALSE)</f>
        <v>Summe</v>
      </c>
    </row>
    <row r="182" spans="2:53">
      <c r="B182" s="91">
        <v>1</v>
      </c>
      <c r="R182" s="56"/>
      <c r="U182" s="56" t="str">
        <f>IF(U181=AB181,IF(X19&lt;&gt;0,AA182,IF(AB19&lt;Preisliste!G176,AB182,IF(AND(AB17=2,AJ206&lt;Preisliste!G171),AC182,IF(AB16=2,AD182,0)))),"")</f>
        <v>Rabatt -10 %</v>
      </c>
      <c r="V182" s="355">
        <f>IF(U182=AA182,V181/100*X19,IF(U182=AB182,Preisliste!G175,IF(U182=AC182,Preisliste!G170,IF(U182=AD182,V181/100*Haftungsausschluß!M43,""))))</f>
        <v>0</v>
      </c>
      <c r="AA182" s="55" t="str">
        <f>VLOOKUP(1790,Sprachindex!$A:$Z,Erhebungsbogen!$Y$20,FALSE) &amp; " " &amp; X19 &amp;" %"</f>
        <v>Rabatt -10 %</v>
      </c>
      <c r="AB182" s="55" t="str">
        <f>VLOOKUP(1713,Sprachindex!$A:$Z,Erhebungsbogen!$Y$20,FALSE)</f>
        <v>Frachtkosten</v>
      </c>
      <c r="AC182" s="55" t="str">
        <f>VLOOKUP(2150,Sprachindex!$A:$Z,Erhebungsbogen!$Y$20,FALSE)</f>
        <v>Beschichtungspauschale</v>
      </c>
      <c r="AD182" s="55" t="str">
        <f>"+ " &amp;Haftungsausschluß!M43&amp; " % " &amp; VLOOKUP(2116,Sprachindex!$A:$Z,Erhebungsbogen!$Y$20,FALSE)</f>
        <v>+ 8.1 % MwSt.</v>
      </c>
    </row>
    <row r="183" spans="2:53">
      <c r="B183" s="91">
        <v>1</v>
      </c>
      <c r="R183" s="56"/>
      <c r="U183" s="144" t="str">
        <f>IF(AND(AB16=1,AND(AB17=2,AB18&lt;Preisliste!G171),U182&lt;&gt;AC182),AC183,IF(AND(AB16=1,AB19&lt;Preisliste!G176,U182&lt;&gt;AB182),AB183,IF(AND(AB16=1,OR(U182=AA182,U182=AB182,U182=AC182)),AA183,IF(AND(U182=AD182,AB16=2),AF183,IF(OR(AND(AB19&lt;Preisliste!G176,X19=0,OR(AB17=1,AND(AB17=2,AB18&gt;Preisliste!G171)))),AE183,IF(OR(AND(AB19&gt;=Preisliste!G176,X19&lt;&gt;0,OR(AB17=1,AND(AB17=2,AB18&gt;Preisliste!G171)))),AE183,IF(OR(AND(AB19&gt;=Preisliste!G176,X19=0,AND(AB17=2,AB18&lt;Preisliste!G171))),AE183,IF(OR(AND(AB19&gt;=Preisliste!G176,X19&lt;&gt;0,AND(AB17=2,AB18&lt;Preisliste!G171))),AC183,IF(OR(AND(AB18&lt;Preisliste!G176,X19&lt;&gt;0,OR(AB17=1,AND(AB17=2,AB18&gt;Preisliste!G171)))),AB183,IF(OR(AND(AB19&lt;Preisliste!G176,X19&lt;&gt;0,AND(AB17=2,AB18&lt;Preisliste!G171))),AC183,IF(OR(AND(AB19&lt;Preisliste!G176,X19=0,AND(AB17=2,AB18&lt;Preisliste!G171))),AC183,"")))))))))))</f>
        <v>Frachtkosten</v>
      </c>
      <c r="V183" s="355">
        <f>IF(U183=AA183,V181+V182,IF(U183=AC183,Preisliste!G170,IF(U183=AB183,Preisliste!G175,IF(U183=AD183,(V181+V182)/100*Haftungsausschluß!M43,IF(U183=AF183,V181+V182,IF(U183=AE183,V181+V182,""))))))</f>
        <v>200</v>
      </c>
      <c r="AA183" s="55" t="str">
        <f>VLOOKUP(1700,Sprachindex!$A:$Z,Erhebungsbogen!$Y$20,FALSE)</f>
        <v>Endsumme exkl. MwSt.</v>
      </c>
      <c r="AB183" s="55" t="str">
        <f>VLOOKUP(1713,Sprachindex!$A:$Z,Erhebungsbogen!$Y$20,FALSE)</f>
        <v>Frachtkosten</v>
      </c>
      <c r="AC183" s="55" t="str">
        <f>VLOOKUP(2150,Sprachindex!$A:$Z,Erhebungsbogen!$Y$20,FALSE)</f>
        <v>Beschichtungspauschale</v>
      </c>
      <c r="AD183" s="55" t="str">
        <f>"+ " &amp;Haftungsausschluß!M43&amp; " % " &amp; VLOOKUP(2116,Sprachindex!$A:$Z,Erhebungsbogen!$Y$20,FALSE)</f>
        <v>+ 8.1 % MwSt.</v>
      </c>
      <c r="AE183" s="55" t="str">
        <f>VLOOKUP(1873,Sprachindex!$A:$Z,Erhebungsbogen!$Y$20,FALSE)</f>
        <v>Zwischensumme</v>
      </c>
      <c r="AF183" s="55" t="str">
        <f>VLOOKUP(1701,Sprachindex!$A:$Z,Erhebungsbogen!$Y$20,FALSE)</f>
        <v>Endsumme inkl. MwSt.</v>
      </c>
    </row>
    <row r="184" spans="2:53">
      <c r="B184" s="91">
        <v>1</v>
      </c>
      <c r="R184" s="56"/>
      <c r="U184" s="56" t="str">
        <f>IF(AND(X19&lt;&gt;0,AND(AB17=2,AB18&lt;Preisliste!G171),AB19&lt;Preisliste!G176),AB184,IF(AND(AB16=1,OR(U183=AC183,U183=AB183)),AA184,IF(U183=AD183,AE184,IF(AND(U183=AC183,AB19&gt;=Preisliste!G176),AC184,IF(OR(AND(AB19&lt;Preisliste!G176,X19&lt;&gt;0,OR(AB17=1,AND(AB17=2,AB18&gt;Preisliste!G171)))),AE183,IF(OR(AND(AB19&lt;Preisliste!G176,X19=0,AND(AB17=2,AB18&lt;Preisliste!G171))),AE183,IF(U183=AE183,AC184,IF(AND(U182=AA182,U183=AC183),AD184,""))))))))</f>
        <v>Endsumme exkl. MwSt.</v>
      </c>
      <c r="V184" s="355">
        <f>IF(U184=AA184,V181+V182+V183,IF(U184=AB184,Preisliste!G175,IF(U184=AE184,V181+V182+V183,IF(AND(U184=AC184,U183=AC183),(V181+V182+V183)/100*Haftungsausschluß!M43,IF(U184=AD184,V181+V182+V183,IF(AND(U184=AC184,U183=AE183),V183/100*Haftungsausschluß!M43,""))))))</f>
        <v>200</v>
      </c>
      <c r="AA184" s="55" t="str">
        <f>VLOOKUP(1700,Sprachindex!$A:$Z,Erhebungsbogen!$Y$20,FALSE)</f>
        <v>Endsumme exkl. MwSt.</v>
      </c>
      <c r="AB184" s="55" t="str">
        <f>VLOOKUP(1713,Sprachindex!$A:$Z,Erhebungsbogen!$Y$20,FALSE)</f>
        <v>Frachtkosten</v>
      </c>
      <c r="AC184" s="55" t="str">
        <f>"+ " &amp;Haftungsausschluß!M43&amp; " % " &amp; VLOOKUP(2116,Sprachindex!$A:$Z,Erhebungsbogen!$Y$20,FALSE)</f>
        <v>+ 8.1 % MwSt.</v>
      </c>
      <c r="AD184" s="55" t="str">
        <f>VLOOKUP(1873,Sprachindex!$A:$Z,Erhebungsbogen!$Y$20,FALSE)</f>
        <v>Zwischensumme</v>
      </c>
      <c r="AE184" s="55" t="str">
        <f>VLOOKUP(1701,Sprachindex!$A:$Z,Erhebungsbogen!$Y$20,FALSE)</f>
        <v>Endsumme inkl. MwSt.</v>
      </c>
    </row>
    <row r="185" spans="2:53">
      <c r="B185" s="91">
        <v>1</v>
      </c>
      <c r="R185" s="56"/>
      <c r="U185" s="56" t="str">
        <f>IF(AND(AB16=1,U184=AB183),AA184,IF(U184=AC184,AD185,IF(OR(AND(AB19&lt;Preisliste!G176,X19&lt;&gt;0,AND(AB17=2,AB18&lt;Preisliste!G171))),AC185,IF(U184=AD184,AB185,""))))</f>
        <v/>
      </c>
      <c r="V185" s="355" t="str">
        <f>IF(U185=AA185,V181+V182+V183+V184,IF(AND(U185=AD185,U183=AC183),V181+V182+V183+V184,IF(U185=AB185,V184/100*Haftungsausschluß!M43,IF(U185=AC185,V181+V182+V183+V184,IF(AND(U185=AD185,U183=AE183),V183+V184,"")))))</f>
        <v/>
      </c>
      <c r="AA185" s="55" t="str">
        <f>VLOOKUP(1700,Sprachindex!$A:$Z,Erhebungsbogen!$Y$20,FALSE)</f>
        <v>Endsumme exkl. MwSt.</v>
      </c>
      <c r="AB185" s="55" t="str">
        <f>"+ " &amp;Haftungsausschluß!M43&amp; " % " &amp; VLOOKUP(2116,Sprachindex!$A:$Z,Erhebungsbogen!$Y$20,FALSE)</f>
        <v>+ 8.1 % MwSt.</v>
      </c>
      <c r="AC185" s="55" t="str">
        <f>VLOOKUP(1873,Sprachindex!$A:$Z,Erhebungsbogen!$Y$20,FALSE)</f>
        <v>Zwischensumme</v>
      </c>
      <c r="AD185" s="55" t="str">
        <f>VLOOKUP(1701,Sprachindex!$A:$Z,Erhebungsbogen!$Y$20,FALSE)</f>
        <v>Endsumme inkl. MwSt.</v>
      </c>
    </row>
    <row r="186" spans="2:53">
      <c r="B186" s="91">
        <v>1</v>
      </c>
      <c r="R186" s="56"/>
      <c r="U186" s="56" t="str">
        <f>IF(U185=AC185,AA186,IF(U185=AC185,AC186,IF(U185=AB185,AB186,"")))</f>
        <v/>
      </c>
      <c r="V186" s="355" t="str">
        <f>IF(U186=AB186,V184+V185,IF(U186=AA186,V185/100*Haftungsausschluß!M43,""))</f>
        <v/>
      </c>
      <c r="AA186" s="55" t="str">
        <f>"+ " &amp;Haftungsausschluß!M43&amp; " % " &amp; VLOOKUP(2116,Sprachindex!$A:$Z,Erhebungsbogen!$Y$20,FALSE)</f>
        <v>+ 8.1 % MwSt.</v>
      </c>
      <c r="AB186" s="55" t="str">
        <f>VLOOKUP(1701,Sprachindex!$A:$Z,Erhebungsbogen!$Y$20,FALSE)</f>
        <v>Endsumme inkl. MwSt.</v>
      </c>
    </row>
    <row r="187" spans="2:53">
      <c r="B187" s="91">
        <v>1</v>
      </c>
      <c r="R187" s="56"/>
      <c r="U187" s="56" t="str">
        <f>IF(U186=AA186,AA187,"")</f>
        <v/>
      </c>
      <c r="V187" s="355" t="str">
        <f>IF(U187=AA187,V185+V186,"")</f>
        <v/>
      </c>
      <c r="AA187" s="55" t="str">
        <f>VLOOKUP(1701,Sprachindex!$A:$Z,Erhebungsbogen!$Y$20,FALSE)</f>
        <v>Endsumme inkl. MwSt.</v>
      </c>
    </row>
    <row r="188" spans="2:53">
      <c r="B188" s="91">
        <v>1</v>
      </c>
      <c r="U188" s="56"/>
      <c r="V188" s="357"/>
    </row>
    <row r="189" spans="2:53">
      <c r="B189" s="91">
        <v>1</v>
      </c>
      <c r="C189" s="512"/>
      <c r="D189" s="512"/>
      <c r="E189" s="512"/>
      <c r="F189" s="512"/>
      <c r="G189" s="512"/>
      <c r="H189" s="512"/>
      <c r="I189" s="512"/>
      <c r="J189" s="512"/>
      <c r="K189" s="512"/>
      <c r="L189" s="512"/>
      <c r="M189" s="512"/>
      <c r="N189" s="512"/>
      <c r="O189" s="512"/>
      <c r="P189" s="512"/>
      <c r="Q189" s="512"/>
      <c r="R189" s="512"/>
      <c r="S189" s="512"/>
      <c r="T189" s="512"/>
      <c r="U189" s="512"/>
    </row>
    <row r="190" spans="2:53">
      <c r="B190" s="91">
        <v>1</v>
      </c>
      <c r="C190" s="512" t="str">
        <f>VLOOKUP(2234,Sprachindex!$A:$Z,Erhebungsbogen!$Y$20,FALSE)</f>
        <v>Hinweis: Angebotsgültigkeit 1 Monat; Lieferzeit auf Anfrage; kein Montagematerial enthalten</v>
      </c>
      <c r="D190" s="512"/>
      <c r="E190" s="512"/>
      <c r="F190" s="512"/>
      <c r="G190" s="512"/>
      <c r="H190" s="512"/>
      <c r="I190" s="512"/>
      <c r="J190" s="512"/>
      <c r="K190" s="512"/>
      <c r="L190" s="512"/>
      <c r="M190" s="512"/>
      <c r="N190" s="512"/>
      <c r="O190" s="512"/>
      <c r="P190" s="512"/>
      <c r="Q190" s="512"/>
      <c r="R190" s="512"/>
      <c r="S190" s="512"/>
      <c r="T190" s="512"/>
      <c r="U190" s="512"/>
    </row>
    <row r="191" spans="2:53"/>
  </sheetData>
  <sheetProtection sheet="1" objects="1" selectLockedCells="1" autoFilter="0"/>
  <autoFilter ref="B20:B190" xr:uid="{22C6CA63-9127-4190-B9A3-0A61B6276C03}"/>
  <mergeCells count="174">
    <mergeCell ref="J1:V3"/>
    <mergeCell ref="D6:I6"/>
    <mergeCell ref="S6:V6"/>
    <mergeCell ref="D8:I8"/>
    <mergeCell ref="U8:V8"/>
    <mergeCell ref="D10:I10"/>
    <mergeCell ref="D17:I17"/>
    <mergeCell ref="G23:T23"/>
    <mergeCell ref="G24:T24"/>
    <mergeCell ref="U5:V5"/>
    <mergeCell ref="G25:T25"/>
    <mergeCell ref="G26:T26"/>
    <mergeCell ref="G27:T27"/>
    <mergeCell ref="G28:T28"/>
    <mergeCell ref="D12:I12"/>
    <mergeCell ref="D14:I14"/>
    <mergeCell ref="D16:I16"/>
    <mergeCell ref="G20:T20"/>
    <mergeCell ref="G21:T21"/>
    <mergeCell ref="G22:T22"/>
    <mergeCell ref="G35:T35"/>
    <mergeCell ref="G36:T36"/>
    <mergeCell ref="G37:T37"/>
    <mergeCell ref="G38:T38"/>
    <mergeCell ref="G39:T39"/>
    <mergeCell ref="G40:T40"/>
    <mergeCell ref="G29:T29"/>
    <mergeCell ref="G30:T30"/>
    <mergeCell ref="G31:T31"/>
    <mergeCell ref="G32:T32"/>
    <mergeCell ref="G33:T33"/>
    <mergeCell ref="G34:T34"/>
    <mergeCell ref="G47:T47"/>
    <mergeCell ref="G49:T49"/>
    <mergeCell ref="G50:T50"/>
    <mergeCell ref="G51:T51"/>
    <mergeCell ref="G52:T52"/>
    <mergeCell ref="G53:T53"/>
    <mergeCell ref="G41:T41"/>
    <mergeCell ref="G42:T42"/>
    <mergeCell ref="G43:T43"/>
    <mergeCell ref="G44:T44"/>
    <mergeCell ref="G45:T45"/>
    <mergeCell ref="G46:T46"/>
    <mergeCell ref="G48:T48"/>
    <mergeCell ref="G60:T60"/>
    <mergeCell ref="G61:T61"/>
    <mergeCell ref="G62:T62"/>
    <mergeCell ref="G63:T63"/>
    <mergeCell ref="G64:T64"/>
    <mergeCell ref="G65:T65"/>
    <mergeCell ref="G54:T54"/>
    <mergeCell ref="G55:T55"/>
    <mergeCell ref="G56:T56"/>
    <mergeCell ref="G57:T57"/>
    <mergeCell ref="G58:T58"/>
    <mergeCell ref="G59:T59"/>
    <mergeCell ref="G72:T72"/>
    <mergeCell ref="G73:T73"/>
    <mergeCell ref="G74:T74"/>
    <mergeCell ref="G75:T75"/>
    <mergeCell ref="G76:T76"/>
    <mergeCell ref="G77:T77"/>
    <mergeCell ref="G66:T66"/>
    <mergeCell ref="G67:T67"/>
    <mergeCell ref="G68:T68"/>
    <mergeCell ref="G69:T69"/>
    <mergeCell ref="G70:T70"/>
    <mergeCell ref="G71:T71"/>
    <mergeCell ref="G84:T84"/>
    <mergeCell ref="G85:T85"/>
    <mergeCell ref="G86:T86"/>
    <mergeCell ref="G87:T87"/>
    <mergeCell ref="G88:T88"/>
    <mergeCell ref="G89:T89"/>
    <mergeCell ref="G78:T78"/>
    <mergeCell ref="G79:T79"/>
    <mergeCell ref="G80:T80"/>
    <mergeCell ref="G81:T81"/>
    <mergeCell ref="G82:T82"/>
    <mergeCell ref="G83:T83"/>
    <mergeCell ref="G96:T96"/>
    <mergeCell ref="G97:T97"/>
    <mergeCell ref="G98:T98"/>
    <mergeCell ref="G99:T99"/>
    <mergeCell ref="G100:T100"/>
    <mergeCell ref="G101:T101"/>
    <mergeCell ref="G90:T90"/>
    <mergeCell ref="G91:T91"/>
    <mergeCell ref="G92:T92"/>
    <mergeCell ref="G93:T93"/>
    <mergeCell ref="G94:T94"/>
    <mergeCell ref="G95:T95"/>
    <mergeCell ref="G108:T108"/>
    <mergeCell ref="G109:T109"/>
    <mergeCell ref="G110:T110"/>
    <mergeCell ref="G111:T111"/>
    <mergeCell ref="G112:T112"/>
    <mergeCell ref="G113:T113"/>
    <mergeCell ref="G102:T102"/>
    <mergeCell ref="G103:T103"/>
    <mergeCell ref="G104:T104"/>
    <mergeCell ref="G105:T105"/>
    <mergeCell ref="G106:T106"/>
    <mergeCell ref="G107:T107"/>
    <mergeCell ref="G120:T120"/>
    <mergeCell ref="G121:T121"/>
    <mergeCell ref="G122:T122"/>
    <mergeCell ref="G123:T123"/>
    <mergeCell ref="G124:T124"/>
    <mergeCell ref="G125:T125"/>
    <mergeCell ref="G114:T114"/>
    <mergeCell ref="G115:T115"/>
    <mergeCell ref="G116:T116"/>
    <mergeCell ref="G117:T117"/>
    <mergeCell ref="G118:T118"/>
    <mergeCell ref="G119:T119"/>
    <mergeCell ref="G132:T132"/>
    <mergeCell ref="G133:T133"/>
    <mergeCell ref="G134:T134"/>
    <mergeCell ref="G135:T135"/>
    <mergeCell ref="G136:T136"/>
    <mergeCell ref="G137:T137"/>
    <mergeCell ref="G126:T126"/>
    <mergeCell ref="G127:T127"/>
    <mergeCell ref="G128:T128"/>
    <mergeCell ref="G129:T129"/>
    <mergeCell ref="G130:T130"/>
    <mergeCell ref="G131:T131"/>
    <mergeCell ref="G144:T144"/>
    <mergeCell ref="G145:T145"/>
    <mergeCell ref="G146:T146"/>
    <mergeCell ref="G147:T147"/>
    <mergeCell ref="G148:T148"/>
    <mergeCell ref="G149:T149"/>
    <mergeCell ref="G138:T138"/>
    <mergeCell ref="G139:T139"/>
    <mergeCell ref="G140:T140"/>
    <mergeCell ref="G141:T141"/>
    <mergeCell ref="G142:T142"/>
    <mergeCell ref="G143:T143"/>
    <mergeCell ref="G156:T156"/>
    <mergeCell ref="G157:T157"/>
    <mergeCell ref="G158:T158"/>
    <mergeCell ref="G159:T159"/>
    <mergeCell ref="G160:T160"/>
    <mergeCell ref="G161:T161"/>
    <mergeCell ref="G150:T150"/>
    <mergeCell ref="G151:T151"/>
    <mergeCell ref="G152:T152"/>
    <mergeCell ref="G153:T153"/>
    <mergeCell ref="G154:T154"/>
    <mergeCell ref="G155:T155"/>
    <mergeCell ref="G168:T168"/>
    <mergeCell ref="G169:T169"/>
    <mergeCell ref="G170:T170"/>
    <mergeCell ref="G171:T171"/>
    <mergeCell ref="G172:T172"/>
    <mergeCell ref="G173:T173"/>
    <mergeCell ref="G162:T162"/>
    <mergeCell ref="G163:T163"/>
    <mergeCell ref="G164:T164"/>
    <mergeCell ref="G165:T165"/>
    <mergeCell ref="G166:T166"/>
    <mergeCell ref="G167:T167"/>
    <mergeCell ref="C189:U189"/>
    <mergeCell ref="C190:U190"/>
    <mergeCell ref="G180:T180"/>
    <mergeCell ref="G174:T174"/>
    <mergeCell ref="G175:T175"/>
    <mergeCell ref="G176:T176"/>
    <mergeCell ref="G177:T177"/>
    <mergeCell ref="G178:T178"/>
    <mergeCell ref="G179:T179"/>
  </mergeCells>
  <conditionalFormatting sqref="D6:I6">
    <cfRule type="cellIs" dxfId="370" priority="39" operator="equal">
      <formula>0</formula>
    </cfRule>
  </conditionalFormatting>
  <conditionalFormatting sqref="D8:I8">
    <cfRule type="cellIs" dxfId="369" priority="38" operator="equal">
      <formula>0</formula>
    </cfRule>
  </conditionalFormatting>
  <conditionalFormatting sqref="D10:I10">
    <cfRule type="cellIs" dxfId="368" priority="37" operator="equal">
      <formula>0</formula>
    </cfRule>
  </conditionalFormatting>
  <conditionalFormatting sqref="D12:I12">
    <cfRule type="cellIs" dxfId="367" priority="36" operator="equal">
      <formula>0</formula>
    </cfRule>
  </conditionalFormatting>
  <conditionalFormatting sqref="D14:I14">
    <cfRule type="cellIs" dxfId="366" priority="35" operator="equal">
      <formula>0</formula>
    </cfRule>
  </conditionalFormatting>
  <conditionalFormatting sqref="D16:I17">
    <cfRule type="cellIs" dxfId="365" priority="19" operator="equal">
      <formula>0</formula>
    </cfRule>
  </conditionalFormatting>
  <conditionalFormatting sqref="S6 W6:X6 S7:X7 S8:U8 W8:X8 S9:X16">
    <cfRule type="expression" dxfId="364" priority="33">
      <formula>$AB$17=1</formula>
    </cfRule>
  </conditionalFormatting>
  <conditionalFormatting sqref="S183:V183">
    <cfRule type="expression" dxfId="363" priority="8">
      <formula>$U$183=$AE$183</formula>
    </cfRule>
    <cfRule type="expression" dxfId="362" priority="9">
      <formula>$U$183=$AF$183</formula>
    </cfRule>
    <cfRule type="expression" dxfId="361" priority="11">
      <formula>$U$183=$AA$183</formula>
    </cfRule>
  </conditionalFormatting>
  <conditionalFormatting sqref="S184:V184">
    <cfRule type="expression" dxfId="360" priority="6">
      <formula>$U$184=$AD$184</formula>
    </cfRule>
    <cfRule type="expression" dxfId="359" priority="7">
      <formula>$U$184=$AA$184</formula>
    </cfRule>
  </conditionalFormatting>
  <conditionalFormatting sqref="S185:V185">
    <cfRule type="expression" dxfId="358" priority="3">
      <formula>$U$185=$AC$185</formula>
    </cfRule>
    <cfRule type="expression" dxfId="357" priority="4">
      <formula>$U$185=$AD$185</formula>
    </cfRule>
    <cfRule type="expression" dxfId="356" priority="5">
      <formula>$U$185=$AA$185</formula>
    </cfRule>
  </conditionalFormatting>
  <conditionalFormatting sqref="S186:V186">
    <cfRule type="expression" dxfId="355" priority="2">
      <formula>$U$186=$AB$186</formula>
    </cfRule>
  </conditionalFormatting>
  <conditionalFormatting sqref="S187:V187">
    <cfRule type="expression" dxfId="354" priority="1">
      <formula>$U$187=$AA$187</formula>
    </cfRule>
  </conditionalFormatting>
  <pageMargins left="0.11811023622047245" right="0.19685039370078741" top="0.11811023622047245" bottom="0.11811023622047245" header="0.31496062992125984" footer="7.874015748031496E-2"/>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4033" r:id="rId4" name="Option Button 1">
              <controlPr defaultSize="0" autoFill="0" autoLine="0" autoPict="0">
                <anchor moveWithCells="1">
                  <from>
                    <xdr:col>23</xdr:col>
                    <xdr:colOff>114300</xdr:colOff>
                    <xdr:row>15</xdr:row>
                    <xdr:rowOff>9525</xdr:rowOff>
                  </from>
                  <to>
                    <xdr:col>24</xdr:col>
                    <xdr:colOff>600075</xdr:colOff>
                    <xdr:row>15</xdr:row>
                    <xdr:rowOff>152400</xdr:rowOff>
                  </to>
                </anchor>
              </controlPr>
            </control>
          </mc:Choice>
        </mc:AlternateContent>
        <mc:AlternateContent xmlns:mc="http://schemas.openxmlformats.org/markup-compatibility/2006">
          <mc:Choice Requires="x14">
            <control shapeId="44034" r:id="rId5" name="Option Button 2">
              <controlPr defaultSize="0" autoFill="0" autoLine="0" autoPict="0">
                <anchor moveWithCells="1">
                  <from>
                    <xdr:col>23</xdr:col>
                    <xdr:colOff>114300</xdr:colOff>
                    <xdr:row>16</xdr:row>
                    <xdr:rowOff>9525</xdr:rowOff>
                  </from>
                  <to>
                    <xdr:col>24</xdr:col>
                    <xdr:colOff>600075</xdr:colOff>
                    <xdr:row>16</xdr:row>
                    <xdr:rowOff>152400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F4F96D34-C546-4334-8C45-F9B325D4CA5A}">
            <xm:f>Erhebungsbogen!$W$36=""</xm:f>
            <x14:dxf>
              <border>
                <left style="thin">
                  <color auto="1"/>
                </left>
                <vertical/>
                <horizontal/>
              </border>
            </x14:dxf>
          </x14:cfRule>
          <xm:sqref>U20:U180</xm:sqref>
        </x14:conditionalFormatting>
        <x14:conditionalFormatting xmlns:xm="http://schemas.microsoft.com/office/excel/2006/main">
          <x14:cfRule type="expression" priority="14" id="{EF22D6FF-A2B7-4347-8503-F31C90772B47}">
            <xm:f>Erhebungsbogen!$W$36=""</xm:f>
            <x14:dxf>
              <font>
                <color theme="0"/>
              </font>
              <fill>
                <patternFill>
                  <bgColor theme="0"/>
                </patternFill>
              </fill>
              <border>
                <left/>
                <right/>
                <top/>
                <bottom/>
              </border>
            </x14:dxf>
          </x14:cfRule>
          <xm:sqref>U20:V180</xm:sqref>
        </x14:conditionalFormatting>
        <x14:conditionalFormatting xmlns:xm="http://schemas.microsoft.com/office/excel/2006/main">
          <x14:cfRule type="expression" priority="10" id="{50ACC7E1-2701-48C9-B9E5-3615660A1A77}">
            <xm:f>Erhebungsbogen!$W$36=""</xm:f>
            <x14:dxf>
              <font>
                <color theme="0"/>
              </font>
              <fill>
                <patternFill>
                  <bgColor theme="0"/>
                </patternFill>
              </fill>
              <border>
                <left/>
                <right/>
                <top/>
                <bottom/>
              </border>
            </x14:dxf>
          </x14:cfRule>
          <xm:sqref>U181:V187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B75D8-A549-4C92-84B8-0F6AB3C40D5E}">
  <sheetPr codeName="Tabelle31">
    <pageSetUpPr fitToPage="1"/>
  </sheetPr>
  <dimension ref="A1:CF191"/>
  <sheetViews>
    <sheetView showGridLines="0" workbookViewId="0">
      <selection activeCell="V18" sqref="V18"/>
    </sheetView>
  </sheetViews>
  <sheetFormatPr baseColWidth="10" defaultColWidth="0" defaultRowHeight="12.75" zeroHeight="1"/>
  <cols>
    <col min="1" max="1" width="1.7109375" style="55" customWidth="1"/>
    <col min="2" max="5" width="7.7109375" style="55" customWidth="1"/>
    <col min="6" max="6" width="9.7109375" style="55" customWidth="1"/>
    <col min="7" max="13" width="5.7109375" style="55" customWidth="1"/>
    <col min="14" max="17" width="5.5703125" style="55" customWidth="1"/>
    <col min="18" max="20" width="5.7109375" style="55" customWidth="1"/>
    <col min="21" max="21" width="13.85546875" style="55" customWidth="1"/>
    <col min="22" max="22" width="14.7109375" style="55" customWidth="1"/>
    <col min="23" max="24" width="5.7109375" style="55" customWidth="1"/>
    <col min="25" max="25" width="9.7109375" style="55" bestFit="1" customWidth="1"/>
    <col min="26" max="26" width="7.42578125" style="55" hidden="1" customWidth="1"/>
    <col min="27" max="27" width="18.7109375" style="55" hidden="1" customWidth="1"/>
    <col min="28" max="28" width="18.5703125" style="55" hidden="1" customWidth="1"/>
    <col min="29" max="29" width="38.7109375" style="55" hidden="1" customWidth="1"/>
    <col min="30" max="32" width="18.5703125" style="55" hidden="1" customWidth="1"/>
    <col min="33" max="34" width="5.7109375" style="55" hidden="1" customWidth="1"/>
    <col min="35" max="35" width="13.28515625" style="55" hidden="1" customWidth="1"/>
    <col min="36" max="78" width="5.7109375" style="55" hidden="1" customWidth="1"/>
    <col min="79" max="16384" width="11.42578125" style="55" hidden="1"/>
  </cols>
  <sheetData>
    <row r="1" spans="3:43" s="21" customFormat="1" ht="14.25" customHeight="1">
      <c r="J1" s="519" t="str">
        <f>VLOOKUP(2121,Sprachindex!$A:$Z,Erhebungsbogen!$Y$20,FALSE)</f>
        <v>Stückliste</v>
      </c>
      <c r="K1" s="519"/>
      <c r="L1" s="519"/>
      <c r="M1" s="519"/>
      <c r="N1" s="519"/>
      <c r="O1" s="519"/>
      <c r="P1" s="519"/>
      <c r="Q1" s="519"/>
      <c r="R1" s="519"/>
      <c r="S1" s="519"/>
      <c r="T1" s="519"/>
      <c r="U1" s="519"/>
      <c r="V1" s="519"/>
    </row>
    <row r="2" spans="3:43" s="21" customFormat="1" ht="14.25" customHeight="1">
      <c r="J2" s="519"/>
      <c r="K2" s="519"/>
      <c r="L2" s="519"/>
      <c r="M2" s="519"/>
      <c r="N2" s="519"/>
      <c r="O2" s="519"/>
      <c r="P2" s="519"/>
      <c r="Q2" s="519"/>
      <c r="R2" s="519"/>
      <c r="S2" s="519"/>
      <c r="T2" s="519"/>
      <c r="U2" s="519"/>
      <c r="V2" s="519"/>
    </row>
    <row r="3" spans="3:43" s="21" customFormat="1" ht="14.25" customHeight="1">
      <c r="J3" s="519"/>
      <c r="K3" s="519"/>
      <c r="L3" s="519"/>
      <c r="M3" s="519"/>
      <c r="N3" s="519"/>
      <c r="O3" s="519"/>
      <c r="P3" s="519"/>
      <c r="Q3" s="519"/>
      <c r="R3" s="519"/>
      <c r="S3" s="519"/>
      <c r="T3" s="519"/>
      <c r="U3" s="519"/>
      <c r="V3" s="519"/>
    </row>
    <row r="4" spans="3:43" s="21" customFormat="1" ht="14.25" customHeight="1">
      <c r="V4" s="53" t="str">
        <f>VLOOKUP(1741,Sprachindex!$A:$Z,Erhebungsbogen!$Y$20,FALSE) &amp; " 4"</f>
        <v>KALKULATION 4</v>
      </c>
      <c r="Y4" s="53"/>
      <c r="Z4" s="53"/>
      <c r="AA4" s="53"/>
      <c r="AB4" s="53"/>
      <c r="AC4" s="53">
        <f>IF(V181&lt;1000,10,14)</f>
        <v>10</v>
      </c>
      <c r="AD4" s="53"/>
      <c r="AE4" s="53"/>
      <c r="AF4" s="53"/>
      <c r="AH4" s="53"/>
      <c r="AI4" s="54"/>
      <c r="AJ4" s="54"/>
      <c r="AK4" s="54"/>
      <c r="AL4" s="54"/>
      <c r="AM4" s="54"/>
      <c r="AN4" s="54"/>
      <c r="AO4" s="54"/>
      <c r="AP4" s="54"/>
      <c r="AQ4" s="54"/>
    </row>
    <row r="5" spans="3:43">
      <c r="C5" s="21"/>
      <c r="D5" s="48" t="str">
        <f>VLOOKUP(393,Sprachindex!$A:$Z,Erhebungsbogen!$Y$20,FALSE)</f>
        <v>Firma / Besteller:</v>
      </c>
      <c r="E5" s="21"/>
      <c r="F5" s="21"/>
      <c r="G5" s="21"/>
      <c r="H5" s="21"/>
      <c r="I5" s="21"/>
      <c r="T5" s="56" t="str">
        <f>VLOOKUP(1429,Sprachindex!$A:$Z,Erhebungsbogen!$Y$20,FALSE)</f>
        <v>Bearbeiter:</v>
      </c>
      <c r="U5" s="521">
        <f>Kalk1!U43</f>
        <v>0</v>
      </c>
      <c r="V5" s="521"/>
      <c r="AC5" s="55">
        <f>IF('HWS Partner'!C79&gt;=1,4,0)</f>
        <v>0</v>
      </c>
      <c r="AG5" s="21"/>
    </row>
    <row r="6" spans="3:43">
      <c r="C6" s="40" t="str">
        <f>VLOOKUP(622,Sprachindex!$A:$Z,Erhebungsbogen!$Y$20,FALSE)</f>
        <v>Name:</v>
      </c>
      <c r="D6" s="513">
        <f>Kalk4!D5</f>
        <v>0</v>
      </c>
      <c r="E6" s="513"/>
      <c r="F6" s="513"/>
      <c r="G6" s="513"/>
      <c r="H6" s="513"/>
      <c r="I6" s="513"/>
      <c r="S6" s="520" t="s">
        <v>18593</v>
      </c>
      <c r="T6" s="520"/>
      <c r="U6" s="520"/>
      <c r="V6" s="520"/>
      <c r="Y6" s="77"/>
      <c r="Z6" s="77"/>
      <c r="AA6" s="77"/>
      <c r="AB6" s="77"/>
      <c r="AC6" s="77"/>
      <c r="AD6" s="77"/>
      <c r="AE6" s="77"/>
      <c r="AF6" s="77"/>
      <c r="AG6" s="21"/>
      <c r="AH6" s="77"/>
    </row>
    <row r="7" spans="3:43" ht="1.5" customHeight="1">
      <c r="C7" s="40"/>
      <c r="D7" s="21"/>
      <c r="E7" s="21"/>
      <c r="F7" s="21"/>
      <c r="G7" s="21"/>
      <c r="H7" s="21"/>
      <c r="I7" s="21"/>
    </row>
    <row r="8" spans="3:43">
      <c r="C8" s="40" t="str">
        <f>VLOOKUP(884,Sprachindex!$A:$Z,Erhebungsbogen!$Y$20,FALSE)</f>
        <v>Straße:</v>
      </c>
      <c r="D8" s="513">
        <f>Kalk4!D7</f>
        <v>0</v>
      </c>
      <c r="E8" s="513"/>
      <c r="F8" s="513"/>
      <c r="G8" s="513"/>
      <c r="H8" s="513"/>
      <c r="I8" s="513"/>
      <c r="T8" s="57" t="s">
        <v>4485</v>
      </c>
      <c r="U8" s="520" t="str">
        <f>IF(Kalk4!K9&gt;"",Kalk4!K9,"")</f>
        <v/>
      </c>
      <c r="V8" s="520"/>
      <c r="Y8" s="57"/>
      <c r="Z8" s="57"/>
      <c r="AA8" s="57"/>
      <c r="AB8" s="57"/>
      <c r="AC8" s="57"/>
      <c r="AD8" s="57"/>
      <c r="AE8" s="57"/>
      <c r="AF8" s="57"/>
      <c r="AG8" s="57"/>
      <c r="AH8" s="57"/>
    </row>
    <row r="9" spans="3:43" ht="1.5" customHeight="1">
      <c r="C9" s="40"/>
      <c r="D9" s="21"/>
      <c r="E9" s="21"/>
      <c r="F9" s="21"/>
      <c r="G9" s="21"/>
      <c r="H9" s="21"/>
      <c r="I9" s="21"/>
      <c r="S9" s="56"/>
    </row>
    <row r="10" spans="3:43">
      <c r="C10" s="40" t="str">
        <f>VLOOKUP(641,Sprachindex!$A:$Z,Erhebungsbogen!$Y$20,FALSE)</f>
        <v>Ort:</v>
      </c>
      <c r="D10" s="513">
        <f>Kalk4!D9</f>
        <v>0</v>
      </c>
      <c r="E10" s="513"/>
      <c r="F10" s="513"/>
      <c r="G10" s="513"/>
      <c r="H10" s="513"/>
      <c r="I10" s="513"/>
      <c r="S10" s="56" t="str">
        <f>IF(Kalk4!AA11,"x","")</f>
        <v/>
      </c>
      <c r="T10" s="55" t="s">
        <v>18111</v>
      </c>
    </row>
    <row r="11" spans="3:43" ht="1.5" customHeight="1">
      <c r="C11" s="40"/>
      <c r="D11" s="21"/>
      <c r="E11" s="21"/>
      <c r="F11" s="21"/>
      <c r="G11" s="21"/>
      <c r="H11" s="21"/>
      <c r="I11" s="21"/>
      <c r="S11" s="56"/>
    </row>
    <row r="12" spans="3:43">
      <c r="C12" s="40" t="str">
        <f>VLOOKUP(901,Sprachindex!$A:$Z,Erhebungsbogen!$Y$20,FALSE)</f>
        <v>Telefon:</v>
      </c>
      <c r="D12" s="513">
        <f>Kalk4!D11</f>
        <v>0</v>
      </c>
      <c r="E12" s="513"/>
      <c r="F12" s="513"/>
      <c r="G12" s="513"/>
      <c r="H12" s="513"/>
      <c r="I12" s="513"/>
      <c r="S12" s="56" t="str">
        <f>IF(Kalk4!AA13,"x","")</f>
        <v/>
      </c>
      <c r="T12" s="55" t="s">
        <v>21823</v>
      </c>
    </row>
    <row r="13" spans="3:43" ht="1.5" customHeight="1">
      <c r="C13" s="40"/>
      <c r="D13" s="21"/>
      <c r="E13" s="21"/>
      <c r="F13" s="21"/>
      <c r="G13" s="21"/>
      <c r="H13" s="21"/>
      <c r="I13" s="21"/>
      <c r="S13" s="56"/>
    </row>
    <row r="14" spans="3:43">
      <c r="C14" s="40" t="str">
        <f>VLOOKUP(1698,Sprachindex!$A:$Z,Erhebungsbogen!$Y$20,FALSE)</f>
        <v>eMail:</v>
      </c>
      <c r="D14" s="513">
        <f>Kalk4!D13</f>
        <v>0</v>
      </c>
      <c r="E14" s="513"/>
      <c r="F14" s="513"/>
      <c r="G14" s="513"/>
      <c r="H14" s="513"/>
      <c r="I14" s="513"/>
      <c r="S14" s="56" t="str">
        <f>IF(Kalk4!AA15,"x","")</f>
        <v/>
      </c>
      <c r="T14" s="55" t="s">
        <v>18752</v>
      </c>
      <c r="X14" s="90" t="s">
        <v>20247</v>
      </c>
    </row>
    <row r="15" spans="3:43" ht="1.5" customHeight="1">
      <c r="C15" s="40"/>
      <c r="D15" s="21"/>
      <c r="E15" s="21"/>
      <c r="F15" s="21"/>
      <c r="G15" s="21"/>
      <c r="H15" s="21"/>
      <c r="I15" s="21"/>
      <c r="S15" s="56"/>
      <c r="AJ15" s="55" t="b">
        <v>1</v>
      </c>
    </row>
    <row r="16" spans="3:43">
      <c r="C16" s="40" t="str">
        <f>VLOOKUP(203,Sprachindex!$A:$Z,Erhebungsbogen!$Y$20,FALSE)</f>
        <v>Bauvorhaben:</v>
      </c>
      <c r="D16" s="513">
        <f>Kalk4!D15</f>
        <v>0</v>
      </c>
      <c r="E16" s="513"/>
      <c r="F16" s="513"/>
      <c r="G16" s="513"/>
      <c r="H16" s="513"/>
      <c r="I16" s="513"/>
      <c r="S16" s="56" t="str">
        <f>IF(Kalk4!AA16,"x","")</f>
        <v/>
      </c>
      <c r="T16" s="55" t="s">
        <v>19831</v>
      </c>
      <c r="Y16" s="55" t="str">
        <f>VLOOKUP(1705,Sprachindex!$A:$Z,Erhebungsbogen!$Y$20,FALSE)</f>
        <v>exkl. MwSt.</v>
      </c>
      <c r="AB16" s="262">
        <v>1</v>
      </c>
      <c r="AC16" s="55" t="s">
        <v>20247</v>
      </c>
    </row>
    <row r="17" spans="2:43">
      <c r="C17" s="40" t="str">
        <f>VLOOKUP(660,Sprachindex!$A:$Z,Erhebungsbogen!$Y$20,FALSE)</f>
        <v>Pos.</v>
      </c>
      <c r="D17" s="513">
        <f>Kalk4!D16</f>
        <v>0</v>
      </c>
      <c r="E17" s="513"/>
      <c r="F17" s="513"/>
      <c r="G17" s="513"/>
      <c r="H17" s="513"/>
      <c r="I17" s="513"/>
      <c r="Y17" s="55" t="str">
        <f>VLOOKUP(1740,Sprachindex!$A:$Z,Erhebungsbogen!$Y$20,FALSE)</f>
        <v>inkl. MwSt.</v>
      </c>
      <c r="AB17" s="262">
        <f>IF(AND(Kalk4!AA5=2,OR(Kalk4!AA11,Kalk4!AA13,Kalk4!AA15,Kalk4!AA16)),2,1)</f>
        <v>1</v>
      </c>
      <c r="AC17" s="55" t="s">
        <v>18593</v>
      </c>
    </row>
    <row r="18" spans="2:43">
      <c r="U18" s="56" t="str">
        <f>VLOOKUP(286,Sprachindex!$A:$Z,Erhebungsbogen!$Y$20,FALSE)</f>
        <v>Datum:</v>
      </c>
      <c r="V18" s="264">
        <f ca="1">TODAY()</f>
        <v>45408</v>
      </c>
      <c r="X18" s="265">
        <f>SUM(AC4:AC5)</f>
        <v>10</v>
      </c>
      <c r="Y18" s="55" t="str">
        <f>VLOOKUP(1790,Sprachindex!$A:$Z,Erhebungsbogen!$Y$20,FALSE)</f>
        <v>Rabatt</v>
      </c>
      <c r="AB18" s="263">
        <f>SUM(Z21:Z180)</f>
        <v>0</v>
      </c>
      <c r="AC18" s="55" t="s">
        <v>22191</v>
      </c>
    </row>
    <row r="19" spans="2:43" ht="13.5" thickBot="1">
      <c r="X19" s="314">
        <f>IF(X18&gt;0,X18*-1,X18)</f>
        <v>-10</v>
      </c>
      <c r="AB19" s="262">
        <f>SUM(V21:V180)</f>
        <v>0</v>
      </c>
      <c r="AC19" s="55" t="s">
        <v>22192</v>
      </c>
    </row>
    <row r="20" spans="2:43" ht="38.25" customHeight="1" thickBot="1">
      <c r="B20" s="61" t="str">
        <f>VLOOKUP(1839,Sprachindex!$A:$Z,Erhebungsbogen!$Y$20,FALSE)</f>
        <v>Stück</v>
      </c>
      <c r="C20" s="58" t="str">
        <f>VLOOKUP(552,Sprachindex!$A:$Z,Erhebungsbogen!$Y$20,FALSE)</f>
        <v>Länge</v>
      </c>
      <c r="D20" s="58" t="str">
        <f>VLOOKUP(1716,Sprachindex!$A:$Z,Erhebungsbogen!$Y$20,FALSE)</f>
        <v>Gesamt Länge</v>
      </c>
      <c r="E20" s="58" t="str">
        <f>VLOOKUP(332,Sprachindex!$A:$Z,Erhebungsbogen!$Y$20,FALSE)</f>
        <v>Einheit</v>
      </c>
      <c r="F20" s="59" t="str">
        <f>VLOOKUP(177,Sprachindex!$A:$Z,Erhebungsbogen!$Y$20,FALSE)</f>
        <v>Artikel-Nr.</v>
      </c>
      <c r="G20" s="518" t="str">
        <f>VLOOKUP(234,Sprachindex!$A:$Z,Erhebungsbogen!$Y$20,FALSE)</f>
        <v>Bezeichnung</v>
      </c>
      <c r="H20" s="518"/>
      <c r="I20" s="518"/>
      <c r="J20" s="518"/>
      <c r="K20" s="518"/>
      <c r="L20" s="518"/>
      <c r="M20" s="518"/>
      <c r="N20" s="518"/>
      <c r="O20" s="518"/>
      <c r="P20" s="518"/>
      <c r="Q20" s="518"/>
      <c r="R20" s="518"/>
      <c r="S20" s="518"/>
      <c r="T20" s="518"/>
      <c r="U20" s="58" t="str">
        <f>VLOOKUP(1788,Sprachindex!$A:$Z,Erhebungsbogen!$Y$20,FALSE)</f>
        <v>Preis pro lfm od. Stk</v>
      </c>
      <c r="V20" s="58" t="str">
        <f>VLOOKUP(1787,Sprachindex!$A:$Z,Erhebungsbogen!$Y$20,FALSE)</f>
        <v>Preis exkl.MwSt</v>
      </c>
      <c r="W20" s="85"/>
      <c r="X20" s="85"/>
      <c r="Y20" s="85"/>
      <c r="Z20" s="85"/>
      <c r="AA20" s="85"/>
      <c r="AB20" s="85"/>
      <c r="AC20" s="85"/>
      <c r="AD20" s="85"/>
      <c r="AE20" s="85"/>
      <c r="AF20" s="85"/>
      <c r="AG20" s="65" t="s">
        <v>22078</v>
      </c>
    </row>
    <row r="21" spans="2:43" ht="24.95" customHeight="1">
      <c r="B21" s="92">
        <f>IF(AG21=1,AL21,0)*Kalk4!$H$37</f>
        <v>0</v>
      </c>
      <c r="C21" s="60">
        <v>750</v>
      </c>
      <c r="D21" s="60"/>
      <c r="E21" s="60" t="str">
        <f>VLOOKUP(1600,Sprachindex!$A:$Z,Erhebungsbogen!$Y$20,FALSE)</f>
        <v>[Stk]</v>
      </c>
      <c r="F21" s="60" t="s">
        <v>21961</v>
      </c>
      <c r="G21" s="514" t="str">
        <f>VLOOKUP(1592,Sprachindex!$A:$Z,Erhebungsbogen!$Y$20,FALSE) &amp; IF(AND(Kalk4!$AA$5=2,Kalk4!AA11),", " &amp; VLOOKUP(1645,Sprachindex!$A:$Z,Erhebungsbogen!$Y$20,FALSE) &amp; " " &amp; $U$8,", "&amp; VLOOKUP(1648,Sprachindex!$A:$Z,Erhebungsbogen!$Y$20,FALSE))</f>
        <v>Abdeckung V 25, entgratet, blank</v>
      </c>
      <c r="H21" s="514"/>
      <c r="I21" s="514"/>
      <c r="J21" s="514"/>
      <c r="K21" s="514"/>
      <c r="L21" s="514"/>
      <c r="M21" s="514"/>
      <c r="N21" s="514"/>
      <c r="O21" s="514"/>
      <c r="P21" s="514"/>
      <c r="Q21" s="514"/>
      <c r="R21" s="514"/>
      <c r="S21" s="514"/>
      <c r="T21" s="514"/>
      <c r="U21" s="353">
        <f>IF(AND(Kalk4!$AA$5=2,Kalk4!AA11),VLOOKUP(F21,Preisliste!C:G,5,FALSE),VLOOKUP(F21,Preisliste!C:G,4,FALSE))</f>
        <v>28.9</v>
      </c>
      <c r="V21" s="353">
        <f>U21*B21</f>
        <v>0</v>
      </c>
      <c r="W21" s="86"/>
      <c r="X21" s="86"/>
      <c r="Y21" s="86"/>
      <c r="Z21" s="143">
        <f>IF(AND(Kalk4!$AA$5=2,Kalk4!$AA$11),(VLOOKUP(F21,Preisliste!C:G,5,FALSE)-VLOOKUP(F21,Preisliste!C:G,4,FALSE))*B21,0)</f>
        <v>0</v>
      </c>
      <c r="AB21" s="86"/>
      <c r="AC21" s="86"/>
      <c r="AD21" s="86"/>
      <c r="AE21" s="86"/>
      <c r="AF21" s="86"/>
      <c r="AG21" s="55">
        <f>IF(AND(AH21&gt;0,AL21&gt;0,AP21&gt;0,AND(Kalk4!$H$28&gt;0,Kalk4!$H$29&gt;Kalk4!$B$1)),1,0)</f>
        <v>0</v>
      </c>
      <c r="AH21" s="66">
        <f>IF(Kalk4!$AA$19=1,1,0)</f>
        <v>0</v>
      </c>
      <c r="AI21" s="55">
        <v>25</v>
      </c>
      <c r="AK21" s="55" t="s">
        <v>22079</v>
      </c>
      <c r="AL21" s="66">
        <f>IF(AND(Kalk4!$AA$18=2,Kalk4!$AF$18=2),2,IF(OR(Kalk4!$AA$18=2,Kalk4!$AF$18=2),1,0))</f>
        <v>0</v>
      </c>
      <c r="AM21" s="55" t="s">
        <v>22094</v>
      </c>
      <c r="AO21" s="55" t="s">
        <v>22079</v>
      </c>
      <c r="AP21" s="66">
        <f>IF(Kalk4!$AI$51=AQ21,1,0)</f>
        <v>1</v>
      </c>
      <c r="AQ21" s="55">
        <v>750</v>
      </c>
    </row>
    <row r="22" spans="2:43" ht="24.95" customHeight="1">
      <c r="B22" s="93">
        <f>IF(AG22=1,AL22,0)*Kalk4!$H$37</f>
        <v>0</v>
      </c>
      <c r="C22" s="60">
        <v>1350</v>
      </c>
      <c r="D22" s="60"/>
      <c r="E22" s="60" t="str">
        <f>VLOOKUP(1600,Sprachindex!$A:$Z,Erhebungsbogen!$Y$20,FALSE)</f>
        <v>[Stk]</v>
      </c>
      <c r="F22" s="60" t="s">
        <v>21962</v>
      </c>
      <c r="G22" s="514" t="str">
        <f>VLOOKUP(1592,Sprachindex!$A:$Z,Erhebungsbogen!$Y$20,FALSE) &amp; IF(AND(Kalk4!$AA$5=2,Kalk4!AA11),", " &amp; VLOOKUP(1645,Sprachindex!$A:$Z,Erhebungsbogen!$Y$20,FALSE) &amp; " " &amp; $U$8,", "&amp; VLOOKUP(1648,Sprachindex!$A:$Z,Erhebungsbogen!$Y$20,FALSE))</f>
        <v>Abdeckung V 25, entgratet, blank</v>
      </c>
      <c r="H22" s="514"/>
      <c r="I22" s="514"/>
      <c r="J22" s="514"/>
      <c r="K22" s="514"/>
      <c r="L22" s="514"/>
      <c r="M22" s="514"/>
      <c r="N22" s="514"/>
      <c r="O22" s="514"/>
      <c r="P22" s="514"/>
      <c r="Q22" s="514"/>
      <c r="R22" s="514"/>
      <c r="S22" s="514"/>
      <c r="T22" s="514"/>
      <c r="U22" s="352">
        <f>IF(AND(Kalk4!$AA$5=2,Kalk4!$AA$11),VLOOKUP(F22,Preisliste!C:G,5,FALSE),VLOOKUP(F22,Preisliste!C:G,4,FALSE))</f>
        <v>33.799999999999997</v>
      </c>
      <c r="V22" s="352">
        <f>U22*B22</f>
        <v>0</v>
      </c>
      <c r="W22" s="86"/>
      <c r="X22" s="86"/>
      <c r="Y22" s="86"/>
      <c r="Z22" s="143">
        <f>IF(AND(Kalk4!$AA$5=2,Kalk4!$AA$11),(VLOOKUP(F22,Preisliste!C:G,5,FALSE)-VLOOKUP(F22,Preisliste!C:G,4,FALSE))*B22,0)</f>
        <v>0</v>
      </c>
      <c r="AB22" s="86"/>
      <c r="AC22" s="86"/>
      <c r="AD22" s="86"/>
      <c r="AE22" s="86"/>
      <c r="AF22" s="86"/>
      <c r="AG22" s="55">
        <f>IF(AND(AH22&gt;0,AL22&gt;0,AP22=1),1,0)</f>
        <v>0</v>
      </c>
      <c r="AH22" s="66">
        <f>IF(Kalk4!$AA$19=1,1,0)</f>
        <v>0</v>
      </c>
      <c r="AI22" s="55">
        <v>25</v>
      </c>
      <c r="AK22" s="55" t="s">
        <v>22079</v>
      </c>
      <c r="AL22" s="66">
        <f>IF(AND(Kalk4!$AA$18=2,Kalk4!$AF$18=2),2,IF(OR(Kalk4!$AA$18=2,Kalk4!$AF$18=2),1,0))</f>
        <v>0</v>
      </c>
      <c r="AM22" s="55" t="s">
        <v>22094</v>
      </c>
      <c r="AO22" s="55" t="s">
        <v>22079</v>
      </c>
      <c r="AP22" s="66">
        <f>IF(Kalk4!$AI$51=AQ22,1,0)</f>
        <v>0</v>
      </c>
      <c r="AQ22" s="55">
        <v>1350</v>
      </c>
    </row>
    <row r="23" spans="2:43" ht="24.95" customHeight="1">
      <c r="B23" s="93">
        <f>IF(AG23=1,AL23,0)*Kalk4!$H$37</f>
        <v>0</v>
      </c>
      <c r="C23" s="60">
        <v>1750</v>
      </c>
      <c r="D23" s="60"/>
      <c r="E23" s="60" t="str">
        <f>VLOOKUP(1600,Sprachindex!$A:$Z,Erhebungsbogen!$Y$20,FALSE)</f>
        <v>[Stk]</v>
      </c>
      <c r="F23" s="60" t="s">
        <v>21986</v>
      </c>
      <c r="G23" s="514" t="str">
        <f>VLOOKUP(1592,Sprachindex!$A:$Z,Erhebungsbogen!$Y$20,FALSE) &amp; IF(AND(Kalk4!$AA$5=2,Kalk4!AA11),", " &amp; VLOOKUP(1645,Sprachindex!$A:$Z,Erhebungsbogen!$Y$20,FALSE) &amp; " " &amp; $U$8,", "&amp; VLOOKUP(1648,Sprachindex!$A:$Z,Erhebungsbogen!$Y$20,FALSE))</f>
        <v>Abdeckung V 25, entgratet, blank</v>
      </c>
      <c r="H23" s="514"/>
      <c r="I23" s="514"/>
      <c r="J23" s="514"/>
      <c r="K23" s="514"/>
      <c r="L23" s="514"/>
      <c r="M23" s="514"/>
      <c r="N23" s="514"/>
      <c r="O23" s="514"/>
      <c r="P23" s="514"/>
      <c r="Q23" s="514"/>
      <c r="R23" s="514"/>
      <c r="S23" s="514"/>
      <c r="T23" s="514"/>
      <c r="U23" s="352">
        <f>IF(AND(Kalk4!$AA$5=2,Kalk4!$AA$11),VLOOKUP(F23,Preisliste!C:G,5,FALSE),VLOOKUP(F23,Preisliste!C:G,4,FALSE))</f>
        <v>45.4</v>
      </c>
      <c r="V23" s="352">
        <f t="shared" ref="V23:V48" si="0">U23*B23</f>
        <v>0</v>
      </c>
      <c r="W23" s="86"/>
      <c r="X23" s="86"/>
      <c r="Y23" s="86"/>
      <c r="Z23" s="143">
        <f>IF(AND(Kalk4!$AA$5=2,Kalk4!$AA$11),(VLOOKUP(F23,Preisliste!C:G,5,FALSE)-VLOOKUP(F23,Preisliste!C:G,4,FALSE))*B23,0)</f>
        <v>0</v>
      </c>
      <c r="AB23" s="86"/>
      <c r="AC23" s="86"/>
      <c r="AD23" s="86"/>
      <c r="AE23" s="86"/>
      <c r="AF23" s="86"/>
      <c r="AG23" s="55">
        <f t="shared" ref="AG23:AG44" si="1">IF(AND(AH23&gt;0,AL23&gt;0,AP23=1),1,0)</f>
        <v>0</v>
      </c>
      <c r="AH23" s="66">
        <f>IF(Kalk4!$AA$19=1,1,0)</f>
        <v>0</v>
      </c>
      <c r="AI23" s="55">
        <v>25</v>
      </c>
      <c r="AK23" s="55" t="s">
        <v>22079</v>
      </c>
      <c r="AL23" s="66">
        <f>IF(AND(Kalk4!$AA$18=2,Kalk4!$AF$18=2),2,IF(OR(Kalk4!$AA$18=2,Kalk4!$AF$18=2),1,0))</f>
        <v>0</v>
      </c>
      <c r="AM23" s="55" t="s">
        <v>22094</v>
      </c>
      <c r="AO23" s="55" t="s">
        <v>22079</v>
      </c>
      <c r="AP23" s="66">
        <f>IF(Kalk4!$AI$51=AQ23,1,0)</f>
        <v>0</v>
      </c>
      <c r="AQ23" s="55">
        <v>1750</v>
      </c>
    </row>
    <row r="24" spans="2:43" ht="24.95" customHeight="1">
      <c r="B24" s="93">
        <f>IF(AG24=1,AL24,0)*Kalk4!$H$37</f>
        <v>0</v>
      </c>
      <c r="C24" s="60">
        <v>2150</v>
      </c>
      <c r="D24" s="60"/>
      <c r="E24" s="60" t="str">
        <f>VLOOKUP(1600,Sprachindex!$A:$Z,Erhebungsbogen!$Y$20,FALSE)</f>
        <v>[Stk]</v>
      </c>
      <c r="F24" s="60" t="s">
        <v>21987</v>
      </c>
      <c r="G24" s="514" t="str">
        <f>VLOOKUP(1592,Sprachindex!$A:$Z,Erhebungsbogen!$Y$20,FALSE) &amp; IF(AND(Kalk4!$AA$5=2,Kalk4!AA11),", " &amp; VLOOKUP(1645,Sprachindex!$A:$Z,Erhebungsbogen!$Y$20,FALSE) &amp; " " &amp; $U$8,", "&amp; VLOOKUP(1648,Sprachindex!$A:$Z,Erhebungsbogen!$Y$20,FALSE))</f>
        <v>Abdeckung V 25, entgratet, blank</v>
      </c>
      <c r="H24" s="514"/>
      <c r="I24" s="514"/>
      <c r="J24" s="514"/>
      <c r="K24" s="514"/>
      <c r="L24" s="514"/>
      <c r="M24" s="514"/>
      <c r="N24" s="514"/>
      <c r="O24" s="514"/>
      <c r="P24" s="514"/>
      <c r="Q24" s="514"/>
      <c r="R24" s="514"/>
      <c r="S24" s="514"/>
      <c r="T24" s="514"/>
      <c r="U24" s="352">
        <f>IF(AND(Kalk4!$AA$5=2,Kalk4!$AA$11),VLOOKUP(F24,Preisliste!C:G,5,FALSE),VLOOKUP(F24,Preisliste!C:G,4,FALSE))</f>
        <v>57.9</v>
      </c>
      <c r="V24" s="352">
        <f t="shared" si="0"/>
        <v>0</v>
      </c>
      <c r="W24" s="86"/>
      <c r="Y24" s="86"/>
      <c r="Z24" s="143">
        <f>IF(AND(Kalk4!$AA$5=2,Kalk4!$AA$11),(VLOOKUP(F24,Preisliste!C:G,5,FALSE)-VLOOKUP(F24,Preisliste!C:G,4,FALSE))*B24,0)</f>
        <v>0</v>
      </c>
      <c r="AB24" s="86"/>
      <c r="AC24" s="86"/>
      <c r="AD24" s="86"/>
      <c r="AE24" s="86"/>
      <c r="AF24" s="86"/>
      <c r="AG24" s="55">
        <f t="shared" si="1"/>
        <v>0</v>
      </c>
      <c r="AH24" s="66">
        <f>IF(Kalk4!$AA$19=1,1,0)</f>
        <v>0</v>
      </c>
      <c r="AI24" s="55">
        <v>25</v>
      </c>
      <c r="AK24" s="55" t="s">
        <v>22079</v>
      </c>
      <c r="AL24" s="66">
        <f>IF(AND(Kalk4!$AA$18=2,Kalk4!$AF$18=2),2,IF(OR(Kalk4!$AA$18=2,Kalk4!$AF$18=2),1,0))</f>
        <v>0</v>
      </c>
      <c r="AM24" s="55" t="s">
        <v>22094</v>
      </c>
      <c r="AO24" s="55" t="s">
        <v>22079</v>
      </c>
      <c r="AP24" s="66">
        <f>IF(Kalk4!$AI$51=AQ24,1,0)</f>
        <v>0</v>
      </c>
      <c r="AQ24" s="55">
        <v>2150</v>
      </c>
    </row>
    <row r="25" spans="2:43" ht="24.95" customHeight="1">
      <c r="B25" s="93">
        <f>IF(AG25=1,AL25,0)*Kalk4!$H$37</f>
        <v>0</v>
      </c>
      <c r="C25" s="60">
        <v>750</v>
      </c>
      <c r="D25" s="60"/>
      <c r="E25" s="60" t="str">
        <f>VLOOKUP(1600,Sprachindex!$A:$Z,Erhebungsbogen!$Y$20,FALSE)</f>
        <v>[Stk]</v>
      </c>
      <c r="F25" s="60" t="s">
        <v>21963</v>
      </c>
      <c r="G25" s="514" t="str">
        <f>VLOOKUP(1610,Sprachindex!$A:$Z,Erhebungsbogen!$Y$20,FALSE) &amp; IF(AND(Kalk4!$AA$5=2,Kalk4!AA11),", " &amp; VLOOKUP(1645,Sprachindex!$A:$Z,Erhebungsbogen!$Y$20,FALSE) &amp; " " &amp; $U$8,", "&amp; VLOOKUP(1648,Sprachindex!$A:$Z,Erhebungsbogen!$Y$20,FALSE))</f>
        <v>Abdeckung V 50, gebohrt und entgratet, blank</v>
      </c>
      <c r="H25" s="514"/>
      <c r="I25" s="514"/>
      <c r="J25" s="514"/>
      <c r="K25" s="514"/>
      <c r="L25" s="514"/>
      <c r="M25" s="514"/>
      <c r="N25" s="514"/>
      <c r="O25" s="514"/>
      <c r="P25" s="514"/>
      <c r="Q25" s="514"/>
      <c r="R25" s="514"/>
      <c r="S25" s="514"/>
      <c r="T25" s="514"/>
      <c r="U25" s="352">
        <f>IF(AND(Kalk4!$AA$5=2,Kalk4!$AA$11),VLOOKUP(F25,Preisliste!C:G,5,FALSE),VLOOKUP(F25,Preisliste!C:G,4,FALSE))</f>
        <v>27.8</v>
      </c>
      <c r="V25" s="352">
        <f t="shared" si="0"/>
        <v>0</v>
      </c>
      <c r="W25" s="86"/>
      <c r="X25" s="86"/>
      <c r="Y25" s="86"/>
      <c r="Z25" s="143">
        <f>IF(AND(Kalk4!$AA$5=2,Kalk4!$AA$11),(VLOOKUP(F25,Preisliste!C:G,5,FALSE)-VLOOKUP(F25,Preisliste!C:G,4,FALSE))*B25,0)</f>
        <v>0</v>
      </c>
      <c r="AB25" s="86"/>
      <c r="AC25" s="86"/>
      <c r="AD25" s="86"/>
      <c r="AE25" s="86"/>
      <c r="AF25" s="86"/>
      <c r="AG25" s="55">
        <f t="shared" si="1"/>
        <v>0</v>
      </c>
      <c r="AH25" s="66">
        <f>IF(OR(Kalk4!$AA$19=2,Kalk4!$AA$19=3),1,0)</f>
        <v>1</v>
      </c>
      <c r="AI25" s="55">
        <v>50</v>
      </c>
      <c r="AK25" s="55" t="s">
        <v>22079</v>
      </c>
      <c r="AL25" s="66">
        <f>IF(AND(Kalk4!$AA$18=2,Kalk4!$AF$18=2),2,IF(OR(Kalk4!$AA$18=2,Kalk4!$AF$18=2),1,0))</f>
        <v>0</v>
      </c>
      <c r="AM25" s="55" t="s">
        <v>22094</v>
      </c>
      <c r="AO25" s="55" t="s">
        <v>22079</v>
      </c>
      <c r="AP25" s="66">
        <f>IF(Kalk4!$AI$51=AQ25,1,0)</f>
        <v>1</v>
      </c>
      <c r="AQ25" s="55">
        <v>750</v>
      </c>
    </row>
    <row r="26" spans="2:43" ht="24.95" customHeight="1">
      <c r="B26" s="93">
        <f>IF(AG26=1,AL26,0)*Kalk4!$H$37</f>
        <v>0</v>
      </c>
      <c r="C26" s="60">
        <v>1350</v>
      </c>
      <c r="D26" s="60"/>
      <c r="E26" s="60" t="str">
        <f>VLOOKUP(1600,Sprachindex!$A:$Z,Erhebungsbogen!$Y$20,FALSE)</f>
        <v>[Stk]</v>
      </c>
      <c r="F26" s="60" t="s">
        <v>21964</v>
      </c>
      <c r="G26" s="514" t="str">
        <f>VLOOKUP(1610,Sprachindex!$A:$Z,Erhebungsbogen!$Y$20,FALSE) &amp; IF(AND(Kalk4!$AA$5=2,Kalk4!AA11),", " &amp; VLOOKUP(1645,Sprachindex!$A:$Z,Erhebungsbogen!$Y$20,FALSE) &amp; " " &amp; $U$8,", "&amp; VLOOKUP(1648,Sprachindex!$A:$Z,Erhebungsbogen!$Y$20,FALSE))</f>
        <v>Abdeckung V 50, gebohrt und entgratet, blank</v>
      </c>
      <c r="H26" s="514"/>
      <c r="I26" s="514"/>
      <c r="J26" s="514"/>
      <c r="K26" s="514"/>
      <c r="L26" s="514"/>
      <c r="M26" s="514"/>
      <c r="N26" s="514"/>
      <c r="O26" s="514"/>
      <c r="P26" s="514"/>
      <c r="Q26" s="514"/>
      <c r="R26" s="514"/>
      <c r="S26" s="514"/>
      <c r="T26" s="514"/>
      <c r="U26" s="352">
        <f>IF(AND(Kalk4!$AA$5=2,Kalk4!$AA$11),VLOOKUP(F26,Preisliste!C:G,5,FALSE),VLOOKUP(F26,Preisliste!C:G,4,FALSE))</f>
        <v>33.65</v>
      </c>
      <c r="V26" s="352">
        <f t="shared" si="0"/>
        <v>0</v>
      </c>
      <c r="W26" s="86"/>
      <c r="X26" s="86"/>
      <c r="Y26" s="86"/>
      <c r="Z26" s="143">
        <f>IF(AND(Kalk4!$AA$5=2,Kalk4!$AA$11),(VLOOKUP(F26,Preisliste!C:G,5,FALSE)-VLOOKUP(F26,Preisliste!C:G,4,FALSE))*B26,0)</f>
        <v>0</v>
      </c>
      <c r="AB26" s="86"/>
      <c r="AC26" s="86"/>
      <c r="AD26" s="86"/>
      <c r="AE26" s="86"/>
      <c r="AF26" s="86"/>
      <c r="AG26" s="55">
        <f t="shared" si="1"/>
        <v>0</v>
      </c>
      <c r="AH26" s="66">
        <f>IF(OR(Kalk4!$AA$19=2,Kalk4!$AA$19=3),1,0)</f>
        <v>1</v>
      </c>
      <c r="AI26" s="55">
        <v>50</v>
      </c>
      <c r="AK26" s="55" t="s">
        <v>22079</v>
      </c>
      <c r="AL26" s="66">
        <f>IF(AND(Kalk4!$AA$18=2,Kalk4!$AF$18=2),2,IF(OR(Kalk4!$AA$18=2,Kalk4!$AF$18=2),1,0))</f>
        <v>0</v>
      </c>
      <c r="AM26" s="55" t="s">
        <v>22094</v>
      </c>
      <c r="AO26" s="55" t="s">
        <v>22079</v>
      </c>
      <c r="AP26" s="66">
        <f>IF(Kalk4!$AI$51=AQ26,1,0)</f>
        <v>0</v>
      </c>
      <c r="AQ26" s="55">
        <v>1350</v>
      </c>
    </row>
    <row r="27" spans="2:43" ht="24.95" customHeight="1">
      <c r="B27" s="93">
        <f>IF(AG27=1,AL27,0)*Kalk4!$H$37</f>
        <v>0</v>
      </c>
      <c r="C27" s="60">
        <v>1750</v>
      </c>
      <c r="D27" s="60"/>
      <c r="E27" s="60" t="str">
        <f>VLOOKUP(1600,Sprachindex!$A:$Z,Erhebungsbogen!$Y$20,FALSE)</f>
        <v>[Stk]</v>
      </c>
      <c r="F27" s="60" t="s">
        <v>21965</v>
      </c>
      <c r="G27" s="514" t="str">
        <f>VLOOKUP(1610,Sprachindex!$A:$Z,Erhebungsbogen!$Y$20,FALSE) &amp; IF(AND(Kalk4!$AA$5=2,Kalk4!AA11),", " &amp; VLOOKUP(1645,Sprachindex!$A:$Z,Erhebungsbogen!$Y$20,FALSE) &amp; " " &amp; $U$8,", "&amp; VLOOKUP(1648,Sprachindex!$A:$Z,Erhebungsbogen!$Y$20,FALSE))</f>
        <v>Abdeckung V 50, gebohrt und entgratet, blank</v>
      </c>
      <c r="H27" s="514"/>
      <c r="I27" s="514"/>
      <c r="J27" s="514"/>
      <c r="K27" s="514"/>
      <c r="L27" s="514"/>
      <c r="M27" s="514"/>
      <c r="N27" s="514"/>
      <c r="O27" s="514"/>
      <c r="P27" s="514"/>
      <c r="Q27" s="514"/>
      <c r="R27" s="514"/>
      <c r="S27" s="514"/>
      <c r="T27" s="514"/>
      <c r="U27" s="352">
        <f>IF(AND(Kalk4!$AA$5=2,Kalk4!$AA$11),VLOOKUP(F27,Preisliste!C:G,5,FALSE),VLOOKUP(F27,Preisliste!C:G,4,FALSE))</f>
        <v>37.5</v>
      </c>
      <c r="V27" s="352">
        <f t="shared" si="0"/>
        <v>0</v>
      </c>
      <c r="W27" s="86"/>
      <c r="X27" s="86"/>
      <c r="Y27" s="86"/>
      <c r="Z27" s="143">
        <f>IF(AND(Kalk4!$AA$5=2,Kalk4!$AA$11),(VLOOKUP(F27,Preisliste!C:G,5,FALSE)-VLOOKUP(F27,Preisliste!C:G,4,FALSE))*B27,0)</f>
        <v>0</v>
      </c>
      <c r="AB27" s="86"/>
      <c r="AC27" s="86"/>
      <c r="AD27" s="86"/>
      <c r="AE27" s="86"/>
      <c r="AF27" s="86"/>
      <c r="AG27" s="55">
        <f t="shared" si="1"/>
        <v>0</v>
      </c>
      <c r="AH27" s="66">
        <f>IF(OR(Kalk4!$AA$19=2,Kalk4!$AA$19=3),1,0)</f>
        <v>1</v>
      </c>
      <c r="AI27" s="55">
        <v>50</v>
      </c>
      <c r="AK27" s="55" t="s">
        <v>22079</v>
      </c>
      <c r="AL27" s="66">
        <f>IF(AND(Kalk4!$AA$18=2,Kalk4!$AF$18=2),2,IF(OR(Kalk4!$AA$18=2,Kalk4!$AF$18=2),1,0))</f>
        <v>0</v>
      </c>
      <c r="AM27" s="55" t="s">
        <v>22094</v>
      </c>
      <c r="AO27" s="55" t="s">
        <v>22079</v>
      </c>
      <c r="AP27" s="66">
        <f>IF(Kalk4!$AI$51=AQ27,1,0)</f>
        <v>0</v>
      </c>
      <c r="AQ27" s="55">
        <v>1750</v>
      </c>
    </row>
    <row r="28" spans="2:43" ht="24.95" customHeight="1">
      <c r="B28" s="93">
        <f>IF(AG28=1,AL28,0)*Kalk4!$H$37</f>
        <v>0</v>
      </c>
      <c r="C28" s="60">
        <v>2150</v>
      </c>
      <c r="D28" s="60"/>
      <c r="E28" s="60" t="str">
        <f>VLOOKUP(1600,Sprachindex!$A:$Z,Erhebungsbogen!$Y$20,FALSE)</f>
        <v>[Stk]</v>
      </c>
      <c r="F28" s="60" t="s">
        <v>21966</v>
      </c>
      <c r="G28" s="514" t="str">
        <f>VLOOKUP(1610,Sprachindex!$A:$Z,Erhebungsbogen!$Y$20,FALSE) &amp; IF(AND(Kalk4!$AA$5=2,Kalk4!AA11),", " &amp; VLOOKUP(1645,Sprachindex!$A:$Z,Erhebungsbogen!$Y$20,FALSE) &amp; " " &amp; $U$8,", "&amp; VLOOKUP(1648,Sprachindex!$A:$Z,Erhebungsbogen!$Y$20,FALSE))</f>
        <v>Abdeckung V 50, gebohrt und entgratet, blank</v>
      </c>
      <c r="H28" s="514"/>
      <c r="I28" s="514"/>
      <c r="J28" s="514"/>
      <c r="K28" s="514"/>
      <c r="L28" s="514"/>
      <c r="M28" s="514"/>
      <c r="N28" s="514"/>
      <c r="O28" s="514"/>
      <c r="P28" s="514"/>
      <c r="Q28" s="514"/>
      <c r="R28" s="514"/>
      <c r="S28" s="514"/>
      <c r="T28" s="514"/>
      <c r="U28" s="352">
        <f>IF(AND(Kalk4!$AA$5=2,Kalk4!$AA$11),VLOOKUP(F28,Preisliste!C:G,5,FALSE),VLOOKUP(F28,Preisliste!C:G,4,FALSE))</f>
        <v>41.4</v>
      </c>
      <c r="V28" s="352">
        <f t="shared" si="0"/>
        <v>0</v>
      </c>
      <c r="W28" s="86"/>
      <c r="X28" s="86"/>
      <c r="Y28" s="86"/>
      <c r="Z28" s="143">
        <f>IF(AND(Kalk4!$AA$5=2,Kalk4!$AA$11),(VLOOKUP(F28,Preisliste!C:G,5,FALSE)-VLOOKUP(F28,Preisliste!C:G,4,FALSE))*B28,0)</f>
        <v>0</v>
      </c>
      <c r="AB28" s="86"/>
      <c r="AC28" s="86"/>
      <c r="AD28" s="86"/>
      <c r="AE28" s="86"/>
      <c r="AF28" s="86"/>
      <c r="AG28" s="55">
        <f t="shared" si="1"/>
        <v>0</v>
      </c>
      <c r="AH28" s="66">
        <f>IF(OR(Kalk4!$AA$19=2,Kalk4!$AA$19=3),1,0)</f>
        <v>1</v>
      </c>
      <c r="AI28" s="55">
        <v>50</v>
      </c>
      <c r="AK28" s="55" t="s">
        <v>22079</v>
      </c>
      <c r="AL28" s="66">
        <f>IF(AND(Kalk4!$AA$18=2,Kalk4!$AF$18=2),2,IF(OR(Kalk4!$AA$18=2,Kalk4!$AF$18=2),1,0))</f>
        <v>0</v>
      </c>
      <c r="AM28" s="55" t="s">
        <v>22094</v>
      </c>
      <c r="AO28" s="55" t="s">
        <v>22079</v>
      </c>
      <c r="AP28" s="66">
        <f>IF(Kalk4!$AI$51=AQ28,1,0)</f>
        <v>0</v>
      </c>
      <c r="AQ28" s="55">
        <v>2150</v>
      </c>
    </row>
    <row r="29" spans="2:43" ht="24.95" customHeight="1">
      <c r="B29" s="93">
        <f>IF(AG29=1,AL29,0)*Kalk4!$H$37</f>
        <v>0</v>
      </c>
      <c r="C29" s="60">
        <v>750</v>
      </c>
      <c r="D29" s="60"/>
      <c r="E29" s="60" t="str">
        <f>VLOOKUP(1600,Sprachindex!$A:$Z,Erhebungsbogen!$Y$20,FALSE)</f>
        <v>[Stk]</v>
      </c>
      <c r="F29" s="60" t="s">
        <v>21967</v>
      </c>
      <c r="G29" s="514" t="str">
        <f>VLOOKUP(1611,Sprachindex!$A:$Z,Erhebungsbogen!$Y$20,FALSE) &amp; IF(AND(Kalk4!$AA$5=2,Kalk4!AA11),", " &amp; VLOOKUP(1645,Sprachindex!$A:$Z,Erhebungsbogen!$Y$20,FALSE) &amp; " " &amp; $U$8,", "&amp; VLOOKUP(1648,Sprachindex!$A:$Z,Erhebungsbogen!$Y$20,FALSE))</f>
        <v>Abdeckung V 80, gebohrt und entgratet, blank</v>
      </c>
      <c r="H29" s="514"/>
      <c r="I29" s="514"/>
      <c r="J29" s="514"/>
      <c r="K29" s="514"/>
      <c r="L29" s="514"/>
      <c r="M29" s="514"/>
      <c r="N29" s="514"/>
      <c r="O29" s="514"/>
      <c r="P29" s="514"/>
      <c r="Q29" s="514"/>
      <c r="R29" s="514"/>
      <c r="S29" s="514"/>
      <c r="T29" s="514"/>
      <c r="U29" s="352">
        <f>IF(AND(Kalk4!$AA$5=2,Kalk4!$AA$11),VLOOKUP(F29,Preisliste!C:G,5,FALSE),VLOOKUP(F29,Preisliste!C:G,4,FALSE))</f>
        <v>34.950000000000003</v>
      </c>
      <c r="V29" s="352">
        <f t="shared" si="0"/>
        <v>0</v>
      </c>
      <c r="W29" s="86"/>
      <c r="X29" s="86"/>
      <c r="Y29" s="86"/>
      <c r="Z29" s="143">
        <f>IF(AND(Kalk4!$AA$5=2,Kalk4!$AA$11),(VLOOKUP(F29,Preisliste!C:G,5,FALSE)-VLOOKUP(F29,Preisliste!C:G,4,FALSE))*B29,0)</f>
        <v>0</v>
      </c>
      <c r="AB29" s="86"/>
      <c r="AC29" s="86"/>
      <c r="AD29" s="86"/>
      <c r="AE29" s="86"/>
      <c r="AF29" s="86"/>
      <c r="AG29" s="55">
        <f t="shared" si="1"/>
        <v>0</v>
      </c>
      <c r="AH29" s="66">
        <f>IF(Kalk4!$AA$19=4,1,0)</f>
        <v>0</v>
      </c>
      <c r="AI29" s="55">
        <v>80</v>
      </c>
      <c r="AK29" s="55" t="s">
        <v>22079</v>
      </c>
      <c r="AL29" s="66">
        <f>IF(AND(Kalk4!$AA$18=2,Kalk4!$AF$18=2),2,IF(OR(Kalk4!$AA$18=2,Kalk4!$AF$18=2),1,0))</f>
        <v>0</v>
      </c>
      <c r="AM29" s="55" t="s">
        <v>22094</v>
      </c>
      <c r="AO29" s="55" t="s">
        <v>22079</v>
      </c>
      <c r="AP29" s="66">
        <f>IF(Kalk4!$AI$51=AQ29,1,0)</f>
        <v>1</v>
      </c>
      <c r="AQ29" s="55">
        <v>750</v>
      </c>
    </row>
    <row r="30" spans="2:43" ht="24.95" customHeight="1">
      <c r="B30" s="93">
        <f>IF(AG30=1,AL30,0)*Kalk4!$H$37</f>
        <v>0</v>
      </c>
      <c r="C30" s="60">
        <v>1350</v>
      </c>
      <c r="D30" s="60"/>
      <c r="E30" s="60" t="str">
        <f>VLOOKUP(1600,Sprachindex!$A:$Z,Erhebungsbogen!$Y$20,FALSE)</f>
        <v>[Stk]</v>
      </c>
      <c r="F30" s="60" t="s">
        <v>21968</v>
      </c>
      <c r="G30" s="514" t="str">
        <f>VLOOKUP(1611,Sprachindex!$A:$Z,Erhebungsbogen!$Y$20,FALSE) &amp; IF(AND(Kalk4!$AA$5=2,Kalk4!AA11),", " &amp; VLOOKUP(1645,Sprachindex!$A:$Z,Erhebungsbogen!$Y$20,FALSE) &amp; " " &amp; $U$8,", "&amp; VLOOKUP(1648,Sprachindex!$A:$Z,Erhebungsbogen!$Y$20,FALSE))</f>
        <v>Abdeckung V 80, gebohrt und entgratet, blank</v>
      </c>
      <c r="H30" s="514"/>
      <c r="I30" s="514"/>
      <c r="J30" s="514"/>
      <c r="K30" s="514"/>
      <c r="L30" s="514"/>
      <c r="M30" s="514"/>
      <c r="N30" s="514"/>
      <c r="O30" s="514"/>
      <c r="P30" s="514"/>
      <c r="Q30" s="514"/>
      <c r="R30" s="514"/>
      <c r="S30" s="514"/>
      <c r="T30" s="514"/>
      <c r="U30" s="352">
        <f>IF(AND(Kalk4!$AA$5=2,Kalk4!$AA$11),VLOOKUP(F30,Preisliste!C:G,5,FALSE),VLOOKUP(F30,Preisliste!C:G,4,FALSE))</f>
        <v>46.4</v>
      </c>
      <c r="V30" s="352">
        <f t="shared" si="0"/>
        <v>0</v>
      </c>
      <c r="W30" s="86"/>
      <c r="X30" s="86"/>
      <c r="Y30" s="86"/>
      <c r="Z30" s="143">
        <f>IF(AND(Kalk4!$AA$5=2,Kalk4!$AA$11),(VLOOKUP(F30,Preisliste!C:G,5,FALSE)-VLOOKUP(F30,Preisliste!C:G,4,FALSE))*B30,0)</f>
        <v>0</v>
      </c>
      <c r="AB30" s="86"/>
      <c r="AC30" s="86"/>
      <c r="AD30" s="86"/>
      <c r="AE30" s="86"/>
      <c r="AF30" s="86"/>
      <c r="AG30" s="55">
        <f t="shared" si="1"/>
        <v>0</v>
      </c>
      <c r="AH30" s="66">
        <f>IF(Kalk4!$AA$19=4,1,0)</f>
        <v>0</v>
      </c>
      <c r="AI30" s="55">
        <v>80</v>
      </c>
      <c r="AK30" s="55" t="s">
        <v>22079</v>
      </c>
      <c r="AL30" s="66">
        <f>IF(AND(Kalk4!$AA$18=2,Kalk4!$AF$18=2),2,IF(OR(Kalk4!$AA$18=2,Kalk4!$AF$18=2),1,0))</f>
        <v>0</v>
      </c>
      <c r="AM30" s="55" t="s">
        <v>22094</v>
      </c>
      <c r="AO30" s="55" t="s">
        <v>22079</v>
      </c>
      <c r="AP30" s="66">
        <f>IF(Kalk4!$AI$51=AQ30,1,0)</f>
        <v>0</v>
      </c>
      <c r="AQ30" s="55">
        <v>1350</v>
      </c>
    </row>
    <row r="31" spans="2:43" ht="24.95" customHeight="1">
      <c r="B31" s="93">
        <f>IF(AG31=1,AL31,0)*Kalk4!$H$37</f>
        <v>0</v>
      </c>
      <c r="C31" s="60">
        <v>1750</v>
      </c>
      <c r="D31" s="60"/>
      <c r="E31" s="60" t="str">
        <f>VLOOKUP(1600,Sprachindex!$A:$Z,Erhebungsbogen!$Y$20,FALSE)</f>
        <v>[Stk]</v>
      </c>
      <c r="F31" s="60" t="s">
        <v>21969</v>
      </c>
      <c r="G31" s="514" t="str">
        <f>VLOOKUP(1611,Sprachindex!$A:$Z,Erhebungsbogen!$Y$20,FALSE) &amp; IF(AND(Kalk4!$AA$5=2,Kalk4!AA11),", " &amp; VLOOKUP(1645,Sprachindex!$A:$Z,Erhebungsbogen!$Y$20,FALSE) &amp; " " &amp; $U$8,", "&amp; VLOOKUP(1648,Sprachindex!$A:$Z,Erhebungsbogen!$Y$20,FALSE))</f>
        <v>Abdeckung V 80, gebohrt und entgratet, blank</v>
      </c>
      <c r="H31" s="514"/>
      <c r="I31" s="514"/>
      <c r="J31" s="514"/>
      <c r="K31" s="514"/>
      <c r="L31" s="514"/>
      <c r="M31" s="514"/>
      <c r="N31" s="514"/>
      <c r="O31" s="514"/>
      <c r="P31" s="514"/>
      <c r="Q31" s="514"/>
      <c r="R31" s="514"/>
      <c r="S31" s="514"/>
      <c r="T31" s="514"/>
      <c r="U31" s="352">
        <f>IF(AND(Kalk4!$AA$5=2,Kalk4!$AA$11),VLOOKUP(F31,Preisliste!C:G,5,FALSE),VLOOKUP(F31,Preisliste!C:G,4,FALSE))</f>
        <v>54.05</v>
      </c>
      <c r="V31" s="352">
        <f t="shared" si="0"/>
        <v>0</v>
      </c>
      <c r="W31" s="86"/>
      <c r="X31" s="86"/>
      <c r="Y31" s="86"/>
      <c r="Z31" s="143">
        <f>IF(AND(Kalk4!$AA$5=2,Kalk4!$AA$11),(VLOOKUP(F31,Preisliste!C:G,5,FALSE)-VLOOKUP(F31,Preisliste!C:G,4,FALSE))*B31,0)</f>
        <v>0</v>
      </c>
      <c r="AB31" s="86"/>
      <c r="AC31" s="86"/>
      <c r="AD31" s="86"/>
      <c r="AE31" s="86"/>
      <c r="AF31" s="86"/>
      <c r="AG31" s="55">
        <f t="shared" si="1"/>
        <v>0</v>
      </c>
      <c r="AH31" s="66">
        <f>IF(Kalk4!$AA$19=4,1,0)</f>
        <v>0</v>
      </c>
      <c r="AI31" s="55">
        <v>80</v>
      </c>
      <c r="AK31" s="55" t="s">
        <v>22079</v>
      </c>
      <c r="AL31" s="66">
        <f>IF(AND(Kalk4!$AA$18=2,Kalk4!$AF$18=2),2,IF(OR(Kalk4!$AA$18=2,Kalk4!$AF$18=2),1,0))</f>
        <v>0</v>
      </c>
      <c r="AM31" s="55" t="s">
        <v>22094</v>
      </c>
      <c r="AO31" s="55" t="s">
        <v>22079</v>
      </c>
      <c r="AP31" s="66">
        <f>IF(Kalk4!$AI$51=AQ31,1,0)</f>
        <v>0</v>
      </c>
      <c r="AQ31" s="55">
        <v>1750</v>
      </c>
    </row>
    <row r="32" spans="2:43" ht="24.95" customHeight="1">
      <c r="B32" s="93">
        <f>IF(AG32=1,AL32,0)*Kalk4!$H$37</f>
        <v>0</v>
      </c>
      <c r="C32" s="60">
        <v>2150</v>
      </c>
      <c r="D32" s="60"/>
      <c r="E32" s="60" t="str">
        <f>VLOOKUP(1600,Sprachindex!$A:$Z,Erhebungsbogen!$Y$20,FALSE)</f>
        <v>[Stk]</v>
      </c>
      <c r="F32" s="60" t="s">
        <v>21970</v>
      </c>
      <c r="G32" s="514" t="str">
        <f>VLOOKUP(1611,Sprachindex!$A:$Z,Erhebungsbogen!$Y$20,FALSE) &amp; IF(AND(Kalk4!$AA$5=2,Kalk4!AA11),", " &amp; VLOOKUP(1645,Sprachindex!$A:$Z,Erhebungsbogen!$Y$20,FALSE) &amp; " " &amp; $U$8,", "&amp; VLOOKUP(1648,Sprachindex!$A:$Z,Erhebungsbogen!$Y$20,FALSE))</f>
        <v>Abdeckung V 80, gebohrt und entgratet, blank</v>
      </c>
      <c r="H32" s="514"/>
      <c r="I32" s="514"/>
      <c r="J32" s="514"/>
      <c r="K32" s="514"/>
      <c r="L32" s="514"/>
      <c r="M32" s="514"/>
      <c r="N32" s="514"/>
      <c r="O32" s="514"/>
      <c r="P32" s="514"/>
      <c r="Q32" s="514"/>
      <c r="R32" s="514"/>
      <c r="S32" s="514"/>
      <c r="T32" s="514"/>
      <c r="U32" s="352">
        <f>IF(AND(Kalk4!$AA$5=2,Kalk4!$AA$11),VLOOKUP(F32,Preisliste!C:G,5,FALSE),VLOOKUP(F32,Preisliste!C:G,4,FALSE))</f>
        <v>61.65</v>
      </c>
      <c r="V32" s="352">
        <f t="shared" si="0"/>
        <v>0</v>
      </c>
      <c r="W32" s="86"/>
      <c r="X32" s="86"/>
      <c r="Y32" s="86"/>
      <c r="Z32" s="143">
        <f>IF(AND(Kalk4!$AA$5=2,Kalk4!$AA$11),(VLOOKUP(F32,Preisliste!C:G,5,FALSE)-VLOOKUP(F32,Preisliste!C:G,4,FALSE))*B32,0)</f>
        <v>0</v>
      </c>
      <c r="AB32" s="86"/>
      <c r="AC32" s="86"/>
      <c r="AD32" s="86"/>
      <c r="AE32" s="86"/>
      <c r="AF32" s="86"/>
      <c r="AG32" s="55">
        <f t="shared" si="1"/>
        <v>0</v>
      </c>
      <c r="AH32" s="66">
        <f>IF(Kalk4!$AA$19=4,1,0)</f>
        <v>0</v>
      </c>
      <c r="AI32" s="55">
        <v>80</v>
      </c>
      <c r="AK32" s="55" t="s">
        <v>22079</v>
      </c>
      <c r="AL32" s="66">
        <f>IF(AND(Kalk4!$AA$18=2,Kalk4!$AF$18=2),2,IF(OR(Kalk4!$AA$18=2,Kalk4!$AF$18=2),1,0))</f>
        <v>0</v>
      </c>
      <c r="AM32" s="55" t="s">
        <v>22094</v>
      </c>
      <c r="AO32" s="55" t="s">
        <v>22079</v>
      </c>
      <c r="AP32" s="66">
        <f>IF(Kalk4!$AI$51=AQ32,1,0)</f>
        <v>0</v>
      </c>
      <c r="AQ32" s="55">
        <v>2150</v>
      </c>
    </row>
    <row r="33" spans="2:54" ht="24.95" customHeight="1">
      <c r="B33" s="93">
        <f>IF(AG33=1,AL33,0)*Kalk4!$H$37</f>
        <v>0</v>
      </c>
      <c r="C33" s="60">
        <v>750</v>
      </c>
      <c r="D33" s="60"/>
      <c r="E33" s="60" t="str">
        <f>VLOOKUP(1600,Sprachindex!$A:$Z,Erhebungsbogen!$Y$20,FALSE)</f>
        <v>[Stk]</v>
      </c>
      <c r="F33" s="60" t="s">
        <v>21951</v>
      </c>
      <c r="G33" s="514" t="str">
        <f>VLOOKUP(1593,Sprachindex!$A:$Z,Erhebungsbogen!$Y$20,FALSE) &amp; IF(AND(Kalk4!$AA$5=2,Kalk4!AA11),", " &amp; VLOOKUP(1645,Sprachindex!$A:$Z,Erhebungsbogen!$Y$20,FALSE) &amp; " " &amp; $U$8,", "&amp; VLOOKUP(1648,Sprachindex!$A:$Z,Erhebungsbogen!$Y$20,FALSE))</f>
        <v>Abdeckung VO 25, entgratet, blank</v>
      </c>
      <c r="H33" s="514"/>
      <c r="I33" s="514"/>
      <c r="J33" s="514"/>
      <c r="K33" s="514"/>
      <c r="L33" s="514"/>
      <c r="M33" s="514"/>
      <c r="N33" s="514"/>
      <c r="O33" s="514"/>
      <c r="P33" s="514"/>
      <c r="Q33" s="514"/>
      <c r="R33" s="514"/>
      <c r="S33" s="514"/>
      <c r="T33" s="514"/>
      <c r="U33" s="352">
        <f>IF(AND(Kalk4!$AA$5=2,Kalk4!$AA$11),VLOOKUP(F33,Preisliste!C:G,5,FALSE),VLOOKUP(F33,Preisliste!C:G,4,FALSE))</f>
        <v>103.1</v>
      </c>
      <c r="V33" s="352">
        <f t="shared" si="0"/>
        <v>0</v>
      </c>
      <c r="W33" s="86"/>
      <c r="X33" s="86"/>
      <c r="Y33" s="86"/>
      <c r="Z33" s="143">
        <f>IF(AND(Kalk4!$AA$5=2,Kalk4!$AA$11),(VLOOKUP(F33,Preisliste!C:G,5,FALSE)-VLOOKUP(F33,Preisliste!C:G,4,FALSE))*B33,0)</f>
        <v>0</v>
      </c>
      <c r="AB33" s="86"/>
      <c r="AC33" s="86"/>
      <c r="AD33" s="86"/>
      <c r="AE33" s="86"/>
      <c r="AF33" s="86"/>
      <c r="AG33" s="55">
        <f t="shared" si="1"/>
        <v>0</v>
      </c>
      <c r="AH33" s="66">
        <f>IF(Kalk4!$AA$19=1,1,0)</f>
        <v>0</v>
      </c>
      <c r="AI33" s="55">
        <v>25</v>
      </c>
      <c r="AK33" s="55" t="s">
        <v>22079</v>
      </c>
      <c r="AL33" s="66">
        <f>IF(AND(Kalk4!$AA$18=3,Kalk4!$AF$18=3),2,IF(OR(Kalk4!$AA$18=3,Kalk4!$AF$18=3),1,0))</f>
        <v>0</v>
      </c>
      <c r="AM33" s="55" t="s">
        <v>22095</v>
      </c>
      <c r="AO33" s="55" t="s">
        <v>22079</v>
      </c>
      <c r="AP33" s="66">
        <f>IF(Kalk4!$AI$51=AQ33,1,0)</f>
        <v>1</v>
      </c>
      <c r="AQ33" s="55">
        <v>750</v>
      </c>
    </row>
    <row r="34" spans="2:54" ht="24.95" customHeight="1">
      <c r="B34" s="93">
        <f>IF(AG34=1,AL34,0)*Kalk4!$H$37</f>
        <v>0</v>
      </c>
      <c r="C34" s="60">
        <v>1350</v>
      </c>
      <c r="D34" s="60"/>
      <c r="E34" s="60" t="str">
        <f>VLOOKUP(1600,Sprachindex!$A:$Z,Erhebungsbogen!$Y$20,FALSE)</f>
        <v>[Stk]</v>
      </c>
      <c r="F34" s="60" t="s">
        <v>21952</v>
      </c>
      <c r="G34" s="514" t="str">
        <f>VLOOKUP(1593,Sprachindex!$A:$Z,Erhebungsbogen!$Y$20,FALSE) &amp; IF(AND(Kalk4!$AA$5=2,Kalk4!AA11),", " &amp; VLOOKUP(1645,Sprachindex!$A:$Z,Erhebungsbogen!$Y$20,FALSE) &amp; " " &amp; $U$8,", "&amp; VLOOKUP(1648,Sprachindex!$A:$Z,Erhebungsbogen!$Y$20,FALSE))</f>
        <v>Abdeckung VO 25, entgratet, blank</v>
      </c>
      <c r="H34" s="514"/>
      <c r="I34" s="514"/>
      <c r="J34" s="514"/>
      <c r="K34" s="514"/>
      <c r="L34" s="514"/>
      <c r="M34" s="514"/>
      <c r="N34" s="514"/>
      <c r="O34" s="514"/>
      <c r="P34" s="514"/>
      <c r="Q34" s="514"/>
      <c r="R34" s="514"/>
      <c r="S34" s="514"/>
      <c r="T34" s="514"/>
      <c r="U34" s="352">
        <f>IF(AND(Kalk4!$AA$5=2,Kalk4!$AA$11),VLOOKUP(F34,Preisliste!C:G,5,FALSE),VLOOKUP(F34,Preisliste!C:G,4,FALSE))</f>
        <v>108</v>
      </c>
      <c r="V34" s="352">
        <f t="shared" si="0"/>
        <v>0</v>
      </c>
      <c r="W34" s="86"/>
      <c r="X34" s="86"/>
      <c r="Y34" s="86"/>
      <c r="Z34" s="143">
        <f>IF(AND(Kalk4!$AA$5=2,Kalk4!$AA$11),(VLOOKUP(F34,Preisliste!C:G,5,FALSE)-VLOOKUP(F34,Preisliste!C:G,4,FALSE))*B34,0)</f>
        <v>0</v>
      </c>
      <c r="AB34" s="86"/>
      <c r="AC34" s="86"/>
      <c r="AD34" s="86"/>
      <c r="AE34" s="86"/>
      <c r="AF34" s="86"/>
      <c r="AG34" s="55">
        <f t="shared" si="1"/>
        <v>0</v>
      </c>
      <c r="AH34" s="66">
        <f>IF(Kalk4!$AA$19=1,1,0)</f>
        <v>0</v>
      </c>
      <c r="AI34" s="55">
        <v>25</v>
      </c>
      <c r="AK34" s="55" t="s">
        <v>22079</v>
      </c>
      <c r="AL34" s="66">
        <f>IF(AND(Kalk4!$AA$18=3,Kalk4!$AF$18=3),2,IF(OR(Kalk4!$AA$18=3,Kalk4!$AF$18=3),1,0))</f>
        <v>0</v>
      </c>
      <c r="AM34" s="55" t="s">
        <v>22095</v>
      </c>
      <c r="AO34" s="55" t="s">
        <v>22079</v>
      </c>
      <c r="AP34" s="66">
        <f>IF(Kalk4!$AI$51=AQ34,1,0)</f>
        <v>0</v>
      </c>
      <c r="AQ34" s="55">
        <v>1350</v>
      </c>
    </row>
    <row r="35" spans="2:54" ht="24.95" customHeight="1">
      <c r="B35" s="93">
        <f>IF(AG35=1,AL35,0)*Kalk4!$H$37</f>
        <v>0</v>
      </c>
      <c r="C35" s="60">
        <v>1750</v>
      </c>
      <c r="D35" s="60"/>
      <c r="E35" s="60" t="str">
        <f>VLOOKUP(1600,Sprachindex!$A:$Z,Erhebungsbogen!$Y$20,FALSE)</f>
        <v>[Stk]</v>
      </c>
      <c r="F35" s="60" t="s">
        <v>21988</v>
      </c>
      <c r="G35" s="514" t="str">
        <f>VLOOKUP(1593,Sprachindex!$A:$Z,Erhebungsbogen!$Y$20,FALSE) &amp; IF(AND(Kalk4!$AA$5=2,Kalk4!AA11),", " &amp; VLOOKUP(1645,Sprachindex!$A:$Z,Erhebungsbogen!$Y$20,FALSE) &amp; " " &amp; $U$8,", "&amp; VLOOKUP(1648,Sprachindex!$A:$Z,Erhebungsbogen!$Y$20,FALSE))</f>
        <v>Abdeckung VO 25, entgratet, blank</v>
      </c>
      <c r="H35" s="514"/>
      <c r="I35" s="514"/>
      <c r="J35" s="514"/>
      <c r="K35" s="514"/>
      <c r="L35" s="514"/>
      <c r="M35" s="514"/>
      <c r="N35" s="514"/>
      <c r="O35" s="514"/>
      <c r="P35" s="514"/>
      <c r="Q35" s="514"/>
      <c r="R35" s="514"/>
      <c r="S35" s="514"/>
      <c r="T35" s="514"/>
      <c r="U35" s="352">
        <f>IF(AND(Kalk4!$AA$5=2,Kalk4!$AA$11),VLOOKUP(F35,Preisliste!C:G,5,FALSE),VLOOKUP(F35,Preisliste!C:G,4,FALSE))</f>
        <v>113.85</v>
      </c>
      <c r="V35" s="352">
        <f t="shared" si="0"/>
        <v>0</v>
      </c>
      <c r="W35" s="86"/>
      <c r="X35" s="86"/>
      <c r="Y35" s="86"/>
      <c r="Z35" s="143">
        <f>IF(AND(Kalk4!$AA$5=2,Kalk4!$AA$11),(VLOOKUP(F35,Preisliste!C:G,5,FALSE)-VLOOKUP(F35,Preisliste!C:G,4,FALSE))*B35,0)</f>
        <v>0</v>
      </c>
      <c r="AB35" s="86"/>
      <c r="AC35" s="86"/>
      <c r="AD35" s="86"/>
      <c r="AE35" s="86"/>
      <c r="AF35" s="86"/>
      <c r="AG35" s="55">
        <f t="shared" si="1"/>
        <v>0</v>
      </c>
      <c r="AH35" s="66">
        <f>IF(Kalk4!$AA$19=1,1,0)</f>
        <v>0</v>
      </c>
      <c r="AI35" s="55">
        <v>25</v>
      </c>
      <c r="AK35" s="55" t="s">
        <v>22079</v>
      </c>
      <c r="AL35" s="66">
        <f>IF(AND(Kalk4!$AA$18=3,Kalk4!$AF$18=3),2,IF(OR(Kalk4!$AA$18=3,Kalk4!$AF$18=3),1,0))</f>
        <v>0</v>
      </c>
      <c r="AM35" s="55" t="s">
        <v>22095</v>
      </c>
      <c r="AO35" s="55" t="s">
        <v>22079</v>
      </c>
      <c r="AP35" s="66">
        <f>IF(Kalk4!$AI$51=AQ35,1,0)</f>
        <v>0</v>
      </c>
      <c r="AQ35" s="55">
        <v>1750</v>
      </c>
    </row>
    <row r="36" spans="2:54" ht="24.95" customHeight="1">
      <c r="B36" s="93">
        <f>IF(AG36=1,AL36,0)*Kalk4!$H$37</f>
        <v>0</v>
      </c>
      <c r="C36" s="60">
        <v>2150</v>
      </c>
      <c r="D36" s="60"/>
      <c r="E36" s="60" t="str">
        <f>VLOOKUP(1600,Sprachindex!$A:$Z,Erhebungsbogen!$Y$20,FALSE)</f>
        <v>[Stk]</v>
      </c>
      <c r="F36" s="60" t="s">
        <v>22642</v>
      </c>
      <c r="G36" s="514" t="str">
        <f>VLOOKUP(1593,Sprachindex!$A:$Z,Erhebungsbogen!$Y$20,FALSE) &amp; IF(AND(Kalk4!$AA$5=2,Kalk4!AA11),", " &amp; VLOOKUP(1645,Sprachindex!$A:$Z,Erhebungsbogen!$Y$20,FALSE) &amp; " " &amp; $U$8,", "&amp; VLOOKUP(1648,Sprachindex!$A:$Z,Erhebungsbogen!$Y$20,FALSE))</f>
        <v>Abdeckung VO 25, entgratet, blank</v>
      </c>
      <c r="H36" s="514"/>
      <c r="I36" s="514"/>
      <c r="J36" s="514"/>
      <c r="K36" s="514"/>
      <c r="L36" s="514"/>
      <c r="M36" s="514"/>
      <c r="N36" s="514"/>
      <c r="O36" s="514"/>
      <c r="P36" s="514"/>
      <c r="Q36" s="514"/>
      <c r="R36" s="514"/>
      <c r="S36" s="514"/>
      <c r="T36" s="514"/>
      <c r="U36" s="352">
        <f>IF(AND(Kalk4!$AA$5=2,Kalk4!$AA$11),VLOOKUP(F36,Preisliste!C:G,5,FALSE),VLOOKUP(F36,Preisliste!C:G,4,FALSE))</f>
        <v>119.8</v>
      </c>
      <c r="V36" s="352">
        <f t="shared" si="0"/>
        <v>0</v>
      </c>
      <c r="W36" s="86"/>
      <c r="X36" s="86"/>
      <c r="Y36" s="86"/>
      <c r="Z36" s="143">
        <f>IF(AND(Kalk4!$AA$5=2,Kalk4!$AA$11),(VLOOKUP(F36,Preisliste!C:G,5,FALSE)-VLOOKUP(F36,Preisliste!C:G,4,FALSE))*B36,0)</f>
        <v>0</v>
      </c>
      <c r="AB36" s="86"/>
      <c r="AC36" s="86"/>
      <c r="AD36" s="86"/>
      <c r="AE36" s="86"/>
      <c r="AF36" s="86"/>
      <c r="AG36" s="55">
        <f t="shared" si="1"/>
        <v>0</v>
      </c>
      <c r="AH36" s="66">
        <f>IF(Kalk4!$AA$19=1,1,0)</f>
        <v>0</v>
      </c>
      <c r="AI36" s="55">
        <v>25</v>
      </c>
      <c r="AK36" s="55" t="s">
        <v>22079</v>
      </c>
      <c r="AL36" s="66">
        <f>IF(AND(Kalk4!$AA$18=3,Kalk4!$AF$18=3),2,IF(OR(Kalk4!$AA$18=3,Kalk4!$AF$18=3),1,0))</f>
        <v>0</v>
      </c>
      <c r="AM36" s="55" t="s">
        <v>22095</v>
      </c>
      <c r="AO36" s="55" t="s">
        <v>22079</v>
      </c>
      <c r="AP36" s="66">
        <f>IF(Kalk4!$AI$51=AQ36,1,0)</f>
        <v>0</v>
      </c>
      <c r="AQ36" s="55">
        <v>2150</v>
      </c>
    </row>
    <row r="37" spans="2:54" ht="24.95" customHeight="1">
      <c r="B37" s="93">
        <f>IF(AG37=1,AL37,0)*Kalk4!$H$37</f>
        <v>0</v>
      </c>
      <c r="C37" s="60">
        <v>750</v>
      </c>
      <c r="D37" s="60"/>
      <c r="E37" s="60" t="str">
        <f>VLOOKUP(1600,Sprachindex!$A:$Z,Erhebungsbogen!$Y$20,FALSE)</f>
        <v>[Stk]</v>
      </c>
      <c r="F37" s="60" t="s">
        <v>21953</v>
      </c>
      <c r="G37" s="514" t="str">
        <f>VLOOKUP(1613,Sprachindex!$A:$Z,Erhebungsbogen!$Y$20,FALSE) &amp; IF(AND(Kalk4!$AA$5=2,Kalk4!AA11),", " &amp; VLOOKUP(1645,Sprachindex!$A:$Z,Erhebungsbogen!$Y$20,FALSE) &amp; " " &amp; $U$8,", "&amp; VLOOKUP(1648,Sprachindex!$A:$Z,Erhebungsbogen!$Y$20,FALSE))</f>
        <v>Abdeckung VO 50, gebohrt und entgratet, blank</v>
      </c>
      <c r="H37" s="514"/>
      <c r="I37" s="514"/>
      <c r="J37" s="514"/>
      <c r="K37" s="514"/>
      <c r="L37" s="514"/>
      <c r="M37" s="514"/>
      <c r="N37" s="514"/>
      <c r="O37" s="514"/>
      <c r="P37" s="514"/>
      <c r="Q37" s="514"/>
      <c r="R37" s="514"/>
      <c r="S37" s="514"/>
      <c r="T37" s="514"/>
      <c r="U37" s="352">
        <f>IF(AND(Kalk4!$AA$5=2,Kalk4!$AA$11),VLOOKUP(F37,Preisliste!C:G,5,FALSE),VLOOKUP(F37,Preisliste!C:G,4,FALSE))</f>
        <v>109.25</v>
      </c>
      <c r="V37" s="352">
        <f t="shared" si="0"/>
        <v>0</v>
      </c>
      <c r="W37" s="86"/>
      <c r="X37" s="86"/>
      <c r="Y37" s="86"/>
      <c r="Z37" s="143">
        <f>IF(AND(Kalk4!$AA$5=2,Kalk4!$AA$11),(VLOOKUP(F37,Preisliste!C:G,5,FALSE)-VLOOKUP(F37,Preisliste!C:G,4,FALSE))*B37,0)</f>
        <v>0</v>
      </c>
      <c r="AB37" s="86"/>
      <c r="AC37" s="86"/>
      <c r="AD37" s="86"/>
      <c r="AE37" s="86"/>
      <c r="AF37" s="86"/>
      <c r="AG37" s="55">
        <f t="shared" si="1"/>
        <v>0</v>
      </c>
      <c r="AH37" s="66">
        <f>IF(OR(Kalk4!$AA$19=2,Kalk4!$AA$19=3),1,0)</f>
        <v>1</v>
      </c>
      <c r="AI37" s="55">
        <v>50</v>
      </c>
      <c r="AK37" s="55" t="s">
        <v>22079</v>
      </c>
      <c r="AL37" s="66">
        <f>IF(AND(Kalk4!$AA$18=3,Kalk4!$AF$18=3),2,IF(OR(Kalk4!$AA$18=3,Kalk4!$AF$18=3),1,0))</f>
        <v>0</v>
      </c>
      <c r="AM37" s="55" t="s">
        <v>22095</v>
      </c>
      <c r="AO37" s="55" t="s">
        <v>22079</v>
      </c>
      <c r="AP37" s="66">
        <f>IF(Kalk4!$AI$51=AQ37,1,0)</f>
        <v>1</v>
      </c>
      <c r="AQ37" s="55">
        <v>750</v>
      </c>
    </row>
    <row r="38" spans="2:54" ht="24.95" customHeight="1">
      <c r="B38" s="93">
        <f>IF(AG38=1,AL38,0)*Kalk4!$H$37</f>
        <v>0</v>
      </c>
      <c r="C38" s="60">
        <v>1350</v>
      </c>
      <c r="D38" s="60"/>
      <c r="E38" s="60" t="str">
        <f>VLOOKUP(1600,Sprachindex!$A:$Z,Erhebungsbogen!$Y$20,FALSE)</f>
        <v>[Stk]</v>
      </c>
      <c r="F38" s="60" t="s">
        <v>21954</v>
      </c>
      <c r="G38" s="514" t="str">
        <f>VLOOKUP(1613,Sprachindex!$A:$Z,Erhebungsbogen!$Y$20,FALSE) &amp; IF(AND(Kalk4!$AA$5=2,Kalk4!AA11),", " &amp; VLOOKUP(1645,Sprachindex!$A:$Z,Erhebungsbogen!$Y$20,FALSE) &amp; " " &amp; $U$8,", "&amp; VLOOKUP(1648,Sprachindex!$A:$Z,Erhebungsbogen!$Y$20,FALSE))</f>
        <v>Abdeckung VO 50, gebohrt und entgratet, blank</v>
      </c>
      <c r="H38" s="514"/>
      <c r="I38" s="514"/>
      <c r="J38" s="514"/>
      <c r="K38" s="514"/>
      <c r="L38" s="514"/>
      <c r="M38" s="514"/>
      <c r="N38" s="514"/>
      <c r="O38" s="514"/>
      <c r="P38" s="514"/>
      <c r="Q38" s="514"/>
      <c r="R38" s="514"/>
      <c r="S38" s="514"/>
      <c r="T38" s="514"/>
      <c r="U38" s="352">
        <f>IF(AND(Kalk4!$AA$5=2,Kalk4!$AA$11),VLOOKUP(F38,Preisliste!C:G,5,FALSE),VLOOKUP(F38,Preisliste!C:G,4,FALSE))</f>
        <v>115.25</v>
      </c>
      <c r="V38" s="352">
        <f t="shared" si="0"/>
        <v>0</v>
      </c>
      <c r="W38" s="86"/>
      <c r="X38" s="86"/>
      <c r="Y38" s="86"/>
      <c r="Z38" s="143">
        <f>IF(AND(Kalk4!$AA$5=2,Kalk4!$AA$11),(VLOOKUP(F38,Preisliste!C:G,5,FALSE)-VLOOKUP(F38,Preisliste!C:G,4,FALSE))*B38,0)</f>
        <v>0</v>
      </c>
      <c r="AB38" s="86"/>
      <c r="AC38" s="86"/>
      <c r="AD38" s="86"/>
      <c r="AE38" s="86"/>
      <c r="AF38" s="86"/>
      <c r="AG38" s="55">
        <f t="shared" si="1"/>
        <v>0</v>
      </c>
      <c r="AH38" s="66">
        <f>IF(OR(Kalk4!$AA$19=2,Kalk4!$AA$19=3),1,0)</f>
        <v>1</v>
      </c>
      <c r="AI38" s="55">
        <v>50</v>
      </c>
      <c r="AK38" s="55" t="s">
        <v>22079</v>
      </c>
      <c r="AL38" s="66">
        <f>IF(AND(Kalk4!$AA$18=3,Kalk4!$AF$18=3),2,IF(OR(Kalk4!$AA$18=3,Kalk4!$AF$18=3),1,0))</f>
        <v>0</v>
      </c>
      <c r="AM38" s="55" t="s">
        <v>22095</v>
      </c>
      <c r="AO38" s="55" t="s">
        <v>22079</v>
      </c>
      <c r="AP38" s="66">
        <f>IF(Kalk4!$AI$51=AQ38,1,0)</f>
        <v>0</v>
      </c>
      <c r="AQ38" s="55">
        <v>1350</v>
      </c>
    </row>
    <row r="39" spans="2:54" ht="24.95" customHeight="1">
      <c r="B39" s="93">
        <f>IF(AG39=1,AL39,0)*Kalk4!$H$37</f>
        <v>0</v>
      </c>
      <c r="C39" s="60">
        <v>1750</v>
      </c>
      <c r="D39" s="60"/>
      <c r="E39" s="60" t="str">
        <f>VLOOKUP(1600,Sprachindex!$A:$Z,Erhebungsbogen!$Y$20,FALSE)</f>
        <v>[Stk]</v>
      </c>
      <c r="F39" s="60" t="s">
        <v>21955</v>
      </c>
      <c r="G39" s="514" t="str">
        <f>VLOOKUP(1613,Sprachindex!$A:$Z,Erhebungsbogen!$Y$20,FALSE) &amp; IF(AND(Kalk4!$AA$5=2,Kalk4!AA11),", " &amp; VLOOKUP(1645,Sprachindex!$A:$Z,Erhebungsbogen!$Y$20,FALSE) &amp; " " &amp; $U$8,", "&amp; VLOOKUP(1648,Sprachindex!$A:$Z,Erhebungsbogen!$Y$20,FALSE))</f>
        <v>Abdeckung VO 50, gebohrt und entgratet, blank</v>
      </c>
      <c r="H39" s="514"/>
      <c r="I39" s="514"/>
      <c r="J39" s="514"/>
      <c r="K39" s="514"/>
      <c r="L39" s="514"/>
      <c r="M39" s="514"/>
      <c r="N39" s="514"/>
      <c r="O39" s="514"/>
      <c r="P39" s="514"/>
      <c r="Q39" s="514"/>
      <c r="R39" s="514"/>
      <c r="S39" s="514"/>
      <c r="T39" s="514"/>
      <c r="U39" s="352">
        <f>IF(AND(Kalk4!$AA$5=2,Kalk4!$AA$11),VLOOKUP(F39,Preisliste!C:G,5,FALSE),VLOOKUP(F39,Preisliste!C:G,4,FALSE))</f>
        <v>118.9</v>
      </c>
      <c r="V39" s="352">
        <f t="shared" si="0"/>
        <v>0</v>
      </c>
      <c r="W39" s="86"/>
      <c r="X39" s="86"/>
      <c r="Y39" s="86"/>
      <c r="Z39" s="143">
        <f>IF(AND(Kalk4!$AA$5=2,Kalk4!$AA$11),(VLOOKUP(F39,Preisliste!C:G,5,FALSE)-VLOOKUP(F39,Preisliste!C:G,4,FALSE))*B39,0)</f>
        <v>0</v>
      </c>
      <c r="AB39" s="86"/>
      <c r="AC39" s="86"/>
      <c r="AD39" s="86"/>
      <c r="AE39" s="86"/>
      <c r="AF39" s="86"/>
      <c r="AG39" s="55">
        <f t="shared" si="1"/>
        <v>0</v>
      </c>
      <c r="AH39" s="66">
        <f>IF(OR(Kalk4!$AA$19=2,Kalk4!$AA$19=3),1,0)</f>
        <v>1</v>
      </c>
      <c r="AI39" s="55">
        <v>50</v>
      </c>
      <c r="AK39" s="55" t="s">
        <v>22079</v>
      </c>
      <c r="AL39" s="66">
        <f>IF(AND(Kalk4!$AA$18=3,Kalk4!$AF$18=3),2,IF(OR(Kalk4!$AA$18=3,Kalk4!$AF$18=3),1,0))</f>
        <v>0</v>
      </c>
      <c r="AM39" s="55" t="s">
        <v>22095</v>
      </c>
      <c r="AO39" s="55" t="s">
        <v>22079</v>
      </c>
      <c r="AP39" s="66">
        <f>IF(Kalk4!$AI$51=AQ39,1,0)</f>
        <v>0</v>
      </c>
      <c r="AQ39" s="55">
        <v>1750</v>
      </c>
    </row>
    <row r="40" spans="2:54" ht="24.95" customHeight="1">
      <c r="B40" s="93">
        <f>IF(AG40=1,AL40,0)*Kalk4!$H$37</f>
        <v>0</v>
      </c>
      <c r="C40" s="60">
        <v>2150</v>
      </c>
      <c r="D40" s="60"/>
      <c r="E40" s="60" t="str">
        <f>VLOOKUP(1600,Sprachindex!$A:$Z,Erhebungsbogen!$Y$20,FALSE)</f>
        <v>[Stk]</v>
      </c>
      <c r="F40" s="60" t="s">
        <v>21956</v>
      </c>
      <c r="G40" s="514" t="str">
        <f>VLOOKUP(1613,Sprachindex!$A:$Z,Erhebungsbogen!$Y$20,FALSE) &amp; IF(AND(Kalk4!$AA$5=2,Kalk4!AA11),", " &amp; VLOOKUP(1645,Sprachindex!$A:$Z,Erhebungsbogen!$Y$20,FALSE) &amp; " " &amp; $U$8,", "&amp; VLOOKUP(1648,Sprachindex!$A:$Z,Erhebungsbogen!$Y$20,FALSE))</f>
        <v>Abdeckung VO 50, gebohrt und entgratet, blank</v>
      </c>
      <c r="H40" s="514"/>
      <c r="I40" s="514"/>
      <c r="J40" s="514"/>
      <c r="K40" s="514"/>
      <c r="L40" s="514"/>
      <c r="M40" s="514"/>
      <c r="N40" s="514"/>
      <c r="O40" s="514"/>
      <c r="P40" s="514"/>
      <c r="Q40" s="514"/>
      <c r="R40" s="514"/>
      <c r="S40" s="514"/>
      <c r="T40" s="514"/>
      <c r="U40" s="352">
        <f>IF(AND(Kalk4!$AA$5=2,Kalk4!$AA$11),VLOOKUP(F40,Preisliste!C:G,5,FALSE),VLOOKUP(F40,Preisliste!C:G,4,FALSE))</f>
        <v>122.75</v>
      </c>
      <c r="V40" s="352">
        <f t="shared" si="0"/>
        <v>0</v>
      </c>
      <c r="W40" s="86"/>
      <c r="X40" s="86"/>
      <c r="Y40" s="86"/>
      <c r="Z40" s="143">
        <f>IF(AND(Kalk4!$AA$5=2,Kalk4!$AA$11),(VLOOKUP(F40,Preisliste!C:G,5,FALSE)-VLOOKUP(F40,Preisliste!C:G,4,FALSE))*B40,0)</f>
        <v>0</v>
      </c>
      <c r="AB40" s="86"/>
      <c r="AC40" s="86"/>
      <c r="AD40" s="86"/>
      <c r="AE40" s="86"/>
      <c r="AF40" s="86"/>
      <c r="AG40" s="55">
        <f t="shared" si="1"/>
        <v>0</v>
      </c>
      <c r="AH40" s="66">
        <f>IF(OR(Kalk4!$AA$19=2,Kalk4!$AA$19=3),1,0)</f>
        <v>1</v>
      </c>
      <c r="AI40" s="55">
        <v>50</v>
      </c>
      <c r="AK40" s="55" t="s">
        <v>22079</v>
      </c>
      <c r="AL40" s="66">
        <f>IF(AND(Kalk4!$AA$18=3,Kalk4!$AF$18=3),2,IF(OR(Kalk4!$AA$18=3,Kalk4!$AF$18=3),1,0))</f>
        <v>0</v>
      </c>
      <c r="AM40" s="55" t="s">
        <v>22095</v>
      </c>
      <c r="AO40" s="55" t="s">
        <v>22079</v>
      </c>
      <c r="AP40" s="66">
        <f>IF(Kalk4!$AI$51=AQ40,1,0)</f>
        <v>0</v>
      </c>
      <c r="AQ40" s="55">
        <v>2150</v>
      </c>
    </row>
    <row r="41" spans="2:54" ht="24.95" customHeight="1">
      <c r="B41" s="93">
        <f>IF(AG41=1,AL41,0)*Kalk4!$H$37</f>
        <v>0</v>
      </c>
      <c r="C41" s="60">
        <v>750</v>
      </c>
      <c r="D41" s="60"/>
      <c r="E41" s="60" t="str">
        <f>VLOOKUP(1600,Sprachindex!$A:$Z,Erhebungsbogen!$Y$20,FALSE)</f>
        <v>[Stk]</v>
      </c>
      <c r="F41" s="60" t="s">
        <v>21957</v>
      </c>
      <c r="G41" s="514" t="str">
        <f>VLOOKUP(1614,Sprachindex!$A:$Z,Erhebungsbogen!$Y$20,FALSE) &amp; IF(AND(Kalk4!$AA$5=2,Kalk4!AA11),", " &amp; VLOOKUP(1645,Sprachindex!$A:$Z,Erhebungsbogen!$Y$20,FALSE) &amp; " " &amp; $U$8,", "&amp; VLOOKUP(1648,Sprachindex!$A:$Z,Erhebungsbogen!$Y$20,FALSE))</f>
        <v>Abdeckung VO 80, gebohrt und entgratet, blank</v>
      </c>
      <c r="H41" s="514"/>
      <c r="I41" s="514"/>
      <c r="J41" s="514"/>
      <c r="K41" s="514"/>
      <c r="L41" s="514"/>
      <c r="M41" s="514"/>
      <c r="N41" s="514"/>
      <c r="O41" s="514"/>
      <c r="P41" s="514"/>
      <c r="Q41" s="514"/>
      <c r="R41" s="514"/>
      <c r="S41" s="514"/>
      <c r="T41" s="514"/>
      <c r="U41" s="352">
        <f>IF(AND(Kalk4!$AA$5=2,Kalk4!$AA$11),VLOOKUP(F41,Preisliste!C:G,5,FALSE),VLOOKUP(F41,Preisliste!C:G,4,FALSE))</f>
        <v>116.35</v>
      </c>
      <c r="V41" s="352">
        <f t="shared" si="0"/>
        <v>0</v>
      </c>
      <c r="W41" s="86"/>
      <c r="X41" s="86"/>
      <c r="Y41" s="86"/>
      <c r="Z41" s="143">
        <f>IF(AND(Kalk4!$AA$5=2,Kalk4!$AA$11),(VLOOKUP(F41,Preisliste!C:G,5,FALSE)-VLOOKUP(F41,Preisliste!C:G,4,FALSE))*B41,0)</f>
        <v>0</v>
      </c>
      <c r="AB41" s="86"/>
      <c r="AC41" s="86"/>
      <c r="AD41" s="86"/>
      <c r="AE41" s="86"/>
      <c r="AF41" s="86"/>
      <c r="AG41" s="55">
        <f t="shared" si="1"/>
        <v>0</v>
      </c>
      <c r="AH41" s="66">
        <f>IF(Kalk4!$AA$19=4,1,0)</f>
        <v>0</v>
      </c>
      <c r="AI41" s="55">
        <v>80</v>
      </c>
      <c r="AK41" s="55" t="s">
        <v>22079</v>
      </c>
      <c r="AL41" s="66">
        <f>IF(AND(Kalk4!$AA$18=3,Kalk4!$AF$18=3),2,IF(OR(Kalk4!$AA$18=3,Kalk4!$AF$18=3),1,0))</f>
        <v>0</v>
      </c>
      <c r="AM41" s="55" t="s">
        <v>22095</v>
      </c>
      <c r="AO41" s="55" t="s">
        <v>22079</v>
      </c>
      <c r="AP41" s="66">
        <f>IF(Kalk4!$AI$51=AQ41,1,0)</f>
        <v>1</v>
      </c>
      <c r="AQ41" s="55">
        <v>750</v>
      </c>
    </row>
    <row r="42" spans="2:54" ht="24.95" customHeight="1">
      <c r="B42" s="93">
        <f>IF(AG42=1,AL42,0)*Kalk4!$H$37</f>
        <v>0</v>
      </c>
      <c r="C42" s="60">
        <v>1350</v>
      </c>
      <c r="D42" s="60"/>
      <c r="E42" s="60" t="str">
        <f>VLOOKUP(1600,Sprachindex!$A:$Z,Erhebungsbogen!$Y$20,FALSE)</f>
        <v>[Stk]</v>
      </c>
      <c r="F42" s="60" t="s">
        <v>21958</v>
      </c>
      <c r="G42" s="514" t="str">
        <f>VLOOKUP(1614,Sprachindex!$A:$Z,Erhebungsbogen!$Y$20,FALSE) &amp; IF(AND(Kalk4!$AA$5=2,Kalk4!AA11),", " &amp; VLOOKUP(1645,Sprachindex!$A:$Z,Erhebungsbogen!$Y$20,FALSE) &amp; " " &amp; $U$8,", "&amp; VLOOKUP(1648,Sprachindex!$A:$Z,Erhebungsbogen!$Y$20,FALSE))</f>
        <v>Abdeckung VO 80, gebohrt und entgratet, blank</v>
      </c>
      <c r="H42" s="514"/>
      <c r="I42" s="514"/>
      <c r="J42" s="514"/>
      <c r="K42" s="514"/>
      <c r="L42" s="514"/>
      <c r="M42" s="514"/>
      <c r="N42" s="514"/>
      <c r="O42" s="514"/>
      <c r="P42" s="514"/>
      <c r="Q42" s="514"/>
      <c r="R42" s="514"/>
      <c r="S42" s="514"/>
      <c r="T42" s="514"/>
      <c r="U42" s="352">
        <f>IF(AND(Kalk4!$AA$5=2,Kalk4!$AA$11),VLOOKUP(F42,Preisliste!C:G,5,FALSE),VLOOKUP(F42,Preisliste!C:G,4,FALSE))</f>
        <v>127.7</v>
      </c>
      <c r="V42" s="352">
        <f t="shared" si="0"/>
        <v>0</v>
      </c>
      <c r="W42" s="86"/>
      <c r="X42" s="86"/>
      <c r="Y42" s="86"/>
      <c r="Z42" s="143">
        <f>IF(AND(Kalk4!$AA$5=2,Kalk4!$AA$11),(VLOOKUP(F42,Preisliste!C:G,5,FALSE)-VLOOKUP(F42,Preisliste!C:G,4,FALSE))*B42,0)</f>
        <v>0</v>
      </c>
      <c r="AB42" s="86"/>
      <c r="AC42" s="86"/>
      <c r="AD42" s="86"/>
      <c r="AE42" s="86"/>
      <c r="AF42" s="86"/>
      <c r="AG42" s="55">
        <f t="shared" si="1"/>
        <v>0</v>
      </c>
      <c r="AH42" s="66">
        <f>IF(Kalk4!$AA$19=4,1,0)</f>
        <v>0</v>
      </c>
      <c r="AI42" s="55">
        <v>80</v>
      </c>
      <c r="AK42" s="55" t="s">
        <v>22079</v>
      </c>
      <c r="AL42" s="66">
        <f>IF(AND(Kalk4!$AA$18=3,Kalk4!$AF$18=3),2,IF(OR(Kalk4!$AA$18=3,Kalk4!$AF$18=3),1,0))</f>
        <v>0</v>
      </c>
      <c r="AM42" s="55" t="s">
        <v>22095</v>
      </c>
      <c r="AO42" s="55" t="s">
        <v>22079</v>
      </c>
      <c r="AP42" s="66">
        <f>IF(Kalk4!$AI$51=AQ42,1,0)</f>
        <v>0</v>
      </c>
      <c r="AQ42" s="55">
        <v>1350</v>
      </c>
    </row>
    <row r="43" spans="2:54" ht="24.95" customHeight="1">
      <c r="B43" s="93">
        <f>IF(AG43=1,AL43,0)*Kalk4!$H$37</f>
        <v>0</v>
      </c>
      <c r="C43" s="60">
        <v>1750</v>
      </c>
      <c r="D43" s="60"/>
      <c r="E43" s="60" t="str">
        <f>VLOOKUP(1600,Sprachindex!$A:$Z,Erhebungsbogen!$Y$20,FALSE)</f>
        <v>[Stk]</v>
      </c>
      <c r="F43" s="60" t="s">
        <v>21959</v>
      </c>
      <c r="G43" s="514" t="str">
        <f>VLOOKUP(1614,Sprachindex!$A:$Z,Erhebungsbogen!$Y$20,FALSE) &amp; IF(AND(Kalk4!$AA$5=2,Kalk4!AA11),", " &amp; VLOOKUP(1645,Sprachindex!$A:$Z,Erhebungsbogen!$Y$20,FALSE) &amp; " " &amp; $U$8,", "&amp; VLOOKUP(1648,Sprachindex!$A:$Z,Erhebungsbogen!$Y$20,FALSE))</f>
        <v>Abdeckung VO 80, gebohrt und entgratet, blank</v>
      </c>
      <c r="H43" s="514"/>
      <c r="I43" s="514"/>
      <c r="J43" s="514"/>
      <c r="K43" s="514"/>
      <c r="L43" s="514"/>
      <c r="M43" s="514"/>
      <c r="N43" s="514"/>
      <c r="O43" s="514"/>
      <c r="P43" s="514"/>
      <c r="Q43" s="514"/>
      <c r="R43" s="514"/>
      <c r="S43" s="514"/>
      <c r="T43" s="514"/>
      <c r="U43" s="352">
        <f>IF(AND(Kalk4!$AA$5=2,Kalk4!$AA$11),VLOOKUP(F43,Preisliste!C:G,5,FALSE),VLOOKUP(F43,Preisliste!C:G,4,FALSE))</f>
        <v>135.44999999999999</v>
      </c>
      <c r="V43" s="352">
        <f t="shared" si="0"/>
        <v>0</v>
      </c>
      <c r="W43" s="86"/>
      <c r="X43" s="86"/>
      <c r="Y43" s="86"/>
      <c r="Z43" s="143">
        <f>IF(AND(Kalk4!$AA$5=2,Kalk4!$AA$11),(VLOOKUP(F43,Preisliste!C:G,5,FALSE)-VLOOKUP(F43,Preisliste!C:G,4,FALSE))*B43,0)</f>
        <v>0</v>
      </c>
      <c r="AB43" s="86"/>
      <c r="AC43" s="86"/>
      <c r="AD43" s="86"/>
      <c r="AE43" s="86"/>
      <c r="AF43" s="86"/>
      <c r="AG43" s="55">
        <f t="shared" si="1"/>
        <v>0</v>
      </c>
      <c r="AH43" s="66">
        <f>IF(Kalk4!$AA$19=4,1,0)</f>
        <v>0</v>
      </c>
      <c r="AI43" s="55">
        <v>80</v>
      </c>
      <c r="AK43" s="55" t="s">
        <v>22079</v>
      </c>
      <c r="AL43" s="66">
        <f>IF(AND(Kalk4!$AA$18=3,Kalk4!$AF$18=3),2,IF(OR(Kalk4!$AA$18=3,Kalk4!$AF$18=3),1,0))</f>
        <v>0</v>
      </c>
      <c r="AM43" s="55" t="s">
        <v>22095</v>
      </c>
      <c r="AO43" s="55" t="s">
        <v>22079</v>
      </c>
      <c r="AP43" s="66">
        <f>IF(Kalk4!$AI$51=AQ43,1,0)</f>
        <v>0</v>
      </c>
      <c r="AQ43" s="55">
        <v>1750</v>
      </c>
    </row>
    <row r="44" spans="2:54" ht="24.95" customHeight="1">
      <c r="B44" s="93">
        <f>IF(AG44=1,AL44,0)*Kalk4!$H$37</f>
        <v>0</v>
      </c>
      <c r="C44" s="60">
        <v>2150</v>
      </c>
      <c r="D44" s="60"/>
      <c r="E44" s="60" t="str">
        <f>VLOOKUP(1600,Sprachindex!$A:$Z,Erhebungsbogen!$Y$20,FALSE)</f>
        <v>[Stk]</v>
      </c>
      <c r="F44" s="60" t="s">
        <v>21960</v>
      </c>
      <c r="G44" s="514" t="str">
        <f>VLOOKUP(1614,Sprachindex!$A:$Z,Erhebungsbogen!$Y$20,FALSE) &amp; IF(AND(Kalk4!$AA$5=2,Kalk4!AA11),", " &amp; VLOOKUP(1645,Sprachindex!$A:$Z,Erhebungsbogen!$Y$20,FALSE) &amp; " " &amp; $U$8,", "&amp; VLOOKUP(1648,Sprachindex!$A:$Z,Erhebungsbogen!$Y$20,FALSE))</f>
        <v>Abdeckung VO 80, gebohrt und entgratet, blank</v>
      </c>
      <c r="H44" s="514"/>
      <c r="I44" s="514"/>
      <c r="J44" s="514"/>
      <c r="K44" s="514"/>
      <c r="L44" s="514"/>
      <c r="M44" s="514"/>
      <c r="N44" s="514"/>
      <c r="O44" s="514"/>
      <c r="P44" s="514"/>
      <c r="Q44" s="514"/>
      <c r="R44" s="514"/>
      <c r="S44" s="514"/>
      <c r="T44" s="514"/>
      <c r="U44" s="352">
        <f>IF(AND(Kalk4!$AA$5=2,Kalk4!$AA$11),VLOOKUP(F44,Preisliste!C:G,5,FALSE),VLOOKUP(F44,Preisliste!C:G,4,FALSE))</f>
        <v>143.05000000000001</v>
      </c>
      <c r="V44" s="352">
        <f t="shared" si="0"/>
        <v>0</v>
      </c>
      <c r="W44" s="86"/>
      <c r="X44" s="86"/>
      <c r="Y44" s="86"/>
      <c r="Z44" s="143">
        <f>IF(AND(Kalk4!$AA$5=2,Kalk4!$AA$11),(VLOOKUP(F44,Preisliste!C:G,5,FALSE)-VLOOKUP(F44,Preisliste!C:G,4,FALSE))*B44,0)</f>
        <v>0</v>
      </c>
      <c r="AB44" s="86"/>
      <c r="AC44" s="86"/>
      <c r="AD44" s="86"/>
      <c r="AE44" s="86"/>
      <c r="AF44" s="86"/>
      <c r="AG44" s="55">
        <f t="shared" si="1"/>
        <v>0</v>
      </c>
      <c r="AH44" s="66">
        <f>IF(Kalk4!$AA$19=4,1,0)</f>
        <v>0</v>
      </c>
      <c r="AI44" s="55">
        <v>80</v>
      </c>
      <c r="AK44" s="55" t="s">
        <v>22079</v>
      </c>
      <c r="AL44" s="66">
        <f>IF(AND(Kalk4!$AA$18=3,Kalk4!$AF$18=3),2,IF(OR(Kalk4!$AA$18=3,Kalk4!$AF$18=3),1,0))</f>
        <v>0</v>
      </c>
      <c r="AM44" s="55" t="s">
        <v>22095</v>
      </c>
      <c r="AO44" s="55" t="s">
        <v>22079</v>
      </c>
      <c r="AP44" s="66">
        <f>IF(Kalk4!$AI$51=AQ44,1,0)</f>
        <v>0</v>
      </c>
      <c r="AQ44" s="55">
        <v>2150</v>
      </c>
    </row>
    <row r="45" spans="2:54" ht="24.95" customHeight="1">
      <c r="B45" s="93">
        <f>IF(AG45=1,AL45,0)</f>
        <v>0</v>
      </c>
      <c r="C45" s="60"/>
      <c r="D45" s="60"/>
      <c r="E45" s="60" t="str">
        <f>VLOOKUP(1600,Sprachindex!$A:$Z,Erhebungsbogen!$Y$20,FALSE)</f>
        <v>[Stk]</v>
      </c>
      <c r="F45" s="60" t="s">
        <v>25459</v>
      </c>
      <c r="G45" s="514" t="str">
        <f>VLOOKUP(1625,Sprachindex!$A:$Z,Erhebungsbogen!$Y$20,FALSE) &amp; " (2 " &amp; VLOOKUP(1837,Sprachindex!$A:$Z,Erhebungsbogen!$Y$20,FALSE) &amp; ")"</f>
        <v>Aufpreis Ausfräsung Seitenteile für Dammbalken (2 Stk)</v>
      </c>
      <c r="H45" s="514"/>
      <c r="I45" s="514"/>
      <c r="J45" s="514"/>
      <c r="K45" s="514"/>
      <c r="L45" s="514"/>
      <c r="M45" s="514"/>
      <c r="N45" s="514"/>
      <c r="O45" s="514"/>
      <c r="P45" s="514"/>
      <c r="Q45" s="514"/>
      <c r="R45" s="514"/>
      <c r="S45" s="514"/>
      <c r="T45" s="514"/>
      <c r="U45" s="352">
        <f>Preisliste!F26</f>
        <v>0</v>
      </c>
      <c r="V45" s="352">
        <f t="shared" si="0"/>
        <v>0</v>
      </c>
      <c r="W45" s="86"/>
      <c r="X45" s="86"/>
      <c r="Y45" s="86"/>
      <c r="Z45" s="86"/>
      <c r="AA45" s="86"/>
      <c r="AB45" s="86"/>
      <c r="AC45" s="86"/>
      <c r="AD45" s="86"/>
      <c r="AE45" s="86"/>
      <c r="AF45" s="86"/>
      <c r="AG45" s="55">
        <f>IF(Kalk4!$AA$23,1,0)</f>
        <v>0</v>
      </c>
      <c r="AK45" s="55" t="s">
        <v>22100</v>
      </c>
      <c r="AL45" s="66">
        <f>Kalk4!$X$24*Kalk4!$H$37</f>
        <v>0</v>
      </c>
      <c r="AM45" s="55" t="s">
        <v>20872</v>
      </c>
    </row>
    <row r="46" spans="2:54" ht="24.95" customHeight="1">
      <c r="B46" s="93">
        <f t="shared" ref="B46:B48" si="2">IF(AG46=1,AL46,0)</f>
        <v>0</v>
      </c>
      <c r="C46" s="60"/>
      <c r="D46" s="60"/>
      <c r="E46" s="60" t="str">
        <f>VLOOKUP(1600,Sprachindex!$A:$Z,Erhebungsbogen!$Y$20,FALSE)</f>
        <v>[Stk]</v>
      </c>
      <c r="F46" s="60" t="s">
        <v>25460</v>
      </c>
      <c r="G46" s="514" t="str">
        <f>VLOOKUP(1626,Sprachindex!$A:$Z,Erhebungsbogen!$Y$20,FALSE) &amp; " + " &amp; VLOOKUP(1608,Sprachindex!$A:$Z,Erhebungsbogen!$Y$20,FALSE) &amp; " (2 " &amp; VLOOKUP(1837,Sprachindex!$A:$Z,Erhebungsbogen!$Y$20,FALSE) &amp; ")"</f>
        <v>Aufpreis Längenänderung Seitenteile + Abdeckung (2 Stk)</v>
      </c>
      <c r="H46" s="515"/>
      <c r="I46" s="515"/>
      <c r="J46" s="515"/>
      <c r="K46" s="515"/>
      <c r="L46" s="515"/>
      <c r="M46" s="515"/>
      <c r="N46" s="515"/>
      <c r="O46" s="515"/>
      <c r="P46" s="515"/>
      <c r="Q46" s="515"/>
      <c r="R46" s="515"/>
      <c r="S46" s="515"/>
      <c r="T46" s="516"/>
      <c r="U46" s="352">
        <f>Preisliste!F27</f>
        <v>0</v>
      </c>
      <c r="V46" s="352">
        <f t="shared" si="0"/>
        <v>0</v>
      </c>
      <c r="W46" s="86"/>
      <c r="X46" s="86"/>
      <c r="Y46" s="86"/>
      <c r="Z46" s="86"/>
      <c r="AA46" s="86"/>
      <c r="AB46" s="86"/>
      <c r="AC46" s="86"/>
      <c r="AD46" s="86"/>
      <c r="AE46" s="86"/>
      <c r="AF46" s="86"/>
      <c r="AG46" s="55">
        <f>IF(Kalk4!$AA$22,1,0)</f>
        <v>0</v>
      </c>
      <c r="AK46" s="55" t="s">
        <v>22100</v>
      </c>
      <c r="AL46" s="66">
        <f>Kalk4!$Q$25*Kalk4!$H$37</f>
        <v>0</v>
      </c>
      <c r="AM46" s="55" t="s">
        <v>20872</v>
      </c>
    </row>
    <row r="47" spans="2:54" ht="24.95" customHeight="1">
      <c r="B47" s="93">
        <f t="shared" si="2"/>
        <v>0</v>
      </c>
      <c r="C47" s="60"/>
      <c r="D47" s="60"/>
      <c r="E47" s="60" t="str">
        <f>VLOOKUP(1594,Sprachindex!$A:$Z,Erhebungsbogen!$Y$20,FALSE)</f>
        <v>[EH]</v>
      </c>
      <c r="F47" s="60" t="s">
        <v>25458</v>
      </c>
      <c r="G47" s="514" t="str">
        <f>VLOOKUP(1627,Sprachindex!$A:$Z,Erhebungsbogen!$Y$20,FALSE)</f>
        <v>Aufpreis Planungsstunde</v>
      </c>
      <c r="H47" s="514"/>
      <c r="I47" s="514"/>
      <c r="J47" s="514"/>
      <c r="K47" s="514"/>
      <c r="L47" s="514"/>
      <c r="M47" s="514"/>
      <c r="N47" s="514"/>
      <c r="O47" s="514"/>
      <c r="P47" s="514"/>
      <c r="Q47" s="514"/>
      <c r="R47" s="514"/>
      <c r="S47" s="514"/>
      <c r="T47" s="514"/>
      <c r="U47" s="352">
        <f>Preisliste!F28</f>
        <v>0</v>
      </c>
      <c r="V47" s="352">
        <f t="shared" si="0"/>
        <v>0</v>
      </c>
      <c r="W47" s="86"/>
      <c r="X47" s="86"/>
      <c r="Y47" s="86"/>
      <c r="Z47" s="86"/>
      <c r="AA47" s="86"/>
      <c r="AB47" s="86"/>
      <c r="AC47" s="86"/>
      <c r="AD47" s="86"/>
      <c r="AE47" s="86"/>
      <c r="AF47" s="86"/>
      <c r="AG47" s="55">
        <f>IF(Kalk4!$AA$24,1,0)</f>
        <v>0</v>
      </c>
      <c r="AK47" s="55" t="s">
        <v>22100</v>
      </c>
      <c r="AL47" s="66">
        <f>Kalk4!$X$25*Kalk4!$H$37</f>
        <v>0</v>
      </c>
      <c r="AM47" s="55" t="s">
        <v>22102</v>
      </c>
      <c r="BA47" s="56" t="s">
        <v>7662</v>
      </c>
      <c r="BB47" s="55" t="s">
        <v>22113</v>
      </c>
    </row>
    <row r="48" spans="2:54" ht="24.95" customHeight="1">
      <c r="B48" s="93">
        <f t="shared" si="2"/>
        <v>0</v>
      </c>
      <c r="C48" s="60"/>
      <c r="D48" s="60"/>
      <c r="E48" s="60" t="str">
        <f>VLOOKUP(1594,Sprachindex!$A:$Z,Erhebungsbogen!$Y$20,FALSE)</f>
        <v>[EH]</v>
      </c>
      <c r="F48" s="60" t="s">
        <v>25461</v>
      </c>
      <c r="G48" s="514" t="str">
        <f>VLOOKUP(2259,Sprachindex!$A:$Z,Erhebungsbogen!$Y$20,FALSE)</f>
        <v>Ausfräsungen Dammbalken</v>
      </c>
      <c r="H48" s="514"/>
      <c r="I48" s="514"/>
      <c r="J48" s="514"/>
      <c r="K48" s="514"/>
      <c r="L48" s="514"/>
      <c r="M48" s="514"/>
      <c r="N48" s="514"/>
      <c r="O48" s="514"/>
      <c r="P48" s="514"/>
      <c r="Q48" s="514"/>
      <c r="R48" s="514"/>
      <c r="S48" s="514"/>
      <c r="T48" s="514"/>
      <c r="U48" s="352">
        <f>Preisliste!F161</f>
        <v>80</v>
      </c>
      <c r="V48" s="352">
        <f t="shared" si="0"/>
        <v>0</v>
      </c>
      <c r="W48" s="86"/>
      <c r="X48" s="86"/>
      <c r="Y48" s="86"/>
      <c r="Z48" s="86"/>
      <c r="AA48" s="86"/>
      <c r="AB48" s="86"/>
      <c r="AC48" s="86"/>
      <c r="AD48" s="86"/>
      <c r="AE48" s="86"/>
      <c r="AF48" s="86"/>
      <c r="AG48" s="55">
        <f>IF(Kalk4!$AA$21,1,0)</f>
        <v>0</v>
      </c>
      <c r="AK48" s="55" t="s">
        <v>22100</v>
      </c>
      <c r="AL48" s="66">
        <f>Kalk4!$Q$24*Kalk4!$H$37</f>
        <v>0</v>
      </c>
      <c r="AM48" s="55" t="s">
        <v>22102</v>
      </c>
      <c r="BA48" s="56"/>
    </row>
    <row r="49" spans="2:84" ht="24.95" customHeight="1">
      <c r="B49" s="94">
        <f t="shared" ref="B49:B51" si="3">IF(AG49=1,AL49,0)</f>
        <v>0</v>
      </c>
      <c r="C49" s="60"/>
      <c r="D49" s="60">
        <f t="shared" ref="D49:D50" si="4">B49</f>
        <v>0</v>
      </c>
      <c r="E49" s="60" t="str">
        <f>VLOOKUP(1596,Sprachindex!$A:$Z,Erhebungsbogen!$Y$20,FALSE)</f>
        <v>[lfm]</v>
      </c>
      <c r="F49" s="60" t="s">
        <v>21943</v>
      </c>
      <c r="G49" s="514" t="str">
        <f>VLOOKUP(1649,Sprachindex!$A:$Z,Erhebungsbogen!$Y$20,FALSE) &amp; " [" &amp; VLOOKUP(992,Sprachindex!$A:$Z,Erhebungsbogen!$Y$20,FALSE) &amp; " =1 "&amp; VLOOKUP(1512,Sprachindex!$A:$Z,Erhebungsbogen!$Y$20,FALSE) &amp; "]"</f>
        <v>Bodendichtung 25 [VPE =1 lfm]</v>
      </c>
      <c r="H49" s="514"/>
      <c r="I49" s="514"/>
      <c r="J49" s="514"/>
      <c r="K49" s="514"/>
      <c r="L49" s="514"/>
      <c r="M49" s="514"/>
      <c r="N49" s="514"/>
      <c r="O49" s="514"/>
      <c r="P49" s="514"/>
      <c r="Q49" s="514"/>
      <c r="R49" s="514"/>
      <c r="S49" s="514"/>
      <c r="T49" s="514"/>
      <c r="U49" s="352">
        <f>VLOOKUP(F49,Preisliste!C:F,4,FALSE)</f>
        <v>29.7</v>
      </c>
      <c r="V49" s="352">
        <f>U49*D49</f>
        <v>0</v>
      </c>
      <c r="W49" s="86"/>
      <c r="X49" s="86"/>
      <c r="Y49" s="86"/>
      <c r="Z49" s="86"/>
      <c r="AA49" s="86"/>
      <c r="AB49" s="86"/>
      <c r="AC49" s="86"/>
      <c r="AD49" s="86"/>
      <c r="AE49" s="86"/>
      <c r="AF49" s="86"/>
      <c r="AG49" s="55">
        <f>IF(AND(Kalk4!$AA$19=1,Kalk4!$AA$29=FALSE,AND(Kalk4!H28&gt;0,Kalk4!H29&gt;Kalk4!B1)),1,0)</f>
        <v>0</v>
      </c>
      <c r="AK49" s="55" t="s">
        <v>22100</v>
      </c>
      <c r="AL49" s="66">
        <f>Kalk4!$AH$45</f>
        <v>0</v>
      </c>
      <c r="AM49" s="55" t="s">
        <v>17115</v>
      </c>
      <c r="BA49" s="56" t="s">
        <v>22111</v>
      </c>
      <c r="BB49" s="55" t="s">
        <v>22112</v>
      </c>
    </row>
    <row r="50" spans="2:84" ht="24.95" customHeight="1">
      <c r="B50" s="94">
        <f t="shared" si="3"/>
        <v>0</v>
      </c>
      <c r="C50" s="60"/>
      <c r="D50" s="60">
        <f t="shared" si="4"/>
        <v>0</v>
      </c>
      <c r="E50" s="60" t="str">
        <f>VLOOKUP(1596,Sprachindex!$A:$Z,Erhebungsbogen!$Y$20,FALSE)</f>
        <v>[lfm]</v>
      </c>
      <c r="F50" s="60" t="s">
        <v>21944</v>
      </c>
      <c r="G50" s="514" t="str">
        <f>VLOOKUP(1650,Sprachindex!$A:$Z,Erhebungsbogen!$Y$20,FALSE) &amp; " [" &amp; VLOOKUP(992,Sprachindex!$A:$Z,Erhebungsbogen!$Y$20,FALSE) &amp; " =1 "&amp; VLOOKUP(1512,Sprachindex!$A:$Z,Erhebungsbogen!$Y$20,FALSE) &amp; "]"</f>
        <v>Bodendichtung 50 [VPE =1 lfm]</v>
      </c>
      <c r="H50" s="514"/>
      <c r="I50" s="514"/>
      <c r="J50" s="514"/>
      <c r="K50" s="514"/>
      <c r="L50" s="514"/>
      <c r="M50" s="514"/>
      <c r="N50" s="514"/>
      <c r="O50" s="514"/>
      <c r="P50" s="514"/>
      <c r="Q50" s="514"/>
      <c r="R50" s="514"/>
      <c r="S50" s="514"/>
      <c r="T50" s="514"/>
      <c r="U50" s="352">
        <f>VLOOKUP(F50,Preisliste!C:F,4,FALSE)</f>
        <v>29.7</v>
      </c>
      <c r="V50" s="352">
        <f t="shared" ref="V50:V51" si="5">U50*D50</f>
        <v>0</v>
      </c>
      <c r="W50" s="86"/>
      <c r="X50" s="86"/>
      <c r="Y50" s="86"/>
      <c r="Z50" s="86"/>
      <c r="AA50" s="86"/>
      <c r="AB50" s="86"/>
      <c r="AC50" s="86"/>
      <c r="AD50" s="86"/>
      <c r="AE50" s="86"/>
      <c r="AF50" s="86"/>
      <c r="AG50" s="244">
        <f>IF(AND(OR(Kalk4!$AA$19=2,Kalk4!$AA$19=3),Kalk4!$AA$29=FALSE,AND(Kalk4!H28&gt;0,Kalk4!H29&gt;0)),1,0)</f>
        <v>0</v>
      </c>
      <c r="AK50" s="55" t="s">
        <v>22100</v>
      </c>
      <c r="AL50" s="66">
        <f>Kalk4!$AH$45</f>
        <v>0</v>
      </c>
      <c r="AM50" s="55" t="s">
        <v>17115</v>
      </c>
    </row>
    <row r="51" spans="2:84" ht="24.95" customHeight="1">
      <c r="B51" s="94">
        <f t="shared" si="3"/>
        <v>0</v>
      </c>
      <c r="C51" s="60"/>
      <c r="D51" s="60">
        <f>B51</f>
        <v>0</v>
      </c>
      <c r="E51" s="60" t="str">
        <f>VLOOKUP(1596,Sprachindex!$A:$Z,Erhebungsbogen!$Y$20,FALSE)</f>
        <v>[lfm]</v>
      </c>
      <c r="F51" s="60" t="s">
        <v>21945</v>
      </c>
      <c r="G51" s="514" t="str">
        <f>VLOOKUP(1651,Sprachindex!$A:$Z,Erhebungsbogen!$Y$20,FALSE) &amp; " [" &amp; VLOOKUP(992,Sprachindex!$A:$Z,Erhebungsbogen!$Y$20,FALSE) &amp; " =1 "&amp; VLOOKUP(1512,Sprachindex!$A:$Z,Erhebungsbogen!$Y$20,FALSE) &amp; "]"</f>
        <v>Bodendichtung 80 [VPE =1 lfm]</v>
      </c>
      <c r="H51" s="514"/>
      <c r="I51" s="514"/>
      <c r="J51" s="514"/>
      <c r="K51" s="514"/>
      <c r="L51" s="514"/>
      <c r="M51" s="514"/>
      <c r="N51" s="514"/>
      <c r="O51" s="514"/>
      <c r="P51" s="514"/>
      <c r="Q51" s="514"/>
      <c r="R51" s="514"/>
      <c r="S51" s="514"/>
      <c r="T51" s="514"/>
      <c r="U51" s="352">
        <f>VLOOKUP(F51,Preisliste!C:F,4,FALSE)</f>
        <v>47.9</v>
      </c>
      <c r="V51" s="352">
        <f t="shared" si="5"/>
        <v>0</v>
      </c>
      <c r="W51" s="86"/>
      <c r="X51" s="86"/>
      <c r="Y51" s="86"/>
      <c r="Z51" s="86"/>
      <c r="AA51" s="86"/>
      <c r="AB51" s="86"/>
      <c r="AC51" s="86"/>
      <c r="AD51" s="86"/>
      <c r="AE51" s="86"/>
      <c r="AF51" s="86"/>
      <c r="AG51" s="55">
        <f>IF(AND(Kalk4!$AA$19=4,Kalk4!$AA$29=FALSE,AND(Kalk4!H28&gt;0,Kalk4!H29&gt;Kalk4!B1)),1,0)</f>
        <v>0</v>
      </c>
      <c r="AK51" s="55" t="s">
        <v>22100</v>
      </c>
      <c r="AL51" s="66">
        <f>Kalk4!$AH$45</f>
        <v>0</v>
      </c>
      <c r="AM51" s="55" t="s">
        <v>17115</v>
      </c>
    </row>
    <row r="52" spans="2:84" ht="24.95" customHeight="1">
      <c r="B52" s="93">
        <f>IF(AG52=1,CE52,0)</f>
        <v>0</v>
      </c>
      <c r="C52" s="60"/>
      <c r="D52" s="60"/>
      <c r="E52" s="60" t="str">
        <f>VLOOKUP(1600,Sprachindex!$A:$Z,Erhebungsbogen!$Y$20,FALSE)</f>
        <v>[Stk]</v>
      </c>
      <c r="F52" s="60" t="s">
        <v>21934</v>
      </c>
      <c r="G52" s="514" t="str">
        <f>VLOOKUP(1653,Sprachindex!$A:$Z,Erhebungsbogen!$Y$20,FALSE)</f>
        <v>Bodenhülse 50/80 Aluminium beschichtet inkl. Deckel mit Dichtung</v>
      </c>
      <c r="H52" s="514"/>
      <c r="I52" s="514"/>
      <c r="J52" s="514"/>
      <c r="K52" s="514"/>
      <c r="L52" s="514"/>
      <c r="M52" s="514"/>
      <c r="N52" s="514"/>
      <c r="O52" s="514"/>
      <c r="P52" s="514"/>
      <c r="Q52" s="514"/>
      <c r="R52" s="514"/>
      <c r="S52" s="514"/>
      <c r="T52" s="514"/>
      <c r="U52" s="352">
        <f>VLOOKUP(F52,Preisliste!C:F,4,FALSE)</f>
        <v>439.95</v>
      </c>
      <c r="V52" s="352">
        <f t="shared" ref="V52:V55" si="6">U52*B52</f>
        <v>0</v>
      </c>
      <c r="W52" s="86"/>
      <c r="X52" s="86"/>
      <c r="Y52" s="86"/>
      <c r="Z52" s="86"/>
      <c r="AA52" s="86"/>
      <c r="AB52" s="86"/>
      <c r="AC52" s="86"/>
      <c r="AD52" s="86"/>
      <c r="AE52" s="86"/>
      <c r="AF52" s="86"/>
      <c r="AG52" s="55">
        <f>IF(AND(BS52=1,CE52&gt;0),1,0)</f>
        <v>0</v>
      </c>
      <c r="AH52" s="55">
        <f>(Kalk4!$H$33-1)*Kalk4!$H$37</f>
        <v>0</v>
      </c>
      <c r="AI52" s="55" t="s">
        <v>22103</v>
      </c>
      <c r="AL52" s="55">
        <f>(Kalk4!$H$33-1)*Kalk4!$H$37</f>
        <v>0</v>
      </c>
      <c r="AM52" s="55" t="s">
        <v>22114</v>
      </c>
      <c r="AP52" s="55">
        <f>IF(OR(Kalk4!$AA$19=2,Kalk4!$AA$19=3),1,0)</f>
        <v>1</v>
      </c>
      <c r="AQ52" s="55">
        <v>50</v>
      </c>
      <c r="AT52" s="55">
        <f>IF(Kalk4!$AA$19=4,1,0)</f>
        <v>0</v>
      </c>
      <c r="AU52" s="55">
        <v>80</v>
      </c>
      <c r="AX52" s="55">
        <f>IF(AND(AP52=1,Kalk4!$O$20&gt;0),Kalk4!$O$20,0)</f>
        <v>0</v>
      </c>
      <c r="AY52" s="55" t="s">
        <v>22110</v>
      </c>
      <c r="BB52" s="55">
        <f>IF(AND(AP52=1,Kalk4!$O$21&gt;0),Kalk4!$O$21,0)</f>
        <v>0</v>
      </c>
      <c r="BC52" s="55" t="s">
        <v>22080</v>
      </c>
      <c r="BG52" s="55">
        <f>IF(AND(AT52=1,Kalk4!$AA$20=2),'STK4'!AL52,0)</f>
        <v>0</v>
      </c>
      <c r="BH52" s="55" t="s">
        <v>22105</v>
      </c>
      <c r="BK52" s="55">
        <f>IF(AND(AT52=1,BG52=0,Kalk4!$O$20&gt;0),Kalk4!$O$20,0)</f>
        <v>0</v>
      </c>
      <c r="BL52" s="55" t="s">
        <v>22109</v>
      </c>
      <c r="BO52" s="55">
        <f>IF(AND(AT52=1,BG52=0,Kalk4!$O$21&gt;0),Kalk4!$O$21,0)</f>
        <v>0</v>
      </c>
      <c r="BP52" s="55" t="s">
        <v>22108</v>
      </c>
      <c r="BS52" s="55">
        <f>IF(Kalk4!$AA$17=1,1,0)</f>
        <v>1</v>
      </c>
      <c r="BT52" s="55" t="s">
        <v>22082</v>
      </c>
      <c r="BX52" s="55">
        <f>IF(AP52=1,AH52-BB52,0)</f>
        <v>0</v>
      </c>
      <c r="BY52" s="55" t="s">
        <v>22106</v>
      </c>
      <c r="CA52" s="55">
        <f>IF(AND(AT52=1,BG52=0),AL52-BK52-BO52,0)</f>
        <v>0</v>
      </c>
      <c r="CB52" s="55" t="s">
        <v>22107</v>
      </c>
      <c r="CD52" s="55" t="s">
        <v>22100</v>
      </c>
      <c r="CE52" s="55">
        <f>IF(CA52&lt;0,0,BX52+CA52)</f>
        <v>0</v>
      </c>
      <c r="CF52" s="55" t="s">
        <v>20872</v>
      </c>
    </row>
    <row r="53" spans="2:84" ht="24.95" customHeight="1">
      <c r="B53" s="93">
        <f>IF(AG53=1,CE53,0)</f>
        <v>0</v>
      </c>
      <c r="C53" s="60"/>
      <c r="D53" s="60"/>
      <c r="E53" s="60" t="str">
        <f>VLOOKUP(1600,Sprachindex!$A:$Z,Erhebungsbogen!$Y$20,FALSE)</f>
        <v>[Stk]</v>
      </c>
      <c r="F53" s="60" t="s">
        <v>21935</v>
      </c>
      <c r="G53" s="514" t="str">
        <f>VLOOKUP(1654,Sprachindex!$A:$Z,Erhebungsbogen!$Y$20,FALSE)</f>
        <v>Bodenhülse 50/80 Edelstahl beschichtet inkl. Deckel mit Dichtung</v>
      </c>
      <c r="H53" s="514"/>
      <c r="I53" s="514"/>
      <c r="J53" s="514"/>
      <c r="K53" s="514"/>
      <c r="L53" s="514"/>
      <c r="M53" s="514"/>
      <c r="N53" s="514"/>
      <c r="O53" s="514"/>
      <c r="P53" s="514"/>
      <c r="Q53" s="514"/>
      <c r="R53" s="514"/>
      <c r="S53" s="514"/>
      <c r="T53" s="514"/>
      <c r="U53" s="352">
        <f>VLOOKUP(F53,Preisliste!C:F,4,FALSE)</f>
        <v>767.55</v>
      </c>
      <c r="V53" s="352">
        <f t="shared" si="6"/>
        <v>0</v>
      </c>
      <c r="W53" s="86"/>
      <c r="X53" s="86"/>
      <c r="Y53" s="86"/>
      <c r="Z53" s="86"/>
      <c r="AA53" s="86"/>
      <c r="AB53" s="86"/>
      <c r="AC53" s="86"/>
      <c r="AD53" s="86"/>
      <c r="AE53" s="86"/>
      <c r="AF53" s="86"/>
      <c r="AG53" s="55">
        <f t="shared" ref="AG53:AG55" si="7">IF(AND(BS53=1,CE53&gt;0),1,0)</f>
        <v>0</v>
      </c>
      <c r="AH53" s="55">
        <f>(Kalk4!$H$33-1)*Kalk4!$H$37</f>
        <v>0</v>
      </c>
      <c r="AI53" s="55" t="s">
        <v>22103</v>
      </c>
      <c r="AL53" s="55">
        <f>(Kalk4!$H$33-1)*Kalk4!$H$37</f>
        <v>0</v>
      </c>
      <c r="AM53" s="55" t="s">
        <v>22114</v>
      </c>
      <c r="AP53" s="55">
        <f>IF(OR(Kalk4!$AA$19=2,Kalk4!$AA$19=3),1,0)</f>
        <v>1</v>
      </c>
      <c r="AQ53" s="55">
        <v>50</v>
      </c>
      <c r="AT53" s="55">
        <f>IF(Kalk4!$AA$19=4,1,0)</f>
        <v>0</v>
      </c>
      <c r="AU53" s="55">
        <v>80</v>
      </c>
      <c r="AX53" s="55">
        <f>IF(AND(AP53=1,Kalk4!$O$20&gt;0),Kalk4!$O$20,0)</f>
        <v>0</v>
      </c>
      <c r="AY53" s="55" t="s">
        <v>22110</v>
      </c>
      <c r="BB53" s="55">
        <f>IF(AND(AP53=1,Kalk4!$O$21&gt;0),Kalk4!$O$21,0)</f>
        <v>0</v>
      </c>
      <c r="BC53" s="55" t="s">
        <v>22080</v>
      </c>
      <c r="BG53" s="55">
        <f>IF(AND(AT53=1,Kalk4!$AA$20=2),'STK4'!AL53,0)</f>
        <v>0</v>
      </c>
      <c r="BH53" s="55" t="s">
        <v>22105</v>
      </c>
      <c r="BK53" s="55">
        <f>IF(AND(AT53=1,BG53=0,Kalk4!$O$20&gt;0),Kalk4!$O$20,0)</f>
        <v>0</v>
      </c>
      <c r="BL53" s="55" t="s">
        <v>22109</v>
      </c>
      <c r="BO53" s="55">
        <f>IF(AND(AT53=1,BG53=0,Kalk4!$O$21&gt;0),Kalk4!$O$21,0)</f>
        <v>0</v>
      </c>
      <c r="BP53" s="55" t="s">
        <v>22108</v>
      </c>
      <c r="BS53" s="55">
        <f>IF(Kalk4!$AA$17=2,1,0)</f>
        <v>0</v>
      </c>
      <c r="BT53" s="55" t="s">
        <v>22104</v>
      </c>
      <c r="BX53" s="55">
        <f>IF(AP53=1,AH53-AX53-BB53,0)</f>
        <v>0</v>
      </c>
      <c r="BY53" s="55" t="s">
        <v>22106</v>
      </c>
      <c r="CA53" s="55">
        <f>IF(AND(AT53=1,BG53=0),AL53-BK53-BO53,0)</f>
        <v>0</v>
      </c>
      <c r="CB53" s="55" t="s">
        <v>22107</v>
      </c>
      <c r="CD53" s="55" t="s">
        <v>22100</v>
      </c>
      <c r="CE53" s="55">
        <f>IF(CA53&lt;0,0,BX53+CA53)</f>
        <v>0</v>
      </c>
      <c r="CF53" s="55" t="s">
        <v>20872</v>
      </c>
    </row>
    <row r="54" spans="2:84" ht="24.95" customHeight="1">
      <c r="B54" s="93">
        <f>IF(AG54=1,CE54,0)</f>
        <v>0</v>
      </c>
      <c r="C54" s="60"/>
      <c r="D54" s="60"/>
      <c r="E54" s="60" t="str">
        <f>VLOOKUP(1600,Sprachindex!$A:$Z,Erhebungsbogen!$Y$20,FALSE)</f>
        <v>[Stk]</v>
      </c>
      <c r="F54" s="60" t="s">
        <v>21936</v>
      </c>
      <c r="G54" s="514" t="str">
        <f>VLOOKUP(2122,Sprachindex!$A:$Z,Erhebungsbogen!$Y$20,FALSE)</f>
        <v>Bodenhülse (GROSS) 50 Vario und 80 beschichtet inkl. Aluminiumdeckel und Dichtung</v>
      </c>
      <c r="H54" s="514"/>
      <c r="I54" s="514"/>
      <c r="J54" s="514"/>
      <c r="K54" s="514"/>
      <c r="L54" s="514"/>
      <c r="M54" s="514"/>
      <c r="N54" s="514"/>
      <c r="O54" s="514"/>
      <c r="P54" s="514"/>
      <c r="Q54" s="514"/>
      <c r="R54" s="514"/>
      <c r="S54" s="514"/>
      <c r="T54" s="514"/>
      <c r="U54" s="352">
        <f>VLOOKUP(F54,Preisliste!C:F,4,FALSE)</f>
        <v>850.8</v>
      </c>
      <c r="V54" s="352">
        <f t="shared" si="6"/>
        <v>0</v>
      </c>
      <c r="W54" s="86"/>
      <c r="X54" s="86"/>
      <c r="Y54" s="86"/>
      <c r="Z54" s="86"/>
      <c r="AA54" s="86"/>
      <c r="AB54" s="86"/>
      <c r="AC54" s="86"/>
      <c r="AD54" s="86"/>
      <c r="AE54" s="86"/>
      <c r="AF54" s="86"/>
      <c r="AG54" s="55">
        <f t="shared" si="7"/>
        <v>0</v>
      </c>
      <c r="AH54" s="55">
        <f>(Kalk4!$H$33-1)*Kalk4!$H$37</f>
        <v>0</v>
      </c>
      <c r="AI54" s="55" t="s">
        <v>22103</v>
      </c>
      <c r="AL54" s="55">
        <f>(Kalk4!$H$33-1)*Kalk4!$H$37</f>
        <v>0</v>
      </c>
      <c r="AM54" s="55" t="s">
        <v>22114</v>
      </c>
      <c r="AP54" s="55">
        <f>IF(OR(Kalk4!$AA$19=2,Kalk4!$AA$19=3),1,0)</f>
        <v>1</v>
      </c>
      <c r="AQ54" s="55">
        <v>50</v>
      </c>
      <c r="AT54" s="55">
        <f>IF(Kalk4!$AA$19=4,1,0)</f>
        <v>0</v>
      </c>
      <c r="AU54" s="55">
        <v>80</v>
      </c>
      <c r="BB54" s="55">
        <f>IF(AND(AP54=1,Kalk4!$O$21&gt;0),Kalk4!$O$21,0)</f>
        <v>0</v>
      </c>
      <c r="BC54" s="55" t="s">
        <v>22080</v>
      </c>
      <c r="BG54" s="55">
        <f>IF(AND(AT54=1,Kalk4!$AA$20=2),'STK4'!AL54,0)</f>
        <v>0</v>
      </c>
      <c r="BH54" s="55" t="s">
        <v>22105</v>
      </c>
      <c r="BK54" s="55">
        <f>IF(AND(AT54=1,BG54=0,Kalk4!$O$20&gt;0),Kalk4!$O$20,0)</f>
        <v>0</v>
      </c>
      <c r="BL54" s="55" t="s">
        <v>22109</v>
      </c>
      <c r="BO54" s="55">
        <f>IF(AND(AT54=1,BG54=0,Kalk4!$O$21&gt;0),Kalk4!$O$21,0)</f>
        <v>0</v>
      </c>
      <c r="BP54" s="55" t="s">
        <v>22108</v>
      </c>
      <c r="BS54" s="55">
        <f>IF(Kalk4!$AA$17=1,1,0)</f>
        <v>1</v>
      </c>
      <c r="BT54" s="55" t="s">
        <v>22082</v>
      </c>
      <c r="BX54" s="55">
        <f>AX54+BB54</f>
        <v>0</v>
      </c>
      <c r="BY54" s="55" t="s">
        <v>22106</v>
      </c>
      <c r="CA54" s="55">
        <f>BG54+BK54+BO54</f>
        <v>0</v>
      </c>
      <c r="CB54" s="55" t="s">
        <v>22107</v>
      </c>
      <c r="CD54" s="55" t="s">
        <v>22100</v>
      </c>
      <c r="CE54" s="55">
        <f>BX54+CA54</f>
        <v>0</v>
      </c>
      <c r="CF54" s="55" t="s">
        <v>20872</v>
      </c>
    </row>
    <row r="55" spans="2:84" ht="24.95" customHeight="1">
      <c r="B55" s="93">
        <f>IF(AG55=1,CE55,0)</f>
        <v>0</v>
      </c>
      <c r="C55" s="60"/>
      <c r="D55" s="60"/>
      <c r="E55" s="60" t="str">
        <f>VLOOKUP(1600,Sprachindex!$A:$Z,Erhebungsbogen!$Y$20,FALSE)</f>
        <v>[Stk]</v>
      </c>
      <c r="F55" s="60" t="s">
        <v>21937</v>
      </c>
      <c r="G55" s="514" t="str">
        <f>VLOOKUP(2123,Sprachindex!$A:$Z,Erhebungsbogen!$Y$20,FALSE)</f>
        <v>Bodenhülse (GROSS) 50 Vario und 80 beschichtet inkl. Edelstahldeckel und Dichtung</v>
      </c>
      <c r="H55" s="514"/>
      <c r="I55" s="514"/>
      <c r="J55" s="514"/>
      <c r="K55" s="514"/>
      <c r="L55" s="514"/>
      <c r="M55" s="514"/>
      <c r="N55" s="514"/>
      <c r="O55" s="514"/>
      <c r="P55" s="514"/>
      <c r="Q55" s="514"/>
      <c r="R55" s="514"/>
      <c r="S55" s="514"/>
      <c r="T55" s="514"/>
      <c r="U55" s="352">
        <f>VLOOKUP(F55,Preisliste!C:F,4,FALSE)</f>
        <v>1090.3</v>
      </c>
      <c r="V55" s="352">
        <f t="shared" si="6"/>
        <v>0</v>
      </c>
      <c r="W55" s="86"/>
      <c r="X55" s="86"/>
      <c r="Y55" s="86"/>
      <c r="Z55" s="86"/>
      <c r="AA55" s="86"/>
      <c r="AB55" s="86"/>
      <c r="AC55" s="86"/>
      <c r="AD55" s="86"/>
      <c r="AE55" s="86"/>
      <c r="AF55" s="86"/>
      <c r="AG55" s="55">
        <f t="shared" si="7"/>
        <v>0</v>
      </c>
      <c r="AH55" s="55">
        <f>(Kalk4!$H$33-1)*Kalk4!$H$37</f>
        <v>0</v>
      </c>
      <c r="AI55" s="55" t="s">
        <v>22103</v>
      </c>
      <c r="AL55" s="55">
        <f>(Kalk4!$H$33-1)*Kalk4!$H$37</f>
        <v>0</v>
      </c>
      <c r="AM55" s="55" t="s">
        <v>22114</v>
      </c>
      <c r="AP55" s="55">
        <f>IF(OR(Kalk4!$AA$19=2,Kalk4!$AA$19=3),1,0)</f>
        <v>1</v>
      </c>
      <c r="AQ55" s="55">
        <v>50</v>
      </c>
      <c r="AT55" s="55">
        <f>IF(Kalk4!$AA$19=4,1,0)</f>
        <v>0</v>
      </c>
      <c r="AU55" s="55">
        <v>80</v>
      </c>
      <c r="AX55" s="55">
        <f>IF(AND(AP55=1,Kalk4!$O$20&gt;0),Kalk4!$O$20,0)</f>
        <v>0</v>
      </c>
      <c r="AY55" s="55" t="s">
        <v>22110</v>
      </c>
      <c r="BB55" s="55">
        <f>IF(AND(AP55=1,Kalk4!$O$21&gt;0),Kalk4!$O$21,0)</f>
        <v>0</v>
      </c>
      <c r="BC55" s="55" t="s">
        <v>22080</v>
      </c>
      <c r="BG55" s="55">
        <f>IF(AND(AT55=1,Kalk4!$AA$20=2),'STK4'!AL55,0)</f>
        <v>0</v>
      </c>
      <c r="BH55" s="55" t="s">
        <v>22105</v>
      </c>
      <c r="BK55" s="55">
        <f>IF(AND(AT55=1,BG55=0,Kalk4!$O$20&gt;0),Kalk4!$O$20,0)</f>
        <v>0</v>
      </c>
      <c r="BL55" s="55" t="s">
        <v>22109</v>
      </c>
      <c r="BO55" s="55">
        <f>IF(AND(AT55=1,BG55=0,Kalk4!$O$21&gt;0),Kalk4!$O$21,0)</f>
        <v>0</v>
      </c>
      <c r="BP55" s="55" t="s">
        <v>22108</v>
      </c>
      <c r="BS55" s="55">
        <f>IF(Kalk4!$AA$17=2,1,0)</f>
        <v>0</v>
      </c>
      <c r="BT55" s="55" t="s">
        <v>22104</v>
      </c>
      <c r="BX55" s="55">
        <f>AX55+BB55</f>
        <v>0</v>
      </c>
      <c r="BY55" s="55" t="s">
        <v>22106</v>
      </c>
      <c r="CA55" s="55">
        <f>BG55+BK55+BO55</f>
        <v>0</v>
      </c>
      <c r="CB55" s="55" t="s">
        <v>22107</v>
      </c>
      <c r="CD55" s="55" t="s">
        <v>22100</v>
      </c>
      <c r="CE55" s="55">
        <f>BX55+CA55</f>
        <v>0</v>
      </c>
      <c r="CF55" s="55" t="s">
        <v>20872</v>
      </c>
    </row>
    <row r="56" spans="2:84" ht="24.95" customHeight="1">
      <c r="B56" s="93">
        <f>IF(AG56=1,AH56*AL56,0)</f>
        <v>0</v>
      </c>
      <c r="C56" s="138">
        <f>IF(AG56=1,AT56,0)</f>
        <v>0</v>
      </c>
      <c r="D56" s="60">
        <f>B56*C56/1000</f>
        <v>0</v>
      </c>
      <c r="E56" s="60" t="str">
        <f>VLOOKUP(1598,Sprachindex!$A:$Z,Erhebungsbogen!$Y$20,FALSE)</f>
        <v>[mm]</v>
      </c>
      <c r="F56" s="60" t="s">
        <v>21877</v>
      </c>
      <c r="G56" s="514" t="str">
        <f>VLOOKUP(1660,Sprachindex!$A:$Z,Erhebungsbogen!$Y$20,FALSE) &amp; IF(AND(Kalk4!$AA$5=2,Kalk4!$AA$15),", " &amp; VLOOKUP(1645,Sprachindex!$A:$Z,Erhebungsbogen!$Y$20,FALSE) &amp; " " &amp; $U$8,", "&amp; VLOOKUP(1648,Sprachindex!$A:$Z,Erhebungsbogen!$Y$20,FALSE)) &amp; " (" &amp; ROUNDUP(C56/1000*Preisliste!I36,2) &amp; " " &amp; VLOOKUP(1744,Sprachindex!$A:$Z,Erhebungsbogen!$Y$20,FALSE) &amp; ")"</f>
        <v>Dammbalken 25/200 exkl. Dichtung, gesägt und entgratet, blank (0 kg/Stk)</v>
      </c>
      <c r="H56" s="514"/>
      <c r="I56" s="514"/>
      <c r="J56" s="514"/>
      <c r="K56" s="514"/>
      <c r="L56" s="514"/>
      <c r="M56" s="514"/>
      <c r="N56" s="514"/>
      <c r="O56" s="514"/>
      <c r="P56" s="514"/>
      <c r="Q56" s="514"/>
      <c r="R56" s="514"/>
      <c r="S56" s="514"/>
      <c r="T56" s="514"/>
      <c r="U56" s="352">
        <f>IF(AND(Kalk4!$AA$5=2,Kalk4!$AA$15),VLOOKUP(F56,Preisliste!C:G,5,FALSE),VLOOKUP(F56,Preisliste!C:G,4,FALSE))</f>
        <v>104.55</v>
      </c>
      <c r="V56" s="352">
        <f>U56*D56</f>
        <v>0</v>
      </c>
      <c r="W56" s="86"/>
      <c r="X56" s="86"/>
      <c r="Y56" s="86"/>
      <c r="Z56" s="143">
        <f>IF(AND(Kalk4!$AA$5=2,Kalk4!$AA$15),(VLOOKUP(F56,Preisliste!C:G,5,FALSE)-VLOOKUP(F56,Preisliste!C:G,4,FALSE))*D56/1000,0)</f>
        <v>0</v>
      </c>
      <c r="AA56" s="86"/>
      <c r="AB56" s="86"/>
      <c r="AC56" s="86"/>
      <c r="AD56" s="86"/>
      <c r="AE56" s="86"/>
      <c r="AF56" s="86"/>
      <c r="AG56" s="55">
        <f>IF(Kalk4!$AA$19=1,1,0)</f>
        <v>0</v>
      </c>
      <c r="AH56" s="66">
        <f>Kalk4!$H$33*Kalk4!$H$37</f>
        <v>1</v>
      </c>
      <c r="AI56" s="55" t="s">
        <v>22081</v>
      </c>
      <c r="AK56" s="55" t="s">
        <v>22079</v>
      </c>
      <c r="AL56" s="66">
        <f>Kalk4!$AH$40</f>
        <v>0</v>
      </c>
      <c r="AM56" s="55" t="s">
        <v>22096</v>
      </c>
      <c r="AT56" s="66">
        <f>Kalk4!$AH$38</f>
        <v>0</v>
      </c>
      <c r="AU56" s="55" t="s">
        <v>21845</v>
      </c>
    </row>
    <row r="57" spans="2:84" ht="24.95" customHeight="1">
      <c r="B57" s="93">
        <f t="shared" ref="B57:B58" si="8">IF(AG57=1,AH57*AL57,0)</f>
        <v>0</v>
      </c>
      <c r="C57" s="138">
        <f>IF(AG57=1,AT57,0)</f>
        <v>0</v>
      </c>
      <c r="D57" s="60">
        <f t="shared" ref="D57:D59" si="9">B57*C57/1000</f>
        <v>0</v>
      </c>
      <c r="E57" s="60" t="str">
        <f>VLOOKUP(1598,Sprachindex!$A:$Z,Erhebungsbogen!$Y$20,FALSE)</f>
        <v>[mm]</v>
      </c>
      <c r="F57" s="60" t="s">
        <v>21878</v>
      </c>
      <c r="G57" s="514" t="str">
        <f>VLOOKUP(1661,Sprachindex!$A:$Z,Erhebungsbogen!$Y$20,FALSE) &amp; IF(AND(Kalk4!$AA$5=2,Kalk4!$AA$15),", " &amp; VLOOKUP(1645,Sprachindex!$A:$Z,Erhebungsbogen!$Y$20,FALSE) &amp; " " &amp; $U$8,", "&amp; VLOOKUP(1648,Sprachindex!$A:$Z,Erhebungsbogen!$Y$20,FALSE)) &amp; " (" &amp; ROUNDUP(C57/1000*Preisliste!I37,2) &amp; " " &amp; VLOOKUP(1744,Sprachindex!$A:$Z,Erhebungsbogen!$Y$20,FALSE) &amp; ")"</f>
        <v>Dammbalken 50/150 exkl. Dichtung, gesägt und entgratet, blank (0 kg/Stk)</v>
      </c>
      <c r="H57" s="514"/>
      <c r="I57" s="514"/>
      <c r="J57" s="514"/>
      <c r="K57" s="514"/>
      <c r="L57" s="514"/>
      <c r="M57" s="514"/>
      <c r="N57" s="514"/>
      <c r="O57" s="514"/>
      <c r="P57" s="514"/>
      <c r="Q57" s="514"/>
      <c r="R57" s="514"/>
      <c r="S57" s="514"/>
      <c r="T57" s="514"/>
      <c r="U57" s="352">
        <f>IF(AND(Kalk4!$AA$5=2,Kalk4!$AA$15),VLOOKUP(F57,Preisliste!C:G,5,FALSE),VLOOKUP(F57,Preisliste!C:G,4,FALSE))</f>
        <v>138.30000000000001</v>
      </c>
      <c r="V57" s="352">
        <f t="shared" ref="V57:V59" si="10">U57*D57</f>
        <v>0</v>
      </c>
      <c r="W57" s="86"/>
      <c r="X57" s="86"/>
      <c r="Y57" s="86"/>
      <c r="Z57" s="143">
        <f>IF(AND(Kalk4!$AA$5=2,Kalk4!$AA$15),(VLOOKUP(F57,Preisliste!C:G,5,FALSE)-VLOOKUP(F57,Preisliste!C:G,4,FALSE))*D57/1000,0)</f>
        <v>0</v>
      </c>
      <c r="AA57" s="86"/>
      <c r="AB57" s="86"/>
      <c r="AC57" s="86"/>
      <c r="AD57" s="86"/>
      <c r="AE57" s="86"/>
      <c r="AF57" s="86"/>
      <c r="AG57" s="244">
        <f>IF(AND(Kalk4!$AA$19=2,AND(Kalk4!H28&gt;0,Kalk4!H29&gt;0)),1,0)</f>
        <v>0</v>
      </c>
      <c r="AH57" s="66">
        <f>Kalk4!$H$33*Kalk4!$H$37</f>
        <v>1</v>
      </c>
      <c r="AI57" s="55" t="s">
        <v>22081</v>
      </c>
      <c r="AK57" s="55" t="s">
        <v>22079</v>
      </c>
      <c r="AL57" s="66">
        <f>Kalk4!$AH$40</f>
        <v>0</v>
      </c>
      <c r="AM57" s="55" t="s">
        <v>22096</v>
      </c>
      <c r="AT57" s="66">
        <f>Kalk4!$AH$38</f>
        <v>0</v>
      </c>
      <c r="AU57" s="55" t="s">
        <v>21845</v>
      </c>
    </row>
    <row r="58" spans="2:84" ht="24.95" customHeight="1">
      <c r="B58" s="93">
        <f t="shared" si="8"/>
        <v>0</v>
      </c>
      <c r="C58" s="138">
        <f>IF(AG58=1,AT58,0)</f>
        <v>0</v>
      </c>
      <c r="D58" s="60">
        <f t="shared" si="9"/>
        <v>0</v>
      </c>
      <c r="E58" s="60" t="str">
        <f>VLOOKUP(1598,Sprachindex!$A:$Z,Erhebungsbogen!$Y$20,FALSE)</f>
        <v>[mm]</v>
      </c>
      <c r="F58" s="60" t="s">
        <v>21879</v>
      </c>
      <c r="G58" s="514" t="str">
        <f>VLOOKUP(1662,Sprachindex!$A:$Z,Erhebungsbogen!$Y$20,FALSE) &amp; IF(AND(Kalk4!$AA$5=2,Kalk4!$AA$15),", " &amp; VLOOKUP(1645,Sprachindex!$A:$Z,Erhebungsbogen!$Y$20,FALSE) &amp; " " &amp; $U$8,", "&amp; VLOOKUP(1648,Sprachindex!$A:$Z,Erhebungsbogen!$Y$20,FALSE)) &amp; " (" &amp; ROUNDUP(C58/1000*Preisliste!I38,2) &amp; " " &amp; VLOOKUP(1744,Sprachindex!$A:$Z,Erhebungsbogen!$Y$20,FALSE) &amp; ")"</f>
        <v>Dammbalken 50/200 exkl. Dichtung, gesägt und entgratet, blank (0 kg/Stk)</v>
      </c>
      <c r="H58" s="514"/>
      <c r="I58" s="514"/>
      <c r="J58" s="514"/>
      <c r="K58" s="514"/>
      <c r="L58" s="514"/>
      <c r="M58" s="514"/>
      <c r="N58" s="514"/>
      <c r="O58" s="514"/>
      <c r="P58" s="514"/>
      <c r="Q58" s="514"/>
      <c r="R58" s="514"/>
      <c r="S58" s="514"/>
      <c r="T58" s="514"/>
      <c r="U58" s="352">
        <f>IF(AND(Kalk4!$AA$5=2,Kalk4!$AA$15),VLOOKUP(F58,Preisliste!C:G,5,FALSE),VLOOKUP(F58,Preisliste!C:G,4,FALSE))</f>
        <v>132.1</v>
      </c>
      <c r="V58" s="352">
        <f t="shared" si="10"/>
        <v>0</v>
      </c>
      <c r="W58" s="86"/>
      <c r="X58" s="86"/>
      <c r="Y58" s="86"/>
      <c r="Z58" s="143">
        <f>IF(AND(Kalk4!$AA$5=2,Kalk4!$AA$15),(VLOOKUP(F58,Preisliste!C:G,5,FALSE)-VLOOKUP(F58,Preisliste!C:G,4,FALSE))*D58/1000,0)</f>
        <v>0</v>
      </c>
      <c r="AA58" s="86"/>
      <c r="AB58" s="86"/>
      <c r="AC58" s="86"/>
      <c r="AD58" s="86"/>
      <c r="AE58" s="86"/>
      <c r="AF58" s="86"/>
      <c r="AG58" s="55">
        <f>IF(Kalk4!$AA$19=3,1,0)</f>
        <v>1</v>
      </c>
      <c r="AH58" s="66">
        <f>Kalk4!$H$33*Kalk4!$H$37</f>
        <v>1</v>
      </c>
      <c r="AI58" s="55" t="s">
        <v>22081</v>
      </c>
      <c r="AK58" s="55" t="s">
        <v>22079</v>
      </c>
      <c r="AL58" s="66">
        <f>Kalk4!$AH$40</f>
        <v>0</v>
      </c>
      <c r="AM58" s="55" t="s">
        <v>22096</v>
      </c>
      <c r="AT58" s="66">
        <f>Kalk4!$AH$38</f>
        <v>0</v>
      </c>
      <c r="AU58" s="55" t="s">
        <v>21845</v>
      </c>
    </row>
    <row r="59" spans="2:84" ht="24.95" customHeight="1">
      <c r="B59" s="93">
        <f>IF(AG59=1,AH59*AL59,0)</f>
        <v>0</v>
      </c>
      <c r="C59" s="138">
        <f>IF(AG59=1,AT59,0)</f>
        <v>0</v>
      </c>
      <c r="D59" s="60">
        <f t="shared" si="9"/>
        <v>0</v>
      </c>
      <c r="E59" s="60" t="str">
        <f>VLOOKUP(1598,Sprachindex!$A:$Z,Erhebungsbogen!$Y$20,FALSE)</f>
        <v>[mm]</v>
      </c>
      <c r="F59" s="60" t="s">
        <v>21880</v>
      </c>
      <c r="G59" s="514" t="str">
        <f>VLOOKUP(1663,Sprachindex!$A:$Z,Erhebungsbogen!$Y$20,FALSE) &amp; IF(AND(Kalk4!$AA$5=2,Kalk4!$AA$15),", " &amp; VLOOKUP(1645,Sprachindex!$A:$Z,Erhebungsbogen!$Y$20,FALSE) &amp; " " &amp; $U$8,", "&amp; VLOOKUP(1648,Sprachindex!$A:$Z,Erhebungsbogen!$Y$20,FALSE)) &amp; " (" &amp; ROUNDUP(C59/1000*Preisliste!I39,2) &amp; " " &amp; VLOOKUP(1744,Sprachindex!$A:$Z,Erhebungsbogen!$Y$20,FALSE) &amp; ")"</f>
        <v>Dammbalken 80/200 exkl. Dichtung, gesägt und entgratet, blank (0 kg/Stk)</v>
      </c>
      <c r="H59" s="514"/>
      <c r="I59" s="514"/>
      <c r="J59" s="514"/>
      <c r="K59" s="514"/>
      <c r="L59" s="514"/>
      <c r="M59" s="514"/>
      <c r="N59" s="514"/>
      <c r="O59" s="514"/>
      <c r="P59" s="514"/>
      <c r="Q59" s="514"/>
      <c r="R59" s="514"/>
      <c r="S59" s="514"/>
      <c r="T59" s="514"/>
      <c r="U59" s="352">
        <f>IF(AND(Kalk4!$AA$5=2,Kalk4!$AA$15),VLOOKUP(F59,Preisliste!C:G,5,FALSE),VLOOKUP(F59,Preisliste!C:G,4,FALSE))</f>
        <v>203.05</v>
      </c>
      <c r="V59" s="352">
        <f t="shared" si="10"/>
        <v>0</v>
      </c>
      <c r="W59" s="86"/>
      <c r="X59" s="86"/>
      <c r="Y59" s="86"/>
      <c r="Z59" s="143">
        <f>IF(AND(Kalk4!$AA$5=2,Kalk4!$AA$15),(VLOOKUP(F59,Preisliste!C:G,5,FALSE)-VLOOKUP(F59,Preisliste!C:G,4,FALSE))*D59/1000,0)</f>
        <v>0</v>
      </c>
      <c r="AA59" s="86"/>
      <c r="AB59" s="86"/>
      <c r="AC59" s="86"/>
      <c r="AD59" s="86"/>
      <c r="AE59" s="86"/>
      <c r="AF59" s="86"/>
      <c r="AG59" s="55">
        <f>IF(Kalk4!$AA$19=4,1,0)</f>
        <v>0</v>
      </c>
      <c r="AH59" s="66">
        <f>Kalk4!$H$33*Kalk4!$H$37</f>
        <v>1</v>
      </c>
      <c r="AI59" s="55" t="s">
        <v>22081</v>
      </c>
      <c r="AK59" s="55" t="s">
        <v>22079</v>
      </c>
      <c r="AL59" s="66">
        <f>Kalk4!$AH$40</f>
        <v>0</v>
      </c>
      <c r="AM59" s="55" t="s">
        <v>22096</v>
      </c>
      <c r="AT59" s="66">
        <f>Kalk4!$AH$38</f>
        <v>0</v>
      </c>
      <c r="AU59" s="55" t="s">
        <v>21845</v>
      </c>
    </row>
    <row r="60" spans="2:84" ht="24.95" customHeight="1">
      <c r="B60" s="94">
        <f>IF(AG60=1,AL60,0)</f>
        <v>0</v>
      </c>
      <c r="C60" s="60"/>
      <c r="D60" s="60">
        <f>B60</f>
        <v>0</v>
      </c>
      <c r="E60" s="60" t="str">
        <f>VLOOKUP(1601,Sprachindex!$A:$Z,Erhebungsbogen!$Y$20,FALSE)</f>
        <v>[VPE]</v>
      </c>
      <c r="F60" s="60" t="s">
        <v>21947</v>
      </c>
      <c r="G60" s="514" t="str">
        <f>VLOOKUP(1664,Sprachindex!$A:$Z,Erhebungsbogen!$Y$20,FALSE) &amp; " [" &amp; VLOOKUP(992,Sprachindex!$A:$Z,Erhebungsbogen!$Y$20,FALSE) &amp; " =25 "&amp; VLOOKUP(1512,Sprachindex!$A:$Z,Erhebungsbogen!$Y$20,FALSE) &amp; "]"</f>
        <v>Dammbalkendichtung (25) [VPE =25 lfm]</v>
      </c>
      <c r="H60" s="514"/>
      <c r="I60" s="514"/>
      <c r="J60" s="514"/>
      <c r="K60" s="514"/>
      <c r="L60" s="514"/>
      <c r="M60" s="514"/>
      <c r="N60" s="514"/>
      <c r="O60" s="514"/>
      <c r="P60" s="514"/>
      <c r="Q60" s="514"/>
      <c r="R60" s="514"/>
      <c r="S60" s="514"/>
      <c r="T60" s="514"/>
      <c r="U60" s="352">
        <f>VLOOKUP(F60,Preisliste!C:F,4,FALSE)</f>
        <v>72.599999999999994</v>
      </c>
      <c r="V60" s="352">
        <f t="shared" ref="V60:V61" si="11">U60*D60</f>
        <v>0</v>
      </c>
      <c r="W60" s="86"/>
      <c r="X60" s="86"/>
      <c r="Y60" s="86"/>
      <c r="Z60" s="86"/>
      <c r="AA60" s="86"/>
      <c r="AB60" s="86"/>
      <c r="AC60" s="86"/>
      <c r="AD60" s="86"/>
      <c r="AE60" s="86"/>
      <c r="AF60" s="86"/>
      <c r="AG60" s="55">
        <f>IF(Kalk4!$AA$19=1,1,0)</f>
        <v>0</v>
      </c>
      <c r="AK60" s="55" t="s">
        <v>22100</v>
      </c>
      <c r="AL60" s="66">
        <f>Kalk4!$AH$43</f>
        <v>0</v>
      </c>
      <c r="AM60" s="55" t="s">
        <v>12148</v>
      </c>
    </row>
    <row r="61" spans="2:84" ht="24.95" customHeight="1">
      <c r="B61" s="94">
        <f>IF(AG61=1,AL61,0)</f>
        <v>0</v>
      </c>
      <c r="C61" s="60"/>
      <c r="D61" s="60">
        <f>B61</f>
        <v>0</v>
      </c>
      <c r="E61" s="60" t="str">
        <f>VLOOKUP(1601,Sprachindex!$A:$Z,Erhebungsbogen!$Y$20,FALSE)</f>
        <v>[VPE]</v>
      </c>
      <c r="F61" s="60" t="s">
        <v>21946</v>
      </c>
      <c r="G61" s="514" t="str">
        <f>VLOOKUP(1665,Sprachindex!$A:$Z,Erhebungsbogen!$Y$20,FALSE) &amp; " [" &amp; VLOOKUP(992,Sprachindex!$A:$Z,Erhebungsbogen!$Y$20,FALSE) &amp; " =25 "&amp; VLOOKUP(1512,Sprachindex!$A:$Z,Erhebungsbogen!$Y$20,FALSE) &amp; "]"</f>
        <v>Dammbalkendichtung (50+80) [VPE =25 lfm]</v>
      </c>
      <c r="H61" s="514"/>
      <c r="I61" s="514"/>
      <c r="J61" s="514"/>
      <c r="K61" s="514"/>
      <c r="L61" s="514"/>
      <c r="M61" s="514"/>
      <c r="N61" s="514"/>
      <c r="O61" s="514"/>
      <c r="P61" s="514"/>
      <c r="Q61" s="514"/>
      <c r="R61" s="514"/>
      <c r="S61" s="514"/>
      <c r="T61" s="514"/>
      <c r="U61" s="352">
        <f>VLOOKUP(F61,Preisliste!C:F,4,FALSE)</f>
        <v>73.45</v>
      </c>
      <c r="V61" s="352">
        <f t="shared" si="11"/>
        <v>0</v>
      </c>
      <c r="W61" s="86"/>
      <c r="X61" s="86"/>
      <c r="Y61" s="86"/>
      <c r="Z61" s="86"/>
      <c r="AA61" s="86"/>
      <c r="AB61" s="86"/>
      <c r="AC61" s="86"/>
      <c r="AD61" s="86"/>
      <c r="AE61" s="86"/>
      <c r="AF61" s="86"/>
      <c r="AG61" s="55">
        <f>IF(AND(OR(Kalk4!$AA$19=2,Kalk4!$AA$19=3,Kalk4!$AA$19=4),AND(Kalk4!H28&gt;0,Kalk4!H29&gt;0)),1,0)</f>
        <v>0</v>
      </c>
      <c r="AK61" s="55" t="s">
        <v>22100</v>
      </c>
      <c r="AL61" s="66">
        <f>Kalk4!$AH$43</f>
        <v>0</v>
      </c>
      <c r="AM61" s="55" t="s">
        <v>12148</v>
      </c>
    </row>
    <row r="62" spans="2:84" ht="24.95" customHeight="1">
      <c r="B62" s="93">
        <v>1</v>
      </c>
      <c r="C62" s="60"/>
      <c r="D62" s="60"/>
      <c r="E62" s="60" t="str">
        <f>VLOOKUP(1600,Sprachindex!$A:$Z,Erhebungsbogen!$Y$20,FALSE)</f>
        <v>[Stk]</v>
      </c>
      <c r="F62" s="60" t="s">
        <v>21977</v>
      </c>
      <c r="G62" s="514" t="str">
        <f>VLOOKUP(1666,Sprachindex!$A:$Z,Erhebungsbogen!$Y$20,FALSE)</f>
        <v>Dammbalkenhaken</v>
      </c>
      <c r="H62" s="514"/>
      <c r="I62" s="514"/>
      <c r="J62" s="514"/>
      <c r="K62" s="514"/>
      <c r="L62" s="514"/>
      <c r="M62" s="514"/>
      <c r="N62" s="514"/>
      <c r="O62" s="514"/>
      <c r="P62" s="514"/>
      <c r="Q62" s="514"/>
      <c r="R62" s="514"/>
      <c r="S62" s="514"/>
      <c r="T62" s="514"/>
      <c r="U62" s="352">
        <f>VLOOKUP(F62,Preisliste!C:F,4,FALSE)</f>
        <v>0</v>
      </c>
      <c r="V62" s="352">
        <f t="shared" ref="V62" si="12">U62*B62</f>
        <v>0</v>
      </c>
      <c r="W62" s="86"/>
      <c r="X62" s="86"/>
      <c r="Y62" s="86"/>
      <c r="Z62" s="86"/>
      <c r="AA62" s="86"/>
      <c r="AB62" s="86"/>
      <c r="AC62" s="86"/>
      <c r="AD62" s="86"/>
      <c r="AE62" s="86"/>
      <c r="AF62" s="86"/>
    </row>
    <row r="63" spans="2:84" ht="24.95" customHeight="1">
      <c r="B63" s="94">
        <f t="shared" ref="B63:B65" si="13">IF(AG63=1,AL63,0)</f>
        <v>0</v>
      </c>
      <c r="C63" s="60"/>
      <c r="D63" s="60">
        <f t="shared" ref="D63:D67" si="14">B63</f>
        <v>0</v>
      </c>
      <c r="E63" s="60" t="str">
        <f>VLOOKUP(1596,Sprachindex!$A:$Z,Erhebungsbogen!$Y$20,FALSE)</f>
        <v>[lfm]</v>
      </c>
      <c r="F63" s="60" t="s">
        <v>21974</v>
      </c>
      <c r="G63" s="514" t="str">
        <f>VLOOKUP(1672,Sprachindex!$A:$Z,Erhebungsbogen!$Y$20,FALSE) &amp; " [" &amp; VLOOKUP(992,Sprachindex!$A:$Z,Erhebungsbogen!$Y$20,FALSE) &amp; " =1 "&amp; VLOOKUP(1512,Sprachindex!$A:$Z,Erhebungsbogen!$Y$20,FALSE) &amp; "]"</f>
        <v>Dauerbodendichtung 25 [VPE =1 lfm]</v>
      </c>
      <c r="H63" s="514"/>
      <c r="I63" s="514"/>
      <c r="J63" s="514"/>
      <c r="K63" s="514"/>
      <c r="L63" s="514"/>
      <c r="M63" s="514"/>
      <c r="N63" s="514"/>
      <c r="O63" s="514"/>
      <c r="P63" s="514"/>
      <c r="Q63" s="514"/>
      <c r="R63" s="514"/>
      <c r="S63" s="514"/>
      <c r="T63" s="514"/>
      <c r="U63" s="352">
        <f>VLOOKUP(F63,Preisliste!C:F,4,FALSE)</f>
        <v>38.1</v>
      </c>
      <c r="V63" s="352">
        <f t="shared" ref="V63:V65" si="15">U63*D63</f>
        <v>0</v>
      </c>
      <c r="W63" s="86"/>
      <c r="X63" s="86"/>
      <c r="Y63" s="86"/>
      <c r="Z63" s="86"/>
      <c r="AA63" s="86"/>
      <c r="AB63" s="86"/>
      <c r="AC63" s="86"/>
      <c r="AD63" s="86"/>
      <c r="AE63" s="86"/>
      <c r="AF63" s="86"/>
      <c r="AG63" s="55">
        <f>IF(AND(Kalk4!$AA$19=1,Kalk4!$AA$29),1,0)</f>
        <v>0</v>
      </c>
      <c r="AK63" s="55" t="s">
        <v>22100</v>
      </c>
      <c r="AL63" s="66">
        <f>Kalk4!$AH$45</f>
        <v>0</v>
      </c>
      <c r="AM63" s="55" t="s">
        <v>17115</v>
      </c>
    </row>
    <row r="64" spans="2:84" ht="24.95" customHeight="1">
      <c r="B64" s="94">
        <f t="shared" si="13"/>
        <v>0</v>
      </c>
      <c r="C64" s="60"/>
      <c r="D64" s="60">
        <f t="shared" si="14"/>
        <v>0</v>
      </c>
      <c r="E64" s="60" t="str">
        <f>VLOOKUP(1596,Sprachindex!$A:$Z,Erhebungsbogen!$Y$20,FALSE)</f>
        <v>[lfm]</v>
      </c>
      <c r="F64" s="60" t="s">
        <v>21949</v>
      </c>
      <c r="G64" s="514" t="str">
        <f>VLOOKUP(1673,Sprachindex!$A:$Z,Erhebungsbogen!$Y$20,FALSE) &amp; " [" &amp; VLOOKUP(992,Sprachindex!$A:$Z,Erhebungsbogen!$Y$20,FALSE) &amp; " =1 "&amp; VLOOKUP(1512,Sprachindex!$A:$Z,Erhebungsbogen!$Y$20,FALSE) &amp; "]"</f>
        <v>Dauerbodendichtung 50 [VPE =1 lfm]</v>
      </c>
      <c r="H64" s="514"/>
      <c r="I64" s="514"/>
      <c r="J64" s="514"/>
      <c r="K64" s="514"/>
      <c r="L64" s="514"/>
      <c r="M64" s="514"/>
      <c r="N64" s="514"/>
      <c r="O64" s="514"/>
      <c r="P64" s="514"/>
      <c r="Q64" s="514"/>
      <c r="R64" s="514"/>
      <c r="S64" s="514"/>
      <c r="T64" s="514"/>
      <c r="U64" s="352">
        <f>VLOOKUP(F64,Preisliste!C:F,4,FALSE)</f>
        <v>58.65</v>
      </c>
      <c r="V64" s="352">
        <f t="shared" si="15"/>
        <v>0</v>
      </c>
      <c r="W64" s="86"/>
      <c r="X64" s="86"/>
      <c r="Y64" s="86"/>
      <c r="Z64" s="86"/>
      <c r="AA64" s="86"/>
      <c r="AB64" s="86"/>
      <c r="AC64" s="86"/>
      <c r="AD64" s="86"/>
      <c r="AE64" s="86"/>
      <c r="AF64" s="86"/>
      <c r="AG64" s="55">
        <f>IF(AND(OR(Kalk4!$AA$19=2,Kalk4!$AA$19=3),Kalk4!$AA$29),1,0)</f>
        <v>0</v>
      </c>
      <c r="AK64" s="55" t="s">
        <v>22100</v>
      </c>
      <c r="AL64" s="66">
        <f>Kalk4!$AH$45</f>
        <v>0</v>
      </c>
      <c r="AM64" s="55" t="s">
        <v>17115</v>
      </c>
    </row>
    <row r="65" spans="2:53" ht="24.95" customHeight="1">
      <c r="B65" s="94">
        <f t="shared" si="13"/>
        <v>0</v>
      </c>
      <c r="C65" s="60"/>
      <c r="D65" s="60">
        <f t="shared" si="14"/>
        <v>0</v>
      </c>
      <c r="E65" s="60" t="str">
        <f>VLOOKUP(1596,Sprachindex!$A:$Z,Erhebungsbogen!$Y$20,FALSE)</f>
        <v>[lfm]</v>
      </c>
      <c r="F65" s="60" t="s">
        <v>21950</v>
      </c>
      <c r="G65" s="514" t="str">
        <f>VLOOKUP(1674,Sprachindex!$A:$Z,Erhebungsbogen!$Y$20,FALSE) &amp; " [" &amp; VLOOKUP(992,Sprachindex!$A:$Z,Erhebungsbogen!$Y$20,FALSE) &amp; " =1 "&amp; VLOOKUP(1512,Sprachindex!$A:$Z,Erhebungsbogen!$Y$20,FALSE) &amp; "]"</f>
        <v>Dauerbodendichtung 80 [VPE =1 lfm]</v>
      </c>
      <c r="H65" s="514"/>
      <c r="I65" s="514"/>
      <c r="J65" s="514"/>
      <c r="K65" s="514"/>
      <c r="L65" s="514"/>
      <c r="M65" s="514"/>
      <c r="N65" s="514"/>
      <c r="O65" s="514"/>
      <c r="P65" s="514"/>
      <c r="Q65" s="514"/>
      <c r="R65" s="514"/>
      <c r="S65" s="514"/>
      <c r="T65" s="514"/>
      <c r="U65" s="352">
        <f>VLOOKUP(F65,Preisliste!C:F,4,FALSE)</f>
        <v>99.05</v>
      </c>
      <c r="V65" s="352">
        <f t="shared" si="15"/>
        <v>0</v>
      </c>
      <c r="W65" s="86"/>
      <c r="X65" s="86"/>
      <c r="Y65" s="86"/>
      <c r="Z65" s="86"/>
      <c r="AA65" s="86"/>
      <c r="AB65" s="86"/>
      <c r="AC65" s="86"/>
      <c r="AD65" s="86"/>
      <c r="AE65" s="86"/>
      <c r="AF65" s="86"/>
      <c r="AG65" s="55">
        <f>IF(AND(Kalk4!$AA$19=4,Kalk4!$AA$29),1,0)</f>
        <v>0</v>
      </c>
      <c r="AK65" s="55" t="s">
        <v>22100</v>
      </c>
      <c r="AL65" s="66">
        <f>Kalk4!$AH$45</f>
        <v>0</v>
      </c>
      <c r="AM65" s="55" t="s">
        <v>17115</v>
      </c>
    </row>
    <row r="66" spans="2:53" ht="24.95" customHeight="1">
      <c r="B66" s="93">
        <f>IF(AND(AG66&gt;0,AL66&gt;0),AL66,0)</f>
        <v>0</v>
      </c>
      <c r="C66" s="60"/>
      <c r="D66" s="60">
        <f t="shared" si="14"/>
        <v>0</v>
      </c>
      <c r="E66" s="60" t="str">
        <f>VLOOKUP(1600,Sprachindex!$A:$Z,Erhebungsbogen!$Y$20,FALSE)</f>
        <v>[Stk]</v>
      </c>
      <c r="F66" s="60" t="s">
        <v>21978</v>
      </c>
      <c r="G66" s="514" t="str">
        <f>VLOOKUP(1681,Sprachindex!$A:$Z,Erhebungsbogen!$Y$20,FALSE)</f>
        <v>Dichtungsroller 25/50</v>
      </c>
      <c r="H66" s="515"/>
      <c r="I66" s="515"/>
      <c r="J66" s="515"/>
      <c r="K66" s="515"/>
      <c r="L66" s="515"/>
      <c r="M66" s="515"/>
      <c r="N66" s="515"/>
      <c r="O66" s="515"/>
      <c r="P66" s="515"/>
      <c r="Q66" s="515"/>
      <c r="R66" s="515"/>
      <c r="S66" s="515"/>
      <c r="T66" s="516"/>
      <c r="U66" s="352">
        <f>VLOOKUP(F66,Preisliste!C:F,4,FALSE)</f>
        <v>49.75</v>
      </c>
      <c r="V66" s="352">
        <f t="shared" ref="V66:V129" si="16">U66*B66</f>
        <v>0</v>
      </c>
      <c r="W66" s="86"/>
      <c r="X66" s="86"/>
      <c r="Y66" s="86"/>
      <c r="Z66" s="86"/>
      <c r="AA66" s="86"/>
      <c r="AB66" s="86"/>
      <c r="AC66" s="86"/>
      <c r="AD66" s="86"/>
      <c r="AE66" s="86"/>
      <c r="AF66" s="86"/>
      <c r="AG66" s="55">
        <f>IF(AND(Kalk4!$AA$33,Kalk4!$Q$36&gt;0),1,0)</f>
        <v>0</v>
      </c>
      <c r="AK66" s="55" t="s">
        <v>22100</v>
      </c>
      <c r="AL66" s="66">
        <f>Kalk4!Q36*Kalk4!$H$37</f>
        <v>0</v>
      </c>
      <c r="AM66" s="55" t="s">
        <v>20872</v>
      </c>
    </row>
    <row r="67" spans="2:53" ht="24.95" customHeight="1">
      <c r="B67" s="93">
        <f>IF(AND(AG67&gt;0,AL67&gt;0),AL67,0)</f>
        <v>0</v>
      </c>
      <c r="C67" s="60"/>
      <c r="D67" s="60">
        <f t="shared" si="14"/>
        <v>0</v>
      </c>
      <c r="E67" s="60" t="str">
        <f>VLOOKUP(1600,Sprachindex!$A:$Z,Erhebungsbogen!$Y$20,FALSE)</f>
        <v>[Stk]</v>
      </c>
      <c r="F67" s="60" t="s">
        <v>21979</v>
      </c>
      <c r="G67" s="514" t="str">
        <f>VLOOKUP(1682,Sprachindex!$A:$Z,Erhebungsbogen!$Y$20,FALSE)</f>
        <v>Dichtungsroller 80</v>
      </c>
      <c r="H67" s="515"/>
      <c r="I67" s="515"/>
      <c r="J67" s="515"/>
      <c r="K67" s="515"/>
      <c r="L67" s="515"/>
      <c r="M67" s="515"/>
      <c r="N67" s="515"/>
      <c r="O67" s="515"/>
      <c r="P67" s="515"/>
      <c r="Q67" s="515"/>
      <c r="R67" s="515"/>
      <c r="S67" s="515"/>
      <c r="T67" s="516"/>
      <c r="U67" s="352">
        <f>VLOOKUP(F67,Preisliste!C:F,4,FALSE)</f>
        <v>49.75</v>
      </c>
      <c r="V67" s="352">
        <f t="shared" si="16"/>
        <v>0</v>
      </c>
      <c r="W67" s="86"/>
      <c r="X67" s="86"/>
      <c r="Y67" s="86"/>
      <c r="Z67" s="86"/>
      <c r="AA67" s="86"/>
      <c r="AB67" s="86"/>
      <c r="AC67" s="86"/>
      <c r="AD67" s="86"/>
      <c r="AE67" s="86"/>
      <c r="AF67" s="86"/>
      <c r="AG67" s="55">
        <f>IF(AND(Kalk4!$AA$34,Kalk4!$Q$37&gt;0),1,0)</f>
        <v>0</v>
      </c>
      <c r="AK67" s="55" t="s">
        <v>22100</v>
      </c>
      <c r="AL67" s="66">
        <f>Kalk4!Q37*Kalk4!$H$37</f>
        <v>0</v>
      </c>
      <c r="AM67" s="55" t="s">
        <v>20872</v>
      </c>
    </row>
    <row r="68" spans="2:53" ht="24.95" customHeight="1">
      <c r="B68" s="93">
        <f>IF(AG68=1,AZ68,0)</f>
        <v>0</v>
      </c>
      <c r="C68" s="60">
        <v>750</v>
      </c>
      <c r="D68" s="60"/>
      <c r="E68" s="60" t="str">
        <f>VLOOKUP(1600,Sprachindex!$A:$Z,Erhebungsbogen!$Y$20,FALSE)</f>
        <v>[Stk]</v>
      </c>
      <c r="F68" s="60" t="s">
        <v>21884</v>
      </c>
      <c r="G68" s="514" t="str">
        <f>VLOOKUP(2124,Sprachindex!$A:$Z,Erhebungsbogen!$Y$20,FALSE) &amp; IF(AND(Kalk4!$AA$5=2,Kalk4!$AA$13),", " &amp; VLOOKUP(1645,Sprachindex!$A:$Z,Erhebungsbogen!$Y$20,FALSE) &amp; " " &amp; $U$8,", "&amp; VLOOKUP(1648,Sprachindex!$A:$Z,Erhebungsbogen!$Y$20,FALSE))</f>
        <v>Grundprofil 25 (H-Profil v.d.L.) exkl. Dichtung, gebohrt und entgratet, blank</v>
      </c>
      <c r="H68" s="514"/>
      <c r="I68" s="514"/>
      <c r="J68" s="514"/>
      <c r="K68" s="514"/>
      <c r="L68" s="514"/>
      <c r="M68" s="514"/>
      <c r="N68" s="514"/>
      <c r="O68" s="514"/>
      <c r="P68" s="514"/>
      <c r="Q68" s="514"/>
      <c r="R68" s="514"/>
      <c r="S68" s="514"/>
      <c r="T68" s="514"/>
      <c r="U68" s="352">
        <f>IF(AND(Kalk4!$AA$5=2,Kalk4!$AA$13),VLOOKUP(F68,Preisliste!C:G,5,FALSE),VLOOKUP(F68,Preisliste!C:G,4,FALSE))</f>
        <v>95</v>
      </c>
      <c r="V68" s="352">
        <f t="shared" si="16"/>
        <v>0</v>
      </c>
      <c r="W68" s="86"/>
      <c r="X68" s="86"/>
      <c r="Y68" s="86"/>
      <c r="Z68" s="143">
        <f>IF(AND(Kalk4!$AA$5=2,Kalk4!$AA$13),(VLOOKUP(F68,Preisliste!C:G,5,FALSE)-VLOOKUP(F68,Preisliste!C:G,4,FALSE))*B68,0)</f>
        <v>0</v>
      </c>
      <c r="AA68" s="86"/>
      <c r="AB68" s="86"/>
      <c r="AC68" s="86"/>
      <c r="AD68" s="86"/>
      <c r="AE68" s="86"/>
      <c r="AF68" s="86"/>
      <c r="AG68" s="55">
        <f>IF(AND(AH68=1,AL68=1,AP68=1,AND(Kalk4!H28&gt;0,Kalk4!H29&gt;Kalk4!B1)),1,0)</f>
        <v>0</v>
      </c>
      <c r="AH68" s="66">
        <f>IF(Kalk4!$AA$19=1,1,0)</f>
        <v>0</v>
      </c>
      <c r="AI68" s="55">
        <v>25</v>
      </c>
      <c r="AK68" s="55" t="s">
        <v>22079</v>
      </c>
      <c r="AL68" s="66">
        <f>IF(OR(Kalk4!$AA$7=1,Kalk4!$AA$9=1),1,0)</f>
        <v>1</v>
      </c>
      <c r="AM68" s="55" t="s">
        <v>22083</v>
      </c>
      <c r="AO68" s="55" t="s">
        <v>22079</v>
      </c>
      <c r="AP68" s="66">
        <f>IF(Kalk4!$AI$51=AQ68,1,0)</f>
        <v>1</v>
      </c>
      <c r="AQ68" s="55">
        <v>750</v>
      </c>
      <c r="AU68" s="66">
        <f>IF(Kalk4!$AA$7=1,1,0)</f>
        <v>1</v>
      </c>
      <c r="AV68" s="55" t="s">
        <v>19882</v>
      </c>
      <c r="AW68" s="66">
        <f>IF(Kalk4!$AA$9=1,1,0)</f>
        <v>1</v>
      </c>
      <c r="AX68" s="55" t="s">
        <v>20310</v>
      </c>
      <c r="AY68" s="55" t="s">
        <v>22100</v>
      </c>
      <c r="AZ68" s="66">
        <f>(AU68+AW68)*Kalk4!$H$37</f>
        <v>2</v>
      </c>
      <c r="BA68" s="55" t="s">
        <v>22101</v>
      </c>
    </row>
    <row r="69" spans="2:53" ht="24.95" customHeight="1">
      <c r="B69" s="93">
        <f t="shared" ref="B69:B82" si="17">IF(AG69=1,AZ69,0)</f>
        <v>0</v>
      </c>
      <c r="C69" s="60">
        <v>1350</v>
      </c>
      <c r="D69" s="60"/>
      <c r="E69" s="60" t="str">
        <f>VLOOKUP(1600,Sprachindex!$A:$Z,Erhebungsbogen!$Y$20,FALSE)</f>
        <v>[Stk]</v>
      </c>
      <c r="F69" s="60" t="s">
        <v>21885</v>
      </c>
      <c r="G69" s="514" t="str">
        <f>VLOOKUP(2124,Sprachindex!$A:$Z,Erhebungsbogen!$Y$20,FALSE) &amp; IF(AND(Kalk4!$AA$5=2,Kalk4!$AA$13),", " &amp; VLOOKUP(1645,Sprachindex!$A:$Z,Erhebungsbogen!$Y$20,FALSE) &amp; " " &amp; $U$8,", "&amp; VLOOKUP(1648,Sprachindex!$A:$Z,Erhebungsbogen!$Y$20,FALSE))</f>
        <v>Grundprofil 25 (H-Profil v.d.L.) exkl. Dichtung, gebohrt und entgratet, blank</v>
      </c>
      <c r="H69" s="514"/>
      <c r="I69" s="514"/>
      <c r="J69" s="514"/>
      <c r="K69" s="514"/>
      <c r="L69" s="514"/>
      <c r="M69" s="514"/>
      <c r="N69" s="514"/>
      <c r="O69" s="514"/>
      <c r="P69" s="514"/>
      <c r="Q69" s="514"/>
      <c r="R69" s="514"/>
      <c r="S69" s="514"/>
      <c r="T69" s="514"/>
      <c r="U69" s="352">
        <f>IF(AND(Kalk4!$AA$5=2,Kalk4!$AA$13),VLOOKUP(F69,Preisliste!C:G,5,FALSE),VLOOKUP(F69,Preisliste!C:G,4,FALSE))</f>
        <v>149.85</v>
      </c>
      <c r="V69" s="352">
        <f t="shared" si="16"/>
        <v>0</v>
      </c>
      <c r="W69" s="86"/>
      <c r="X69" s="86"/>
      <c r="Y69" s="86"/>
      <c r="Z69" s="143">
        <f>IF(AND(Kalk4!$AA$5=2,Kalk4!$AA$13),(VLOOKUP(F69,Preisliste!C:G,5,FALSE)-VLOOKUP(F69,Preisliste!C:G,4,FALSE))*B69,0)</f>
        <v>0</v>
      </c>
      <c r="AA69" s="86"/>
      <c r="AB69" s="86"/>
      <c r="AC69" s="86"/>
      <c r="AD69" s="86"/>
      <c r="AE69" s="86"/>
      <c r="AF69" s="86"/>
      <c r="AG69" s="55">
        <f t="shared" ref="AG69:AG72" si="18">IF(AND(AH69=1,AL69=1,AP69=1),1,0)</f>
        <v>0</v>
      </c>
      <c r="AH69" s="66">
        <f>IF(Kalk4!$AA$19=1,1,0)</f>
        <v>0</v>
      </c>
      <c r="AI69" s="55">
        <v>25</v>
      </c>
      <c r="AK69" s="55" t="s">
        <v>22079</v>
      </c>
      <c r="AL69" s="66">
        <f>IF(OR(Kalk4!$AA$7=1,Kalk4!$AA$9=1),1,0)</f>
        <v>1</v>
      </c>
      <c r="AM69" s="55" t="s">
        <v>22083</v>
      </c>
      <c r="AO69" s="55" t="s">
        <v>22079</v>
      </c>
      <c r="AP69" s="66">
        <f>IF(Kalk4!$AI$51=AQ69,1,0)</f>
        <v>0</v>
      </c>
      <c r="AQ69" s="55">
        <v>1350</v>
      </c>
      <c r="AU69" s="66">
        <f>IF(Kalk4!$AA$7=1,1,0)</f>
        <v>1</v>
      </c>
      <c r="AV69" s="55" t="s">
        <v>19882</v>
      </c>
      <c r="AW69" s="66">
        <f>IF(Kalk4!$AA$9=1,1,0)</f>
        <v>1</v>
      </c>
      <c r="AX69" s="55" t="s">
        <v>20310</v>
      </c>
      <c r="AY69" s="55" t="s">
        <v>22100</v>
      </c>
      <c r="AZ69" s="66">
        <f>(AU69+AW69)*Kalk4!$H$37</f>
        <v>2</v>
      </c>
      <c r="BA69" s="55" t="s">
        <v>22101</v>
      </c>
    </row>
    <row r="70" spans="2:53" ht="24.95" customHeight="1">
      <c r="B70" s="93">
        <f t="shared" si="17"/>
        <v>0</v>
      </c>
      <c r="C70" s="60">
        <v>1750</v>
      </c>
      <c r="D70" s="60"/>
      <c r="E70" s="60" t="str">
        <f>VLOOKUP(1600,Sprachindex!$A:$Z,Erhebungsbogen!$Y$20,FALSE)</f>
        <v>[Stk]</v>
      </c>
      <c r="F70" s="60" t="s">
        <v>21984</v>
      </c>
      <c r="G70" s="514" t="str">
        <f>VLOOKUP(2124,Sprachindex!$A:$Z,Erhebungsbogen!$Y$20,FALSE) &amp; IF(AND(Kalk4!$AA$5=2,Kalk4!$AA$13),", " &amp; VLOOKUP(1645,Sprachindex!$A:$Z,Erhebungsbogen!$Y$20,FALSE) &amp; " " &amp; $U$8,", "&amp; VLOOKUP(1648,Sprachindex!$A:$Z,Erhebungsbogen!$Y$20,FALSE))</f>
        <v>Grundprofil 25 (H-Profil v.d.L.) exkl. Dichtung, gebohrt und entgratet, blank</v>
      </c>
      <c r="H70" s="514"/>
      <c r="I70" s="514"/>
      <c r="J70" s="514"/>
      <c r="K70" s="514"/>
      <c r="L70" s="514"/>
      <c r="M70" s="514"/>
      <c r="N70" s="514"/>
      <c r="O70" s="514"/>
      <c r="P70" s="514"/>
      <c r="Q70" s="514"/>
      <c r="R70" s="514"/>
      <c r="S70" s="514"/>
      <c r="T70" s="514"/>
      <c r="U70" s="352">
        <f>IF(AND(Kalk4!$AA$5=2,Kalk4!$AA$13),VLOOKUP(F70,Preisliste!C:G,5,FALSE),VLOOKUP(F70,Preisliste!C:G,4,FALSE))</f>
        <v>186.4</v>
      </c>
      <c r="V70" s="352">
        <f t="shared" si="16"/>
        <v>0</v>
      </c>
      <c r="W70" s="86"/>
      <c r="X70" s="86"/>
      <c r="Y70" s="86"/>
      <c r="Z70" s="143">
        <f>IF(AND(Kalk4!$AA$5=2,Kalk4!$AA$13),(VLOOKUP(F70,Preisliste!C:G,5,FALSE)-VLOOKUP(F70,Preisliste!C:G,4,FALSE))*B70,0)</f>
        <v>0</v>
      </c>
      <c r="AA70" s="86"/>
      <c r="AB70" s="86"/>
      <c r="AC70" s="86"/>
      <c r="AD70" s="86"/>
      <c r="AE70" s="86"/>
      <c r="AF70" s="86"/>
      <c r="AG70" s="55">
        <f t="shared" si="18"/>
        <v>0</v>
      </c>
      <c r="AH70" s="66">
        <f>IF(Kalk4!$AA$19=1,1,0)</f>
        <v>0</v>
      </c>
      <c r="AI70" s="55">
        <v>25</v>
      </c>
      <c r="AK70" s="55" t="s">
        <v>22079</v>
      </c>
      <c r="AL70" s="66">
        <f>IF(OR(Kalk4!$AA$7=1,Kalk4!$AA$9=1),1,0)</f>
        <v>1</v>
      </c>
      <c r="AM70" s="55" t="s">
        <v>22083</v>
      </c>
      <c r="AO70" s="55" t="s">
        <v>22079</v>
      </c>
      <c r="AP70" s="66">
        <f>IF(Kalk4!$AI$51=AQ70,1,0)</f>
        <v>0</v>
      </c>
      <c r="AQ70" s="55">
        <v>1750</v>
      </c>
      <c r="AU70" s="66">
        <f>IF(Kalk4!$AA$7=1,1,0)</f>
        <v>1</v>
      </c>
      <c r="AV70" s="55" t="s">
        <v>19882</v>
      </c>
      <c r="AW70" s="66">
        <f>IF(Kalk4!$AA$9=1,1,0)</f>
        <v>1</v>
      </c>
      <c r="AX70" s="55" t="s">
        <v>20310</v>
      </c>
      <c r="AY70" s="55" t="s">
        <v>22100</v>
      </c>
      <c r="AZ70" s="66">
        <f>(AU70+AW70)*Kalk4!$H$37</f>
        <v>2</v>
      </c>
      <c r="BA70" s="55" t="s">
        <v>22101</v>
      </c>
    </row>
    <row r="71" spans="2:53" ht="24.95" customHeight="1">
      <c r="B71" s="93">
        <f t="shared" si="17"/>
        <v>0</v>
      </c>
      <c r="C71" s="60">
        <v>2150</v>
      </c>
      <c r="D71" s="60"/>
      <c r="E71" s="60" t="str">
        <f>VLOOKUP(1600,Sprachindex!$A:$Z,Erhebungsbogen!$Y$20,FALSE)</f>
        <v>[Stk]</v>
      </c>
      <c r="F71" s="60" t="s">
        <v>21985</v>
      </c>
      <c r="G71" s="514" t="str">
        <f>VLOOKUP(2124,Sprachindex!$A:$Z,Erhebungsbogen!$Y$20,FALSE) &amp; IF(AND(Kalk4!$AA$5=2,Kalk4!$AA$13),", " &amp; VLOOKUP(1645,Sprachindex!$A:$Z,Erhebungsbogen!$Y$20,FALSE) &amp; " " &amp; $U$8,", "&amp; VLOOKUP(1648,Sprachindex!$A:$Z,Erhebungsbogen!$Y$20,FALSE))</f>
        <v>Grundprofil 25 (H-Profil v.d.L.) exkl. Dichtung, gebohrt und entgratet, blank</v>
      </c>
      <c r="H71" s="514"/>
      <c r="I71" s="514"/>
      <c r="J71" s="514"/>
      <c r="K71" s="514"/>
      <c r="L71" s="514"/>
      <c r="M71" s="514"/>
      <c r="N71" s="514"/>
      <c r="O71" s="514"/>
      <c r="P71" s="514"/>
      <c r="Q71" s="514"/>
      <c r="R71" s="514"/>
      <c r="S71" s="514"/>
      <c r="T71" s="514"/>
      <c r="U71" s="352">
        <f>IF(AND(Kalk4!$AA$5=2,Kalk4!$AA$13),VLOOKUP(F71,Preisliste!C:G,5,FALSE),VLOOKUP(F71,Preisliste!C:G,4,FALSE))</f>
        <v>222.9</v>
      </c>
      <c r="V71" s="352">
        <f t="shared" si="16"/>
        <v>0</v>
      </c>
      <c r="W71" s="86"/>
      <c r="X71" s="86"/>
      <c r="Y71" s="86"/>
      <c r="Z71" s="143">
        <f>IF(AND(Kalk4!$AA$5=2,Kalk4!$AA$13),(VLOOKUP(F71,Preisliste!C:G,5,FALSE)-VLOOKUP(F71,Preisliste!C:G,4,FALSE))*B71,0)</f>
        <v>0</v>
      </c>
      <c r="AA71" s="86"/>
      <c r="AB71" s="86"/>
      <c r="AC71" s="86"/>
      <c r="AD71" s="86"/>
      <c r="AE71" s="86"/>
      <c r="AF71" s="86"/>
      <c r="AG71" s="55">
        <f t="shared" si="18"/>
        <v>0</v>
      </c>
      <c r="AH71" s="66">
        <f>IF(Kalk4!$AA$19=1,1,0)</f>
        <v>0</v>
      </c>
      <c r="AI71" s="55">
        <v>25</v>
      </c>
      <c r="AK71" s="55" t="s">
        <v>22079</v>
      </c>
      <c r="AL71" s="66">
        <f>IF(OR(Kalk4!$AA$7=1,Kalk4!$AA$9=1),1,0)</f>
        <v>1</v>
      </c>
      <c r="AM71" s="55" t="s">
        <v>22083</v>
      </c>
      <c r="AO71" s="55" t="s">
        <v>22079</v>
      </c>
      <c r="AP71" s="66">
        <f>IF(Kalk4!$AI$51=AQ71,1,0)</f>
        <v>0</v>
      </c>
      <c r="AQ71" s="55">
        <v>2150</v>
      </c>
      <c r="AU71" s="66">
        <f>IF(Kalk4!$AA$7=1,1,0)</f>
        <v>1</v>
      </c>
      <c r="AV71" s="55" t="s">
        <v>19882</v>
      </c>
      <c r="AW71" s="66">
        <f>IF(Kalk4!$AA$9=1,1,0)</f>
        <v>1</v>
      </c>
      <c r="AX71" s="55" t="s">
        <v>20310</v>
      </c>
      <c r="AY71" s="55" t="s">
        <v>22100</v>
      </c>
      <c r="AZ71" s="66">
        <f>(AU71+AW71)*Kalk4!$H$37</f>
        <v>2</v>
      </c>
      <c r="BA71" s="55" t="s">
        <v>22101</v>
      </c>
    </row>
    <row r="72" spans="2:53" ht="24.95" customHeight="1">
      <c r="B72" s="93">
        <f t="shared" si="17"/>
        <v>0</v>
      </c>
      <c r="C72" s="60">
        <f>IF(AG72=1,AS72,0)</f>
        <v>0</v>
      </c>
      <c r="D72" s="60"/>
      <c r="E72" s="60" t="str">
        <f>VLOOKUP(1600,Sprachindex!$A:$Z,Erhebungsbogen!$Y$20,FALSE)</f>
        <v>[Stk]</v>
      </c>
      <c r="F72" s="60" t="s">
        <v>21883</v>
      </c>
      <c r="G72" s="514" t="str">
        <f>VLOOKUP(2125,Sprachindex!$A:$Z,Erhebungsbogen!$Y$20,FALSE)</f>
        <v>Grundprofil 25 (H-Profil v.d.L.) Sonderlänge exkl. Dichtung, (Stangenware)</v>
      </c>
      <c r="H72" s="514"/>
      <c r="I72" s="514"/>
      <c r="J72" s="514"/>
      <c r="K72" s="514"/>
      <c r="L72" s="514"/>
      <c r="M72" s="514"/>
      <c r="N72" s="514"/>
      <c r="O72" s="514"/>
      <c r="P72" s="514"/>
      <c r="Q72" s="514"/>
      <c r="R72" s="514"/>
      <c r="S72" s="514"/>
      <c r="T72" s="514"/>
      <c r="U72" s="352">
        <f>IF(AND(Kalk4!$AA$5=2,Kalk4!$AA$13),VLOOKUP(F72,Preisliste!C:G,5,FALSE),VLOOKUP(F72,Preisliste!C:G,4,FALSE))</f>
        <v>72</v>
      </c>
      <c r="V72" s="352">
        <f t="shared" si="16"/>
        <v>0</v>
      </c>
      <c r="W72" s="86"/>
      <c r="X72" s="86"/>
      <c r="Y72" s="86"/>
      <c r="Z72" s="143">
        <f>IF(AND(Kalk4!$AA$5=2,Kalk4!$AA$13),(VLOOKUP(F72,Preisliste!C:G,5,FALSE)-VLOOKUP(F72,Preisliste!C:G,4,FALSE))*B72,0)</f>
        <v>0</v>
      </c>
      <c r="AA72" s="86"/>
      <c r="AB72" s="86"/>
      <c r="AC72" s="86"/>
      <c r="AD72" s="86"/>
      <c r="AE72" s="86"/>
      <c r="AF72" s="86"/>
      <c r="AG72" s="55">
        <f t="shared" si="18"/>
        <v>0</v>
      </c>
      <c r="AH72" s="66">
        <f>IF(Kalk4!$AA$19=1,1,0)</f>
        <v>0</v>
      </c>
      <c r="AI72" s="55">
        <v>25</v>
      </c>
      <c r="AK72" s="55" t="s">
        <v>22079</v>
      </c>
      <c r="AL72" s="66">
        <f>IF(OR(Kalk4!$AA$7=1,Kalk4!$AA$9=1),1,0)</f>
        <v>1</v>
      </c>
      <c r="AM72" s="55" t="s">
        <v>22083</v>
      </c>
      <c r="AO72" s="55" t="s">
        <v>22079</v>
      </c>
      <c r="AP72" s="66">
        <f>IF(Kalk4!$AH$52&gt;AQ72,1,0)</f>
        <v>0</v>
      </c>
      <c r="AQ72" s="55">
        <v>2150</v>
      </c>
      <c r="AR72" s="55" t="s">
        <v>22084</v>
      </c>
      <c r="AS72" s="66">
        <f>Kalk4!$AH$52</f>
        <v>0</v>
      </c>
      <c r="AU72" s="66">
        <f>IF(Kalk4!$AA$7=1,1,0)</f>
        <v>1</v>
      </c>
      <c r="AV72" s="55" t="s">
        <v>19882</v>
      </c>
      <c r="AW72" s="66">
        <f>IF(Kalk4!$AA$9=1,1,0)</f>
        <v>1</v>
      </c>
      <c r="AX72" s="55" t="s">
        <v>20310</v>
      </c>
      <c r="AY72" s="55" t="s">
        <v>22100</v>
      </c>
      <c r="AZ72" s="66">
        <f>(AU72+AW72)*Kalk4!$H$37</f>
        <v>2</v>
      </c>
      <c r="BA72" s="55" t="s">
        <v>22101</v>
      </c>
    </row>
    <row r="73" spans="2:53" ht="24.95" customHeight="1">
      <c r="B73" s="93">
        <f t="shared" si="17"/>
        <v>0</v>
      </c>
      <c r="C73" s="60">
        <v>750</v>
      </c>
      <c r="D73" s="60"/>
      <c r="E73" s="60" t="str">
        <f>VLOOKUP(1600,Sprachindex!$A:$Z,Erhebungsbogen!$Y$20,FALSE)</f>
        <v>[Stk]</v>
      </c>
      <c r="F73" s="60" t="s">
        <v>21896</v>
      </c>
      <c r="G73" s="514" t="str">
        <f>VLOOKUP(1717,Sprachindex!$A:$Z,Erhebungsbogen!$Y$20,FALSE) &amp; IF(AND(Kalk4!$AA$5=2,Kalk4!$AA$13),", " &amp; VLOOKUP(1645,Sprachindex!$A:$Z,Erhebungsbogen!$Y$20,FALSE) &amp; " " &amp; $U$8,", "&amp; VLOOKUP(1648,Sprachindex!$A:$Z,Erhebungsbogen!$Y$20,FALSE))</f>
        <v>Grundprofil 50 (H-Profil v.d.L.) exkl. Dichtung, gebohrt und entgratet, blank</v>
      </c>
      <c r="H73" s="514"/>
      <c r="I73" s="514"/>
      <c r="J73" s="514"/>
      <c r="K73" s="514"/>
      <c r="L73" s="514"/>
      <c r="M73" s="514"/>
      <c r="N73" s="514"/>
      <c r="O73" s="514"/>
      <c r="P73" s="514"/>
      <c r="Q73" s="514"/>
      <c r="R73" s="514"/>
      <c r="S73" s="514"/>
      <c r="T73" s="514"/>
      <c r="U73" s="352">
        <f>IF(AND(Kalk4!$AA$5=2,Kalk4!$AA$13),VLOOKUP(F73,Preisliste!C:G,5,FALSE),VLOOKUP(F73,Preisliste!C:G,4,FALSE))</f>
        <v>144.85</v>
      </c>
      <c r="V73" s="352">
        <f t="shared" si="16"/>
        <v>0</v>
      </c>
      <c r="W73" s="86"/>
      <c r="X73" s="86"/>
      <c r="Y73" s="86"/>
      <c r="Z73" s="143">
        <f>IF(AND(Kalk4!$AA$5=2,Kalk4!$AA$13),(VLOOKUP(F73,Preisliste!C:G,5,FALSE)-VLOOKUP(F73,Preisliste!C:G,4,FALSE))*B73,0)</f>
        <v>0</v>
      </c>
      <c r="AA73" s="86"/>
      <c r="AB73" s="86"/>
      <c r="AC73" s="86"/>
      <c r="AD73" s="86"/>
      <c r="AE73" s="86"/>
      <c r="AF73" s="86"/>
      <c r="AG73" s="250">
        <f>IF(AND(AH73=1,AL73=1,AP73=1,AND(Kalk4!H28&gt;0,Kalk4!H29&gt;0)),1,0)</f>
        <v>0</v>
      </c>
      <c r="AH73" s="66">
        <f>IF(OR(Kalk4!$AA$19=2,Kalk4!$AA$19=3),1,0)</f>
        <v>1</v>
      </c>
      <c r="AI73" s="55">
        <v>50</v>
      </c>
      <c r="AK73" s="55" t="s">
        <v>22079</v>
      </c>
      <c r="AL73" s="66">
        <f>IF(OR(Kalk4!$AA$7=1,Kalk4!$AA$9=1),1,0)</f>
        <v>1</v>
      </c>
      <c r="AM73" s="55" t="s">
        <v>22083</v>
      </c>
      <c r="AO73" s="55" t="s">
        <v>22079</v>
      </c>
      <c r="AP73" s="250">
        <f>IF(Kalk4!$AI$51=AQ73,1,0)</f>
        <v>1</v>
      </c>
      <c r="AQ73" s="55">
        <v>750</v>
      </c>
      <c r="AU73" s="66">
        <f>IF(Kalk4!$AA$7=1,1,0)</f>
        <v>1</v>
      </c>
      <c r="AV73" s="55" t="s">
        <v>19882</v>
      </c>
      <c r="AW73" s="66">
        <f>IF(Kalk4!$AA$9=1,1,0)</f>
        <v>1</v>
      </c>
      <c r="AX73" s="55" t="s">
        <v>20310</v>
      </c>
      <c r="AY73" s="55" t="s">
        <v>22100</v>
      </c>
      <c r="AZ73" s="66">
        <f>(AU73+AW73)*Kalk4!$H$37</f>
        <v>2</v>
      </c>
      <c r="BA73" s="55" t="s">
        <v>22101</v>
      </c>
    </row>
    <row r="74" spans="2:53" ht="24.95" customHeight="1">
      <c r="B74" s="93">
        <f t="shared" si="17"/>
        <v>0</v>
      </c>
      <c r="C74" s="60">
        <v>1350</v>
      </c>
      <c r="D74" s="60"/>
      <c r="E74" s="60" t="str">
        <f>VLOOKUP(1600,Sprachindex!$A:$Z,Erhebungsbogen!$Y$20,FALSE)</f>
        <v>[Stk]</v>
      </c>
      <c r="F74" s="60" t="s">
        <v>21897</v>
      </c>
      <c r="G74" s="514" t="str">
        <f>VLOOKUP(1717,Sprachindex!$A:$Z,Erhebungsbogen!$Y$20,FALSE) &amp; IF(AND(Kalk4!$AA$5=2,Kalk4!$AA$13),", " &amp; VLOOKUP(1645,Sprachindex!$A:$Z,Erhebungsbogen!$Y$20,FALSE) &amp; " " &amp; $U$8,", "&amp; VLOOKUP(1648,Sprachindex!$A:$Z,Erhebungsbogen!$Y$20,FALSE))</f>
        <v>Grundprofil 50 (H-Profil v.d.L.) exkl. Dichtung, gebohrt und entgratet, blank</v>
      </c>
      <c r="H74" s="514"/>
      <c r="I74" s="514"/>
      <c r="J74" s="514"/>
      <c r="K74" s="514"/>
      <c r="L74" s="514"/>
      <c r="M74" s="514"/>
      <c r="N74" s="514"/>
      <c r="O74" s="514"/>
      <c r="P74" s="514"/>
      <c r="Q74" s="514"/>
      <c r="R74" s="514"/>
      <c r="S74" s="514"/>
      <c r="T74" s="514"/>
      <c r="U74" s="352">
        <f>IF(AND(Kalk4!$AA$5=2,Kalk4!$AA$13),VLOOKUP(F74,Preisliste!C:G,5,FALSE),VLOOKUP(F74,Preisliste!C:G,4,FALSE))</f>
        <v>228.1</v>
      </c>
      <c r="V74" s="352">
        <f t="shared" si="16"/>
        <v>0</v>
      </c>
      <c r="W74" s="86"/>
      <c r="X74" s="86"/>
      <c r="Y74" s="86"/>
      <c r="Z74" s="143">
        <f>IF(AND(Kalk4!$AA$5=2,Kalk4!$AA$13),(VLOOKUP(F74,Preisliste!C:G,5,FALSE)-VLOOKUP(F74,Preisliste!C:G,4,FALSE))*B74,0)</f>
        <v>0</v>
      </c>
      <c r="AA74" s="86"/>
      <c r="AB74" s="86"/>
      <c r="AC74" s="86"/>
      <c r="AD74" s="86"/>
      <c r="AE74" s="86"/>
      <c r="AF74" s="86"/>
      <c r="AG74" s="244">
        <f>IF(AND(AH74=1,AL74=1,AP74=1,AND(Kalk4!H28&gt;0,Kalk4!H29&gt;0)),1,0)</f>
        <v>0</v>
      </c>
      <c r="AH74" s="66">
        <f>IF(OR(Kalk4!$AA$19=2,Kalk4!$AA$19=3),1,0)</f>
        <v>1</v>
      </c>
      <c r="AI74" s="55">
        <v>50</v>
      </c>
      <c r="AK74" s="55" t="s">
        <v>22079</v>
      </c>
      <c r="AL74" s="66">
        <f>IF(OR(Kalk4!$AA$7=1,Kalk4!$AA$9=1),1,0)</f>
        <v>1</v>
      </c>
      <c r="AM74" s="55" t="s">
        <v>22083</v>
      </c>
      <c r="AO74" s="55" t="s">
        <v>22079</v>
      </c>
      <c r="AP74" s="66">
        <f>IF(Kalk4!$AI$51=AQ74,1,0)</f>
        <v>0</v>
      </c>
      <c r="AQ74" s="55">
        <v>1350</v>
      </c>
      <c r="AU74" s="66">
        <f>IF(Kalk4!$AA$7=1,1,0)</f>
        <v>1</v>
      </c>
      <c r="AV74" s="55" t="s">
        <v>19882</v>
      </c>
      <c r="AW74" s="66">
        <f>IF(Kalk4!$AA$9=1,1,0)</f>
        <v>1</v>
      </c>
      <c r="AX74" s="55" t="s">
        <v>20310</v>
      </c>
      <c r="AY74" s="55" t="s">
        <v>22100</v>
      </c>
      <c r="AZ74" s="66">
        <f>(AU74+AW74)*Kalk4!$H$37</f>
        <v>2</v>
      </c>
      <c r="BA74" s="55" t="s">
        <v>22101</v>
      </c>
    </row>
    <row r="75" spans="2:53" ht="24.95" customHeight="1">
      <c r="B75" s="93">
        <f t="shared" si="17"/>
        <v>0</v>
      </c>
      <c r="C75" s="60">
        <v>1750</v>
      </c>
      <c r="D75" s="60"/>
      <c r="E75" s="60" t="str">
        <f>VLOOKUP(1600,Sprachindex!$A:$Z,Erhebungsbogen!$Y$20,FALSE)</f>
        <v>[Stk]</v>
      </c>
      <c r="F75" s="60" t="s">
        <v>21898</v>
      </c>
      <c r="G75" s="514" t="str">
        <f>VLOOKUP(1717,Sprachindex!$A:$Z,Erhebungsbogen!$Y$20,FALSE) &amp; IF(AND(Kalk4!$AA$5=2,Kalk4!$AA$13),", " &amp; VLOOKUP(1645,Sprachindex!$A:$Z,Erhebungsbogen!$Y$20,FALSE) &amp; " " &amp; $U$8,", "&amp; VLOOKUP(1648,Sprachindex!$A:$Z,Erhebungsbogen!$Y$20,FALSE))</f>
        <v>Grundprofil 50 (H-Profil v.d.L.) exkl. Dichtung, gebohrt und entgratet, blank</v>
      </c>
      <c r="H75" s="514"/>
      <c r="I75" s="514"/>
      <c r="J75" s="514"/>
      <c r="K75" s="514"/>
      <c r="L75" s="514"/>
      <c r="M75" s="514"/>
      <c r="N75" s="514"/>
      <c r="O75" s="514"/>
      <c r="P75" s="514"/>
      <c r="Q75" s="514"/>
      <c r="R75" s="514"/>
      <c r="S75" s="514"/>
      <c r="T75" s="514"/>
      <c r="U75" s="352">
        <f>IF(AND(Kalk4!$AA$5=2,Kalk4!$AA$13),VLOOKUP(F75,Preisliste!C:G,5,FALSE),VLOOKUP(F75,Preisliste!C:G,4,FALSE))</f>
        <v>284.14999999999998</v>
      </c>
      <c r="V75" s="352">
        <f t="shared" si="16"/>
        <v>0</v>
      </c>
      <c r="W75" s="86"/>
      <c r="X75" s="86"/>
      <c r="Y75" s="86"/>
      <c r="Z75" s="143">
        <f>IF(AND(Kalk4!$AA$5=2,Kalk4!$AA$13),(VLOOKUP(F75,Preisliste!C:G,5,FALSE)-VLOOKUP(F75,Preisliste!C:G,4,FALSE))*B75,0)</f>
        <v>0</v>
      </c>
      <c r="AA75" s="86"/>
      <c r="AB75" s="86"/>
      <c r="AC75" s="86"/>
      <c r="AD75" s="86"/>
      <c r="AE75" s="86"/>
      <c r="AF75" s="86"/>
      <c r="AG75" s="55">
        <f t="shared" ref="AG75:AG77" si="19">IF(AND(AH75=1,AL75=1,AP75=1),1,0)</f>
        <v>0</v>
      </c>
      <c r="AH75" s="66">
        <f>IF(OR(Kalk4!$AA$19=2,Kalk4!$AA$19=3),1,0)</f>
        <v>1</v>
      </c>
      <c r="AI75" s="55">
        <v>50</v>
      </c>
      <c r="AK75" s="55" t="s">
        <v>22079</v>
      </c>
      <c r="AL75" s="66">
        <f>IF(OR(Kalk4!$AA$7=1,Kalk4!$AA$9=1),1,0)</f>
        <v>1</v>
      </c>
      <c r="AM75" s="55" t="s">
        <v>22083</v>
      </c>
      <c r="AO75" s="55" t="s">
        <v>22079</v>
      </c>
      <c r="AP75" s="66">
        <f>IF(Kalk4!$AI$51=AQ75,1,0)</f>
        <v>0</v>
      </c>
      <c r="AQ75" s="55">
        <v>1750</v>
      </c>
      <c r="AU75" s="66">
        <f>IF(Kalk4!$AA$7=1,1,0)</f>
        <v>1</v>
      </c>
      <c r="AV75" s="55" t="s">
        <v>19882</v>
      </c>
      <c r="AW75" s="66">
        <f>IF(Kalk4!$AA$9=1,1,0)</f>
        <v>1</v>
      </c>
      <c r="AX75" s="55" t="s">
        <v>20310</v>
      </c>
      <c r="AY75" s="55" t="s">
        <v>22100</v>
      </c>
      <c r="AZ75" s="66">
        <f>(AU75+AW75)*Kalk4!$H$37</f>
        <v>2</v>
      </c>
      <c r="BA75" s="55" t="s">
        <v>22101</v>
      </c>
    </row>
    <row r="76" spans="2:53" ht="24.95" customHeight="1">
      <c r="B76" s="93">
        <f t="shared" si="17"/>
        <v>0</v>
      </c>
      <c r="C76" s="60">
        <v>2150</v>
      </c>
      <c r="D76" s="60"/>
      <c r="E76" s="60" t="str">
        <f>VLOOKUP(1600,Sprachindex!$A:$Z,Erhebungsbogen!$Y$20,FALSE)</f>
        <v>[Stk]</v>
      </c>
      <c r="F76" s="60" t="s">
        <v>21899</v>
      </c>
      <c r="G76" s="514" t="str">
        <f>VLOOKUP(1717,Sprachindex!$A:$Z,Erhebungsbogen!$Y$20,FALSE) &amp; IF(AND(Kalk4!$AA$5=2,Kalk4!$AA$13),", " &amp; VLOOKUP(1645,Sprachindex!$A:$Z,Erhebungsbogen!$Y$20,FALSE) &amp; " " &amp; $U$8,", "&amp; VLOOKUP(1648,Sprachindex!$A:$Z,Erhebungsbogen!$Y$20,FALSE))</f>
        <v>Grundprofil 50 (H-Profil v.d.L.) exkl. Dichtung, gebohrt und entgratet, blank</v>
      </c>
      <c r="H76" s="514"/>
      <c r="I76" s="514"/>
      <c r="J76" s="514"/>
      <c r="K76" s="514"/>
      <c r="L76" s="514"/>
      <c r="M76" s="514"/>
      <c r="N76" s="514"/>
      <c r="O76" s="514"/>
      <c r="P76" s="514"/>
      <c r="Q76" s="514"/>
      <c r="R76" s="514"/>
      <c r="S76" s="514"/>
      <c r="T76" s="514"/>
      <c r="U76" s="352">
        <f>IF(AND(Kalk4!$AA$5=2,Kalk4!$AA$13),VLOOKUP(F76,Preisliste!C:G,5,FALSE),VLOOKUP(F76,Preisliste!C:G,4,FALSE))</f>
        <v>340.25</v>
      </c>
      <c r="V76" s="352">
        <f t="shared" si="16"/>
        <v>0</v>
      </c>
      <c r="W76" s="86"/>
      <c r="X76" s="86"/>
      <c r="Y76" s="86"/>
      <c r="Z76" s="143">
        <f>IF(AND(Kalk4!$AA$5=2,Kalk4!$AA$13),(VLOOKUP(F76,Preisliste!C:G,5,FALSE)-VLOOKUP(F76,Preisliste!C:G,4,FALSE))*B76,0)</f>
        <v>0</v>
      </c>
      <c r="AA76" s="86"/>
      <c r="AB76" s="86"/>
      <c r="AC76" s="86"/>
      <c r="AD76" s="86"/>
      <c r="AE76" s="86"/>
      <c r="AF76" s="86"/>
      <c r="AG76" s="55">
        <f t="shared" si="19"/>
        <v>0</v>
      </c>
      <c r="AH76" s="66">
        <f>IF(OR(Kalk4!$AA$19=2,Kalk4!$AA$19=3),1,0)</f>
        <v>1</v>
      </c>
      <c r="AI76" s="55">
        <v>50</v>
      </c>
      <c r="AK76" s="55" t="s">
        <v>22079</v>
      </c>
      <c r="AL76" s="66">
        <f>IF(OR(Kalk4!$AA$7=1,Kalk4!$AA$9=1),1,0)</f>
        <v>1</v>
      </c>
      <c r="AM76" s="55" t="s">
        <v>22083</v>
      </c>
      <c r="AO76" s="55" t="s">
        <v>22079</v>
      </c>
      <c r="AP76" s="66">
        <f>IF(Kalk4!$AI$51=AQ76,1,0)</f>
        <v>0</v>
      </c>
      <c r="AQ76" s="55">
        <v>2150</v>
      </c>
      <c r="AU76" s="66">
        <f>IF(Kalk4!$AA$7=1,1,0)</f>
        <v>1</v>
      </c>
      <c r="AV76" s="55" t="s">
        <v>19882</v>
      </c>
      <c r="AW76" s="66">
        <f>IF(Kalk4!$AA$9=1,1,0)</f>
        <v>1</v>
      </c>
      <c r="AX76" s="55" t="s">
        <v>20310</v>
      </c>
      <c r="AY76" s="55" t="s">
        <v>22100</v>
      </c>
      <c r="AZ76" s="66">
        <f>(AU76+AW76)*Kalk4!$H$37</f>
        <v>2</v>
      </c>
      <c r="BA76" s="55" t="s">
        <v>22101</v>
      </c>
    </row>
    <row r="77" spans="2:53" ht="24.95" customHeight="1">
      <c r="B77" s="93">
        <f t="shared" si="17"/>
        <v>0</v>
      </c>
      <c r="C77" s="60">
        <f>IF(AG77=1,AS77,0)</f>
        <v>0</v>
      </c>
      <c r="D77" s="60"/>
      <c r="E77" s="60" t="str">
        <f>VLOOKUP(1600,Sprachindex!$A:$Z,Erhebungsbogen!$Y$20,FALSE)</f>
        <v>[Stk]</v>
      </c>
      <c r="F77" s="60" t="s">
        <v>21900</v>
      </c>
      <c r="G77" s="514" t="str">
        <f>VLOOKUP(1718,Sprachindex!$A:$Z,Erhebungsbogen!$Y$20,FALSE)</f>
        <v>Grundprofil 50 (H-Profil v.d.L.) Sonderlänge exkl. Dichtung, (Stangenware)</v>
      </c>
      <c r="H77" s="514"/>
      <c r="I77" s="514"/>
      <c r="J77" s="514"/>
      <c r="K77" s="514"/>
      <c r="L77" s="514"/>
      <c r="M77" s="514"/>
      <c r="N77" s="514"/>
      <c r="O77" s="514"/>
      <c r="P77" s="514"/>
      <c r="Q77" s="514"/>
      <c r="R77" s="514"/>
      <c r="S77" s="514"/>
      <c r="T77" s="514"/>
      <c r="U77" s="352">
        <f>IF(AND(Kalk4!$AA$5=2,Kalk4!$AA$13),VLOOKUP(F77,Preisliste!C:G,5,FALSE),VLOOKUP(F77,Preisliste!C:G,4,FALSE))</f>
        <v>148.5</v>
      </c>
      <c r="V77" s="352">
        <f t="shared" si="16"/>
        <v>0</v>
      </c>
      <c r="W77" s="86"/>
      <c r="X77" s="86"/>
      <c r="Y77" s="86"/>
      <c r="Z77" s="143">
        <f>IF(AND(Kalk4!$AA$5=2,Kalk4!$AA$13),(VLOOKUP(F77,Preisliste!C:G,5,FALSE)-VLOOKUP(F77,Preisliste!C:G,4,FALSE))*B77,0)</f>
        <v>0</v>
      </c>
      <c r="AA77" s="86"/>
      <c r="AB77" s="86"/>
      <c r="AC77" s="86"/>
      <c r="AD77" s="86"/>
      <c r="AE77" s="86"/>
      <c r="AF77" s="86"/>
      <c r="AG77" s="55">
        <f t="shared" si="19"/>
        <v>0</v>
      </c>
      <c r="AH77" s="66">
        <f>IF(OR(Kalk4!$AA$19=2,Kalk4!$AA$19=3),1,0)</f>
        <v>1</v>
      </c>
      <c r="AI77" s="55">
        <v>50</v>
      </c>
      <c r="AK77" s="55" t="s">
        <v>22079</v>
      </c>
      <c r="AL77" s="66">
        <f>IF(OR(Kalk4!$AA$7=1,Kalk4!$AA$9=1),1,0)</f>
        <v>1</v>
      </c>
      <c r="AM77" s="55" t="s">
        <v>22083</v>
      </c>
      <c r="AO77" s="55" t="s">
        <v>22079</v>
      </c>
      <c r="AP77" s="66">
        <f>IF(Kalk4!$AH$52&gt;AQ77,1,0)</f>
        <v>0</v>
      </c>
      <c r="AQ77" s="55">
        <v>2150</v>
      </c>
      <c r="AR77" s="55" t="s">
        <v>22084</v>
      </c>
      <c r="AS77" s="66">
        <f>Kalk4!$AH$52</f>
        <v>0</v>
      </c>
      <c r="AU77" s="66">
        <f>IF(Kalk4!$AA$7=1,1,0)</f>
        <v>1</v>
      </c>
      <c r="AV77" s="55" t="s">
        <v>19882</v>
      </c>
      <c r="AW77" s="66">
        <f>IF(Kalk4!$AA$9=1,1,0)</f>
        <v>1</v>
      </c>
      <c r="AX77" s="55" t="s">
        <v>20310</v>
      </c>
      <c r="AY77" s="55" t="s">
        <v>22100</v>
      </c>
      <c r="AZ77" s="66">
        <f>(AU77+AW77)*Kalk4!$H$37</f>
        <v>2</v>
      </c>
      <c r="BA77" s="55" t="s">
        <v>22101</v>
      </c>
    </row>
    <row r="78" spans="2:53" ht="24.95" customHeight="1">
      <c r="B78" s="93">
        <f t="shared" si="17"/>
        <v>0</v>
      </c>
      <c r="C78" s="60">
        <v>750</v>
      </c>
      <c r="D78" s="60"/>
      <c r="E78" s="60" t="str">
        <f>VLOOKUP(1600,Sprachindex!$A:$Z,Erhebungsbogen!$Y$20,FALSE)</f>
        <v>[Stk]</v>
      </c>
      <c r="F78" s="60" t="s">
        <v>21901</v>
      </c>
      <c r="G78" s="514" t="str">
        <f>VLOOKUP(1720,Sprachindex!$A:$Z,Erhebungsbogen!$Y$20,FALSE) &amp; IF(AND(Kalk4!$AA$5=2,Kalk4!$AA$13),", " &amp; VLOOKUP(1645,Sprachindex!$A:$Z,Erhebungsbogen!$Y$20,FALSE) &amp; " " &amp; $U$8,", "&amp; VLOOKUP(1648,Sprachindex!$A:$Z,Erhebungsbogen!$Y$20,FALSE))</f>
        <v>Grundprofil 80 (H-Profil v.d.L.) exkl. Dichtung, gebohrt und entgratet, blank</v>
      </c>
      <c r="H78" s="514"/>
      <c r="I78" s="514"/>
      <c r="J78" s="514"/>
      <c r="K78" s="514"/>
      <c r="L78" s="514"/>
      <c r="M78" s="514"/>
      <c r="N78" s="514"/>
      <c r="O78" s="514"/>
      <c r="P78" s="514"/>
      <c r="Q78" s="514"/>
      <c r="R78" s="514"/>
      <c r="S78" s="514"/>
      <c r="T78" s="514"/>
      <c r="U78" s="352">
        <f>IF(AND(Kalk4!$AA$5=2,Kalk4!$AA$13),VLOOKUP(F78,Preisliste!C:G,5,FALSE),VLOOKUP(F78,Preisliste!C:G,4,FALSE))</f>
        <v>160.5</v>
      </c>
      <c r="V78" s="352">
        <f t="shared" si="16"/>
        <v>0</v>
      </c>
      <c r="W78" s="86"/>
      <c r="X78" s="86"/>
      <c r="Y78" s="86"/>
      <c r="Z78" s="143">
        <f>IF(AND(Kalk4!$AA$5=2,Kalk4!$AA$13),(VLOOKUP(F78,Preisliste!C:G,5,FALSE)-VLOOKUP(F78,Preisliste!C:G,4,FALSE))*B78,0)</f>
        <v>0</v>
      </c>
      <c r="AA78" s="86"/>
      <c r="AB78" s="86"/>
      <c r="AC78" s="86"/>
      <c r="AD78" s="86"/>
      <c r="AE78" s="86"/>
      <c r="AF78" s="86"/>
      <c r="AG78" s="55">
        <f>IF(AND(AH78=1,AL78=1,AP78=1,AND(Kalk4!H28&gt;0,Kalk4!H29&gt;Kalk4!B1)),1,0)</f>
        <v>0</v>
      </c>
      <c r="AH78" s="66">
        <f>IF(Kalk4!$AA$19=4,1,0)</f>
        <v>0</v>
      </c>
      <c r="AI78" s="55">
        <v>80</v>
      </c>
      <c r="AK78" s="55" t="s">
        <v>22079</v>
      </c>
      <c r="AL78" s="66">
        <f>IF(OR(Kalk4!$AA$7=1,Kalk4!$AA$9=1),1,0)</f>
        <v>1</v>
      </c>
      <c r="AM78" s="55" t="s">
        <v>22083</v>
      </c>
      <c r="AO78" s="55" t="s">
        <v>22079</v>
      </c>
      <c r="AP78" s="66">
        <f>IF(Kalk4!$AI$51=AQ78,1,0)</f>
        <v>1</v>
      </c>
      <c r="AQ78" s="55">
        <v>750</v>
      </c>
      <c r="AU78" s="66">
        <f>IF(Kalk4!$AA$7=1,1,0)</f>
        <v>1</v>
      </c>
      <c r="AV78" s="55" t="s">
        <v>19882</v>
      </c>
      <c r="AW78" s="66">
        <f>IF(Kalk4!$AA$9=1,1,0)</f>
        <v>1</v>
      </c>
      <c r="AX78" s="55" t="s">
        <v>20310</v>
      </c>
      <c r="AY78" s="55" t="s">
        <v>22100</v>
      </c>
      <c r="AZ78" s="66">
        <f>(AU78+AW78)*Kalk4!$H$37</f>
        <v>2</v>
      </c>
      <c r="BA78" s="55" t="s">
        <v>22101</v>
      </c>
    </row>
    <row r="79" spans="2:53" ht="24.95" customHeight="1">
      <c r="B79" s="93">
        <f t="shared" si="17"/>
        <v>0</v>
      </c>
      <c r="C79" s="60">
        <v>1350</v>
      </c>
      <c r="D79" s="60"/>
      <c r="E79" s="60" t="str">
        <f>VLOOKUP(1600,Sprachindex!$A:$Z,Erhebungsbogen!$Y$20,FALSE)</f>
        <v>[Stk]</v>
      </c>
      <c r="F79" s="60" t="s">
        <v>21902</v>
      </c>
      <c r="G79" s="514" t="str">
        <f>VLOOKUP(1720,Sprachindex!$A:$Z,Erhebungsbogen!$Y$20,FALSE) &amp; IF(AND(Kalk4!$AA$5=2,Kalk4!$AA$13),", " &amp; VLOOKUP(1645,Sprachindex!$A:$Z,Erhebungsbogen!$Y$20,FALSE) &amp; " " &amp; $U$8,", "&amp; VLOOKUP(1648,Sprachindex!$A:$Z,Erhebungsbogen!$Y$20,FALSE))</f>
        <v>Grundprofil 80 (H-Profil v.d.L.) exkl. Dichtung, gebohrt und entgratet, blank</v>
      </c>
      <c r="H79" s="514"/>
      <c r="I79" s="514"/>
      <c r="J79" s="514"/>
      <c r="K79" s="514"/>
      <c r="L79" s="514"/>
      <c r="M79" s="514"/>
      <c r="N79" s="514"/>
      <c r="O79" s="514"/>
      <c r="P79" s="514"/>
      <c r="Q79" s="514"/>
      <c r="R79" s="514"/>
      <c r="S79" s="514"/>
      <c r="T79" s="514"/>
      <c r="U79" s="352">
        <f>IF(AND(Kalk4!$AA$5=2,Kalk4!$AA$13),VLOOKUP(F79,Preisliste!C:G,5,FALSE),VLOOKUP(F79,Preisliste!C:G,4,FALSE))</f>
        <v>256.5</v>
      </c>
      <c r="V79" s="352">
        <f t="shared" si="16"/>
        <v>0</v>
      </c>
      <c r="W79" s="86"/>
      <c r="X79" s="86"/>
      <c r="Y79" s="86"/>
      <c r="Z79" s="143">
        <f>IF(AND(Kalk4!$AA$5=2,Kalk4!$AA$13),(VLOOKUP(F79,Preisliste!C:G,5,FALSE)-VLOOKUP(F79,Preisliste!C:G,4,FALSE))*B79,0)</f>
        <v>0</v>
      </c>
      <c r="AA79" s="86"/>
      <c r="AB79" s="86"/>
      <c r="AC79" s="86"/>
      <c r="AD79" s="86"/>
      <c r="AE79" s="86"/>
      <c r="AF79" s="86"/>
      <c r="AG79" s="55">
        <f t="shared" ref="AG79:AG82" si="20">IF(AND(AH79=1,AL79=1,AP79=1),1,0)</f>
        <v>0</v>
      </c>
      <c r="AH79" s="66">
        <f>IF(Kalk4!$AA$19=4,1,0)</f>
        <v>0</v>
      </c>
      <c r="AI79" s="55">
        <v>80</v>
      </c>
      <c r="AK79" s="55" t="s">
        <v>22079</v>
      </c>
      <c r="AL79" s="66">
        <f>IF(OR(Kalk4!$AA$7=1,Kalk4!$AA$9=1),1,0)</f>
        <v>1</v>
      </c>
      <c r="AM79" s="55" t="s">
        <v>22083</v>
      </c>
      <c r="AO79" s="55" t="s">
        <v>22079</v>
      </c>
      <c r="AP79" s="66">
        <f>IF(Kalk4!$AI$51=AQ79,1,0)</f>
        <v>0</v>
      </c>
      <c r="AQ79" s="55">
        <v>1350</v>
      </c>
      <c r="AU79" s="66">
        <f>IF(Kalk4!$AA$7=1,1,0)</f>
        <v>1</v>
      </c>
      <c r="AV79" s="55" t="s">
        <v>19882</v>
      </c>
      <c r="AW79" s="66">
        <f>IF(Kalk4!$AA$9=1,1,0)</f>
        <v>1</v>
      </c>
      <c r="AX79" s="55" t="s">
        <v>20310</v>
      </c>
      <c r="AY79" s="55" t="s">
        <v>22100</v>
      </c>
      <c r="AZ79" s="66">
        <f>(AU79+AW79)*Kalk4!$H$37</f>
        <v>2</v>
      </c>
      <c r="BA79" s="55" t="s">
        <v>22101</v>
      </c>
    </row>
    <row r="80" spans="2:53" ht="24.95" customHeight="1">
      <c r="B80" s="93">
        <f t="shared" si="17"/>
        <v>0</v>
      </c>
      <c r="C80" s="60">
        <v>1750</v>
      </c>
      <c r="D80" s="60"/>
      <c r="E80" s="60" t="str">
        <f>VLOOKUP(1600,Sprachindex!$A:$Z,Erhebungsbogen!$Y$20,FALSE)</f>
        <v>[Stk]</v>
      </c>
      <c r="F80" s="60" t="s">
        <v>21903</v>
      </c>
      <c r="G80" s="514" t="str">
        <f>VLOOKUP(1720,Sprachindex!$A:$Z,Erhebungsbogen!$Y$20,FALSE) &amp; IF(AND(Kalk4!$AA$5=2,Kalk4!$AA$13),", " &amp; VLOOKUP(1645,Sprachindex!$A:$Z,Erhebungsbogen!$Y$20,FALSE) &amp; " " &amp; $U$8,", "&amp; VLOOKUP(1648,Sprachindex!$A:$Z,Erhebungsbogen!$Y$20,FALSE))</f>
        <v>Grundprofil 80 (H-Profil v.d.L.) exkl. Dichtung, gebohrt und entgratet, blank</v>
      </c>
      <c r="H80" s="514"/>
      <c r="I80" s="514"/>
      <c r="J80" s="514"/>
      <c r="K80" s="514"/>
      <c r="L80" s="514"/>
      <c r="M80" s="514"/>
      <c r="N80" s="514"/>
      <c r="O80" s="514"/>
      <c r="P80" s="514"/>
      <c r="Q80" s="514"/>
      <c r="R80" s="514"/>
      <c r="S80" s="514"/>
      <c r="T80" s="514"/>
      <c r="U80" s="352">
        <f>IF(AND(Kalk4!$AA$5=2,Kalk4!$AA$13),VLOOKUP(F80,Preisliste!C:G,5,FALSE),VLOOKUP(F80,Preisliste!C:G,4,FALSE))</f>
        <v>320.85000000000002</v>
      </c>
      <c r="V80" s="352">
        <f t="shared" si="16"/>
        <v>0</v>
      </c>
      <c r="W80" s="86"/>
      <c r="X80" s="86"/>
      <c r="Y80" s="86"/>
      <c r="Z80" s="143">
        <f>IF(AND(Kalk4!$AA$5=2,Kalk4!$AA$13),(VLOOKUP(F80,Preisliste!C:G,5,FALSE)-VLOOKUP(F80,Preisliste!C:G,4,FALSE))*B80,0)</f>
        <v>0</v>
      </c>
      <c r="AA80" s="86"/>
      <c r="AB80" s="86"/>
      <c r="AC80" s="86"/>
      <c r="AD80" s="86"/>
      <c r="AE80" s="86"/>
      <c r="AF80" s="86"/>
      <c r="AG80" s="55">
        <f t="shared" si="20"/>
        <v>0</v>
      </c>
      <c r="AH80" s="66">
        <f>IF(Kalk4!$AA$19=4,1,0)</f>
        <v>0</v>
      </c>
      <c r="AI80" s="55">
        <v>80</v>
      </c>
      <c r="AK80" s="55" t="s">
        <v>22079</v>
      </c>
      <c r="AL80" s="66">
        <f>IF(OR(Kalk4!$AA$7=1,Kalk4!$AA$9=1),1,0)</f>
        <v>1</v>
      </c>
      <c r="AM80" s="55" t="s">
        <v>22083</v>
      </c>
      <c r="AO80" s="55" t="s">
        <v>22079</v>
      </c>
      <c r="AP80" s="66">
        <f>IF(Kalk4!$AI$51=AQ80,1,0)</f>
        <v>0</v>
      </c>
      <c r="AQ80" s="55">
        <v>1750</v>
      </c>
      <c r="AU80" s="66">
        <f>IF(Kalk4!$AA$7=1,1,0)</f>
        <v>1</v>
      </c>
      <c r="AV80" s="55" t="s">
        <v>19882</v>
      </c>
      <c r="AW80" s="66">
        <f>IF(Kalk4!$AA$9=1,1,0)</f>
        <v>1</v>
      </c>
      <c r="AX80" s="55" t="s">
        <v>20310</v>
      </c>
      <c r="AY80" s="55" t="s">
        <v>22100</v>
      </c>
      <c r="AZ80" s="66">
        <f>(AU80+AW80)*Kalk4!$H$37</f>
        <v>2</v>
      </c>
      <c r="BA80" s="55" t="s">
        <v>22101</v>
      </c>
    </row>
    <row r="81" spans="2:53" ht="24.95" customHeight="1">
      <c r="B81" s="93">
        <f t="shared" si="17"/>
        <v>0</v>
      </c>
      <c r="C81" s="60">
        <v>2150</v>
      </c>
      <c r="D81" s="60"/>
      <c r="E81" s="60" t="str">
        <f>VLOOKUP(1600,Sprachindex!$A:$Z,Erhebungsbogen!$Y$20,FALSE)</f>
        <v>[Stk]</v>
      </c>
      <c r="F81" s="60" t="s">
        <v>21904</v>
      </c>
      <c r="G81" s="514" t="str">
        <f>VLOOKUP(1720,Sprachindex!$A:$Z,Erhebungsbogen!$Y$20,FALSE) &amp; IF(AND(Kalk4!$AA$5=2,Kalk4!$AA$13),", " &amp; VLOOKUP(1645,Sprachindex!$A:$Z,Erhebungsbogen!$Y$20,FALSE) &amp; " " &amp; $U$8,", "&amp; VLOOKUP(1648,Sprachindex!$A:$Z,Erhebungsbogen!$Y$20,FALSE))</f>
        <v>Grundprofil 80 (H-Profil v.d.L.) exkl. Dichtung, gebohrt und entgratet, blank</v>
      </c>
      <c r="H81" s="514"/>
      <c r="I81" s="514"/>
      <c r="J81" s="514"/>
      <c r="K81" s="514"/>
      <c r="L81" s="514"/>
      <c r="M81" s="514"/>
      <c r="N81" s="514"/>
      <c r="O81" s="514"/>
      <c r="P81" s="514"/>
      <c r="Q81" s="514"/>
      <c r="R81" s="514"/>
      <c r="S81" s="514"/>
      <c r="T81" s="514"/>
      <c r="U81" s="352">
        <f>IF(AND(Kalk4!$AA$5=2,Kalk4!$AA$13),VLOOKUP(F81,Preisliste!C:G,5,FALSE),VLOOKUP(F81,Preisliste!C:G,4,FALSE))</f>
        <v>385.4</v>
      </c>
      <c r="V81" s="352">
        <f t="shared" si="16"/>
        <v>0</v>
      </c>
      <c r="W81" s="86"/>
      <c r="X81" s="86"/>
      <c r="Y81" s="86"/>
      <c r="Z81" s="143">
        <f>IF(AND(Kalk4!$AA$5=2,Kalk4!$AA$13),(VLOOKUP(F81,Preisliste!C:G,5,FALSE)-VLOOKUP(F81,Preisliste!C:G,4,FALSE))*B81,0)</f>
        <v>0</v>
      </c>
      <c r="AA81" s="86"/>
      <c r="AB81" s="86"/>
      <c r="AC81" s="86"/>
      <c r="AD81" s="86"/>
      <c r="AE81" s="86"/>
      <c r="AF81" s="86"/>
      <c r="AG81" s="55">
        <f t="shared" si="20"/>
        <v>0</v>
      </c>
      <c r="AH81" s="66">
        <f>IF(Kalk4!$AA$19=4,1,0)</f>
        <v>0</v>
      </c>
      <c r="AI81" s="55">
        <v>80</v>
      </c>
      <c r="AK81" s="55" t="s">
        <v>22079</v>
      </c>
      <c r="AL81" s="66">
        <f>IF(OR(Kalk4!$AA$7=1,Kalk4!$AA$9=1),1,0)</f>
        <v>1</v>
      </c>
      <c r="AM81" s="55" t="s">
        <v>22083</v>
      </c>
      <c r="AO81" s="55" t="s">
        <v>22079</v>
      </c>
      <c r="AP81" s="66">
        <f>IF(Kalk4!$AI$51=AQ81,1,0)</f>
        <v>0</v>
      </c>
      <c r="AQ81" s="55">
        <v>2150</v>
      </c>
      <c r="AU81" s="66">
        <f>IF(Kalk4!$AA$7=1,1,0)</f>
        <v>1</v>
      </c>
      <c r="AV81" s="55" t="s">
        <v>19882</v>
      </c>
      <c r="AW81" s="66">
        <f>IF(Kalk4!$AA$9=1,1,0)</f>
        <v>1</v>
      </c>
      <c r="AX81" s="55" t="s">
        <v>20310</v>
      </c>
      <c r="AY81" s="55" t="s">
        <v>22100</v>
      </c>
      <c r="AZ81" s="66">
        <f>(AU81+AW81)*Kalk4!$H$37</f>
        <v>2</v>
      </c>
      <c r="BA81" s="55" t="s">
        <v>22101</v>
      </c>
    </row>
    <row r="82" spans="2:53" ht="24.95" customHeight="1">
      <c r="B82" s="93">
        <f t="shared" si="17"/>
        <v>0</v>
      </c>
      <c r="C82" s="60">
        <f>IF(AG82=1,AS82,0)</f>
        <v>0</v>
      </c>
      <c r="D82" s="60"/>
      <c r="E82" s="60" t="str">
        <f>VLOOKUP(1600,Sprachindex!$A:$Z,Erhebungsbogen!$Y$20,FALSE)</f>
        <v>[Stk]</v>
      </c>
      <c r="F82" s="60" t="s">
        <v>21905</v>
      </c>
      <c r="G82" s="514" t="str">
        <f>VLOOKUP(1721,Sprachindex!$A:$Z,Erhebungsbogen!$Y$20,FALSE)</f>
        <v>Grundprofil 80 (H-Profil v.d.L.) Sonderlänge exkl. Dichtung, (Stangenware)</v>
      </c>
      <c r="H82" s="514"/>
      <c r="I82" s="514"/>
      <c r="J82" s="514"/>
      <c r="K82" s="514"/>
      <c r="L82" s="514"/>
      <c r="M82" s="514"/>
      <c r="N82" s="514"/>
      <c r="O82" s="514"/>
      <c r="P82" s="514"/>
      <c r="Q82" s="514"/>
      <c r="R82" s="514"/>
      <c r="S82" s="514"/>
      <c r="T82" s="514"/>
      <c r="U82" s="352">
        <f>IF(AND(Kalk4!$AA$5=2,Kalk4!$AA$13),VLOOKUP(F82,Preisliste!C:G,5,FALSE),VLOOKUP(F82,Preisliste!C:G,4,FALSE))</f>
        <v>162.25</v>
      </c>
      <c r="V82" s="352">
        <f t="shared" si="16"/>
        <v>0</v>
      </c>
      <c r="W82" s="86"/>
      <c r="X82" s="86"/>
      <c r="Y82" s="86"/>
      <c r="Z82" s="143">
        <f>IF(AND(Kalk4!$AA$5=2,Kalk4!$AA$13),(VLOOKUP(F82,Preisliste!C:G,5,FALSE)-VLOOKUP(F82,Preisliste!C:G,4,FALSE))*B82,0)</f>
        <v>0</v>
      </c>
      <c r="AA82" s="86"/>
      <c r="AB82" s="86"/>
      <c r="AC82" s="86"/>
      <c r="AD82" s="86"/>
      <c r="AE82" s="86"/>
      <c r="AF82" s="86"/>
      <c r="AG82" s="55">
        <f t="shared" si="20"/>
        <v>0</v>
      </c>
      <c r="AH82" s="66">
        <f>IF(Kalk4!$AA$19=4,1,0)</f>
        <v>0</v>
      </c>
      <c r="AI82" s="55">
        <v>80</v>
      </c>
      <c r="AK82" s="55" t="s">
        <v>22079</v>
      </c>
      <c r="AL82" s="66">
        <f>IF(OR(Kalk4!$AA$7=1,Kalk4!$AA$9=1),1,0)</f>
        <v>1</v>
      </c>
      <c r="AM82" s="55" t="s">
        <v>22083</v>
      </c>
      <c r="AO82" s="55" t="s">
        <v>22079</v>
      </c>
      <c r="AP82" s="66">
        <f>IF(Kalk4!$AH$52&gt;AQ82,1,0)</f>
        <v>0</v>
      </c>
      <c r="AQ82" s="55">
        <v>2150</v>
      </c>
      <c r="AR82" s="55" t="s">
        <v>22084</v>
      </c>
      <c r="AS82" s="66">
        <f>Kalk4!$AH$52</f>
        <v>0</v>
      </c>
      <c r="AU82" s="66">
        <f>IF(Kalk4!$AA$7=1,1,0)</f>
        <v>1</v>
      </c>
      <c r="AV82" s="55" t="s">
        <v>19882</v>
      </c>
      <c r="AW82" s="66">
        <f>IF(Kalk4!$AA$9=1,1,0)</f>
        <v>1</v>
      </c>
      <c r="AX82" s="55" t="s">
        <v>20310</v>
      </c>
      <c r="AY82" s="55" t="s">
        <v>22100</v>
      </c>
      <c r="AZ82" s="66">
        <f>(AU82+AW82)*Kalk4!$H$37</f>
        <v>2</v>
      </c>
      <c r="BA82" s="55" t="s">
        <v>22101</v>
      </c>
    </row>
    <row r="83" spans="2:53" ht="24.95" customHeight="1">
      <c r="B83" s="94">
        <f>IF(AG83=1,AL83,0)</f>
        <v>0</v>
      </c>
      <c r="C83" s="60"/>
      <c r="D83" s="60">
        <f>B83</f>
        <v>0</v>
      </c>
      <c r="E83" s="60" t="str">
        <f>VLOOKUP(1601,Sprachindex!$A:$Z,Erhebungsbogen!$Y$20,FALSE)</f>
        <v>[VPE]</v>
      </c>
      <c r="F83" s="60" t="s">
        <v>21948</v>
      </c>
      <c r="G83" s="514" t="str">
        <f>VLOOKUP(1723,Sprachindex!$A:$Z,Erhebungsbogen!$Y$20,FALSE) &amp; " [" &amp; VLOOKUP(992,Sprachindex!$A:$Z,Erhebungsbogen!$Y$20,FALSE) &amp; " =10 "&amp; VLOOKUP(1512,Sprachindex!$A:$Z,Erhebungsbogen!$Y$20,FALSE) &amp; "]"</f>
        <v>Grundprofildichtung [VPE =10 lfm]</v>
      </c>
      <c r="H83" s="514"/>
      <c r="I83" s="514"/>
      <c r="J83" s="514"/>
      <c r="K83" s="514"/>
      <c r="L83" s="514"/>
      <c r="M83" s="514"/>
      <c r="N83" s="514"/>
      <c r="O83" s="514"/>
      <c r="P83" s="514"/>
      <c r="Q83" s="514"/>
      <c r="R83" s="514"/>
      <c r="S83" s="514"/>
      <c r="T83" s="514"/>
      <c r="U83" s="352">
        <f>VLOOKUP(F83,Preisliste!C:F,4,FALSE)</f>
        <v>67.05</v>
      </c>
      <c r="V83" s="352">
        <f t="shared" ref="V83" si="21">U83*D83</f>
        <v>0</v>
      </c>
      <c r="W83" s="86"/>
      <c r="X83" s="86"/>
      <c r="Y83" s="86"/>
      <c r="Z83" s="86"/>
      <c r="AA83" s="86"/>
      <c r="AB83" s="86"/>
      <c r="AC83" s="86"/>
      <c r="AD83" s="86"/>
      <c r="AE83" s="86"/>
      <c r="AF83" s="86"/>
      <c r="AG83" s="244">
        <f>IF(AND(Kalk4!H28&gt;0,Kalk4!H29&gt;0),1,0)</f>
        <v>0</v>
      </c>
      <c r="AK83" s="55" t="s">
        <v>22100</v>
      </c>
      <c r="AL83" s="66">
        <f>Kalk4!AH54</f>
        <v>0</v>
      </c>
      <c r="AM83" s="55" t="s">
        <v>12148</v>
      </c>
    </row>
    <row r="84" spans="2:53" ht="24.95" customHeight="1">
      <c r="B84" s="93">
        <f>IF(AG84=1,AU84,0)</f>
        <v>0</v>
      </c>
      <c r="C84" s="60"/>
      <c r="D84" s="60"/>
      <c r="E84" s="60" t="str">
        <f>VLOOKUP(1599,Sprachindex!$A:$Z,Erhebungsbogen!$Y$20,FALSE)</f>
        <v>[Paar]</v>
      </c>
      <c r="F84" s="60" t="s">
        <v>21972</v>
      </c>
      <c r="G84" s="514" t="str">
        <f>VLOOKUP(1724,Sprachindex!$A:$Z,Erhebungsbogen!$Y$20,FALSE)</f>
        <v>Halterung für Dammbalken</v>
      </c>
      <c r="H84" s="514"/>
      <c r="I84" s="514"/>
      <c r="J84" s="514"/>
      <c r="K84" s="514"/>
      <c r="L84" s="514"/>
      <c r="M84" s="514"/>
      <c r="N84" s="514"/>
      <c r="O84" s="514"/>
      <c r="P84" s="514"/>
      <c r="Q84" s="514"/>
      <c r="R84" s="514"/>
      <c r="S84" s="514"/>
      <c r="T84" s="514"/>
      <c r="U84" s="352">
        <f>VLOOKUP(F84,Preisliste!C:F,4,FALSE)</f>
        <v>215.75</v>
      </c>
      <c r="V84" s="352">
        <f t="shared" si="16"/>
        <v>0</v>
      </c>
      <c r="W84" s="86"/>
      <c r="X84" s="86"/>
      <c r="Y84" s="86"/>
      <c r="Z84" s="86"/>
      <c r="AA84" s="86"/>
      <c r="AB84" s="86"/>
      <c r="AC84" s="86"/>
      <c r="AD84" s="86"/>
      <c r="AE84" s="86"/>
      <c r="AF84" s="86"/>
      <c r="AG84" s="55">
        <f>IF(Kalk4!$AA$30,1,0)</f>
        <v>0</v>
      </c>
      <c r="AL84" s="66">
        <f>IF(Kalk4!AA19=1,12,IF(Kalk4!AA19=2,7,IF(Kalk4!AA19=3,6,IF(Kalk4!AA19=4,4,0))))</f>
        <v>6</v>
      </c>
      <c r="AM84" s="55" t="s">
        <v>22116</v>
      </c>
      <c r="AP84" s="66">
        <f>Kalk4!AH41</f>
        <v>0</v>
      </c>
      <c r="AQ84" s="55" t="s">
        <v>22117</v>
      </c>
      <c r="AU84" s="66">
        <f>ROUNDUP(AP84/AL84,0)</f>
        <v>0</v>
      </c>
      <c r="AV84" s="55" t="s">
        <v>22118</v>
      </c>
      <c r="AX84" s="21"/>
    </row>
    <row r="85" spans="2:53" ht="24.95" customHeight="1">
      <c r="B85" s="93">
        <f>IF(AND(AG85&gt;0,AL85&gt;0),AL85,0)</f>
        <v>0</v>
      </c>
      <c r="C85" s="60"/>
      <c r="D85" s="60"/>
      <c r="E85" s="60" t="str">
        <f>VLOOKUP(1600,Sprachindex!$A:$Z,Erhebungsbogen!$Y$20,FALSE)</f>
        <v>[Stk]</v>
      </c>
      <c r="F85" s="60" t="s">
        <v>21976</v>
      </c>
      <c r="G85" s="514" t="str">
        <f>VLOOKUP(2126,Sprachindex!$A:$Z,Erhebungsbogen!$Y$20,FALSE)</f>
        <v>Hebehilfe für Bodenhülsendeckel</v>
      </c>
      <c r="H85" s="514"/>
      <c r="I85" s="514"/>
      <c r="J85" s="514"/>
      <c r="K85" s="514"/>
      <c r="L85" s="514"/>
      <c r="M85" s="514"/>
      <c r="N85" s="514"/>
      <c r="O85" s="514"/>
      <c r="P85" s="514"/>
      <c r="Q85" s="514"/>
      <c r="R85" s="514"/>
      <c r="S85" s="514"/>
      <c r="T85" s="514"/>
      <c r="U85" s="352">
        <f>VLOOKUP(F85,Preisliste!C:F,4,FALSE)</f>
        <v>131.5</v>
      </c>
      <c r="V85" s="352">
        <f t="shared" si="16"/>
        <v>0</v>
      </c>
      <c r="W85" s="86"/>
      <c r="X85" s="86"/>
      <c r="Y85" s="86"/>
      <c r="Z85" s="86"/>
      <c r="AA85" s="86"/>
      <c r="AB85" s="86"/>
      <c r="AC85" s="86"/>
      <c r="AD85" s="86"/>
      <c r="AE85" s="86"/>
      <c r="AF85" s="86"/>
      <c r="AG85" s="55">
        <f>IF(AND(Kalk4!$AA$32,Kalk4!Q35&gt;0),1,0)</f>
        <v>0</v>
      </c>
      <c r="AK85" s="55" t="s">
        <v>22100</v>
      </c>
      <c r="AL85" s="66">
        <f>Kalk4!Q35*Kalk4!$H$37</f>
        <v>1</v>
      </c>
      <c r="AM85" s="55" t="s">
        <v>20872</v>
      </c>
      <c r="AX85" s="21"/>
    </row>
    <row r="86" spans="2:53" ht="24.95" customHeight="1">
      <c r="B86" s="93">
        <f>IF(AG86=1,AL86,0)</f>
        <v>0</v>
      </c>
      <c r="C86" s="60"/>
      <c r="D86" s="60"/>
      <c r="E86" s="60" t="str">
        <f>VLOOKUP(1600,Sprachindex!$A:$Z,Erhebungsbogen!$Y$20,FALSE)</f>
        <v>[Stk]</v>
      </c>
      <c r="F86" s="60" t="s">
        <v>21973</v>
      </c>
      <c r="G86" s="514" t="str">
        <f>VLOOKUP(2127,Sprachindex!$A:$Z,Erhebungsbogen!$Y$20,FALSE) &amp; IF(AND(Kalk4!$AA$5=2,Kalk4!$AA$16),", " &amp; VLOOKUP(1645,Sprachindex!$A:$Z,Erhebungsbogen!$Y$20,FALSE) &amp; " " &amp; $U$8,"")</f>
        <v>Lagerabdeckung (Mittelteil)</v>
      </c>
      <c r="H86" s="514"/>
      <c r="I86" s="514"/>
      <c r="J86" s="514"/>
      <c r="K86" s="514"/>
      <c r="L86" s="514"/>
      <c r="M86" s="514"/>
      <c r="N86" s="514"/>
      <c r="O86" s="514"/>
      <c r="P86" s="514"/>
      <c r="Q86" s="514"/>
      <c r="R86" s="514"/>
      <c r="S86" s="514"/>
      <c r="T86" s="514"/>
      <c r="U86" s="352">
        <f>IF(AND(Kalk4!$AA$5=2,Kalk4!$AA$16),VLOOKUP(F86,Preisliste!C:G,5,FALSE),VLOOKUP(F86,Preisliste!C:G,4,FALSE))</f>
        <v>125.7</v>
      </c>
      <c r="V86" s="352">
        <f t="shared" si="16"/>
        <v>0</v>
      </c>
      <c r="W86" s="86"/>
      <c r="X86" s="86"/>
      <c r="Y86" s="86"/>
      <c r="Z86" s="143">
        <f>IF(AND(Kalk4!$AA$5=2,Kalk4!$AA$16),(VLOOKUP(F86,Preisliste!C:G,5,FALSE)-VLOOKUP(F86,Preisliste!C:G,4,FALSE))*B86,0)</f>
        <v>0</v>
      </c>
      <c r="AA86" s="86"/>
      <c r="AB86" s="86"/>
      <c r="AC86" s="86"/>
      <c r="AD86" s="86"/>
      <c r="AE86" s="86"/>
      <c r="AF86" s="86"/>
      <c r="AG86" s="55">
        <f>IF(Kalk4!$AA$31,1,0)</f>
        <v>0</v>
      </c>
      <c r="AK86" s="55" t="s">
        <v>22100</v>
      </c>
      <c r="AL86" s="55">
        <f>ROUNDUP(((Kalk4!AH38+50)/445),0)*Kalk4!AH55</f>
        <v>0</v>
      </c>
      <c r="AM86" s="55" t="s">
        <v>20872</v>
      </c>
      <c r="AX86" s="21"/>
    </row>
    <row r="87" spans="2:53" ht="24.95" customHeight="1">
      <c r="B87" s="93">
        <f>IF(AG87=1,AL87,0)</f>
        <v>0</v>
      </c>
      <c r="C87" s="60"/>
      <c r="D87" s="60"/>
      <c r="E87" s="60" t="str">
        <f>VLOOKUP(1600,Sprachindex!$A:$Z,Erhebungsbogen!$Y$20,FALSE)</f>
        <v>[Stk]</v>
      </c>
      <c r="F87" s="60" t="s">
        <v>21975</v>
      </c>
      <c r="G87" s="514" t="str">
        <f>VLOOKUP(2128,Sprachindex!$A:$Z,Erhebungsbogen!$Y$20,FALSE) &amp; IF(AND(Kalk4!$AA$5=2,Kalk4!$AA$16),", " &amp; VLOOKUP(1645,Sprachindex!$A:$Z,Erhebungsbogen!$Y$20,FALSE) &amp; " " &amp; $U$8,"")</f>
        <v>Lagerabdeckung (Seitenteil)</v>
      </c>
      <c r="H87" s="514"/>
      <c r="I87" s="514"/>
      <c r="J87" s="514"/>
      <c r="K87" s="514"/>
      <c r="L87" s="514"/>
      <c r="M87" s="514"/>
      <c r="N87" s="514"/>
      <c r="O87" s="514"/>
      <c r="P87" s="514"/>
      <c r="Q87" s="514"/>
      <c r="R87" s="514"/>
      <c r="S87" s="514"/>
      <c r="T87" s="514"/>
      <c r="U87" s="352">
        <f>IF(AND(Kalk4!$AA$5=2,Kalk4!$AA$16),VLOOKUP(F87,Preisliste!C:G,5,FALSE),VLOOKUP(F87,Preisliste!C:G,4,FALSE))</f>
        <v>49.35</v>
      </c>
      <c r="V87" s="352">
        <f t="shared" si="16"/>
        <v>0</v>
      </c>
      <c r="W87" s="86"/>
      <c r="X87" s="86"/>
      <c r="Y87" s="86"/>
      <c r="Z87" s="143">
        <f>IF(AND(Kalk4!$AA$5=2,Kalk4!$AA$16),(VLOOKUP(F87,Preisliste!C:G,5,FALSE)-VLOOKUP(F87,Preisliste!C:G,4,FALSE))*B87,0)</f>
        <v>0</v>
      </c>
      <c r="AA87" s="86"/>
      <c r="AB87" s="86"/>
      <c r="AC87" s="86"/>
      <c r="AD87" s="86"/>
      <c r="AE87" s="86"/>
      <c r="AF87" s="86"/>
      <c r="AG87" s="55">
        <f>IF(Kalk4!$AA$31,1,0)</f>
        <v>0</v>
      </c>
      <c r="AK87" s="55" t="s">
        <v>22100</v>
      </c>
      <c r="AL87" s="55">
        <f>2*Kalk4!AH55</f>
        <v>0</v>
      </c>
      <c r="AM87" s="55" t="s">
        <v>20872</v>
      </c>
      <c r="AX87" s="21"/>
    </row>
    <row r="88" spans="2:53" ht="24.95" customHeight="1">
      <c r="B88" s="93">
        <f>IF(AND(AG88=1,AU88=1),AL88,0)</f>
        <v>0</v>
      </c>
      <c r="C88" s="60">
        <v>750</v>
      </c>
      <c r="D88" s="60"/>
      <c r="E88" s="60" t="str">
        <f>VLOOKUP(1600,Sprachindex!$A:$Z,Erhebungsbogen!$Y$20,FALSE)</f>
        <v>[Stk]</v>
      </c>
      <c r="F88" s="60" t="s">
        <v>21938</v>
      </c>
      <c r="G88" s="514" t="str">
        <f>VLOOKUP(1774,Sprachindex!$A:$Z,Erhebungsbogen!$Y$20,FALSE)</f>
        <v>Niederhalter inkl. Spannstück, Verbundanker und Gewindestange</v>
      </c>
      <c r="H88" s="514"/>
      <c r="I88" s="514"/>
      <c r="J88" s="514"/>
      <c r="K88" s="514"/>
      <c r="L88" s="514"/>
      <c r="M88" s="514"/>
      <c r="N88" s="514"/>
      <c r="O88" s="514"/>
      <c r="P88" s="514"/>
      <c r="Q88" s="514"/>
      <c r="R88" s="514"/>
      <c r="S88" s="514"/>
      <c r="T88" s="514"/>
      <c r="U88" s="352">
        <f>VLOOKUP(F88,Preisliste!C:F,4,FALSE)</f>
        <v>458.8</v>
      </c>
      <c r="V88" s="352">
        <f t="shared" si="16"/>
        <v>0</v>
      </c>
      <c r="W88" s="86"/>
      <c r="X88" s="86"/>
      <c r="Y88" s="86"/>
      <c r="Z88" s="86"/>
      <c r="AA88" s="86"/>
      <c r="AB88" s="86"/>
      <c r="AC88" s="86"/>
      <c r="AD88" s="86"/>
      <c r="AE88" s="86"/>
      <c r="AF88" s="86"/>
      <c r="AG88" s="55">
        <f>IF(AND(AL88&gt;0,AU88=1),1,0)</f>
        <v>0</v>
      </c>
      <c r="AL88" s="66">
        <f>IF(AND(Kalk4!$AA$26,Kalk4!$Q$29&gt;0),Kalk4!$Q$29,0)*Kalk4!$H$37</f>
        <v>0</v>
      </c>
      <c r="AM88" s="55" t="s">
        <v>20872</v>
      </c>
      <c r="AT88" s="55" t="s">
        <v>22079</v>
      </c>
      <c r="AU88" s="66">
        <f>IF(Kalk4!$AI$51=AV88,1,0)</f>
        <v>1</v>
      </c>
      <c r="AV88" s="55">
        <v>750</v>
      </c>
      <c r="AX88" s="21"/>
    </row>
    <row r="89" spans="2:53" ht="24.95" customHeight="1">
      <c r="B89" s="93">
        <f>IF(AND(AG89=1,AU89=1),AL89,0)</f>
        <v>0</v>
      </c>
      <c r="C89" s="60">
        <v>1350</v>
      </c>
      <c r="D89" s="60"/>
      <c r="E89" s="60" t="str">
        <f>VLOOKUP(1600,Sprachindex!$A:$Z,Erhebungsbogen!$Y$20,FALSE)</f>
        <v>[Stk]</v>
      </c>
      <c r="F89" s="60" t="s">
        <v>21939</v>
      </c>
      <c r="G89" s="514" t="str">
        <f>VLOOKUP(1774,Sprachindex!$A:$Z,Erhebungsbogen!$Y$20,FALSE)</f>
        <v>Niederhalter inkl. Spannstück, Verbundanker und Gewindestange</v>
      </c>
      <c r="H89" s="514"/>
      <c r="I89" s="514"/>
      <c r="J89" s="514"/>
      <c r="K89" s="514"/>
      <c r="L89" s="514"/>
      <c r="M89" s="514"/>
      <c r="N89" s="514"/>
      <c r="O89" s="514"/>
      <c r="P89" s="514"/>
      <c r="Q89" s="514"/>
      <c r="R89" s="514"/>
      <c r="S89" s="514"/>
      <c r="T89" s="514"/>
      <c r="U89" s="352">
        <f>VLOOKUP(F89,Preisliste!C:F,4,FALSE)</f>
        <v>498.35</v>
      </c>
      <c r="V89" s="352">
        <f t="shared" si="16"/>
        <v>0</v>
      </c>
      <c r="W89" s="86"/>
      <c r="X89" s="86"/>
      <c r="Y89" s="86"/>
      <c r="Z89" s="86"/>
      <c r="AA89" s="86"/>
      <c r="AB89" s="86"/>
      <c r="AC89" s="86"/>
      <c r="AD89" s="86"/>
      <c r="AE89" s="86"/>
      <c r="AF89" s="86"/>
      <c r="AG89" s="55">
        <f>IF(AND(AL89&gt;0,AU89=1),1,0)</f>
        <v>0</v>
      </c>
      <c r="AL89" s="66">
        <f>IF(AND(Kalk4!$AA$26,Kalk4!$Q$29&gt;0),Kalk4!$Q$29,0)*Kalk4!$H$37</f>
        <v>0</v>
      </c>
      <c r="AM89" s="55" t="s">
        <v>20872</v>
      </c>
      <c r="AT89" s="55" t="s">
        <v>22079</v>
      </c>
      <c r="AU89" s="66">
        <f>IF(Kalk4!$AI$51=AV89,1,0)</f>
        <v>0</v>
      </c>
      <c r="AV89" s="55">
        <v>1350</v>
      </c>
    </row>
    <row r="90" spans="2:53" ht="24.95" customHeight="1">
      <c r="B90" s="93">
        <f>IF(AND(AG90=1,AU90=1),AL90,0)</f>
        <v>0</v>
      </c>
      <c r="C90" s="60">
        <v>1750</v>
      </c>
      <c r="D90" s="60"/>
      <c r="E90" s="60" t="str">
        <f>VLOOKUP(1600,Sprachindex!$A:$Z,Erhebungsbogen!$Y$20,FALSE)</f>
        <v>[Stk]</v>
      </c>
      <c r="F90" s="60" t="s">
        <v>21940</v>
      </c>
      <c r="G90" s="514" t="str">
        <f>VLOOKUP(1774,Sprachindex!$A:$Z,Erhebungsbogen!$Y$20,FALSE)</f>
        <v>Niederhalter inkl. Spannstück, Verbundanker und Gewindestange</v>
      </c>
      <c r="H90" s="514"/>
      <c r="I90" s="514"/>
      <c r="J90" s="514"/>
      <c r="K90" s="514"/>
      <c r="L90" s="514"/>
      <c r="M90" s="514"/>
      <c r="N90" s="514"/>
      <c r="O90" s="514"/>
      <c r="P90" s="514"/>
      <c r="Q90" s="514"/>
      <c r="R90" s="514"/>
      <c r="S90" s="514"/>
      <c r="T90" s="514"/>
      <c r="U90" s="352">
        <f>VLOOKUP(F90,Preisliste!C:F,4,FALSE)</f>
        <v>555.6</v>
      </c>
      <c r="V90" s="352">
        <f t="shared" si="16"/>
        <v>0</v>
      </c>
      <c r="W90" s="86"/>
      <c r="X90" s="86"/>
      <c r="Y90" s="86"/>
      <c r="Z90" s="86"/>
      <c r="AA90" s="86"/>
      <c r="AB90" s="86"/>
      <c r="AC90" s="86"/>
      <c r="AD90" s="86"/>
      <c r="AE90" s="86"/>
      <c r="AF90" s="86"/>
      <c r="AG90" s="55">
        <f>IF(AND(AL90&gt;0,AU90=1),1,0)</f>
        <v>0</v>
      </c>
      <c r="AL90" s="66">
        <f>IF(AND(Kalk4!$AA$26,Kalk4!$Q$29&gt;0),Kalk4!$Q$29,0)*Kalk4!$H$37</f>
        <v>0</v>
      </c>
      <c r="AM90" s="55" t="s">
        <v>20872</v>
      </c>
      <c r="AT90" s="55" t="s">
        <v>22079</v>
      </c>
      <c r="AU90" s="66">
        <f>IF(Kalk4!$AI$51=AV90,1,0)</f>
        <v>0</v>
      </c>
      <c r="AV90" s="55">
        <v>1750</v>
      </c>
    </row>
    <row r="91" spans="2:53" ht="24.95" customHeight="1">
      <c r="B91" s="93">
        <f>IF(AG91=1,AY91,0)</f>
        <v>0</v>
      </c>
      <c r="C91" s="60">
        <v>750</v>
      </c>
      <c r="D91" s="60"/>
      <c r="E91" s="60" t="str">
        <f>VLOOKUP(1600,Sprachindex!$A:$Z,Erhebungsbogen!$Y$20,FALSE)</f>
        <v>[Stk]</v>
      </c>
      <c r="F91" s="60" t="s">
        <v>21906</v>
      </c>
      <c r="G91" s="514" t="str">
        <f>VLOOKUP(1794,Sprachindex!$A:$Z,Erhebungsbogen!$Y$20,FALSE) &amp; " ( " &amp;Preisliste!H71 &amp; " " &amp; VLOOKUP(1744,Sprachindex!$A:$Z,Erhebungsbogen!$Y$20,FALSE) &amp; ")"</f>
        <v>Rundprofil 50 exkl. Dichtung, gebohrt und entgratet ( 7,801 kg/Stk)</v>
      </c>
      <c r="H91" s="514"/>
      <c r="I91" s="514"/>
      <c r="J91" s="514"/>
      <c r="K91" s="514"/>
      <c r="L91" s="514"/>
      <c r="M91" s="514"/>
      <c r="N91" s="514"/>
      <c r="O91" s="514"/>
      <c r="P91" s="514"/>
      <c r="Q91" s="514"/>
      <c r="R91" s="514"/>
      <c r="S91" s="514"/>
      <c r="T91" s="514"/>
      <c r="U91" s="352">
        <f>VLOOKUP(F91,Preisliste!C:F,4,FALSE)</f>
        <v>369.95</v>
      </c>
      <c r="V91" s="352">
        <f t="shared" si="16"/>
        <v>0</v>
      </c>
      <c r="W91" s="86"/>
      <c r="X91" s="86"/>
      <c r="Y91" s="86"/>
      <c r="Z91" s="86"/>
      <c r="AA91" s="86"/>
      <c r="AB91" s="86"/>
      <c r="AC91" s="86"/>
      <c r="AD91" s="86"/>
      <c r="AE91" s="86"/>
      <c r="AF91" s="86"/>
      <c r="AG91" s="55">
        <f>IF(AND(AH91=1,(AL91-AO91)&gt;0,AU91=1),1,0)</f>
        <v>0</v>
      </c>
      <c r="AH91" s="66">
        <f>IF(OR(Kalk4!$AA$19=2,Kalk4!$AA$19=3),1,0)</f>
        <v>1</v>
      </c>
      <c r="AI91" s="55">
        <v>50</v>
      </c>
      <c r="AL91" s="66">
        <f>IF(Kalk4!$AA$20=1,Kalk4!$H$33-1,0)</f>
        <v>0</v>
      </c>
      <c r="AM91" s="55" t="s">
        <v>22119</v>
      </c>
      <c r="AO91" s="66">
        <f>IF(Kalk4!$O$20&gt;0,Kalk4!$O$20,0)</f>
        <v>0</v>
      </c>
      <c r="AP91" s="55" t="s">
        <v>22121</v>
      </c>
      <c r="AQ91" s="66">
        <f>IF(Kalk4!$O$21&gt;0,Kalk4!$O$21,0)</f>
        <v>0</v>
      </c>
      <c r="AR91" s="55" t="s">
        <v>22120</v>
      </c>
      <c r="AT91" s="55" t="s">
        <v>22079</v>
      </c>
      <c r="AU91" s="66">
        <f>IF(Kalk4!$AI$51=$AV$91,1,0)</f>
        <v>1</v>
      </c>
      <c r="AV91" s="55">
        <v>750</v>
      </c>
      <c r="AX91" s="55" t="s">
        <v>22100</v>
      </c>
      <c r="AY91" s="66">
        <f>IF((AL91-AO91-AQ91)&lt;0,0,AL91-AO91-AQ91)*Kalk4!$H$37</f>
        <v>0</v>
      </c>
      <c r="AZ91" s="55" t="s">
        <v>20872</v>
      </c>
    </row>
    <row r="92" spans="2:53" ht="24.95" customHeight="1">
      <c r="B92" s="93">
        <f t="shared" ref="B92:B100" si="22">IF(AG92=1,AY92,0)</f>
        <v>0</v>
      </c>
      <c r="C92" s="60">
        <v>1350</v>
      </c>
      <c r="D92" s="60"/>
      <c r="E92" s="60" t="str">
        <f>VLOOKUP(1600,Sprachindex!$A:$Z,Erhebungsbogen!$Y$20,FALSE)</f>
        <v>[Stk]</v>
      </c>
      <c r="F92" s="60" t="s">
        <v>21907</v>
      </c>
      <c r="G92" s="514" t="str">
        <f>VLOOKUP(1794,Sprachindex!$A:$Z,Erhebungsbogen!$Y$20,FALSE) &amp; " ( " &amp;Preisliste!H72 &amp; " " &amp; VLOOKUP(1744,Sprachindex!$A:$Z,Erhebungsbogen!$Y$20,FALSE) &amp; ")"</f>
        <v>Rundprofil 50 exkl. Dichtung, gebohrt und entgratet ( 14,041 kg/Stk)</v>
      </c>
      <c r="H92" s="514"/>
      <c r="I92" s="514"/>
      <c r="J92" s="514"/>
      <c r="K92" s="514"/>
      <c r="L92" s="514"/>
      <c r="M92" s="514"/>
      <c r="N92" s="514"/>
      <c r="O92" s="514"/>
      <c r="P92" s="514"/>
      <c r="Q92" s="514"/>
      <c r="R92" s="514"/>
      <c r="S92" s="514"/>
      <c r="T92" s="514"/>
      <c r="U92" s="352">
        <f>VLOOKUP(F92,Preisliste!C:F,4,FALSE)</f>
        <v>440.6</v>
      </c>
      <c r="V92" s="352">
        <f t="shared" si="16"/>
        <v>0</v>
      </c>
      <c r="W92" s="86"/>
      <c r="X92" s="86"/>
      <c r="Y92" s="86"/>
      <c r="Z92" s="86"/>
      <c r="AA92" s="86"/>
      <c r="AB92" s="86"/>
      <c r="AC92" s="86"/>
      <c r="AD92" s="86"/>
      <c r="AE92" s="86"/>
      <c r="AF92" s="86"/>
      <c r="AG92" s="55">
        <f t="shared" ref="AG92:AG100" si="23">IF(AND(AH92=1,(AL92-AO92)&gt;0,AU92=1),1,0)</f>
        <v>0</v>
      </c>
      <c r="AH92" s="66">
        <f>IF(OR(Kalk4!$AA$19=2,Kalk4!$AA$19=3),1,0)</f>
        <v>1</v>
      </c>
      <c r="AI92" s="55">
        <v>50</v>
      </c>
      <c r="AL92" s="66">
        <f>IF(Kalk4!$AA$20=1,Kalk4!$H$33-1,0)</f>
        <v>0</v>
      </c>
      <c r="AM92" s="55" t="s">
        <v>22119</v>
      </c>
      <c r="AO92" s="66">
        <f>IF(Kalk4!$O$20&gt;0,Kalk4!$O$20,0)</f>
        <v>0</v>
      </c>
      <c r="AP92" s="55" t="s">
        <v>22121</v>
      </c>
      <c r="AQ92" s="66">
        <f>IF(Kalk4!$O$21&gt;0,Kalk4!$O$21,0)</f>
        <v>0</v>
      </c>
      <c r="AR92" s="55" t="s">
        <v>22120</v>
      </c>
      <c r="AT92" s="55" t="s">
        <v>22079</v>
      </c>
      <c r="AU92" s="66">
        <f>IF(Kalk4!$AI$51=AV92,1,0)</f>
        <v>0</v>
      </c>
      <c r="AV92" s="55">
        <v>1350</v>
      </c>
      <c r="AX92" s="55" t="s">
        <v>22100</v>
      </c>
      <c r="AY92" s="66">
        <f>IF((AL92-AO92-AQ92)&lt;0,0,AL92-AO92-AQ92)*Kalk4!$H$37</f>
        <v>0</v>
      </c>
      <c r="AZ92" s="55" t="s">
        <v>20872</v>
      </c>
    </row>
    <row r="93" spans="2:53" ht="24.95" customHeight="1">
      <c r="B93" s="93">
        <f t="shared" si="22"/>
        <v>0</v>
      </c>
      <c r="C93" s="60">
        <v>1750</v>
      </c>
      <c r="D93" s="60"/>
      <c r="E93" s="60" t="str">
        <f>VLOOKUP(1600,Sprachindex!$A:$Z,Erhebungsbogen!$Y$20,FALSE)</f>
        <v>[Stk]</v>
      </c>
      <c r="F93" s="60" t="s">
        <v>21908</v>
      </c>
      <c r="G93" s="514" t="str">
        <f>VLOOKUP(1794,Sprachindex!$A:$Z,Erhebungsbogen!$Y$20,FALSE) &amp; " ( " &amp;Preisliste!H73 &amp; " " &amp; VLOOKUP(1744,Sprachindex!$A:$Z,Erhebungsbogen!$Y$20,FALSE) &amp; ")"</f>
        <v>Rundprofil 50 exkl. Dichtung, gebohrt und entgratet ( 18,202 kg/Stk)</v>
      </c>
      <c r="H93" s="514"/>
      <c r="I93" s="514"/>
      <c r="J93" s="514"/>
      <c r="K93" s="514"/>
      <c r="L93" s="514"/>
      <c r="M93" s="514"/>
      <c r="N93" s="514"/>
      <c r="O93" s="514"/>
      <c r="P93" s="514"/>
      <c r="Q93" s="514"/>
      <c r="R93" s="514"/>
      <c r="S93" s="514"/>
      <c r="T93" s="514"/>
      <c r="U93" s="352">
        <f>VLOOKUP(F93,Preisliste!C:F,4,FALSE)</f>
        <v>509.75</v>
      </c>
      <c r="V93" s="352">
        <f t="shared" si="16"/>
        <v>0</v>
      </c>
      <c r="W93" s="86"/>
      <c r="X93" s="86"/>
      <c r="Y93" s="86"/>
      <c r="Z93" s="86"/>
      <c r="AA93" s="86"/>
      <c r="AB93" s="86"/>
      <c r="AC93" s="86"/>
      <c r="AD93" s="86"/>
      <c r="AE93" s="86"/>
      <c r="AF93" s="86"/>
      <c r="AG93" s="55">
        <f t="shared" si="23"/>
        <v>0</v>
      </c>
      <c r="AH93" s="66">
        <f>IF(OR(Kalk4!$AA$19=2,Kalk4!$AA$19=3),1,0)</f>
        <v>1</v>
      </c>
      <c r="AI93" s="55">
        <v>50</v>
      </c>
      <c r="AL93" s="66">
        <f>IF(Kalk4!$AA$20=1,Kalk4!$H$33-1,0)</f>
        <v>0</v>
      </c>
      <c r="AM93" s="55" t="s">
        <v>22119</v>
      </c>
      <c r="AO93" s="66">
        <f>IF(Kalk4!$O$20&gt;0,Kalk4!$O$20,0)</f>
        <v>0</v>
      </c>
      <c r="AP93" s="55" t="s">
        <v>22121</v>
      </c>
      <c r="AQ93" s="66">
        <f>IF(Kalk4!$O$21&gt;0,Kalk4!$O$21,0)</f>
        <v>0</v>
      </c>
      <c r="AR93" s="55" t="s">
        <v>22120</v>
      </c>
      <c r="AT93" s="55" t="s">
        <v>22079</v>
      </c>
      <c r="AU93" s="66">
        <f>IF(Kalk4!$AI$51=AV93,1,0)</f>
        <v>0</v>
      </c>
      <c r="AV93" s="55">
        <v>1750</v>
      </c>
      <c r="AX93" s="55" t="s">
        <v>22100</v>
      </c>
      <c r="AY93" s="66">
        <f>IF((AL93-AO93-AQ93)&lt;0,0,AL93-AO93-AQ93)*Kalk4!$H$37</f>
        <v>0</v>
      </c>
      <c r="AZ93" s="55" t="s">
        <v>20872</v>
      </c>
    </row>
    <row r="94" spans="2:53" ht="24.95" customHeight="1">
      <c r="B94" s="93">
        <f t="shared" si="22"/>
        <v>0</v>
      </c>
      <c r="C94" s="60">
        <v>2150</v>
      </c>
      <c r="D94" s="60"/>
      <c r="E94" s="60" t="str">
        <f>VLOOKUP(1600,Sprachindex!$A:$Z,Erhebungsbogen!$Y$20,FALSE)</f>
        <v>[Stk]</v>
      </c>
      <c r="F94" s="60" t="s">
        <v>21909</v>
      </c>
      <c r="G94" s="514" t="str">
        <f>VLOOKUP(1794,Sprachindex!$A:$Z,Erhebungsbogen!$Y$20,FALSE) &amp; " ( " &amp;Preisliste!H74 &amp; " " &amp; VLOOKUP(1744,Sprachindex!$A:$Z,Erhebungsbogen!$Y$20,FALSE) &amp; ")"</f>
        <v>Rundprofil 50 exkl. Dichtung, gebohrt und entgratet ( 22,362 kg/Stk)</v>
      </c>
      <c r="H94" s="514"/>
      <c r="I94" s="514"/>
      <c r="J94" s="514"/>
      <c r="K94" s="514"/>
      <c r="L94" s="514"/>
      <c r="M94" s="514"/>
      <c r="N94" s="514"/>
      <c r="O94" s="514"/>
      <c r="P94" s="514"/>
      <c r="Q94" s="514"/>
      <c r="R94" s="514"/>
      <c r="S94" s="514"/>
      <c r="T94" s="514"/>
      <c r="U94" s="352">
        <f>VLOOKUP(F94,Preisliste!C:F,4,FALSE)</f>
        <v>554.29999999999995</v>
      </c>
      <c r="V94" s="352">
        <f t="shared" si="16"/>
        <v>0</v>
      </c>
      <c r="W94" s="86"/>
      <c r="X94" s="86"/>
      <c r="Y94" s="86"/>
      <c r="Z94" s="86"/>
      <c r="AA94" s="86"/>
      <c r="AB94" s="86"/>
      <c r="AC94" s="86"/>
      <c r="AD94" s="86"/>
      <c r="AE94" s="86"/>
      <c r="AF94" s="86"/>
      <c r="AG94" s="55">
        <f t="shared" si="23"/>
        <v>0</v>
      </c>
      <c r="AH94" s="66">
        <f>IF(OR(Kalk4!$AA$19=2,Kalk4!$AA$19=3),1,0)</f>
        <v>1</v>
      </c>
      <c r="AI94" s="55">
        <v>50</v>
      </c>
      <c r="AL94" s="66">
        <f>IF(Kalk4!$AA$20=1,Kalk4!$H$33-1,0)</f>
        <v>0</v>
      </c>
      <c r="AM94" s="55" t="s">
        <v>22119</v>
      </c>
      <c r="AO94" s="66">
        <f>IF(Kalk4!$O$20&gt;0,Kalk4!$O$20,0)</f>
        <v>0</v>
      </c>
      <c r="AP94" s="55" t="s">
        <v>22121</v>
      </c>
      <c r="AQ94" s="66">
        <f>IF(Kalk4!$O$21&gt;0,Kalk4!$O$21,0)</f>
        <v>0</v>
      </c>
      <c r="AR94" s="55" t="s">
        <v>22120</v>
      </c>
      <c r="AT94" s="55" t="s">
        <v>22079</v>
      </c>
      <c r="AU94" s="66">
        <f>IF(Kalk4!$AI$51=AV94,1,0)</f>
        <v>0</v>
      </c>
      <c r="AV94" s="55">
        <v>2150</v>
      </c>
      <c r="AX94" s="55" t="s">
        <v>22100</v>
      </c>
      <c r="AY94" s="66">
        <f>IF((AL94-AO94-AQ94)&lt;0,0,AL94-AO94-AQ94)*Kalk4!$H$37</f>
        <v>0</v>
      </c>
      <c r="AZ94" s="55" t="s">
        <v>20872</v>
      </c>
    </row>
    <row r="95" spans="2:53" ht="24.95" customHeight="1">
      <c r="B95" s="93">
        <f t="shared" si="22"/>
        <v>0</v>
      </c>
      <c r="C95" s="60">
        <f>IF(AG95=1,AW95,0)</f>
        <v>0</v>
      </c>
      <c r="D95" s="60"/>
      <c r="E95" s="60" t="str">
        <f>VLOOKUP(1600,Sprachindex!$A:$Z,Erhebungsbogen!$Y$20,FALSE)</f>
        <v>[Stk]</v>
      </c>
      <c r="F95" s="60" t="s">
        <v>21826</v>
      </c>
      <c r="G95" s="514" t="str">
        <f>VLOOKUP(1795,Sprachindex!$A:$Z,Erhebungsbogen!$Y$20,FALSE) &amp; " (" &amp; ROUNDUP(C95/1000*Preisliste!I75,2) &amp; " " &amp; VLOOKUP(1744,Sprachindex!$A:$Z,Erhebungsbogen!$Y$20,FALSE) &amp; ")"</f>
        <v>Rundprofil 50 Sonderlänge exkl. Dichtung, (Stangenware) (0 kg/Stk)</v>
      </c>
      <c r="H95" s="514"/>
      <c r="I95" s="514"/>
      <c r="J95" s="514"/>
      <c r="K95" s="514"/>
      <c r="L95" s="514"/>
      <c r="M95" s="514"/>
      <c r="N95" s="514"/>
      <c r="O95" s="514"/>
      <c r="P95" s="514"/>
      <c r="Q95" s="514"/>
      <c r="R95" s="514"/>
      <c r="S95" s="514"/>
      <c r="T95" s="514"/>
      <c r="U95" s="354">
        <f>VLOOKUP(F95,Preisliste!C:F,4,FALSE)</f>
        <v>0</v>
      </c>
      <c r="V95" s="352">
        <f t="shared" si="16"/>
        <v>0</v>
      </c>
      <c r="W95" s="86"/>
      <c r="X95" s="86"/>
      <c r="Y95" s="86"/>
      <c r="Z95" s="86"/>
      <c r="AA95" s="86"/>
      <c r="AB95" s="86"/>
      <c r="AC95" s="86"/>
      <c r="AD95" s="86"/>
      <c r="AE95" s="86"/>
      <c r="AF95" s="86"/>
      <c r="AG95" s="55">
        <f t="shared" si="23"/>
        <v>0</v>
      </c>
      <c r="AH95" s="66">
        <f>IF(OR(Kalk4!$AA$19=2,Kalk4!$AA$19=3),1,0)</f>
        <v>1</v>
      </c>
      <c r="AI95" s="55">
        <v>50</v>
      </c>
      <c r="AL95" s="66">
        <f>IF(Kalk4!$AA$20=1,Kalk4!$H$33-1,0)</f>
        <v>0</v>
      </c>
      <c r="AM95" s="55" t="s">
        <v>22119</v>
      </c>
      <c r="AO95" s="66">
        <f>IF(Kalk4!$O$20&gt;0,Kalk4!$O$20,0)</f>
        <v>0</v>
      </c>
      <c r="AP95" s="55" t="s">
        <v>22121</v>
      </c>
      <c r="AQ95" s="66">
        <f>IF(Kalk4!$O$21&gt;0,Kalk4!$O$21,0)</f>
        <v>0</v>
      </c>
      <c r="AR95" s="55" t="s">
        <v>22120</v>
      </c>
      <c r="AT95" s="55" t="s">
        <v>22079</v>
      </c>
      <c r="AU95" s="66">
        <f>IF(Kalk4!$AH$52&gt;AV95,1,0)</f>
        <v>0</v>
      </c>
      <c r="AV95" s="55">
        <v>2150</v>
      </c>
      <c r="AW95" s="66">
        <f>Kalk4!$AH$52</f>
        <v>0</v>
      </c>
      <c r="AX95" s="55" t="s">
        <v>22100</v>
      </c>
      <c r="AY95" s="66">
        <f>IF((AL95-AO95-AQ95)&lt;0,0,AL95-AO95-AQ95)*Kalk4!$H$37</f>
        <v>0</v>
      </c>
      <c r="AZ95" s="55" t="s">
        <v>20872</v>
      </c>
    </row>
    <row r="96" spans="2:53" ht="24.95" customHeight="1">
      <c r="B96" s="93">
        <f t="shared" si="22"/>
        <v>0</v>
      </c>
      <c r="C96" s="60">
        <v>750</v>
      </c>
      <c r="D96" s="60"/>
      <c r="E96" s="60" t="str">
        <f>VLOOKUP(1600,Sprachindex!$A:$Z,Erhebungsbogen!$Y$20,FALSE)</f>
        <v>[Stk]</v>
      </c>
      <c r="F96" s="60" t="s">
        <v>21910</v>
      </c>
      <c r="G96" s="514" t="str">
        <f>VLOOKUP(1800,Sprachindex!$A:$Z,Erhebungsbogen!$Y$20,FALSE) &amp; " ( " &amp;Preisliste!H76 &amp; " " &amp; VLOOKUP(1744,Sprachindex!$A:$Z,Erhebungsbogen!$Y$20,FALSE) &amp; ")"</f>
        <v>Rundprofil 80 exkl. Dichtung, gebohrt und entgratet ( 8,444 kg/Stk)</v>
      </c>
      <c r="H96" s="514"/>
      <c r="I96" s="514"/>
      <c r="J96" s="514"/>
      <c r="K96" s="514"/>
      <c r="L96" s="514"/>
      <c r="M96" s="514"/>
      <c r="N96" s="514"/>
      <c r="O96" s="514"/>
      <c r="P96" s="514"/>
      <c r="Q96" s="514"/>
      <c r="R96" s="514"/>
      <c r="S96" s="514"/>
      <c r="T96" s="514"/>
      <c r="U96" s="352">
        <f>VLOOKUP(F96,Preisliste!C:F,4,FALSE)</f>
        <v>404.05</v>
      </c>
      <c r="V96" s="352">
        <f t="shared" si="16"/>
        <v>0</v>
      </c>
      <c r="W96" s="86"/>
      <c r="X96" s="86"/>
      <c r="Y96" s="86"/>
      <c r="Z96" s="86"/>
      <c r="AA96" s="86"/>
      <c r="AB96" s="86"/>
      <c r="AC96" s="86"/>
      <c r="AD96" s="86"/>
      <c r="AE96" s="86"/>
      <c r="AF96" s="86"/>
      <c r="AG96" s="55">
        <f t="shared" si="23"/>
        <v>0</v>
      </c>
      <c r="AH96" s="66">
        <f>IF(Kalk4!$AA$19=4,1,0)</f>
        <v>0</v>
      </c>
      <c r="AI96" s="55">
        <v>80</v>
      </c>
      <c r="AL96" s="66">
        <f>IF(Kalk4!$AA$20=1,Kalk4!$H$33-1,0)</f>
        <v>0</v>
      </c>
      <c r="AM96" s="55" t="s">
        <v>22119</v>
      </c>
      <c r="AO96" s="66">
        <f>IF(Kalk4!$O$20&gt;0,Kalk4!$O$20,0)</f>
        <v>0</v>
      </c>
      <c r="AP96" s="55" t="s">
        <v>22121</v>
      </c>
      <c r="AQ96" s="66">
        <f>IF(Kalk4!$O$21&gt;0,Kalk4!$O$21,0)</f>
        <v>0</v>
      </c>
      <c r="AR96" s="55" t="s">
        <v>22120</v>
      </c>
      <c r="AT96" s="55" t="s">
        <v>22079</v>
      </c>
      <c r="AU96" s="66">
        <f>IF(Kalk4!$AI$51=$AV$91,1,0)</f>
        <v>1</v>
      </c>
      <c r="AV96" s="55">
        <v>750</v>
      </c>
      <c r="AX96" s="55" t="s">
        <v>22100</v>
      </c>
      <c r="AY96" s="66">
        <f>IF((AL96-AO96-AQ96)&lt;0,0,AL96-AO96-AQ96)*Kalk4!$H$37</f>
        <v>0</v>
      </c>
      <c r="AZ96" s="55" t="s">
        <v>20872</v>
      </c>
    </row>
    <row r="97" spans="2:52" ht="24.95" customHeight="1">
      <c r="B97" s="93">
        <f t="shared" si="22"/>
        <v>0</v>
      </c>
      <c r="C97" s="60">
        <v>1350</v>
      </c>
      <c r="D97" s="60"/>
      <c r="E97" s="60" t="str">
        <f>VLOOKUP(1600,Sprachindex!$A:$Z,Erhebungsbogen!$Y$20,FALSE)</f>
        <v>[Stk]</v>
      </c>
      <c r="F97" s="60" t="s">
        <v>21911</v>
      </c>
      <c r="G97" s="514" t="str">
        <f>VLOOKUP(1800,Sprachindex!$A:$Z,Erhebungsbogen!$Y$20,FALSE) &amp; " ( " &amp;Preisliste!H77 &amp; " " &amp; VLOOKUP(1744,Sprachindex!$A:$Z,Erhebungsbogen!$Y$20,FALSE) &amp; ")"</f>
        <v>Rundprofil 80 exkl. Dichtung, gebohrt und entgratet ( 15,198 kg/Stk)</v>
      </c>
      <c r="H97" s="514"/>
      <c r="I97" s="514"/>
      <c r="J97" s="514"/>
      <c r="K97" s="514"/>
      <c r="L97" s="514"/>
      <c r="M97" s="514"/>
      <c r="N97" s="514"/>
      <c r="O97" s="514"/>
      <c r="P97" s="514"/>
      <c r="Q97" s="514"/>
      <c r="R97" s="514"/>
      <c r="S97" s="514"/>
      <c r="T97" s="514"/>
      <c r="U97" s="352">
        <f>VLOOKUP(F97,Preisliste!C:F,4,FALSE)</f>
        <v>507.3</v>
      </c>
      <c r="V97" s="352">
        <f t="shared" si="16"/>
        <v>0</v>
      </c>
      <c r="W97" s="86"/>
      <c r="X97" s="86"/>
      <c r="Y97" s="86"/>
      <c r="Z97" s="86"/>
      <c r="AA97" s="86"/>
      <c r="AB97" s="86"/>
      <c r="AC97" s="86"/>
      <c r="AD97" s="86"/>
      <c r="AE97" s="86"/>
      <c r="AF97" s="86"/>
      <c r="AG97" s="55">
        <f t="shared" si="23"/>
        <v>0</v>
      </c>
      <c r="AH97" s="66">
        <f>IF(Kalk4!$AA$19=4,1,0)</f>
        <v>0</v>
      </c>
      <c r="AI97" s="55">
        <v>80</v>
      </c>
      <c r="AL97" s="66">
        <f>IF(Kalk4!$AA$20=1,Kalk4!$H$33-1,0)</f>
        <v>0</v>
      </c>
      <c r="AM97" s="55" t="s">
        <v>22119</v>
      </c>
      <c r="AO97" s="66">
        <f>IF(Kalk4!$O$20&gt;0,Kalk4!$O$20,0)</f>
        <v>0</v>
      </c>
      <c r="AP97" s="55" t="s">
        <v>22121</v>
      </c>
      <c r="AQ97" s="66">
        <f>IF(Kalk4!$O$21&gt;0,Kalk4!$O$21,0)</f>
        <v>0</v>
      </c>
      <c r="AR97" s="55" t="s">
        <v>22120</v>
      </c>
      <c r="AT97" s="55" t="s">
        <v>22079</v>
      </c>
      <c r="AU97" s="66">
        <f>IF(Kalk4!$AI$51=AV97,1,0)</f>
        <v>0</v>
      </c>
      <c r="AV97" s="55">
        <v>1350</v>
      </c>
      <c r="AX97" s="55" t="s">
        <v>22100</v>
      </c>
      <c r="AY97" s="66">
        <f>IF((AL97-AO97-AQ97)&lt;0,0,AL97-AO97-AQ97)*Kalk4!$H$37</f>
        <v>0</v>
      </c>
      <c r="AZ97" s="55" t="s">
        <v>20872</v>
      </c>
    </row>
    <row r="98" spans="2:52" ht="24.95" customHeight="1">
      <c r="B98" s="93">
        <f t="shared" si="22"/>
        <v>0</v>
      </c>
      <c r="C98" s="60">
        <v>1750</v>
      </c>
      <c r="D98" s="60"/>
      <c r="E98" s="60" t="str">
        <f>VLOOKUP(1600,Sprachindex!$A:$Z,Erhebungsbogen!$Y$20,FALSE)</f>
        <v>[Stk]</v>
      </c>
      <c r="F98" s="60" t="s">
        <v>21912</v>
      </c>
      <c r="G98" s="514" t="str">
        <f>VLOOKUP(1800,Sprachindex!$A:$Z,Erhebungsbogen!$Y$20,FALSE) &amp; " ( " &amp;Preisliste!H78 &amp; " " &amp; VLOOKUP(1744,Sprachindex!$A:$Z,Erhebungsbogen!$Y$20,FALSE) &amp; ")"</f>
        <v>Rundprofil 80 exkl. Dichtung, gebohrt und entgratet ( 19,702 kg/Stk)</v>
      </c>
      <c r="H98" s="514"/>
      <c r="I98" s="514"/>
      <c r="J98" s="514"/>
      <c r="K98" s="514"/>
      <c r="L98" s="514"/>
      <c r="M98" s="514"/>
      <c r="N98" s="514"/>
      <c r="O98" s="514"/>
      <c r="P98" s="514"/>
      <c r="Q98" s="514"/>
      <c r="R98" s="514"/>
      <c r="S98" s="514"/>
      <c r="T98" s="514"/>
      <c r="U98" s="352">
        <f>VLOOKUP(F98,Preisliste!C:F,4,FALSE)</f>
        <v>576.20000000000005</v>
      </c>
      <c r="V98" s="352">
        <f t="shared" si="16"/>
        <v>0</v>
      </c>
      <c r="W98" s="86"/>
      <c r="X98" s="86"/>
      <c r="Y98" s="86"/>
      <c r="Z98" s="86"/>
      <c r="AA98" s="86"/>
      <c r="AB98" s="86"/>
      <c r="AC98" s="86"/>
      <c r="AD98" s="86"/>
      <c r="AE98" s="86"/>
      <c r="AF98" s="86"/>
      <c r="AG98" s="55">
        <f t="shared" si="23"/>
        <v>0</v>
      </c>
      <c r="AH98" s="66">
        <f>IF(Kalk4!$AA$19=4,1,0)</f>
        <v>0</v>
      </c>
      <c r="AI98" s="55">
        <v>80</v>
      </c>
      <c r="AL98" s="66">
        <f>IF(Kalk4!$AA$20=1,Kalk4!$H$33-1,0)</f>
        <v>0</v>
      </c>
      <c r="AM98" s="55" t="s">
        <v>22119</v>
      </c>
      <c r="AO98" s="66">
        <f>IF(Kalk4!$O$20&gt;0,Kalk4!$O$20,0)</f>
        <v>0</v>
      </c>
      <c r="AP98" s="55" t="s">
        <v>22121</v>
      </c>
      <c r="AQ98" s="66">
        <f>IF(Kalk4!$O$21&gt;0,Kalk4!$O$21,0)</f>
        <v>0</v>
      </c>
      <c r="AR98" s="55" t="s">
        <v>22120</v>
      </c>
      <c r="AT98" s="55" t="s">
        <v>22079</v>
      </c>
      <c r="AU98" s="66">
        <f>IF(Kalk4!$AI$51=AV98,1,0)</f>
        <v>0</v>
      </c>
      <c r="AV98" s="55">
        <v>1750</v>
      </c>
      <c r="AX98" s="55" t="s">
        <v>22100</v>
      </c>
      <c r="AY98" s="66">
        <f>IF((AL98-AO98-AQ98)&lt;0,0,AL98-AO98-AQ98)*Kalk4!$H$37</f>
        <v>0</v>
      </c>
      <c r="AZ98" s="55" t="s">
        <v>20872</v>
      </c>
    </row>
    <row r="99" spans="2:52" ht="24.95" customHeight="1">
      <c r="B99" s="93">
        <f t="shared" si="22"/>
        <v>0</v>
      </c>
      <c r="C99" s="60">
        <v>2150</v>
      </c>
      <c r="D99" s="60"/>
      <c r="E99" s="60" t="str">
        <f>VLOOKUP(1600,Sprachindex!$A:$Z,Erhebungsbogen!$Y$20,FALSE)</f>
        <v>[Stk]</v>
      </c>
      <c r="F99" s="60" t="s">
        <v>21913</v>
      </c>
      <c r="G99" s="514" t="str">
        <f>VLOOKUP(1800,Sprachindex!$A:$Z,Erhebungsbogen!$Y$20,FALSE) &amp; " ( " &amp;Preisliste!H79 &amp; " " &amp; VLOOKUP(1744,Sprachindex!$A:$Z,Erhebungsbogen!$Y$20,FALSE) &amp; ")"</f>
        <v>Rundprofil 80 exkl. Dichtung, gebohrt und entgratet ( 24,205 kg/Stk)</v>
      </c>
      <c r="H99" s="514"/>
      <c r="I99" s="514"/>
      <c r="J99" s="514"/>
      <c r="K99" s="514"/>
      <c r="L99" s="514"/>
      <c r="M99" s="514"/>
      <c r="N99" s="514"/>
      <c r="O99" s="514"/>
      <c r="P99" s="514"/>
      <c r="Q99" s="514"/>
      <c r="R99" s="514"/>
      <c r="S99" s="514"/>
      <c r="T99" s="514"/>
      <c r="U99" s="352">
        <f>VLOOKUP(F99,Preisliste!C:F,4,FALSE)</f>
        <v>644.85</v>
      </c>
      <c r="V99" s="352">
        <f t="shared" si="16"/>
        <v>0</v>
      </c>
      <c r="W99" s="86"/>
      <c r="X99" s="86"/>
      <c r="Y99" s="86"/>
      <c r="Z99" s="86"/>
      <c r="AA99" s="86"/>
      <c r="AB99" s="86"/>
      <c r="AC99" s="86"/>
      <c r="AD99" s="86"/>
      <c r="AE99" s="86"/>
      <c r="AF99" s="86"/>
      <c r="AG99" s="55">
        <f t="shared" si="23"/>
        <v>0</v>
      </c>
      <c r="AH99" s="66">
        <f>IF(Kalk4!$AA$19=4,1,0)</f>
        <v>0</v>
      </c>
      <c r="AI99" s="55">
        <v>80</v>
      </c>
      <c r="AL99" s="66">
        <f>IF(Kalk4!$AA$20=1,Kalk4!$H$33-1,0)</f>
        <v>0</v>
      </c>
      <c r="AM99" s="55" t="s">
        <v>22119</v>
      </c>
      <c r="AO99" s="66">
        <f>IF(Kalk4!$O$20&gt;0,Kalk4!$O$20,0)</f>
        <v>0</v>
      </c>
      <c r="AP99" s="55" t="s">
        <v>22121</v>
      </c>
      <c r="AQ99" s="66">
        <f>IF(Kalk4!$O$21&gt;0,Kalk4!$O$21,0)</f>
        <v>0</v>
      </c>
      <c r="AR99" s="55" t="s">
        <v>22120</v>
      </c>
      <c r="AT99" s="55" t="s">
        <v>22079</v>
      </c>
      <c r="AU99" s="66">
        <f>IF(Kalk4!$AI$51=AV99,1,0)</f>
        <v>0</v>
      </c>
      <c r="AV99" s="55">
        <v>2150</v>
      </c>
      <c r="AX99" s="55" t="s">
        <v>22100</v>
      </c>
      <c r="AY99" s="66">
        <f>IF((AL99-AO99-AQ99)&lt;0,0,AL99-AO99-AQ99)*Kalk4!$H$37</f>
        <v>0</v>
      </c>
      <c r="AZ99" s="55" t="s">
        <v>20872</v>
      </c>
    </row>
    <row r="100" spans="2:52" ht="24.95" customHeight="1">
      <c r="B100" s="93">
        <f t="shared" si="22"/>
        <v>0</v>
      </c>
      <c r="C100" s="60">
        <f>IF(AG100=1,AW100,0)</f>
        <v>0</v>
      </c>
      <c r="D100" s="60"/>
      <c r="E100" s="60" t="str">
        <f>VLOOKUP(1600,Sprachindex!$A:$Z,Erhebungsbogen!$Y$20,FALSE)</f>
        <v>[Stk]</v>
      </c>
      <c r="F100" s="60" t="s">
        <v>21826</v>
      </c>
      <c r="G100" s="514" t="str">
        <f>VLOOKUP(1803,Sprachindex!$A:$Z,Erhebungsbogen!$Y$20,FALSE) &amp; " (" &amp; ROUNDUP(C100/1000*Preisliste!I80,2) &amp; " " &amp; VLOOKUP(1744,Sprachindex!$A:$Z,Erhebungsbogen!$Y$20,FALSE) &amp; ")"</f>
        <v>Rundprofil 80 Sonderlänge exkl. Dichtung, (Stangenware) (0 kg/Stk)</v>
      </c>
      <c r="H100" s="514"/>
      <c r="I100" s="514"/>
      <c r="J100" s="514"/>
      <c r="K100" s="514"/>
      <c r="L100" s="514"/>
      <c r="M100" s="514"/>
      <c r="N100" s="514"/>
      <c r="O100" s="514"/>
      <c r="P100" s="514"/>
      <c r="Q100" s="514"/>
      <c r="R100" s="514"/>
      <c r="S100" s="514"/>
      <c r="T100" s="514"/>
      <c r="U100" s="354">
        <f>VLOOKUP(F100,Preisliste!C:F,4,FALSE)</f>
        <v>0</v>
      </c>
      <c r="V100" s="352">
        <f t="shared" si="16"/>
        <v>0</v>
      </c>
      <c r="W100" s="86"/>
      <c r="X100" s="86"/>
      <c r="Y100" s="86"/>
      <c r="Z100" s="86"/>
      <c r="AA100" s="86"/>
      <c r="AB100" s="86"/>
      <c r="AC100" s="86"/>
      <c r="AD100" s="86"/>
      <c r="AE100" s="86"/>
      <c r="AF100" s="86"/>
      <c r="AG100" s="55">
        <f t="shared" si="23"/>
        <v>0</v>
      </c>
      <c r="AH100" s="66">
        <f>IF(Kalk4!$AA$19=4,1,0)</f>
        <v>0</v>
      </c>
      <c r="AI100" s="55">
        <v>80</v>
      </c>
      <c r="AL100" s="66">
        <f>IF(Kalk4!$AA$20=1,Kalk4!$H$33-1,0)</f>
        <v>0</v>
      </c>
      <c r="AM100" s="55" t="s">
        <v>22119</v>
      </c>
      <c r="AO100" s="66">
        <f>IF(Kalk4!$O$20&gt;0,Kalk4!$O$20,0)</f>
        <v>0</v>
      </c>
      <c r="AP100" s="55" t="s">
        <v>22121</v>
      </c>
      <c r="AQ100" s="66">
        <f>IF(Kalk4!$O$21&gt;0,Kalk4!$O$21,0)</f>
        <v>0</v>
      </c>
      <c r="AR100" s="55" t="s">
        <v>22120</v>
      </c>
      <c r="AT100" s="55" t="s">
        <v>22079</v>
      </c>
      <c r="AU100" s="66">
        <f>IF(Kalk4!$AH$52&gt;AV100,1,0)</f>
        <v>0</v>
      </c>
      <c r="AV100" s="55">
        <v>2150</v>
      </c>
      <c r="AW100" s="66">
        <f>Kalk4!$AH$52</f>
        <v>0</v>
      </c>
      <c r="AX100" s="55" t="s">
        <v>22100</v>
      </c>
      <c r="AY100" s="66">
        <f>IF((AL100-AO100-AQ100)&lt;0,0,AL100-AO100-AQ100)*Kalk4!$H$37</f>
        <v>0</v>
      </c>
      <c r="AZ100" s="55" t="s">
        <v>20872</v>
      </c>
    </row>
    <row r="101" spans="2:52" ht="24.95" customHeight="1">
      <c r="B101" s="93">
        <f>IF(AG101=1,AL101,0)</f>
        <v>0</v>
      </c>
      <c r="C101" s="60">
        <v>750</v>
      </c>
      <c r="D101" s="60"/>
      <c r="E101" s="60" t="str">
        <f>VLOOKUP(1600,Sprachindex!$A:$Z,Erhebungsbogen!$Y$20,FALSE)</f>
        <v>[Stk]</v>
      </c>
      <c r="F101" s="60" t="s">
        <v>21914</v>
      </c>
      <c r="G101" s="517" t="str">
        <f>VLOOKUP(1801,Sprachindex!$A:$Z,Erhebungsbogen!$Y$20,FALSE) &amp; " ( " &amp;Preisliste!H81 &amp; " " &amp; VLOOKUP(1744,Sprachindex!$A:$Z,Erhebungsbogen!$Y$20,FALSE) &amp; ")"</f>
        <v>Rundprofil 80 gr. exkl. Dichtung, gebohrt und entgratet ( 11,012 kg/Stk)</v>
      </c>
      <c r="H101" s="515"/>
      <c r="I101" s="515"/>
      <c r="J101" s="515"/>
      <c r="K101" s="515"/>
      <c r="L101" s="515"/>
      <c r="M101" s="515"/>
      <c r="N101" s="515"/>
      <c r="O101" s="515"/>
      <c r="P101" s="515"/>
      <c r="Q101" s="515"/>
      <c r="R101" s="515"/>
      <c r="S101" s="515"/>
      <c r="T101" s="516"/>
      <c r="U101" s="352">
        <f>VLOOKUP(F101,Preisliste!C:F,4,FALSE)</f>
        <v>538.25</v>
      </c>
      <c r="V101" s="352">
        <f t="shared" si="16"/>
        <v>0</v>
      </c>
      <c r="W101" s="86"/>
      <c r="X101" s="86"/>
      <c r="Y101" s="86"/>
      <c r="Z101" s="86"/>
      <c r="AA101" s="86"/>
      <c r="AB101" s="86"/>
      <c r="AC101" s="86"/>
      <c r="AD101" s="86"/>
      <c r="AE101" s="86"/>
      <c r="AF101" s="86"/>
      <c r="AG101" s="55">
        <f>IF(AND(AH101=1,AL101&gt;0,AU101=1),1,0)</f>
        <v>0</v>
      </c>
      <c r="AH101" s="66">
        <f>IF(Kalk4!$AA$19=4,1,0)</f>
        <v>0</v>
      </c>
      <c r="AI101" s="55">
        <v>80</v>
      </c>
      <c r="AK101" s="55" t="s">
        <v>22079</v>
      </c>
      <c r="AL101" s="66">
        <f>IF(AND(Kalk4!$AA$19=4,Kalk4!$AA$20=2),Kalk4!$H$33-1-AO101-AQ101,0)</f>
        <v>0</v>
      </c>
      <c r="AM101" s="55" t="s">
        <v>22086</v>
      </c>
      <c r="AO101" s="66">
        <f>IF(Kalk4!$O$20&gt;0,Kalk4!$O$20,0)</f>
        <v>0</v>
      </c>
      <c r="AP101" s="55" t="s">
        <v>22121</v>
      </c>
      <c r="AQ101" s="66">
        <f>IF(Kalk4!$O$21&gt;0,Kalk4!$O$21,0)</f>
        <v>0</v>
      </c>
      <c r="AR101" s="55" t="s">
        <v>22120</v>
      </c>
      <c r="AT101" s="55" t="s">
        <v>22079</v>
      </c>
      <c r="AU101" s="66">
        <f>IF(Kalk4!$AI$51=$AV$91,1,0)</f>
        <v>1</v>
      </c>
      <c r="AV101" s="55">
        <v>750</v>
      </c>
      <c r="AX101" s="55" t="s">
        <v>22100</v>
      </c>
      <c r="AY101" s="66">
        <f>AL101*Kalk4!$H$37</f>
        <v>0</v>
      </c>
      <c r="AZ101" s="55" t="s">
        <v>20872</v>
      </c>
    </row>
    <row r="102" spans="2:52" ht="24.95" customHeight="1">
      <c r="B102" s="93">
        <f>IF(AG102=1,AY102,0)</f>
        <v>0</v>
      </c>
      <c r="C102" s="60">
        <v>1350</v>
      </c>
      <c r="D102" s="60"/>
      <c r="E102" s="60" t="str">
        <f>VLOOKUP(1600,Sprachindex!$A:$Z,Erhebungsbogen!$Y$20,FALSE)</f>
        <v>[Stk]</v>
      </c>
      <c r="F102" s="60" t="s">
        <v>21915</v>
      </c>
      <c r="G102" s="517" t="str">
        <f>VLOOKUP(1801,Sprachindex!$A:$Z,Erhebungsbogen!$Y$20,FALSE) &amp; " ( " &amp;Preisliste!H82 &amp; " " &amp; VLOOKUP(1744,Sprachindex!$A:$Z,Erhebungsbogen!$Y$20,FALSE) &amp; ")"</f>
        <v>Rundprofil 80 gr. exkl. Dichtung, gebohrt und entgratet ( 19,821 kg/Stk)</v>
      </c>
      <c r="H102" s="515"/>
      <c r="I102" s="515"/>
      <c r="J102" s="515"/>
      <c r="K102" s="515"/>
      <c r="L102" s="515"/>
      <c r="M102" s="515"/>
      <c r="N102" s="515"/>
      <c r="O102" s="515"/>
      <c r="P102" s="515"/>
      <c r="Q102" s="515"/>
      <c r="R102" s="515"/>
      <c r="S102" s="515"/>
      <c r="T102" s="516"/>
      <c r="U102" s="352">
        <f>VLOOKUP(F102,Preisliste!C:F,4,FALSE)</f>
        <v>672.9</v>
      </c>
      <c r="V102" s="352">
        <f t="shared" si="16"/>
        <v>0</v>
      </c>
      <c r="W102" s="86"/>
      <c r="X102" s="86"/>
      <c r="Y102" s="86"/>
      <c r="Z102" s="86"/>
      <c r="AA102" s="86"/>
      <c r="AB102" s="86"/>
      <c r="AC102" s="86"/>
      <c r="AD102" s="86"/>
      <c r="AE102" s="86"/>
      <c r="AF102" s="86"/>
      <c r="AG102" s="55">
        <f t="shared" ref="AG102:AG105" si="24">IF(AND(AH102=1,AL102&gt;0,AU102=1),1,0)</f>
        <v>0</v>
      </c>
      <c r="AH102" s="66">
        <f>IF(Kalk4!$AA$19=4,1,0)</f>
        <v>0</v>
      </c>
      <c r="AI102" s="55">
        <v>80</v>
      </c>
      <c r="AK102" s="55" t="s">
        <v>22079</v>
      </c>
      <c r="AL102" s="66">
        <f>IF(AND(Kalk4!$AA$19=4,Kalk4!$AA$20=2),Kalk4!$H$33-1-AO102-AQ102,0)</f>
        <v>0</v>
      </c>
      <c r="AM102" s="55" t="s">
        <v>22086</v>
      </c>
      <c r="AO102" s="66">
        <f>IF(Kalk4!$O$20&gt;0,Kalk4!$O$20,0)</f>
        <v>0</v>
      </c>
      <c r="AP102" s="55" t="s">
        <v>22121</v>
      </c>
      <c r="AQ102" s="66">
        <f>IF(Kalk4!$O$21&gt;0,Kalk4!$O$21,0)</f>
        <v>0</v>
      </c>
      <c r="AR102" s="55" t="s">
        <v>22120</v>
      </c>
      <c r="AT102" s="55" t="s">
        <v>22079</v>
      </c>
      <c r="AU102" s="66">
        <f>IF(Kalk4!$AI$51=AV102,1,0)</f>
        <v>0</v>
      </c>
      <c r="AV102" s="55">
        <v>1350</v>
      </c>
      <c r="AX102" s="55" t="s">
        <v>22100</v>
      </c>
      <c r="AY102" s="66">
        <f>AL102*Kalk4!$H$37</f>
        <v>0</v>
      </c>
      <c r="AZ102" s="55" t="s">
        <v>20872</v>
      </c>
    </row>
    <row r="103" spans="2:52" ht="24.95" customHeight="1">
      <c r="B103" s="93">
        <f t="shared" ref="B103:B105" si="25">IF(AG103=1,AL103,0)</f>
        <v>0</v>
      </c>
      <c r="C103" s="60">
        <v>1750</v>
      </c>
      <c r="D103" s="60"/>
      <c r="E103" s="60" t="str">
        <f>VLOOKUP(1600,Sprachindex!$A:$Z,Erhebungsbogen!$Y$20,FALSE)</f>
        <v>[Stk]</v>
      </c>
      <c r="F103" s="60" t="s">
        <v>21916</v>
      </c>
      <c r="G103" s="517" t="str">
        <f>VLOOKUP(1801,Sprachindex!$A:$Z,Erhebungsbogen!$Y$20,FALSE) &amp; " ( " &amp;Preisliste!H83 &amp; " " &amp; VLOOKUP(1744,Sprachindex!$A:$Z,Erhebungsbogen!$Y$20,FALSE) &amp; ")"</f>
        <v>Rundprofil 80 gr. exkl. Dichtung, gebohrt und entgratet ( 25,694 kg/Stk)</v>
      </c>
      <c r="H103" s="515"/>
      <c r="I103" s="515"/>
      <c r="J103" s="515"/>
      <c r="K103" s="515"/>
      <c r="L103" s="515"/>
      <c r="M103" s="515"/>
      <c r="N103" s="515"/>
      <c r="O103" s="515"/>
      <c r="P103" s="515"/>
      <c r="Q103" s="515"/>
      <c r="R103" s="515"/>
      <c r="S103" s="515"/>
      <c r="T103" s="516"/>
      <c r="U103" s="352">
        <f>VLOOKUP(F103,Preisliste!C:F,4,FALSE)</f>
        <v>762.7</v>
      </c>
      <c r="V103" s="352">
        <f t="shared" si="16"/>
        <v>0</v>
      </c>
      <c r="W103" s="86"/>
      <c r="X103" s="86"/>
      <c r="Y103" s="86"/>
      <c r="Z103" s="86"/>
      <c r="AA103" s="86"/>
      <c r="AB103" s="86"/>
      <c r="AC103" s="86"/>
      <c r="AD103" s="86"/>
      <c r="AE103" s="86"/>
      <c r="AF103" s="86"/>
      <c r="AG103" s="55">
        <f t="shared" si="24"/>
        <v>0</v>
      </c>
      <c r="AH103" s="66">
        <f>IF(Kalk4!$AA$19=4,1,0)</f>
        <v>0</v>
      </c>
      <c r="AI103" s="55">
        <v>80</v>
      </c>
      <c r="AK103" s="55" t="s">
        <v>22079</v>
      </c>
      <c r="AL103" s="66">
        <f>IF(AND(Kalk4!$AA$19=4,Kalk4!$AA$20=2),Kalk4!$H$33-1-AO103-AQ103,0)</f>
        <v>0</v>
      </c>
      <c r="AM103" s="55" t="s">
        <v>22086</v>
      </c>
      <c r="AO103" s="66">
        <f>IF(Kalk4!$O$20&gt;0,Kalk4!$O$20,0)</f>
        <v>0</v>
      </c>
      <c r="AP103" s="55" t="s">
        <v>22121</v>
      </c>
      <c r="AQ103" s="66">
        <f>IF(Kalk4!$O$21&gt;0,Kalk4!$O$21,0)</f>
        <v>0</v>
      </c>
      <c r="AR103" s="55" t="s">
        <v>22120</v>
      </c>
      <c r="AT103" s="55" t="s">
        <v>22079</v>
      </c>
      <c r="AU103" s="66">
        <f>IF(Kalk4!$AI$51=AV103,1,0)</f>
        <v>0</v>
      </c>
      <c r="AV103" s="55">
        <v>1750</v>
      </c>
      <c r="AX103" s="55" t="s">
        <v>22100</v>
      </c>
      <c r="AY103" s="66">
        <f>AL103*Kalk4!$H$37</f>
        <v>0</v>
      </c>
      <c r="AZ103" s="55" t="s">
        <v>20872</v>
      </c>
    </row>
    <row r="104" spans="2:52" ht="24.95" customHeight="1">
      <c r="B104" s="93">
        <f t="shared" si="25"/>
        <v>0</v>
      </c>
      <c r="C104" s="60">
        <v>2150</v>
      </c>
      <c r="D104" s="60"/>
      <c r="E104" s="60" t="str">
        <f>VLOOKUP(1600,Sprachindex!$A:$Z,Erhebungsbogen!$Y$20,FALSE)</f>
        <v>[Stk]</v>
      </c>
      <c r="F104" s="60" t="s">
        <v>21917</v>
      </c>
      <c r="G104" s="517" t="str">
        <f>VLOOKUP(1801,Sprachindex!$A:$Z,Erhebungsbogen!$Y$20,FALSE) &amp; " ( " &amp;Preisliste!H84 &amp; " " &amp; VLOOKUP(1744,Sprachindex!$A:$Z,Erhebungsbogen!$Y$20,FALSE) &amp; ")"</f>
        <v>Rundprofil 80 gr. exkl. Dichtung, gebohrt und entgratet ( 31,566 kg/Stk)</v>
      </c>
      <c r="H104" s="515"/>
      <c r="I104" s="515"/>
      <c r="J104" s="515"/>
      <c r="K104" s="515"/>
      <c r="L104" s="515"/>
      <c r="M104" s="515"/>
      <c r="N104" s="515"/>
      <c r="O104" s="515"/>
      <c r="P104" s="515"/>
      <c r="Q104" s="515"/>
      <c r="R104" s="515"/>
      <c r="S104" s="515"/>
      <c r="T104" s="516"/>
      <c r="U104" s="352">
        <f>VLOOKUP(F104,Preisliste!C:F,4,FALSE)</f>
        <v>852.3</v>
      </c>
      <c r="V104" s="352">
        <f t="shared" si="16"/>
        <v>0</v>
      </c>
      <c r="W104" s="86"/>
      <c r="X104" s="86"/>
      <c r="Y104" s="86"/>
      <c r="Z104" s="86"/>
      <c r="AA104" s="86"/>
      <c r="AB104" s="86"/>
      <c r="AC104" s="86"/>
      <c r="AD104" s="86"/>
      <c r="AE104" s="86"/>
      <c r="AF104" s="86"/>
      <c r="AG104" s="55">
        <f t="shared" si="24"/>
        <v>0</v>
      </c>
      <c r="AH104" s="66">
        <f>IF(Kalk4!$AA$19=4,1,0)</f>
        <v>0</v>
      </c>
      <c r="AI104" s="55">
        <v>80</v>
      </c>
      <c r="AK104" s="55" t="s">
        <v>22079</v>
      </c>
      <c r="AL104" s="66">
        <f>IF(AND(Kalk4!$AA$19=4,Kalk4!$AA$20=2),Kalk4!$H$33-1-AO104-AQ104,0)</f>
        <v>0</v>
      </c>
      <c r="AM104" s="55" t="s">
        <v>22086</v>
      </c>
      <c r="AO104" s="66">
        <f>IF(Kalk4!$O$20&gt;0,Kalk4!$O$20,0)</f>
        <v>0</v>
      </c>
      <c r="AP104" s="55" t="s">
        <v>22121</v>
      </c>
      <c r="AQ104" s="66">
        <f>IF(Kalk4!$O$21&gt;0,Kalk4!$O$21,0)</f>
        <v>0</v>
      </c>
      <c r="AR104" s="55" t="s">
        <v>22120</v>
      </c>
      <c r="AT104" s="55" t="s">
        <v>22079</v>
      </c>
      <c r="AU104" s="66">
        <f>IF(Kalk4!$AI$51=AV104,1,0)</f>
        <v>0</v>
      </c>
      <c r="AV104" s="55">
        <v>2150</v>
      </c>
      <c r="AX104" s="55" t="s">
        <v>22100</v>
      </c>
      <c r="AY104" s="66">
        <f>AL104*Kalk4!$H$37</f>
        <v>0</v>
      </c>
      <c r="AZ104" s="55" t="s">
        <v>20872</v>
      </c>
    </row>
    <row r="105" spans="2:52" ht="24.95" customHeight="1">
      <c r="B105" s="93">
        <f t="shared" si="25"/>
        <v>0</v>
      </c>
      <c r="C105" s="60">
        <f>IF(AG105=1,AW105,0)</f>
        <v>0</v>
      </c>
      <c r="D105" s="60"/>
      <c r="E105" s="60" t="str">
        <f>VLOOKUP(1600,Sprachindex!$A:$Z,Erhebungsbogen!$Y$20,FALSE)</f>
        <v>[Stk]</v>
      </c>
      <c r="F105" s="60" t="s">
        <v>21826</v>
      </c>
      <c r="G105" s="514" t="str">
        <f>VLOOKUP(1802,Sprachindex!$A:$Z,Erhebungsbogen!$Y$20,FALSE) &amp; " (" &amp; ROUNDUP(C105/1000*Preisliste!I85,2) &amp; " " &amp; VLOOKUP(1744,Sprachindex!$A:$Z,Erhebungsbogen!$Y$20,FALSE) &amp; ")"</f>
        <v>Rundprofil 80 gr. Sonderlänge exkl. Dichtung, (Stangenware) (0 kg/Stk)</v>
      </c>
      <c r="H105" s="514"/>
      <c r="I105" s="514"/>
      <c r="J105" s="514"/>
      <c r="K105" s="514"/>
      <c r="L105" s="514"/>
      <c r="M105" s="514"/>
      <c r="N105" s="514"/>
      <c r="O105" s="514"/>
      <c r="P105" s="514"/>
      <c r="Q105" s="514"/>
      <c r="R105" s="514"/>
      <c r="S105" s="514"/>
      <c r="T105" s="514"/>
      <c r="U105" s="354">
        <f>VLOOKUP(F105,Preisliste!C:F,4,FALSE)</f>
        <v>0</v>
      </c>
      <c r="V105" s="352">
        <f t="shared" si="16"/>
        <v>0</v>
      </c>
      <c r="W105" s="86"/>
      <c r="X105" s="86"/>
      <c r="Y105" s="86"/>
      <c r="Z105" s="86"/>
      <c r="AA105" s="86"/>
      <c r="AB105" s="86"/>
      <c r="AC105" s="86"/>
      <c r="AD105" s="86"/>
      <c r="AE105" s="86"/>
      <c r="AF105" s="86"/>
      <c r="AG105" s="55">
        <f t="shared" si="24"/>
        <v>0</v>
      </c>
      <c r="AH105" s="66">
        <f>IF(Kalk4!$AA$19=4,1,0)</f>
        <v>0</v>
      </c>
      <c r="AI105" s="55">
        <v>80</v>
      </c>
      <c r="AK105" s="55" t="s">
        <v>22079</v>
      </c>
      <c r="AL105" s="66">
        <f>IF(AND(Kalk4!$AA$19=4,Kalk4!$AA$20=2),Kalk4!$H$33-1-AO105-AQ105,0)</f>
        <v>0</v>
      </c>
      <c r="AM105" s="55" t="s">
        <v>22086</v>
      </c>
      <c r="AO105" s="66">
        <f>IF(Kalk4!$O$20&gt;0,Kalk4!$O$20,0)</f>
        <v>0</v>
      </c>
      <c r="AP105" s="55" t="s">
        <v>22121</v>
      </c>
      <c r="AQ105" s="66">
        <f>IF(Kalk4!$O$21&gt;0,Kalk4!$O$21,0)</f>
        <v>0</v>
      </c>
      <c r="AR105" s="55" t="s">
        <v>22120</v>
      </c>
      <c r="AT105" s="55" t="s">
        <v>22079</v>
      </c>
      <c r="AU105" s="66">
        <f>IF(Kalk4!$AH$52&gt;AV105,1,0)</f>
        <v>0</v>
      </c>
      <c r="AV105" s="55">
        <v>2150</v>
      </c>
      <c r="AW105" s="66">
        <f>Kalk4!$AH$52</f>
        <v>0</v>
      </c>
      <c r="AX105" s="55" t="s">
        <v>22100</v>
      </c>
      <c r="AY105" s="66">
        <f>AL105*Kalk4!$H$37</f>
        <v>0</v>
      </c>
      <c r="AZ105" s="55" t="s">
        <v>20872</v>
      </c>
    </row>
    <row r="106" spans="2:52" ht="24.95" customHeight="1">
      <c r="B106" s="93">
        <f>IF(AG106=1,AY106,0)</f>
        <v>0</v>
      </c>
      <c r="C106" s="60">
        <v>750</v>
      </c>
      <c r="D106" s="60"/>
      <c r="E106" s="60" t="str">
        <f>VLOOKUP(1600,Sprachindex!$A:$Z,Erhebungsbogen!$Y$20,FALSE)</f>
        <v>[Stk]</v>
      </c>
      <c r="F106" s="60" t="s">
        <v>21918</v>
      </c>
      <c r="G106" s="514" t="str">
        <f>VLOOKUP(1796,Sprachindex!$A:$Z,Erhebungsbogen!$Y$20,FALSE) &amp; " ( " &amp;Preisliste!H86 &amp; " " &amp; VLOOKUP(1744,Sprachindex!$A:$Z,Erhebungsbogen!$Y$20,FALSE) &amp; ")"</f>
        <v>Rundprofil 50-90° exkl. Dichtung, gebohrt und entgratet ( 7,383 kg/Stk)</v>
      </c>
      <c r="H106" s="514"/>
      <c r="I106" s="514"/>
      <c r="J106" s="514"/>
      <c r="K106" s="514"/>
      <c r="L106" s="514"/>
      <c r="M106" s="514"/>
      <c r="N106" s="514"/>
      <c r="O106" s="514"/>
      <c r="P106" s="514"/>
      <c r="Q106" s="514"/>
      <c r="R106" s="514"/>
      <c r="S106" s="514"/>
      <c r="T106" s="514"/>
      <c r="U106" s="352">
        <f>VLOOKUP(F106,Preisliste!C:F,4,FALSE)</f>
        <v>478.05</v>
      </c>
      <c r="V106" s="352">
        <f t="shared" si="16"/>
        <v>0</v>
      </c>
      <c r="W106" s="86"/>
      <c r="X106" s="86"/>
      <c r="Y106" s="86"/>
      <c r="Z106" s="86"/>
      <c r="AA106" s="86"/>
      <c r="AB106" s="86"/>
      <c r="AC106" s="86"/>
      <c r="AD106" s="86"/>
      <c r="AE106" s="86"/>
      <c r="AF106" s="86"/>
      <c r="AG106" s="55">
        <f>IF(AND(AH106=1,AU106=1),1,0)</f>
        <v>1</v>
      </c>
      <c r="AH106" s="66">
        <f>IF(OR(Kalk4!$AA$19=2,Kalk4!$AA$19=3),1,0)</f>
        <v>1</v>
      </c>
      <c r="AI106" s="55">
        <v>50</v>
      </c>
      <c r="AK106" s="55" t="s">
        <v>22079</v>
      </c>
      <c r="AP106" s="66">
        <f>IF(Kalk4!$O$20&gt;0,Kalk4!$O$20,0)</f>
        <v>0</v>
      </c>
      <c r="AQ106" s="55" t="s">
        <v>22121</v>
      </c>
      <c r="AT106" s="55" t="s">
        <v>22079</v>
      </c>
      <c r="AU106" s="66">
        <f>IF(Kalk4!$AI$51=$AV$91,1,0)</f>
        <v>1</v>
      </c>
      <c r="AV106" s="55">
        <v>750</v>
      </c>
      <c r="AX106" s="55" t="s">
        <v>22100</v>
      </c>
      <c r="AY106" s="66">
        <f>AP106*Kalk4!$H$37</f>
        <v>0</v>
      </c>
      <c r="AZ106" s="55" t="s">
        <v>20872</v>
      </c>
    </row>
    <row r="107" spans="2:52" ht="24.95" customHeight="1">
      <c r="B107" s="93">
        <f t="shared" ref="B107:B161" si="26">IF(AG107=1,AY107,0)</f>
        <v>0</v>
      </c>
      <c r="C107" s="60">
        <v>1350</v>
      </c>
      <c r="D107" s="60"/>
      <c r="E107" s="60" t="str">
        <f>VLOOKUP(1600,Sprachindex!$A:$Z,Erhebungsbogen!$Y$20,FALSE)</f>
        <v>[Stk]</v>
      </c>
      <c r="F107" s="60" t="s">
        <v>21919</v>
      </c>
      <c r="G107" s="514" t="str">
        <f>VLOOKUP(1796,Sprachindex!$A:$Z,Erhebungsbogen!$Y$20,FALSE) &amp; " ( " &amp;Preisliste!H87 &amp; " " &amp; VLOOKUP(1744,Sprachindex!$A:$Z,Erhebungsbogen!$Y$20,FALSE) &amp; ")"</f>
        <v>Rundprofil 50-90° exkl. Dichtung, gebohrt und entgratet ( 13,289 kg/Stk)</v>
      </c>
      <c r="H107" s="514"/>
      <c r="I107" s="514"/>
      <c r="J107" s="514"/>
      <c r="K107" s="514"/>
      <c r="L107" s="514"/>
      <c r="M107" s="514"/>
      <c r="N107" s="514"/>
      <c r="O107" s="514"/>
      <c r="P107" s="514"/>
      <c r="Q107" s="514"/>
      <c r="R107" s="514"/>
      <c r="S107" s="514"/>
      <c r="T107" s="514"/>
      <c r="U107" s="352">
        <f>VLOOKUP(F107,Preisliste!C:F,4,FALSE)</f>
        <v>557.4</v>
      </c>
      <c r="V107" s="352">
        <f t="shared" si="16"/>
        <v>0</v>
      </c>
      <c r="W107" s="86"/>
      <c r="X107" s="86"/>
      <c r="Y107" s="86"/>
      <c r="Z107" s="86"/>
      <c r="AA107" s="86"/>
      <c r="AB107" s="86"/>
      <c r="AC107" s="86"/>
      <c r="AD107" s="86"/>
      <c r="AE107" s="86"/>
      <c r="AF107" s="86"/>
      <c r="AG107" s="55">
        <f>IF(AND(AH107=1,AP107&gt;0,AU107=1),1,0)</f>
        <v>0</v>
      </c>
      <c r="AH107" s="66">
        <f>IF(OR(Kalk4!$AA$19=2,Kalk4!$AA$19=3),1,0)</f>
        <v>1</v>
      </c>
      <c r="AI107" s="55">
        <v>50</v>
      </c>
      <c r="AK107" s="55" t="s">
        <v>22079</v>
      </c>
      <c r="AP107" s="66">
        <f>IF(Kalk4!$O$20&gt;0,Kalk4!$O$20,0)</f>
        <v>0</v>
      </c>
      <c r="AQ107" s="55" t="s">
        <v>22121</v>
      </c>
      <c r="AT107" s="55" t="s">
        <v>22079</v>
      </c>
      <c r="AU107" s="66">
        <f>IF(Kalk4!$AI$51=AV107,1,0)</f>
        <v>0</v>
      </c>
      <c r="AV107" s="55">
        <v>1350</v>
      </c>
      <c r="AX107" s="55" t="s">
        <v>22100</v>
      </c>
      <c r="AY107" s="66">
        <f>AP107*Kalk4!$H$37</f>
        <v>0</v>
      </c>
      <c r="AZ107" s="55" t="s">
        <v>20872</v>
      </c>
    </row>
    <row r="108" spans="2:52" ht="24.95" customHeight="1">
      <c r="B108" s="93">
        <f t="shared" si="26"/>
        <v>0</v>
      </c>
      <c r="C108" s="60">
        <v>1750</v>
      </c>
      <c r="D108" s="60"/>
      <c r="E108" s="60" t="str">
        <f>VLOOKUP(1600,Sprachindex!$A:$Z,Erhebungsbogen!$Y$20,FALSE)</f>
        <v>[Stk]</v>
      </c>
      <c r="F108" s="60" t="s">
        <v>21920</v>
      </c>
      <c r="G108" s="514" t="str">
        <f>VLOOKUP(1796,Sprachindex!$A:$Z,Erhebungsbogen!$Y$20,FALSE) &amp; " ( " &amp;Preisliste!H88 &amp; " " &amp; VLOOKUP(1744,Sprachindex!$A:$Z,Erhebungsbogen!$Y$20,FALSE) &amp; ")"</f>
        <v>Rundprofil 50-90° exkl. Dichtung, gebohrt und entgratet ( 17,227 kg/Stk)</v>
      </c>
      <c r="H108" s="514"/>
      <c r="I108" s="514"/>
      <c r="J108" s="514"/>
      <c r="K108" s="514"/>
      <c r="L108" s="514"/>
      <c r="M108" s="514"/>
      <c r="N108" s="514"/>
      <c r="O108" s="514"/>
      <c r="P108" s="514"/>
      <c r="Q108" s="514"/>
      <c r="R108" s="514"/>
      <c r="S108" s="514"/>
      <c r="T108" s="514"/>
      <c r="U108" s="352">
        <f>VLOOKUP(F108,Preisliste!C:F,4,FALSE)</f>
        <v>610.25</v>
      </c>
      <c r="V108" s="352">
        <f t="shared" si="16"/>
        <v>0</v>
      </c>
      <c r="W108" s="86"/>
      <c r="X108" s="86"/>
      <c r="Y108" s="86"/>
      <c r="Z108" s="86"/>
      <c r="AA108" s="86"/>
      <c r="AB108" s="86"/>
      <c r="AC108" s="86"/>
      <c r="AD108" s="86"/>
      <c r="AE108" s="86"/>
      <c r="AF108" s="86"/>
      <c r="AG108" s="55">
        <f t="shared" ref="AG108:AG160" si="27">IF(AND(AH108=1,AU108=1),1,0)</f>
        <v>0</v>
      </c>
      <c r="AH108" s="66">
        <f>IF(OR(Kalk4!$AA$19=2,Kalk4!$AA$19=3),1,0)</f>
        <v>1</v>
      </c>
      <c r="AI108" s="55">
        <v>50</v>
      </c>
      <c r="AK108" s="55" t="s">
        <v>22079</v>
      </c>
      <c r="AP108" s="66">
        <f>IF(Kalk4!$O$20&gt;0,Kalk4!$O$20,0)</f>
        <v>0</v>
      </c>
      <c r="AQ108" s="55" t="s">
        <v>22121</v>
      </c>
      <c r="AT108" s="55" t="s">
        <v>22079</v>
      </c>
      <c r="AU108" s="66">
        <f>IF(Kalk4!$AI$51=AV108,1,0)</f>
        <v>0</v>
      </c>
      <c r="AV108" s="55">
        <v>1750</v>
      </c>
      <c r="AX108" s="55" t="s">
        <v>22100</v>
      </c>
      <c r="AY108" s="66">
        <f>AP108*Kalk4!$H$37</f>
        <v>0</v>
      </c>
      <c r="AZ108" s="55" t="s">
        <v>20872</v>
      </c>
    </row>
    <row r="109" spans="2:52" ht="24.95" customHeight="1">
      <c r="B109" s="93">
        <f t="shared" si="26"/>
        <v>0</v>
      </c>
      <c r="C109" s="60">
        <v>2150</v>
      </c>
      <c r="D109" s="60"/>
      <c r="E109" s="60" t="str">
        <f>VLOOKUP(1600,Sprachindex!$A:$Z,Erhebungsbogen!$Y$20,FALSE)</f>
        <v>[Stk]</v>
      </c>
      <c r="F109" s="60" t="s">
        <v>21921</v>
      </c>
      <c r="G109" s="514" t="str">
        <f>VLOOKUP(1796,Sprachindex!$A:$Z,Erhebungsbogen!$Y$20,FALSE) &amp; " ( " &amp;Preisliste!H89 &amp; " " &amp; VLOOKUP(1744,Sprachindex!$A:$Z,Erhebungsbogen!$Y$20,FALSE) &amp; ")"</f>
        <v>Rundprofil 50-90° exkl. Dichtung, gebohrt und entgratet ( 21,165 kg/Stk)</v>
      </c>
      <c r="H109" s="514"/>
      <c r="I109" s="514"/>
      <c r="J109" s="514"/>
      <c r="K109" s="514"/>
      <c r="L109" s="514"/>
      <c r="M109" s="514"/>
      <c r="N109" s="514"/>
      <c r="O109" s="514"/>
      <c r="P109" s="514"/>
      <c r="Q109" s="514"/>
      <c r="R109" s="514"/>
      <c r="S109" s="514"/>
      <c r="T109" s="514"/>
      <c r="U109" s="352">
        <f>VLOOKUP(F109,Preisliste!C:F,4,FALSE)</f>
        <v>663.3</v>
      </c>
      <c r="V109" s="352">
        <f t="shared" si="16"/>
        <v>0</v>
      </c>
      <c r="W109" s="86"/>
      <c r="X109" s="86"/>
      <c r="Y109" s="86"/>
      <c r="Z109" s="86"/>
      <c r="AA109" s="86"/>
      <c r="AB109" s="86"/>
      <c r="AC109" s="86"/>
      <c r="AD109" s="86"/>
      <c r="AE109" s="86"/>
      <c r="AF109" s="86"/>
      <c r="AG109" s="55">
        <f t="shared" si="27"/>
        <v>0</v>
      </c>
      <c r="AH109" s="66">
        <f>IF(OR(Kalk4!$AA$19=2,Kalk4!$AA$19=3),1,0)</f>
        <v>1</v>
      </c>
      <c r="AI109" s="55">
        <v>50</v>
      </c>
      <c r="AK109" s="55" t="s">
        <v>22079</v>
      </c>
      <c r="AP109" s="66">
        <f>IF(Kalk4!$O$20&gt;0,Kalk4!$O$20,0)</f>
        <v>0</v>
      </c>
      <c r="AQ109" s="55" t="s">
        <v>22121</v>
      </c>
      <c r="AT109" s="55" t="s">
        <v>22079</v>
      </c>
      <c r="AU109" s="66">
        <f>IF(Kalk4!$AI$51=AV109,1,0)</f>
        <v>0</v>
      </c>
      <c r="AV109" s="55">
        <v>2150</v>
      </c>
      <c r="AX109" s="55" t="s">
        <v>22100</v>
      </c>
      <c r="AY109" s="66">
        <f>AP109*Kalk4!$H$37</f>
        <v>0</v>
      </c>
      <c r="AZ109" s="55" t="s">
        <v>20872</v>
      </c>
    </row>
    <row r="110" spans="2:52" ht="24.95" customHeight="1">
      <c r="B110" s="93">
        <f t="shared" si="26"/>
        <v>0</v>
      </c>
      <c r="C110" s="60">
        <f>IF(AG110=1,AW110,0)</f>
        <v>0</v>
      </c>
      <c r="D110" s="60"/>
      <c r="E110" s="60" t="str">
        <f>VLOOKUP(1600,Sprachindex!$A:$Z,Erhebungsbogen!$Y$20,FALSE)</f>
        <v>[Stk]</v>
      </c>
      <c r="F110" s="60" t="s">
        <v>21826</v>
      </c>
      <c r="G110" s="514" t="str">
        <f>VLOOKUP(1797,Sprachindex!$A:$Z,Erhebungsbogen!$Y$20,FALSE) &amp; " (" &amp; ROUNDUP(C110/1000*Preisliste!I90,2) &amp; " " &amp; VLOOKUP(1744,Sprachindex!$A:$Z,Erhebungsbogen!$Y$20,FALSE) &amp; ")"</f>
        <v>Rundprofil 50-90° Sonderlänge exkl. Dichtung, (Stangenware) (0 kg/Stk)</v>
      </c>
      <c r="H110" s="514"/>
      <c r="I110" s="514"/>
      <c r="J110" s="514"/>
      <c r="K110" s="514"/>
      <c r="L110" s="514"/>
      <c r="M110" s="514"/>
      <c r="N110" s="514"/>
      <c r="O110" s="514"/>
      <c r="P110" s="514"/>
      <c r="Q110" s="514"/>
      <c r="R110" s="514"/>
      <c r="S110" s="514"/>
      <c r="T110" s="514"/>
      <c r="U110" s="354">
        <f>VLOOKUP(F110,Preisliste!C:F,4,FALSE)</f>
        <v>0</v>
      </c>
      <c r="V110" s="352">
        <f t="shared" si="16"/>
        <v>0</v>
      </c>
      <c r="W110" s="86"/>
      <c r="X110" s="86"/>
      <c r="Y110" s="86"/>
      <c r="Z110" s="86"/>
      <c r="AA110" s="86"/>
      <c r="AB110" s="86"/>
      <c r="AC110" s="86"/>
      <c r="AD110" s="86"/>
      <c r="AE110" s="86"/>
      <c r="AF110" s="86"/>
      <c r="AG110" s="55">
        <f t="shared" si="27"/>
        <v>0</v>
      </c>
      <c r="AH110" s="66">
        <f>IF(OR(Kalk4!$AA$19=2,Kalk4!$AA$19=3),1,0)</f>
        <v>1</v>
      </c>
      <c r="AI110" s="55">
        <v>50</v>
      </c>
      <c r="AK110" s="55" t="s">
        <v>22079</v>
      </c>
      <c r="AP110" s="66">
        <f>IF(Kalk4!$O$20&gt;0,Kalk4!$O$20,0)</f>
        <v>0</v>
      </c>
      <c r="AQ110" s="55" t="s">
        <v>22121</v>
      </c>
      <c r="AT110" s="55" t="s">
        <v>22079</v>
      </c>
      <c r="AU110" s="66">
        <f>IF(Kalk4!$AH$52&gt;AV110,1,0)</f>
        <v>0</v>
      </c>
      <c r="AV110" s="55">
        <v>2150</v>
      </c>
      <c r="AW110" s="66">
        <f>Kalk4!$AH$52</f>
        <v>0</v>
      </c>
      <c r="AX110" s="55" t="s">
        <v>22100</v>
      </c>
      <c r="AY110" s="66">
        <f>AP110*Kalk4!$H$37</f>
        <v>0</v>
      </c>
      <c r="AZ110" s="55" t="s">
        <v>20872</v>
      </c>
    </row>
    <row r="111" spans="2:52" ht="24.95" customHeight="1">
      <c r="B111" s="93">
        <f t="shared" si="26"/>
        <v>0</v>
      </c>
      <c r="C111" s="60">
        <v>750</v>
      </c>
      <c r="D111" s="60"/>
      <c r="E111" s="60" t="str">
        <f>VLOOKUP(1600,Sprachindex!$A:$Z,Erhebungsbogen!$Y$20,FALSE)</f>
        <v>[Stk]</v>
      </c>
      <c r="F111" s="60" t="s">
        <v>21922</v>
      </c>
      <c r="G111" s="514" t="str">
        <f>VLOOKUP(1804,Sprachindex!$A:$Z,Erhebungsbogen!$Y$20,FALSE) &amp; " ( " &amp;Preisliste!H91 &amp; " " &amp; VLOOKUP(1744,Sprachindex!$A:$Z,Erhebungsbogen!$Y$20,FALSE) &amp; ")"</f>
        <v>Rundprofil 80-90° exkl. Dichtung, gebohrt und entgratet ( 11,264 kg/Stk)</v>
      </c>
      <c r="H111" s="514"/>
      <c r="I111" s="514"/>
      <c r="J111" s="514"/>
      <c r="K111" s="514"/>
      <c r="L111" s="514"/>
      <c r="M111" s="514"/>
      <c r="N111" s="514"/>
      <c r="O111" s="514"/>
      <c r="P111" s="514"/>
      <c r="Q111" s="514"/>
      <c r="R111" s="514"/>
      <c r="S111" s="514"/>
      <c r="T111" s="514"/>
      <c r="U111" s="352">
        <f>VLOOKUP(F111,Preisliste!C:F,4,FALSE)</f>
        <v>544.6</v>
      </c>
      <c r="V111" s="352">
        <f t="shared" si="16"/>
        <v>0</v>
      </c>
      <c r="W111" s="86"/>
      <c r="X111" s="86"/>
      <c r="Y111" s="86"/>
      <c r="Z111" s="86"/>
      <c r="AA111" s="86"/>
      <c r="AB111" s="86"/>
      <c r="AC111" s="86"/>
      <c r="AD111" s="86"/>
      <c r="AE111" s="86"/>
      <c r="AF111" s="86"/>
      <c r="AG111" s="55">
        <f t="shared" si="27"/>
        <v>0</v>
      </c>
      <c r="AH111" s="66">
        <f>IF(Kalk4!$AA$19=4,1,0)</f>
        <v>0</v>
      </c>
      <c r="AI111" s="55">
        <v>80</v>
      </c>
      <c r="AK111" s="55" t="s">
        <v>22079</v>
      </c>
      <c r="AP111" s="66">
        <f>IF(Kalk4!$O$20&gt;0,Kalk4!$O$20,0)</f>
        <v>0</v>
      </c>
      <c r="AQ111" s="55" t="s">
        <v>22121</v>
      </c>
      <c r="AT111" s="55" t="s">
        <v>22079</v>
      </c>
      <c r="AU111" s="66">
        <f>IF(Kalk4!$AI$51=$AV$91,1,0)</f>
        <v>1</v>
      </c>
      <c r="AV111" s="55">
        <v>750</v>
      </c>
      <c r="AX111" s="55" t="s">
        <v>22100</v>
      </c>
      <c r="AY111" s="66">
        <f>AP111*Kalk4!$H$37</f>
        <v>0</v>
      </c>
      <c r="AZ111" s="55" t="s">
        <v>20872</v>
      </c>
    </row>
    <row r="112" spans="2:52" ht="24.95" customHeight="1">
      <c r="B112" s="93">
        <f t="shared" si="26"/>
        <v>0</v>
      </c>
      <c r="C112" s="60">
        <v>1350</v>
      </c>
      <c r="D112" s="60"/>
      <c r="E112" s="60" t="str">
        <f>VLOOKUP(1600,Sprachindex!$A:$Z,Erhebungsbogen!$Y$20,FALSE)</f>
        <v>[Stk]</v>
      </c>
      <c r="F112" s="60" t="s">
        <v>21923</v>
      </c>
      <c r="G112" s="514" t="str">
        <f>VLOOKUP(1804,Sprachindex!$A:$Z,Erhebungsbogen!$Y$20,FALSE) &amp; " ( " &amp;Preisliste!H92 &amp; " " &amp; VLOOKUP(1744,Sprachindex!$A:$Z,Erhebungsbogen!$Y$20,FALSE) &amp; ")"</f>
        <v>Rundprofil 80-90° exkl. Dichtung, gebohrt und entgratet ( 20,276 kg/Stk)</v>
      </c>
      <c r="H112" s="514"/>
      <c r="I112" s="514"/>
      <c r="J112" s="514"/>
      <c r="K112" s="514"/>
      <c r="L112" s="514"/>
      <c r="M112" s="514"/>
      <c r="N112" s="514"/>
      <c r="O112" s="514"/>
      <c r="P112" s="514"/>
      <c r="Q112" s="514"/>
      <c r="R112" s="514"/>
      <c r="S112" s="514"/>
      <c r="T112" s="514"/>
      <c r="U112" s="352">
        <f>VLOOKUP(F112,Preisliste!C:F,4,FALSE)</f>
        <v>682.6</v>
      </c>
      <c r="V112" s="352">
        <f t="shared" si="16"/>
        <v>0</v>
      </c>
      <c r="W112" s="86"/>
      <c r="X112" s="86"/>
      <c r="Y112" s="86"/>
      <c r="Z112" s="86"/>
      <c r="AA112" s="86"/>
      <c r="AB112" s="86"/>
      <c r="AC112" s="86"/>
      <c r="AD112" s="86"/>
      <c r="AE112" s="86"/>
      <c r="AF112" s="86"/>
      <c r="AG112" s="55">
        <f t="shared" si="27"/>
        <v>0</v>
      </c>
      <c r="AH112" s="66">
        <f>IF(Kalk4!$AA$19=4,1,0)</f>
        <v>0</v>
      </c>
      <c r="AI112" s="55">
        <v>80</v>
      </c>
      <c r="AK112" s="55" t="s">
        <v>22079</v>
      </c>
      <c r="AP112" s="66">
        <f>IF(Kalk4!$O$20&gt;0,Kalk4!$O$20,0)</f>
        <v>0</v>
      </c>
      <c r="AQ112" s="55" t="s">
        <v>22121</v>
      </c>
      <c r="AT112" s="55" t="s">
        <v>22079</v>
      </c>
      <c r="AU112" s="66">
        <f>IF(Kalk4!$AI$51=AV112,1,0)</f>
        <v>0</v>
      </c>
      <c r="AV112" s="55">
        <v>1350</v>
      </c>
      <c r="AX112" s="55" t="s">
        <v>22100</v>
      </c>
      <c r="AY112" s="66">
        <f>AP112*Kalk4!$H$37</f>
        <v>0</v>
      </c>
      <c r="AZ112" s="55" t="s">
        <v>20872</v>
      </c>
    </row>
    <row r="113" spans="2:52" ht="24.95" customHeight="1">
      <c r="B113" s="93">
        <f t="shared" si="26"/>
        <v>0</v>
      </c>
      <c r="C113" s="60">
        <v>1750</v>
      </c>
      <c r="D113" s="60"/>
      <c r="E113" s="60" t="str">
        <f>VLOOKUP(1600,Sprachindex!$A:$Z,Erhebungsbogen!$Y$20,FALSE)</f>
        <v>[Stk]</v>
      </c>
      <c r="F113" s="60" t="s">
        <v>21924</v>
      </c>
      <c r="G113" s="514" t="str">
        <f>VLOOKUP(1804,Sprachindex!$A:$Z,Erhebungsbogen!$Y$20,FALSE) &amp; " ( " &amp;Preisliste!H93 &amp; " " &amp; VLOOKUP(1744,Sprachindex!$A:$Z,Erhebungsbogen!$Y$20,FALSE) &amp; ")"</f>
        <v>Rundprofil 80-90° exkl. Dichtung, gebohrt und entgratet ( 26,283 kg/Stk)</v>
      </c>
      <c r="H113" s="514"/>
      <c r="I113" s="514"/>
      <c r="J113" s="514"/>
      <c r="K113" s="514"/>
      <c r="L113" s="514"/>
      <c r="M113" s="514"/>
      <c r="N113" s="514"/>
      <c r="O113" s="514"/>
      <c r="P113" s="514"/>
      <c r="Q113" s="514"/>
      <c r="R113" s="514"/>
      <c r="S113" s="514"/>
      <c r="T113" s="514"/>
      <c r="U113" s="352">
        <f>VLOOKUP(F113,Preisliste!C:F,4,FALSE)</f>
        <v>774.8</v>
      </c>
      <c r="V113" s="352">
        <f t="shared" si="16"/>
        <v>0</v>
      </c>
      <c r="W113" s="86"/>
      <c r="X113" s="86"/>
      <c r="Y113" s="86"/>
      <c r="Z113" s="86"/>
      <c r="AA113" s="86"/>
      <c r="AB113" s="86"/>
      <c r="AC113" s="86"/>
      <c r="AD113" s="86"/>
      <c r="AE113" s="86"/>
      <c r="AF113" s="86"/>
      <c r="AG113" s="55">
        <f t="shared" si="27"/>
        <v>0</v>
      </c>
      <c r="AH113" s="66">
        <f>IF(Kalk4!$AA$19=4,1,0)</f>
        <v>0</v>
      </c>
      <c r="AI113" s="55">
        <v>80</v>
      </c>
      <c r="AK113" s="55" t="s">
        <v>22079</v>
      </c>
      <c r="AP113" s="66">
        <f>IF(Kalk4!$O$20&gt;0,Kalk4!$O$20,0)</f>
        <v>0</v>
      </c>
      <c r="AQ113" s="55" t="s">
        <v>22121</v>
      </c>
      <c r="AT113" s="55" t="s">
        <v>22079</v>
      </c>
      <c r="AU113" s="66">
        <f>IF(Kalk4!$AI$51=AV113,1,0)</f>
        <v>0</v>
      </c>
      <c r="AV113" s="55">
        <v>1750</v>
      </c>
      <c r="AX113" s="55" t="s">
        <v>22100</v>
      </c>
      <c r="AY113" s="66">
        <f>AP113*Kalk4!$H$37</f>
        <v>0</v>
      </c>
      <c r="AZ113" s="55" t="s">
        <v>20872</v>
      </c>
    </row>
    <row r="114" spans="2:52" ht="24.95" customHeight="1">
      <c r="B114" s="93">
        <f t="shared" si="26"/>
        <v>0</v>
      </c>
      <c r="C114" s="60">
        <v>2150</v>
      </c>
      <c r="D114" s="60"/>
      <c r="E114" s="60" t="str">
        <f>VLOOKUP(1600,Sprachindex!$A:$Z,Erhebungsbogen!$Y$20,FALSE)</f>
        <v>[Stk]</v>
      </c>
      <c r="F114" s="60" t="s">
        <v>21925</v>
      </c>
      <c r="G114" s="514" t="str">
        <f>VLOOKUP(1804,Sprachindex!$A:$Z,Erhebungsbogen!$Y$20,FALSE) &amp; " ( " &amp;Preisliste!H94 &amp; " " &amp; VLOOKUP(1744,Sprachindex!$A:$Z,Erhebungsbogen!$Y$20,FALSE) &amp; ")"</f>
        <v>Rundprofil 80-90° exkl. Dichtung, gebohrt und entgratet ( 32,291 kg/Stk)</v>
      </c>
      <c r="H114" s="514"/>
      <c r="I114" s="514"/>
      <c r="J114" s="514"/>
      <c r="K114" s="514"/>
      <c r="L114" s="514"/>
      <c r="M114" s="514"/>
      <c r="N114" s="514"/>
      <c r="O114" s="514"/>
      <c r="P114" s="514"/>
      <c r="Q114" s="514"/>
      <c r="R114" s="514"/>
      <c r="S114" s="514"/>
      <c r="T114" s="514"/>
      <c r="U114" s="352">
        <f>VLOOKUP(F114,Preisliste!C:F,4,FALSE)</f>
        <v>866.75</v>
      </c>
      <c r="V114" s="352">
        <f t="shared" si="16"/>
        <v>0</v>
      </c>
      <c r="W114" s="86"/>
      <c r="X114" s="86"/>
      <c r="Y114" s="86"/>
      <c r="Z114" s="86"/>
      <c r="AA114" s="86"/>
      <c r="AB114" s="86"/>
      <c r="AC114" s="86"/>
      <c r="AD114" s="86"/>
      <c r="AE114" s="86"/>
      <c r="AF114" s="86"/>
      <c r="AG114" s="55">
        <f t="shared" si="27"/>
        <v>0</v>
      </c>
      <c r="AH114" s="66">
        <f>IF(Kalk4!$AA$19=4,1,0)</f>
        <v>0</v>
      </c>
      <c r="AI114" s="55">
        <v>80</v>
      </c>
      <c r="AK114" s="55" t="s">
        <v>22079</v>
      </c>
      <c r="AP114" s="66">
        <f>IF(Kalk4!$O$20&gt;0,Kalk4!$O$20,0)</f>
        <v>0</v>
      </c>
      <c r="AQ114" s="55" t="s">
        <v>22121</v>
      </c>
      <c r="AT114" s="55" t="s">
        <v>22079</v>
      </c>
      <c r="AU114" s="66">
        <f>IF(Kalk4!$AI$51=AV114,1,0)</f>
        <v>0</v>
      </c>
      <c r="AV114" s="55">
        <v>2150</v>
      </c>
      <c r="AX114" s="55" t="s">
        <v>22100</v>
      </c>
      <c r="AY114" s="66">
        <f>AP114*Kalk4!$H$37</f>
        <v>0</v>
      </c>
      <c r="AZ114" s="55" t="s">
        <v>20872</v>
      </c>
    </row>
    <row r="115" spans="2:52" ht="24.95" customHeight="1">
      <c r="B115" s="93">
        <f t="shared" si="26"/>
        <v>0</v>
      </c>
      <c r="C115" s="60">
        <f>IF(AG115=1,AW115,0)</f>
        <v>0</v>
      </c>
      <c r="D115" s="60"/>
      <c r="E115" s="60" t="str">
        <f>VLOOKUP(1600,Sprachindex!$A:$Z,Erhebungsbogen!$Y$20,FALSE)</f>
        <v>[Stk]</v>
      </c>
      <c r="F115" s="60" t="s">
        <v>21826</v>
      </c>
      <c r="G115" s="514" t="str">
        <f>VLOOKUP(1805,Sprachindex!$A:$Z,Erhebungsbogen!$Y$20,FALSE) &amp; " (" &amp; ROUNDUP(C115/1000*Preisliste!I95,2) &amp; " " &amp; VLOOKUP(1744,Sprachindex!$A:$Z,Erhebungsbogen!$Y$20,FALSE) &amp; ")"</f>
        <v>Rundprofil 80-90° Sonderlänge exkl. Dichtung, (Stangenware) (0 kg/Stk)</v>
      </c>
      <c r="H115" s="514"/>
      <c r="I115" s="514"/>
      <c r="J115" s="514"/>
      <c r="K115" s="514"/>
      <c r="L115" s="514"/>
      <c r="M115" s="514"/>
      <c r="N115" s="514"/>
      <c r="O115" s="514"/>
      <c r="P115" s="514"/>
      <c r="Q115" s="514"/>
      <c r="R115" s="514"/>
      <c r="S115" s="514"/>
      <c r="T115" s="514"/>
      <c r="U115" s="354">
        <f>VLOOKUP(F115,Preisliste!C:F,4,FALSE)</f>
        <v>0</v>
      </c>
      <c r="V115" s="352">
        <f t="shared" si="16"/>
        <v>0</v>
      </c>
      <c r="W115" s="86"/>
      <c r="X115" s="86"/>
      <c r="Y115" s="86"/>
      <c r="Z115" s="86"/>
      <c r="AA115" s="86"/>
      <c r="AB115" s="86"/>
      <c r="AC115" s="86"/>
      <c r="AD115" s="86"/>
      <c r="AE115" s="86"/>
      <c r="AF115" s="86"/>
      <c r="AG115" s="55">
        <f t="shared" si="27"/>
        <v>0</v>
      </c>
      <c r="AH115" s="66">
        <f>IF(Kalk4!$AA$19=4,1,0)</f>
        <v>0</v>
      </c>
      <c r="AI115" s="55">
        <v>80</v>
      </c>
      <c r="AK115" s="55" t="s">
        <v>22079</v>
      </c>
      <c r="AP115" s="66">
        <f>IF(Kalk4!$O$20&gt;0,Kalk4!$O$20,0)</f>
        <v>0</v>
      </c>
      <c r="AQ115" s="55" t="s">
        <v>22121</v>
      </c>
      <c r="AT115" s="55" t="s">
        <v>22079</v>
      </c>
      <c r="AU115" s="66">
        <f>IF(Kalk4!$AH$52&gt;AV115,1,0)</f>
        <v>0</v>
      </c>
      <c r="AV115" s="55">
        <v>2150</v>
      </c>
      <c r="AW115" s="66">
        <f>Kalk4!$AH$52</f>
        <v>0</v>
      </c>
      <c r="AX115" s="55" t="s">
        <v>22100</v>
      </c>
      <c r="AY115" s="66">
        <f>AP115*Kalk4!$H$37</f>
        <v>0</v>
      </c>
      <c r="AZ115" s="55" t="s">
        <v>20872</v>
      </c>
    </row>
    <row r="116" spans="2:52" ht="24.95" customHeight="1">
      <c r="B116" s="93">
        <f t="shared" si="26"/>
        <v>0</v>
      </c>
      <c r="C116" s="60">
        <v>750</v>
      </c>
      <c r="D116" s="60"/>
      <c r="E116" s="60" t="str">
        <f>VLOOKUP(1600,Sprachindex!$A:$Z,Erhebungsbogen!$Y$20,FALSE)</f>
        <v>[Stk]</v>
      </c>
      <c r="F116" s="60" t="s">
        <v>21926</v>
      </c>
      <c r="G116" s="514" t="str">
        <f>VLOOKUP(2129,Sprachindex!$A:$Z,Erhebungsbogen!$Y$20,FALSE) &amp; " ( " &amp;Preisliste!H96 &amp; " " &amp; VLOOKUP(1744,Sprachindex!$A:$Z,Erhebungsbogen!$Y$20,FALSE) &amp; ")"</f>
        <v>Rundprofil 50-Vario 15° exkl. Dichtung, gebohrt und entgratet ( 15,651 kg/Stk)</v>
      </c>
      <c r="H116" s="514"/>
      <c r="I116" s="514"/>
      <c r="J116" s="514"/>
      <c r="K116" s="514"/>
      <c r="L116" s="514"/>
      <c r="M116" s="514"/>
      <c r="N116" s="514"/>
      <c r="O116" s="514"/>
      <c r="P116" s="514"/>
      <c r="Q116" s="514"/>
      <c r="R116" s="514"/>
      <c r="S116" s="514"/>
      <c r="T116" s="514"/>
      <c r="U116" s="352">
        <f>VLOOKUP(F116,Preisliste!C:F,4,FALSE)</f>
        <v>805.1</v>
      </c>
      <c r="V116" s="352">
        <f t="shared" si="16"/>
        <v>0</v>
      </c>
      <c r="W116" s="86"/>
      <c r="X116" s="86"/>
      <c r="Y116" s="86"/>
      <c r="Z116" s="86"/>
      <c r="AA116" s="86"/>
      <c r="AB116" s="86"/>
      <c r="AC116" s="86"/>
      <c r="AD116" s="86"/>
      <c r="AE116" s="86"/>
      <c r="AF116" s="86"/>
      <c r="AG116" s="55">
        <f t="shared" si="27"/>
        <v>1</v>
      </c>
      <c r="AH116" s="66">
        <f>IF(OR(Kalk4!$AA$19=2,Kalk4!$AA$19=3),1,0)</f>
        <v>1</v>
      </c>
      <c r="AI116" s="55">
        <v>50</v>
      </c>
      <c r="AK116" s="55" t="s">
        <v>22079</v>
      </c>
      <c r="AP116" s="66">
        <f>IF(AND(Kalk4!$O$21&gt;0,Kalk4!$N$21="15°"),Kalk4!$O$21,0)</f>
        <v>0</v>
      </c>
      <c r="AQ116" s="55" t="s">
        <v>22087</v>
      </c>
      <c r="AT116" s="55" t="s">
        <v>22079</v>
      </c>
      <c r="AU116" s="66">
        <f>IF(Kalk4!$AI$51=$AV$91,1,0)</f>
        <v>1</v>
      </c>
      <c r="AV116" s="55">
        <v>750</v>
      </c>
      <c r="AX116" s="55" t="s">
        <v>22100</v>
      </c>
      <c r="AY116" s="66">
        <f>AP116*Kalk4!$H$37</f>
        <v>0</v>
      </c>
      <c r="AZ116" s="55" t="s">
        <v>20872</v>
      </c>
    </row>
    <row r="117" spans="2:52" ht="24.95" customHeight="1">
      <c r="B117" s="93">
        <f t="shared" si="26"/>
        <v>0</v>
      </c>
      <c r="C117" s="60">
        <v>1350</v>
      </c>
      <c r="D117" s="60"/>
      <c r="E117" s="60" t="str">
        <f>VLOOKUP(1600,Sprachindex!$A:$Z,Erhebungsbogen!$Y$20,FALSE)</f>
        <v>[Stk]</v>
      </c>
      <c r="F117" s="60" t="s">
        <v>21927</v>
      </c>
      <c r="G117" s="514" t="str">
        <f>VLOOKUP(2129,Sprachindex!$A:$Z,Erhebungsbogen!$Y$20,FALSE) &amp; " ( " &amp;Preisliste!H97 &amp; " " &amp; VLOOKUP(1744,Sprachindex!$A:$Z,Erhebungsbogen!$Y$20,FALSE) &amp; ")"</f>
        <v>Rundprofil 50-Vario 15° exkl. Dichtung, gebohrt und entgratet ( 28,172 kg/Stk)</v>
      </c>
      <c r="H117" s="514"/>
      <c r="I117" s="514"/>
      <c r="J117" s="514"/>
      <c r="K117" s="514"/>
      <c r="L117" s="514"/>
      <c r="M117" s="514"/>
      <c r="N117" s="514"/>
      <c r="O117" s="514"/>
      <c r="P117" s="514"/>
      <c r="Q117" s="514"/>
      <c r="R117" s="514"/>
      <c r="S117" s="514"/>
      <c r="T117" s="514"/>
      <c r="U117" s="352">
        <f>VLOOKUP(F117,Preisliste!C:F,4,FALSE)</f>
        <v>988.05</v>
      </c>
      <c r="V117" s="352">
        <f t="shared" si="16"/>
        <v>0</v>
      </c>
      <c r="W117" s="86"/>
      <c r="X117" s="86"/>
      <c r="Y117" s="86"/>
      <c r="Z117" s="86"/>
      <c r="AA117" s="86"/>
      <c r="AB117" s="86"/>
      <c r="AC117" s="86"/>
      <c r="AD117" s="86"/>
      <c r="AE117" s="86"/>
      <c r="AF117" s="86"/>
      <c r="AG117" s="55">
        <f>IF(AND(AH117=1,AP117&gt;0,AU117=1),1,0)</f>
        <v>0</v>
      </c>
      <c r="AH117" s="66">
        <f>IF(OR(Kalk4!$AA$19=2,Kalk4!$AA$19=3),1,0)</f>
        <v>1</v>
      </c>
      <c r="AI117" s="55">
        <v>50</v>
      </c>
      <c r="AK117" s="55" t="s">
        <v>22079</v>
      </c>
      <c r="AP117" s="66">
        <f>IF(AND(Kalk4!$O$21&gt;0,Kalk4!$N$21="15°"),Kalk4!$O$21,0)</f>
        <v>0</v>
      </c>
      <c r="AQ117" s="55" t="s">
        <v>22087</v>
      </c>
      <c r="AT117" s="55" t="s">
        <v>22079</v>
      </c>
      <c r="AU117" s="66">
        <f>IF(Kalk4!$AI$51=AV117,1,0)</f>
        <v>0</v>
      </c>
      <c r="AV117" s="55">
        <v>1350</v>
      </c>
      <c r="AX117" s="55" t="s">
        <v>22100</v>
      </c>
      <c r="AY117" s="66">
        <f>AP117*Kalk4!$H$37</f>
        <v>0</v>
      </c>
      <c r="AZ117" s="55" t="s">
        <v>20872</v>
      </c>
    </row>
    <row r="118" spans="2:52" ht="24.95" customHeight="1">
      <c r="B118" s="93">
        <f t="shared" si="26"/>
        <v>0</v>
      </c>
      <c r="C118" s="60">
        <v>1750</v>
      </c>
      <c r="D118" s="60"/>
      <c r="E118" s="60" t="str">
        <f>VLOOKUP(1600,Sprachindex!$A:$Z,Erhebungsbogen!$Y$20,FALSE)</f>
        <v>[Stk]</v>
      </c>
      <c r="F118" s="60" t="s">
        <v>21928</v>
      </c>
      <c r="G118" s="514" t="str">
        <f>VLOOKUP(2129,Sprachindex!$A:$Z,Erhebungsbogen!$Y$20,FALSE) &amp; " ( " &amp;Preisliste!H98 &amp; " " &amp; VLOOKUP(1744,Sprachindex!$A:$Z,Erhebungsbogen!$Y$20,FALSE) &amp; ")"</f>
        <v>Rundprofil 50-Vario 15° exkl. Dichtung, gebohrt und entgratet ( 36,519 kg/Stk)</v>
      </c>
      <c r="H118" s="514"/>
      <c r="I118" s="514"/>
      <c r="J118" s="514"/>
      <c r="K118" s="514"/>
      <c r="L118" s="514"/>
      <c r="M118" s="514"/>
      <c r="N118" s="514"/>
      <c r="O118" s="514"/>
      <c r="P118" s="514"/>
      <c r="Q118" s="514"/>
      <c r="R118" s="514"/>
      <c r="S118" s="514"/>
      <c r="T118" s="514"/>
      <c r="U118" s="352">
        <f>VLOOKUP(F118,Preisliste!C:F,4,FALSE)</f>
        <v>1110.0999999999999</v>
      </c>
      <c r="V118" s="352">
        <f t="shared" si="16"/>
        <v>0</v>
      </c>
      <c r="W118" s="86"/>
      <c r="X118" s="86"/>
      <c r="Y118" s="86"/>
      <c r="Z118" s="86"/>
      <c r="AA118" s="86"/>
      <c r="AB118" s="86"/>
      <c r="AC118" s="86"/>
      <c r="AD118" s="86"/>
      <c r="AE118" s="86"/>
      <c r="AF118" s="86"/>
      <c r="AG118" s="55">
        <f t="shared" si="27"/>
        <v>0</v>
      </c>
      <c r="AH118" s="66">
        <f>IF(OR(Kalk4!$AA$19=2,Kalk4!$AA$19=3),1,0)</f>
        <v>1</v>
      </c>
      <c r="AI118" s="55">
        <v>50</v>
      </c>
      <c r="AK118" s="55" t="s">
        <v>22079</v>
      </c>
      <c r="AP118" s="66">
        <f>IF(AND(Kalk4!$O$21&gt;0,Kalk4!$N$21="15°"),Kalk4!$O$21,0)</f>
        <v>0</v>
      </c>
      <c r="AQ118" s="55" t="s">
        <v>22087</v>
      </c>
      <c r="AT118" s="55" t="s">
        <v>22079</v>
      </c>
      <c r="AU118" s="66">
        <f>IF(Kalk4!$AI$51=AV118,1,0)</f>
        <v>0</v>
      </c>
      <c r="AV118" s="55">
        <v>1750</v>
      </c>
      <c r="AX118" s="55" t="s">
        <v>22100</v>
      </c>
      <c r="AY118" s="66">
        <f>AP118*Kalk4!$H$37</f>
        <v>0</v>
      </c>
      <c r="AZ118" s="55" t="s">
        <v>20872</v>
      </c>
    </row>
    <row r="119" spans="2:52" ht="24.95" customHeight="1">
      <c r="B119" s="93">
        <f t="shared" si="26"/>
        <v>0</v>
      </c>
      <c r="C119" s="60">
        <v>2150</v>
      </c>
      <c r="D119" s="60"/>
      <c r="E119" s="60" t="str">
        <f>VLOOKUP(1600,Sprachindex!$A:$Z,Erhebungsbogen!$Y$20,FALSE)</f>
        <v>[Stk]</v>
      </c>
      <c r="F119" s="60" t="s">
        <v>21929</v>
      </c>
      <c r="G119" s="514" t="str">
        <f>VLOOKUP(2129,Sprachindex!$A:$Z,Erhebungsbogen!$Y$20,FALSE) &amp; " ( " &amp;Preisliste!H99 &amp; " " &amp; VLOOKUP(1744,Sprachindex!$A:$Z,Erhebungsbogen!$Y$20,FALSE) &amp; ")"</f>
        <v>Rundprofil 50-Vario 15° exkl. Dichtung, gebohrt und entgratet ( 44,866 kg/Stk)</v>
      </c>
      <c r="H119" s="514"/>
      <c r="I119" s="514"/>
      <c r="J119" s="514"/>
      <c r="K119" s="514"/>
      <c r="L119" s="514"/>
      <c r="M119" s="514"/>
      <c r="N119" s="514"/>
      <c r="O119" s="514"/>
      <c r="P119" s="514"/>
      <c r="Q119" s="514"/>
      <c r="R119" s="514"/>
      <c r="S119" s="514"/>
      <c r="T119" s="514"/>
      <c r="U119" s="352">
        <f>VLOOKUP(F119,Preisliste!C:F,4,FALSE)</f>
        <v>1231.95</v>
      </c>
      <c r="V119" s="352">
        <f t="shared" si="16"/>
        <v>0</v>
      </c>
      <c r="W119" s="86"/>
      <c r="X119" s="86"/>
      <c r="Y119" s="86"/>
      <c r="Z119" s="86"/>
      <c r="AA119" s="86"/>
      <c r="AB119" s="86"/>
      <c r="AC119" s="86"/>
      <c r="AD119" s="86"/>
      <c r="AE119" s="86"/>
      <c r="AF119" s="86"/>
      <c r="AG119" s="55">
        <f t="shared" si="27"/>
        <v>0</v>
      </c>
      <c r="AH119" s="66">
        <f>IF(OR(Kalk4!$AA$19=2,Kalk4!$AA$19=3),1,0)</f>
        <v>1</v>
      </c>
      <c r="AI119" s="55">
        <v>50</v>
      </c>
      <c r="AK119" s="55" t="s">
        <v>22079</v>
      </c>
      <c r="AP119" s="66">
        <f>IF(AND(Kalk4!$O$21&gt;0,Kalk4!$N$21="15°"),Kalk4!$O$21,0)</f>
        <v>0</v>
      </c>
      <c r="AQ119" s="55" t="s">
        <v>22087</v>
      </c>
      <c r="AT119" s="55" t="s">
        <v>22079</v>
      </c>
      <c r="AU119" s="66">
        <f>IF(Kalk4!$AI$51=AV119,1,0)</f>
        <v>0</v>
      </c>
      <c r="AV119" s="55">
        <v>2150</v>
      </c>
      <c r="AX119" s="55" t="s">
        <v>22100</v>
      </c>
      <c r="AY119" s="66">
        <f>AP119*Kalk4!$H$37</f>
        <v>0</v>
      </c>
      <c r="AZ119" s="55" t="s">
        <v>20872</v>
      </c>
    </row>
    <row r="120" spans="2:52" ht="24.95" customHeight="1">
      <c r="B120" s="93">
        <f t="shared" si="26"/>
        <v>0</v>
      </c>
      <c r="C120" s="60">
        <f>IF(AG120=1,AW120,0)</f>
        <v>0</v>
      </c>
      <c r="D120" s="60"/>
      <c r="E120" s="60" t="str">
        <f>VLOOKUP(1600,Sprachindex!$A:$Z,Erhebungsbogen!$Y$20,FALSE)</f>
        <v>[Stk]</v>
      </c>
      <c r="F120" s="60" t="s">
        <v>21826</v>
      </c>
      <c r="G120" s="514" t="str">
        <f>VLOOKUP(2130,Sprachindex!$A:$Z,Erhebungsbogen!$Y$20,FALSE) &amp; " (" &amp; ROUNDUP(C120/1000*Preisliste!I100,2) &amp; " " &amp; VLOOKUP(1744,Sprachindex!$A:$Z,Erhebungsbogen!$Y$20,FALSE) &amp; ")"</f>
        <v>Rundprofil 50-Vario 15° Sonderlänge exkl. Dichtung, (Stangenware) (0 kg/Stk)</v>
      </c>
      <c r="H120" s="514"/>
      <c r="I120" s="514"/>
      <c r="J120" s="514"/>
      <c r="K120" s="514"/>
      <c r="L120" s="514"/>
      <c r="M120" s="514"/>
      <c r="N120" s="514"/>
      <c r="O120" s="514"/>
      <c r="P120" s="514"/>
      <c r="Q120" s="514"/>
      <c r="R120" s="514"/>
      <c r="S120" s="514"/>
      <c r="T120" s="514"/>
      <c r="U120" s="354">
        <f>VLOOKUP(F120,Preisliste!C:F,4,FALSE)</f>
        <v>0</v>
      </c>
      <c r="V120" s="352">
        <f t="shared" si="16"/>
        <v>0</v>
      </c>
      <c r="W120" s="86"/>
      <c r="X120" s="86"/>
      <c r="Y120" s="86"/>
      <c r="Z120" s="86"/>
      <c r="AA120" s="86"/>
      <c r="AB120" s="86"/>
      <c r="AC120" s="86"/>
      <c r="AD120" s="86"/>
      <c r="AE120" s="86"/>
      <c r="AF120" s="86"/>
      <c r="AG120" s="55">
        <f t="shared" si="27"/>
        <v>0</v>
      </c>
      <c r="AH120" s="66">
        <f>IF(OR(Kalk4!$AA$19=2,Kalk4!$AA$19=3),1,0)</f>
        <v>1</v>
      </c>
      <c r="AI120" s="55">
        <v>50</v>
      </c>
      <c r="AK120" s="55" t="s">
        <v>22079</v>
      </c>
      <c r="AP120" s="66">
        <f>IF(AND(Kalk4!$O$21&gt;0,Kalk4!$N$21="15°"),Kalk4!$O$21,0)</f>
        <v>0</v>
      </c>
      <c r="AQ120" s="55" t="s">
        <v>22087</v>
      </c>
      <c r="AT120" s="55" t="s">
        <v>22079</v>
      </c>
      <c r="AU120" s="66">
        <f>IF(Kalk4!$AH$52&gt;AV120,1,0)</f>
        <v>0</v>
      </c>
      <c r="AV120" s="55">
        <v>2150</v>
      </c>
      <c r="AW120" s="66">
        <f>Kalk4!$AH$52</f>
        <v>0</v>
      </c>
      <c r="AX120" s="55" t="s">
        <v>22100</v>
      </c>
      <c r="AY120" s="66">
        <f>AP120*Kalk4!$H$37</f>
        <v>0</v>
      </c>
      <c r="AZ120" s="55" t="s">
        <v>20872</v>
      </c>
    </row>
    <row r="121" spans="2:52" ht="24.95" customHeight="1">
      <c r="B121" s="93">
        <f t="shared" si="26"/>
        <v>0</v>
      </c>
      <c r="C121" s="60">
        <v>750</v>
      </c>
      <c r="D121" s="60"/>
      <c r="E121" s="60" t="str">
        <f>VLOOKUP(1600,Sprachindex!$A:$Z,Erhebungsbogen!$Y$20,FALSE)</f>
        <v>[Stk]</v>
      </c>
      <c r="F121" s="60" t="s">
        <v>22001</v>
      </c>
      <c r="G121" s="514" t="str">
        <f>VLOOKUP(2131,Sprachindex!$A:$Z,Erhebungsbogen!$Y$20,FALSE) &amp; " ( " &amp;Preisliste!H101 &amp; " " &amp; VLOOKUP(1744,Sprachindex!$A:$Z,Erhebungsbogen!$Y$20,FALSE) &amp; ")"</f>
        <v>Rundprofil 50-Vario 30° exkl. Dichtung, gebohrt und entgratet ( 16,516 kg/Stk)</v>
      </c>
      <c r="H121" s="514"/>
      <c r="I121" s="514"/>
      <c r="J121" s="514"/>
      <c r="K121" s="514"/>
      <c r="L121" s="514"/>
      <c r="M121" s="514"/>
      <c r="N121" s="514"/>
      <c r="O121" s="514"/>
      <c r="P121" s="514"/>
      <c r="Q121" s="514"/>
      <c r="R121" s="514"/>
      <c r="S121" s="514"/>
      <c r="T121" s="514"/>
      <c r="U121" s="352">
        <f>VLOOKUP(F121,Preisliste!C:F,4,FALSE)</f>
        <v>805.1</v>
      </c>
      <c r="V121" s="352">
        <f t="shared" si="16"/>
        <v>0</v>
      </c>
      <c r="W121" s="86"/>
      <c r="X121" s="86"/>
      <c r="Y121" s="86"/>
      <c r="Z121" s="86"/>
      <c r="AA121" s="86"/>
      <c r="AB121" s="86"/>
      <c r="AC121" s="86"/>
      <c r="AD121" s="86"/>
      <c r="AE121" s="86"/>
      <c r="AF121" s="86"/>
      <c r="AG121" s="55">
        <f t="shared" si="27"/>
        <v>1</v>
      </c>
      <c r="AH121" s="66">
        <f>IF(OR(Kalk4!$AA$19=2,Kalk4!$AA$19=3),1,0)</f>
        <v>1</v>
      </c>
      <c r="AI121" s="55">
        <v>50</v>
      </c>
      <c r="AK121" s="55" t="s">
        <v>22079</v>
      </c>
      <c r="AP121" s="66">
        <f>IF(AND(Kalk4!$O$21&gt;0,Kalk4!$N$21="30°"),Kalk4!$O$21,0)</f>
        <v>0</v>
      </c>
      <c r="AQ121" s="55" t="s">
        <v>22088</v>
      </c>
      <c r="AT121" s="55" t="s">
        <v>22079</v>
      </c>
      <c r="AU121" s="66">
        <f>IF(Kalk4!$AI$51=$AV$91,1,0)</f>
        <v>1</v>
      </c>
      <c r="AV121" s="55">
        <v>750</v>
      </c>
      <c r="AX121" s="55" t="s">
        <v>22100</v>
      </c>
      <c r="AY121" s="66">
        <f>AP121*Kalk4!$H$37</f>
        <v>0</v>
      </c>
      <c r="AZ121" s="55" t="s">
        <v>20872</v>
      </c>
    </row>
    <row r="122" spans="2:52" ht="24.95" customHeight="1">
      <c r="B122" s="93">
        <f t="shared" si="26"/>
        <v>0</v>
      </c>
      <c r="C122" s="60">
        <v>1350</v>
      </c>
      <c r="D122" s="60"/>
      <c r="E122" s="60" t="str">
        <f>VLOOKUP(1600,Sprachindex!$A:$Z,Erhebungsbogen!$Y$20,FALSE)</f>
        <v>[Stk]</v>
      </c>
      <c r="F122" s="60" t="s">
        <v>22002</v>
      </c>
      <c r="G122" s="514" t="str">
        <f>VLOOKUP(2131,Sprachindex!$A:$Z,Erhebungsbogen!$Y$20,FALSE) &amp; " ( " &amp;Preisliste!H102 &amp; " " &amp; VLOOKUP(1744,Sprachindex!$A:$Z,Erhebungsbogen!$Y$20,FALSE) &amp; ")"</f>
        <v>Rundprofil 50-Vario 30° exkl. Dichtung, gebohrt und entgratet ( 29,728 kg/Stk)</v>
      </c>
      <c r="H122" s="514"/>
      <c r="I122" s="514"/>
      <c r="J122" s="514"/>
      <c r="K122" s="514"/>
      <c r="L122" s="514"/>
      <c r="M122" s="514"/>
      <c r="N122" s="514"/>
      <c r="O122" s="514"/>
      <c r="P122" s="514"/>
      <c r="Q122" s="514"/>
      <c r="R122" s="514"/>
      <c r="S122" s="514"/>
      <c r="T122" s="514"/>
      <c r="U122" s="352">
        <f>VLOOKUP(F122,Preisliste!C:F,4,FALSE)</f>
        <v>988.05</v>
      </c>
      <c r="V122" s="352">
        <f t="shared" si="16"/>
        <v>0</v>
      </c>
      <c r="W122" s="86"/>
      <c r="X122" s="86"/>
      <c r="Y122" s="86"/>
      <c r="Z122" s="86"/>
      <c r="AA122" s="86"/>
      <c r="AB122" s="86"/>
      <c r="AC122" s="86"/>
      <c r="AD122" s="86"/>
      <c r="AE122" s="86"/>
      <c r="AF122" s="86"/>
      <c r="AG122" s="55">
        <f>IF(AND(AH122=1,AP122&gt;0,AU122=1),1,0)</f>
        <v>0</v>
      </c>
      <c r="AH122" s="66">
        <f>IF(OR(Kalk4!$AA$19=2,Kalk4!$AA$19=3),1,0)</f>
        <v>1</v>
      </c>
      <c r="AI122" s="55">
        <v>50</v>
      </c>
      <c r="AK122" s="55" t="s">
        <v>22079</v>
      </c>
      <c r="AP122" s="66">
        <f>IF(AND(Kalk4!$O$21&gt;0,Kalk4!$N$21="30°"),Kalk4!$O$21,0)</f>
        <v>0</v>
      </c>
      <c r="AQ122" s="55" t="s">
        <v>22088</v>
      </c>
      <c r="AT122" s="55" t="s">
        <v>22079</v>
      </c>
      <c r="AU122" s="66">
        <f>IF(Kalk4!$AI$51=AV122,1,0)</f>
        <v>0</v>
      </c>
      <c r="AV122" s="55">
        <v>1350</v>
      </c>
      <c r="AX122" s="55" t="s">
        <v>22100</v>
      </c>
      <c r="AY122" s="66">
        <f>AP122*Kalk4!$H$37</f>
        <v>0</v>
      </c>
      <c r="AZ122" s="55" t="s">
        <v>20872</v>
      </c>
    </row>
    <row r="123" spans="2:52" ht="24.95" customHeight="1">
      <c r="B123" s="93">
        <f t="shared" si="26"/>
        <v>0</v>
      </c>
      <c r="C123" s="60">
        <v>1750</v>
      </c>
      <c r="D123" s="60"/>
      <c r="E123" s="60" t="str">
        <f>VLOOKUP(1600,Sprachindex!$A:$Z,Erhebungsbogen!$Y$20,FALSE)</f>
        <v>[Stk]</v>
      </c>
      <c r="F123" s="60" t="s">
        <v>22003</v>
      </c>
      <c r="G123" s="514" t="str">
        <f>VLOOKUP(2131,Sprachindex!$A:$Z,Erhebungsbogen!$Y$20,FALSE) &amp; " ( " &amp;Preisliste!H103 &amp; " " &amp; VLOOKUP(1744,Sprachindex!$A:$Z,Erhebungsbogen!$Y$20,FALSE) &amp; ")"</f>
        <v>Rundprofil 50-Vario 30° exkl. Dichtung, gebohrt und entgratet ( 38,537 kg/Stk)</v>
      </c>
      <c r="H123" s="514"/>
      <c r="I123" s="514"/>
      <c r="J123" s="514"/>
      <c r="K123" s="514"/>
      <c r="L123" s="514"/>
      <c r="M123" s="514"/>
      <c r="N123" s="514"/>
      <c r="O123" s="514"/>
      <c r="P123" s="514"/>
      <c r="Q123" s="514"/>
      <c r="R123" s="514"/>
      <c r="S123" s="514"/>
      <c r="T123" s="514"/>
      <c r="U123" s="352">
        <f>VLOOKUP(F123,Preisliste!C:F,4,FALSE)</f>
        <v>1110.0999999999999</v>
      </c>
      <c r="V123" s="352">
        <f t="shared" si="16"/>
        <v>0</v>
      </c>
      <c r="W123" s="86"/>
      <c r="X123" s="86"/>
      <c r="Y123" s="86"/>
      <c r="Z123" s="86"/>
      <c r="AA123" s="86"/>
      <c r="AB123" s="86"/>
      <c r="AC123" s="86"/>
      <c r="AD123" s="86"/>
      <c r="AE123" s="86"/>
      <c r="AF123" s="86"/>
      <c r="AG123" s="55">
        <f t="shared" si="27"/>
        <v>0</v>
      </c>
      <c r="AH123" s="66">
        <f>IF(OR(Kalk4!$AA$19=2,Kalk4!$AA$19=3),1,0)</f>
        <v>1</v>
      </c>
      <c r="AI123" s="55">
        <v>50</v>
      </c>
      <c r="AK123" s="55" t="s">
        <v>22079</v>
      </c>
      <c r="AP123" s="66">
        <f>IF(AND(Kalk4!$O$21&gt;0,Kalk4!$N$21="30°"),Kalk4!$O$21,0)</f>
        <v>0</v>
      </c>
      <c r="AQ123" s="55" t="s">
        <v>22088</v>
      </c>
      <c r="AT123" s="55" t="s">
        <v>22079</v>
      </c>
      <c r="AU123" s="66">
        <f>IF(Kalk4!$AI$51=AV123,1,0)</f>
        <v>0</v>
      </c>
      <c r="AV123" s="55">
        <v>1750</v>
      </c>
      <c r="AX123" s="55" t="s">
        <v>22100</v>
      </c>
      <c r="AY123" s="66">
        <f>AP123*Kalk4!$H$37</f>
        <v>0</v>
      </c>
      <c r="AZ123" s="55" t="s">
        <v>20872</v>
      </c>
    </row>
    <row r="124" spans="2:52" ht="24.95" customHeight="1">
      <c r="B124" s="93">
        <f t="shared" si="26"/>
        <v>0</v>
      </c>
      <c r="C124" s="60">
        <v>2150</v>
      </c>
      <c r="D124" s="60"/>
      <c r="E124" s="60" t="str">
        <f>VLOOKUP(1600,Sprachindex!$A:$Z,Erhebungsbogen!$Y$20,FALSE)</f>
        <v>[Stk]</v>
      </c>
      <c r="F124" s="60" t="s">
        <v>22004</v>
      </c>
      <c r="G124" s="514" t="str">
        <f>VLOOKUP(2131,Sprachindex!$A:$Z,Erhebungsbogen!$Y$20,FALSE) &amp; " ( " &amp;Preisliste!H104 &amp; " " &amp; VLOOKUP(1744,Sprachindex!$A:$Z,Erhebungsbogen!$Y$20,FALSE) &amp; ")"</f>
        <v>Rundprofil 50-Vario 30° exkl. Dichtung, gebohrt und entgratet ( 47,345 kg/Stk)</v>
      </c>
      <c r="H124" s="514"/>
      <c r="I124" s="514"/>
      <c r="J124" s="514"/>
      <c r="K124" s="514"/>
      <c r="L124" s="514"/>
      <c r="M124" s="514"/>
      <c r="N124" s="514"/>
      <c r="O124" s="514"/>
      <c r="P124" s="514"/>
      <c r="Q124" s="514"/>
      <c r="R124" s="514"/>
      <c r="S124" s="514"/>
      <c r="T124" s="514"/>
      <c r="U124" s="352">
        <f>VLOOKUP(F124,Preisliste!C:F,4,FALSE)</f>
        <v>1231.95</v>
      </c>
      <c r="V124" s="352">
        <f t="shared" si="16"/>
        <v>0</v>
      </c>
      <c r="W124" s="86"/>
      <c r="X124" s="86"/>
      <c r="Y124" s="86"/>
      <c r="Z124" s="86"/>
      <c r="AA124" s="86"/>
      <c r="AB124" s="86"/>
      <c r="AC124" s="86"/>
      <c r="AD124" s="86"/>
      <c r="AE124" s="86"/>
      <c r="AF124" s="86"/>
      <c r="AG124" s="55">
        <f t="shared" si="27"/>
        <v>0</v>
      </c>
      <c r="AH124" s="66">
        <f>IF(OR(Kalk4!$AA$19=2,Kalk4!$AA$19=3),1,0)</f>
        <v>1</v>
      </c>
      <c r="AI124" s="55">
        <v>50</v>
      </c>
      <c r="AK124" s="55" t="s">
        <v>22079</v>
      </c>
      <c r="AP124" s="66">
        <f>IF(AND(Kalk4!$O$21&gt;0,Kalk4!$N$21="30°"),Kalk4!$O$21,0)</f>
        <v>0</v>
      </c>
      <c r="AQ124" s="55" t="s">
        <v>22088</v>
      </c>
      <c r="AT124" s="55" t="s">
        <v>22079</v>
      </c>
      <c r="AU124" s="66">
        <f>IF(Kalk4!$AI$51=AV124,1,0)</f>
        <v>0</v>
      </c>
      <c r="AV124" s="55">
        <v>2150</v>
      </c>
      <c r="AX124" s="55" t="s">
        <v>22100</v>
      </c>
      <c r="AY124" s="66">
        <f>AP124*Kalk4!$H$37</f>
        <v>0</v>
      </c>
      <c r="AZ124" s="55" t="s">
        <v>20872</v>
      </c>
    </row>
    <row r="125" spans="2:52" ht="24.95" customHeight="1">
      <c r="B125" s="93">
        <f t="shared" si="26"/>
        <v>0</v>
      </c>
      <c r="C125" s="60">
        <f>IF(AG125=1,AW125,0)</f>
        <v>0</v>
      </c>
      <c r="D125" s="60"/>
      <c r="E125" s="60" t="str">
        <f>VLOOKUP(1600,Sprachindex!$A:$Z,Erhebungsbogen!$Y$20,FALSE)</f>
        <v>[Stk]</v>
      </c>
      <c r="F125" s="60" t="s">
        <v>21826</v>
      </c>
      <c r="G125" s="514" t="str">
        <f>VLOOKUP(2132,Sprachindex!$A:$Z,Erhebungsbogen!$Y$20,FALSE) &amp; " (" &amp; ROUNDUP(C125/1000*Preisliste!I105,2) &amp; " " &amp; VLOOKUP(1744,Sprachindex!$A:$Z,Erhebungsbogen!$Y$20,FALSE) &amp; ")"</f>
        <v>Rundprofil 50-Vario 30° Sonderlänge exkl. Dichtung, (Stangenware) (0 kg/Stk)</v>
      </c>
      <c r="H125" s="514"/>
      <c r="I125" s="514"/>
      <c r="J125" s="514"/>
      <c r="K125" s="514"/>
      <c r="L125" s="514"/>
      <c r="M125" s="514"/>
      <c r="N125" s="514"/>
      <c r="O125" s="514"/>
      <c r="P125" s="514"/>
      <c r="Q125" s="514"/>
      <c r="R125" s="514"/>
      <c r="S125" s="514"/>
      <c r="T125" s="514"/>
      <c r="U125" s="354">
        <f>VLOOKUP(F125,Preisliste!C:F,4,FALSE)</f>
        <v>0</v>
      </c>
      <c r="V125" s="352">
        <f t="shared" si="16"/>
        <v>0</v>
      </c>
      <c r="W125" s="86"/>
      <c r="X125" s="86"/>
      <c r="Y125" s="86"/>
      <c r="Z125" s="86"/>
      <c r="AA125" s="86"/>
      <c r="AB125" s="86"/>
      <c r="AC125" s="86"/>
      <c r="AD125" s="86"/>
      <c r="AE125" s="86"/>
      <c r="AF125" s="86"/>
      <c r="AG125" s="55">
        <f t="shared" si="27"/>
        <v>0</v>
      </c>
      <c r="AH125" s="66">
        <f>IF(OR(Kalk4!$AA$19=2,Kalk4!$AA$19=3),1,0)</f>
        <v>1</v>
      </c>
      <c r="AI125" s="55">
        <v>50</v>
      </c>
      <c r="AK125" s="55" t="s">
        <v>22079</v>
      </c>
      <c r="AP125" s="66">
        <f>IF(AND(Kalk4!$O$21&gt;0,Kalk4!$N$21="30°"),Kalk4!$O$21,0)</f>
        <v>0</v>
      </c>
      <c r="AQ125" s="55" t="s">
        <v>22088</v>
      </c>
      <c r="AT125" s="55" t="s">
        <v>22079</v>
      </c>
      <c r="AU125" s="66">
        <f>IF(Kalk4!$AH$52&gt;AV125,1,0)</f>
        <v>0</v>
      </c>
      <c r="AV125" s="55">
        <v>2150</v>
      </c>
      <c r="AW125" s="66">
        <f>Kalk4!$AH$52</f>
        <v>0</v>
      </c>
      <c r="AX125" s="55" t="s">
        <v>22100</v>
      </c>
      <c r="AY125" s="66">
        <f>AP125*Kalk4!$H$37</f>
        <v>0</v>
      </c>
      <c r="AZ125" s="55" t="s">
        <v>20872</v>
      </c>
    </row>
    <row r="126" spans="2:52" ht="24.95" customHeight="1">
      <c r="B126" s="93">
        <f t="shared" si="26"/>
        <v>0</v>
      </c>
      <c r="C126" s="60">
        <v>750</v>
      </c>
      <c r="D126" s="60"/>
      <c r="E126" s="60" t="str">
        <f>VLOOKUP(1600,Sprachindex!$A:$Z,Erhebungsbogen!$Y$20,FALSE)</f>
        <v>[Stk]</v>
      </c>
      <c r="F126" s="60" t="s">
        <v>22005</v>
      </c>
      <c r="G126" s="514" t="str">
        <f>VLOOKUP(2133,Sprachindex!$A:$Z,Erhebungsbogen!$Y$20,FALSE) &amp; " ( " &amp;Preisliste!H106 &amp; " " &amp; VLOOKUP(1744,Sprachindex!$A:$Z,Erhebungsbogen!$Y$20,FALSE) &amp; ")"</f>
        <v>Rundprofil 50-Vario 45° exkl. Dichtung, gebohrt und entgratet ( 16,506 kg/Stk)</v>
      </c>
      <c r="H126" s="514"/>
      <c r="I126" s="514"/>
      <c r="J126" s="514"/>
      <c r="K126" s="514"/>
      <c r="L126" s="514"/>
      <c r="M126" s="514"/>
      <c r="N126" s="514"/>
      <c r="O126" s="514"/>
      <c r="P126" s="514"/>
      <c r="Q126" s="514"/>
      <c r="R126" s="514"/>
      <c r="S126" s="514"/>
      <c r="T126" s="514"/>
      <c r="U126" s="352">
        <f>VLOOKUP(F126,Preisliste!C:F,4,FALSE)</f>
        <v>805.1</v>
      </c>
      <c r="V126" s="352">
        <f t="shared" si="16"/>
        <v>0</v>
      </c>
      <c r="W126" s="86"/>
      <c r="X126" s="86"/>
      <c r="Y126" s="86"/>
      <c r="Z126" s="86"/>
      <c r="AA126" s="86"/>
      <c r="AB126" s="86"/>
      <c r="AC126" s="86"/>
      <c r="AD126" s="86"/>
      <c r="AE126" s="86"/>
      <c r="AF126" s="86"/>
      <c r="AG126" s="55">
        <f t="shared" si="27"/>
        <v>1</v>
      </c>
      <c r="AH126" s="66">
        <f>IF(OR(Kalk4!$AA$19=2,Kalk4!$AA$19=3),1,0)</f>
        <v>1</v>
      </c>
      <c r="AI126" s="55">
        <v>50</v>
      </c>
      <c r="AK126" s="55" t="s">
        <v>22079</v>
      </c>
      <c r="AP126" s="66">
        <f>IF(AND(Kalk4!$O$21&gt;0,Kalk4!$N$21="45°"),Kalk4!$O$21,0)</f>
        <v>0</v>
      </c>
      <c r="AQ126" s="55" t="s">
        <v>22089</v>
      </c>
      <c r="AT126" s="55" t="s">
        <v>22079</v>
      </c>
      <c r="AU126" s="66">
        <f>IF(Kalk4!$AI$51=$AV$91,1,0)</f>
        <v>1</v>
      </c>
      <c r="AV126" s="55">
        <v>750</v>
      </c>
      <c r="AX126" s="55" t="s">
        <v>22100</v>
      </c>
      <c r="AY126" s="66">
        <f>AP126*Kalk4!$H$37</f>
        <v>0</v>
      </c>
      <c r="AZ126" s="55" t="s">
        <v>20872</v>
      </c>
    </row>
    <row r="127" spans="2:52" ht="24.95" customHeight="1">
      <c r="B127" s="93">
        <f t="shared" si="26"/>
        <v>0</v>
      </c>
      <c r="C127" s="60">
        <v>1350</v>
      </c>
      <c r="D127" s="60"/>
      <c r="E127" s="60" t="str">
        <f>VLOOKUP(1600,Sprachindex!$A:$Z,Erhebungsbogen!$Y$20,FALSE)</f>
        <v>[Stk]</v>
      </c>
      <c r="F127" s="60" t="s">
        <v>22006</v>
      </c>
      <c r="G127" s="514" t="str">
        <f>VLOOKUP(2133,Sprachindex!$A:$Z,Erhebungsbogen!$Y$20,FALSE) &amp; " ( " &amp;Preisliste!H107 &amp; " " &amp; VLOOKUP(1744,Sprachindex!$A:$Z,Erhebungsbogen!$Y$20,FALSE) &amp; ")"</f>
        <v>Rundprofil 50-Vario 45° exkl. Dichtung, gebohrt und entgratet ( 29,711 kg/Stk)</v>
      </c>
      <c r="H127" s="514"/>
      <c r="I127" s="514"/>
      <c r="J127" s="514"/>
      <c r="K127" s="514"/>
      <c r="L127" s="514"/>
      <c r="M127" s="514"/>
      <c r="N127" s="514"/>
      <c r="O127" s="514"/>
      <c r="P127" s="514"/>
      <c r="Q127" s="514"/>
      <c r="R127" s="514"/>
      <c r="S127" s="514"/>
      <c r="T127" s="514"/>
      <c r="U127" s="352">
        <f>VLOOKUP(F127,Preisliste!C:F,4,FALSE)</f>
        <v>988.05</v>
      </c>
      <c r="V127" s="352">
        <f t="shared" si="16"/>
        <v>0</v>
      </c>
      <c r="W127" s="86"/>
      <c r="X127" s="86"/>
      <c r="Y127" s="86"/>
      <c r="Z127" s="86"/>
      <c r="AA127" s="86"/>
      <c r="AB127" s="86"/>
      <c r="AC127" s="86"/>
      <c r="AD127" s="86"/>
      <c r="AE127" s="86"/>
      <c r="AF127" s="86"/>
      <c r="AG127" s="55">
        <f>IF(AND(AH127=1,AP127&gt;0,AU127=1),1,0)</f>
        <v>0</v>
      </c>
      <c r="AH127" s="66">
        <f>IF(OR(Kalk4!$AA$19=2,Kalk4!$AA$19=3),1,0)</f>
        <v>1</v>
      </c>
      <c r="AI127" s="55">
        <v>50</v>
      </c>
      <c r="AK127" s="55" t="s">
        <v>22079</v>
      </c>
      <c r="AP127" s="66">
        <f>IF(AND(Kalk4!$O$21&gt;0,Kalk4!$N$21="45°"),Kalk4!$O$21,0)</f>
        <v>0</v>
      </c>
      <c r="AQ127" s="55" t="s">
        <v>22089</v>
      </c>
      <c r="AT127" s="55" t="s">
        <v>22079</v>
      </c>
      <c r="AU127" s="66">
        <f>IF(Kalk4!$AI$51=AV127,1,0)</f>
        <v>0</v>
      </c>
      <c r="AV127" s="55">
        <v>1350</v>
      </c>
      <c r="AX127" s="55" t="s">
        <v>22100</v>
      </c>
      <c r="AY127" s="66">
        <f>AP127*Kalk4!$H$37</f>
        <v>0</v>
      </c>
      <c r="AZ127" s="55" t="s">
        <v>20872</v>
      </c>
    </row>
    <row r="128" spans="2:52" ht="24.95" customHeight="1">
      <c r="B128" s="93">
        <f t="shared" si="26"/>
        <v>0</v>
      </c>
      <c r="C128" s="60">
        <v>1750</v>
      </c>
      <c r="D128" s="60"/>
      <c r="E128" s="60" t="str">
        <f>VLOOKUP(1600,Sprachindex!$A:$Z,Erhebungsbogen!$Y$20,FALSE)</f>
        <v>[Stk]</v>
      </c>
      <c r="F128" s="60" t="s">
        <v>22007</v>
      </c>
      <c r="G128" s="514" t="str">
        <f>VLOOKUP(2133,Sprachindex!$A:$Z,Erhebungsbogen!$Y$20,FALSE) &amp; " ( " &amp;Preisliste!H108 &amp; " " &amp; VLOOKUP(1744,Sprachindex!$A:$Z,Erhebungsbogen!$Y$20,FALSE) &amp; ")"</f>
        <v>Rundprofil 50-Vario 45° exkl. Dichtung, gebohrt und entgratet ( 38,514 kg/Stk)</v>
      </c>
      <c r="H128" s="514"/>
      <c r="I128" s="514"/>
      <c r="J128" s="514"/>
      <c r="K128" s="514"/>
      <c r="L128" s="514"/>
      <c r="M128" s="514"/>
      <c r="N128" s="514"/>
      <c r="O128" s="514"/>
      <c r="P128" s="514"/>
      <c r="Q128" s="514"/>
      <c r="R128" s="514"/>
      <c r="S128" s="514"/>
      <c r="T128" s="514"/>
      <c r="U128" s="352">
        <f>VLOOKUP(F128,Preisliste!C:F,4,FALSE)</f>
        <v>1110.0999999999999</v>
      </c>
      <c r="V128" s="352">
        <f t="shared" si="16"/>
        <v>0</v>
      </c>
      <c r="W128" s="86"/>
      <c r="X128" s="86"/>
      <c r="Y128" s="86"/>
      <c r="Z128" s="86"/>
      <c r="AA128" s="86"/>
      <c r="AB128" s="86"/>
      <c r="AC128" s="86"/>
      <c r="AD128" s="86"/>
      <c r="AE128" s="86"/>
      <c r="AF128" s="86"/>
      <c r="AG128" s="55">
        <f t="shared" si="27"/>
        <v>0</v>
      </c>
      <c r="AH128" s="66">
        <f>IF(OR(Kalk4!$AA$19=2,Kalk4!$AA$19=3),1,0)</f>
        <v>1</v>
      </c>
      <c r="AI128" s="55">
        <v>50</v>
      </c>
      <c r="AK128" s="55" t="s">
        <v>22079</v>
      </c>
      <c r="AP128" s="66">
        <f>IF(AND(Kalk4!$O$21&gt;0,Kalk4!$N$21="45°"),Kalk4!$O$21,0)</f>
        <v>0</v>
      </c>
      <c r="AQ128" s="55" t="s">
        <v>22089</v>
      </c>
      <c r="AT128" s="55" t="s">
        <v>22079</v>
      </c>
      <c r="AU128" s="66">
        <f>IF(Kalk4!$AI$51=AV128,1,0)</f>
        <v>0</v>
      </c>
      <c r="AV128" s="55">
        <v>1750</v>
      </c>
      <c r="AX128" s="55" t="s">
        <v>22100</v>
      </c>
      <c r="AY128" s="66">
        <f>AP128*Kalk4!$H$37</f>
        <v>0</v>
      </c>
      <c r="AZ128" s="55" t="s">
        <v>20872</v>
      </c>
    </row>
    <row r="129" spans="2:52" ht="24.95" customHeight="1">
      <c r="B129" s="93">
        <f t="shared" si="26"/>
        <v>0</v>
      </c>
      <c r="C129" s="60">
        <v>2150</v>
      </c>
      <c r="D129" s="60"/>
      <c r="E129" s="60" t="str">
        <f>VLOOKUP(1600,Sprachindex!$A:$Z,Erhebungsbogen!$Y$20,FALSE)</f>
        <v>[Stk]</v>
      </c>
      <c r="F129" s="60" t="s">
        <v>22008</v>
      </c>
      <c r="G129" s="514" t="str">
        <f>VLOOKUP(2133,Sprachindex!$A:$Z,Erhebungsbogen!$Y$20,FALSE) &amp; " ( " &amp;Preisliste!H109 &amp; " " &amp; VLOOKUP(1744,Sprachindex!$A:$Z,Erhebungsbogen!$Y$20,FALSE) &amp; ")"</f>
        <v>Rundprofil 50-Vario 45° exkl. Dichtung, gebohrt und entgratet ( 47,317 kg/Stk)</v>
      </c>
      <c r="H129" s="514"/>
      <c r="I129" s="514"/>
      <c r="J129" s="514"/>
      <c r="K129" s="514"/>
      <c r="L129" s="514"/>
      <c r="M129" s="514"/>
      <c r="N129" s="514"/>
      <c r="O129" s="514"/>
      <c r="P129" s="514"/>
      <c r="Q129" s="514"/>
      <c r="R129" s="514"/>
      <c r="S129" s="514"/>
      <c r="T129" s="514"/>
      <c r="U129" s="352">
        <f>VLOOKUP(F129,Preisliste!C:F,4,FALSE)</f>
        <v>1231.95</v>
      </c>
      <c r="V129" s="352">
        <f t="shared" si="16"/>
        <v>0</v>
      </c>
      <c r="W129" s="86"/>
      <c r="X129" s="86"/>
      <c r="Y129" s="86"/>
      <c r="Z129" s="86"/>
      <c r="AA129" s="86"/>
      <c r="AB129" s="86"/>
      <c r="AC129" s="86"/>
      <c r="AD129" s="86"/>
      <c r="AE129" s="86"/>
      <c r="AF129" s="86"/>
      <c r="AG129" s="55">
        <f t="shared" si="27"/>
        <v>0</v>
      </c>
      <c r="AH129" s="66">
        <f>IF(OR(Kalk4!$AA$19=2,Kalk4!$AA$19=3),1,0)</f>
        <v>1</v>
      </c>
      <c r="AI129" s="55">
        <v>50</v>
      </c>
      <c r="AK129" s="55" t="s">
        <v>22079</v>
      </c>
      <c r="AP129" s="66">
        <f>IF(AND(Kalk4!$O$21&gt;0,Kalk4!$N$21="45°"),Kalk4!$O$21,0)</f>
        <v>0</v>
      </c>
      <c r="AQ129" s="55" t="s">
        <v>22089</v>
      </c>
      <c r="AT129" s="55" t="s">
        <v>22079</v>
      </c>
      <c r="AU129" s="66">
        <f>IF(Kalk4!$AI$51=AV129,1,0)</f>
        <v>0</v>
      </c>
      <c r="AV129" s="55">
        <v>2150</v>
      </c>
      <c r="AX129" s="55" t="s">
        <v>22100</v>
      </c>
      <c r="AY129" s="66">
        <f>AP129*Kalk4!$H$37</f>
        <v>0</v>
      </c>
      <c r="AZ129" s="55" t="s">
        <v>20872</v>
      </c>
    </row>
    <row r="130" spans="2:52" ht="24.95" customHeight="1">
      <c r="B130" s="93">
        <f t="shared" si="26"/>
        <v>0</v>
      </c>
      <c r="C130" s="60">
        <f>IF(AG130=1,AW130,0)</f>
        <v>0</v>
      </c>
      <c r="D130" s="60"/>
      <c r="E130" s="60" t="str">
        <f>VLOOKUP(1600,Sprachindex!$A:$Z,Erhebungsbogen!$Y$20,FALSE)</f>
        <v>[Stk]</v>
      </c>
      <c r="F130" s="60" t="s">
        <v>21826</v>
      </c>
      <c r="G130" s="514" t="str">
        <f>VLOOKUP(2134,Sprachindex!$A:$Z,Erhebungsbogen!$Y$20,FALSE) &amp; " (" &amp; ROUNDUP(C130/1000*Preisliste!I110,2) &amp; " " &amp; VLOOKUP(1744,Sprachindex!$A:$Z,Erhebungsbogen!$Y$20,FALSE) &amp; ")"</f>
        <v>Rundprofil 50-Vario 45° Sonderlänge exkl. Dichtung, (Stangenware) (0 kg/Stk)</v>
      </c>
      <c r="H130" s="514"/>
      <c r="I130" s="514"/>
      <c r="J130" s="514"/>
      <c r="K130" s="514"/>
      <c r="L130" s="514"/>
      <c r="M130" s="514"/>
      <c r="N130" s="514"/>
      <c r="O130" s="514"/>
      <c r="P130" s="514"/>
      <c r="Q130" s="514"/>
      <c r="R130" s="514"/>
      <c r="S130" s="514"/>
      <c r="T130" s="514"/>
      <c r="U130" s="354">
        <f>VLOOKUP(F130,Preisliste!C:F,4,FALSE)</f>
        <v>0</v>
      </c>
      <c r="V130" s="352">
        <f t="shared" ref="V130:V180" si="28">U130*B130</f>
        <v>0</v>
      </c>
      <c r="W130" s="86"/>
      <c r="X130" s="86"/>
      <c r="Y130" s="86"/>
      <c r="Z130" s="86"/>
      <c r="AA130" s="86"/>
      <c r="AB130" s="86"/>
      <c r="AC130" s="86"/>
      <c r="AD130" s="86"/>
      <c r="AE130" s="86"/>
      <c r="AF130" s="86"/>
      <c r="AG130" s="55">
        <f t="shared" si="27"/>
        <v>0</v>
      </c>
      <c r="AH130" s="66">
        <f>IF(OR(Kalk4!$AA$19=2,Kalk4!$AA$19=3),1,0)</f>
        <v>1</v>
      </c>
      <c r="AI130" s="55">
        <v>50</v>
      </c>
      <c r="AK130" s="55" t="s">
        <v>22079</v>
      </c>
      <c r="AP130" s="66">
        <f>IF(AND(Kalk4!$O$21&gt;0,Kalk4!$N$21="45°"),Kalk4!$O$21,0)</f>
        <v>0</v>
      </c>
      <c r="AQ130" s="55" t="s">
        <v>22089</v>
      </c>
      <c r="AT130" s="55" t="s">
        <v>22079</v>
      </c>
      <c r="AU130" s="66">
        <f>IF(Kalk4!$AH$52&gt;AV130,1,0)</f>
        <v>0</v>
      </c>
      <c r="AV130" s="55">
        <v>2150</v>
      </c>
      <c r="AW130" s="66">
        <f>Kalk4!$AH$52</f>
        <v>0</v>
      </c>
      <c r="AX130" s="55" t="s">
        <v>22100</v>
      </c>
      <c r="AY130" s="66">
        <f>AP130*Kalk4!$H$37</f>
        <v>0</v>
      </c>
      <c r="AZ130" s="55" t="s">
        <v>20872</v>
      </c>
    </row>
    <row r="131" spans="2:52" ht="24.95" customHeight="1">
      <c r="B131" s="93">
        <f t="shared" si="26"/>
        <v>0</v>
      </c>
      <c r="C131" s="60">
        <v>750</v>
      </c>
      <c r="D131" s="60"/>
      <c r="E131" s="60" t="str">
        <f>VLOOKUP(1600,Sprachindex!$A:$Z,Erhebungsbogen!$Y$20,FALSE)</f>
        <v>[Stk]</v>
      </c>
      <c r="F131" s="60" t="s">
        <v>22009</v>
      </c>
      <c r="G131" s="514" t="str">
        <f>VLOOKUP(2135,Sprachindex!$A:$Z,Erhebungsbogen!$Y$20,FALSE) &amp; " ( " &amp;Preisliste!H111 &amp; " " &amp; VLOOKUP(1744,Sprachindex!$A:$Z,Erhebungsbogen!$Y$20,FALSE) &amp; ")"</f>
        <v>Rundprofil 50-Vario 60° exkl. Dichtung, gebohrt und entgratet ( 16,516 kg/Stk)</v>
      </c>
      <c r="H131" s="514"/>
      <c r="I131" s="514"/>
      <c r="J131" s="514"/>
      <c r="K131" s="514"/>
      <c r="L131" s="514"/>
      <c r="M131" s="514"/>
      <c r="N131" s="514"/>
      <c r="O131" s="514"/>
      <c r="P131" s="514"/>
      <c r="Q131" s="514"/>
      <c r="R131" s="514"/>
      <c r="S131" s="514"/>
      <c r="T131" s="514"/>
      <c r="U131" s="352">
        <f>VLOOKUP(F131,Preisliste!C:F,4,FALSE)</f>
        <v>805.1</v>
      </c>
      <c r="V131" s="352">
        <f t="shared" si="28"/>
        <v>0</v>
      </c>
      <c r="W131" s="86"/>
      <c r="X131" s="86"/>
      <c r="Y131" s="86"/>
      <c r="Z131" s="86"/>
      <c r="AA131" s="86"/>
      <c r="AB131" s="86"/>
      <c r="AC131" s="86"/>
      <c r="AD131" s="86"/>
      <c r="AE131" s="86"/>
      <c r="AF131" s="86"/>
      <c r="AG131" s="55">
        <f t="shared" si="27"/>
        <v>1</v>
      </c>
      <c r="AH131" s="66">
        <f>IF(OR(Kalk4!$AA$19=2,Kalk4!$AA$19=3),1,0)</f>
        <v>1</v>
      </c>
      <c r="AI131" s="55">
        <v>50</v>
      </c>
      <c r="AK131" s="55" t="s">
        <v>22079</v>
      </c>
      <c r="AP131" s="66">
        <f>IF(AND(Kalk4!$O$21&gt;0,Kalk4!$N$21="60°"),Kalk4!$O$21,0)</f>
        <v>0</v>
      </c>
      <c r="AQ131" s="55" t="s">
        <v>22090</v>
      </c>
      <c r="AT131" s="55" t="s">
        <v>22079</v>
      </c>
      <c r="AU131" s="66">
        <f>IF(Kalk4!$AI$51=$AV$91,1,0)</f>
        <v>1</v>
      </c>
      <c r="AV131" s="55">
        <v>750</v>
      </c>
      <c r="AX131" s="55" t="s">
        <v>22100</v>
      </c>
      <c r="AY131" s="66">
        <f>AP131*Kalk4!$H$37</f>
        <v>0</v>
      </c>
      <c r="AZ131" s="55" t="s">
        <v>20872</v>
      </c>
    </row>
    <row r="132" spans="2:52" ht="24.95" customHeight="1">
      <c r="B132" s="93">
        <f t="shared" si="26"/>
        <v>0</v>
      </c>
      <c r="C132" s="60">
        <v>1350</v>
      </c>
      <c r="D132" s="60"/>
      <c r="E132" s="60" t="str">
        <f>VLOOKUP(1600,Sprachindex!$A:$Z,Erhebungsbogen!$Y$20,FALSE)</f>
        <v>[Stk]</v>
      </c>
      <c r="F132" s="60" t="s">
        <v>22010</v>
      </c>
      <c r="G132" s="514" t="str">
        <f>VLOOKUP(2135,Sprachindex!$A:$Z,Erhebungsbogen!$Y$20,FALSE) &amp; " ( " &amp;Preisliste!H112 &amp; " " &amp; VLOOKUP(1744,Sprachindex!$A:$Z,Erhebungsbogen!$Y$20,FALSE) &amp; ")"</f>
        <v>Rundprofil 50-Vario 60° exkl. Dichtung, gebohrt und entgratet ( 29,728 kg/Stk)</v>
      </c>
      <c r="H132" s="514"/>
      <c r="I132" s="514"/>
      <c r="J132" s="514"/>
      <c r="K132" s="514"/>
      <c r="L132" s="514"/>
      <c r="M132" s="514"/>
      <c r="N132" s="514"/>
      <c r="O132" s="514"/>
      <c r="P132" s="514"/>
      <c r="Q132" s="514"/>
      <c r="R132" s="514"/>
      <c r="S132" s="514"/>
      <c r="T132" s="514"/>
      <c r="U132" s="352">
        <f>VLOOKUP(F132,Preisliste!C:F,4,FALSE)</f>
        <v>988.05</v>
      </c>
      <c r="V132" s="352">
        <f t="shared" si="28"/>
        <v>0</v>
      </c>
      <c r="W132" s="86"/>
      <c r="X132" s="86"/>
      <c r="Y132" s="86"/>
      <c r="Z132" s="86"/>
      <c r="AA132" s="86"/>
      <c r="AB132" s="86"/>
      <c r="AC132" s="86"/>
      <c r="AD132" s="86"/>
      <c r="AE132" s="86"/>
      <c r="AF132" s="86"/>
      <c r="AG132" s="55">
        <f>IF(AND(AH132=1,AP132&gt;0,AU132=1),1,0)</f>
        <v>0</v>
      </c>
      <c r="AH132" s="66">
        <f>IF(OR(Kalk4!$AA$19=2,Kalk4!$AA$19=3),1,0)</f>
        <v>1</v>
      </c>
      <c r="AI132" s="55">
        <v>50</v>
      </c>
      <c r="AK132" s="55" t="s">
        <v>22079</v>
      </c>
      <c r="AP132" s="66">
        <f>IF(AND(Kalk4!$O$21&gt;0,Kalk4!$N$21="60°"),Kalk4!$O$21,0)</f>
        <v>0</v>
      </c>
      <c r="AQ132" s="55" t="s">
        <v>22090</v>
      </c>
      <c r="AT132" s="55" t="s">
        <v>22079</v>
      </c>
      <c r="AU132" s="66">
        <f>IF(Kalk4!$AI$51=AV132,1,0)</f>
        <v>0</v>
      </c>
      <c r="AV132" s="55">
        <v>1350</v>
      </c>
      <c r="AX132" s="55" t="s">
        <v>22100</v>
      </c>
      <c r="AY132" s="66">
        <f>AP132*Kalk4!$H$37</f>
        <v>0</v>
      </c>
      <c r="AZ132" s="55" t="s">
        <v>20872</v>
      </c>
    </row>
    <row r="133" spans="2:52" ht="24.95" customHeight="1">
      <c r="B133" s="93">
        <f t="shared" si="26"/>
        <v>0</v>
      </c>
      <c r="C133" s="60">
        <v>1750</v>
      </c>
      <c r="D133" s="60"/>
      <c r="E133" s="60" t="str">
        <f>VLOOKUP(1600,Sprachindex!$A:$Z,Erhebungsbogen!$Y$20,FALSE)</f>
        <v>[Stk]</v>
      </c>
      <c r="F133" s="60" t="s">
        <v>22011</v>
      </c>
      <c r="G133" s="514" t="str">
        <f>VLOOKUP(2135,Sprachindex!$A:$Z,Erhebungsbogen!$Y$20,FALSE) &amp; " ( " &amp;Preisliste!H113 &amp; " " &amp; VLOOKUP(1744,Sprachindex!$A:$Z,Erhebungsbogen!$Y$20,FALSE) &amp; ")"</f>
        <v>Rundprofil 50-Vario 60° exkl. Dichtung, gebohrt und entgratet ( 38,537 kg/Stk)</v>
      </c>
      <c r="H133" s="514"/>
      <c r="I133" s="514"/>
      <c r="J133" s="514"/>
      <c r="K133" s="514"/>
      <c r="L133" s="514"/>
      <c r="M133" s="514"/>
      <c r="N133" s="514"/>
      <c r="O133" s="514"/>
      <c r="P133" s="514"/>
      <c r="Q133" s="514"/>
      <c r="R133" s="514"/>
      <c r="S133" s="514"/>
      <c r="T133" s="514"/>
      <c r="U133" s="352">
        <f>VLOOKUP(F133,Preisliste!C:F,4,FALSE)</f>
        <v>1110.0999999999999</v>
      </c>
      <c r="V133" s="352">
        <f t="shared" si="28"/>
        <v>0</v>
      </c>
      <c r="W133" s="86"/>
      <c r="X133" s="86"/>
      <c r="Y133" s="86"/>
      <c r="Z133" s="86"/>
      <c r="AA133" s="86"/>
      <c r="AB133" s="86"/>
      <c r="AC133" s="86"/>
      <c r="AD133" s="86"/>
      <c r="AE133" s="86"/>
      <c r="AF133" s="86"/>
      <c r="AG133" s="55">
        <f t="shared" si="27"/>
        <v>0</v>
      </c>
      <c r="AH133" s="66">
        <f>IF(OR(Kalk4!$AA$19=2,Kalk4!$AA$19=3),1,0)</f>
        <v>1</v>
      </c>
      <c r="AI133" s="55">
        <v>50</v>
      </c>
      <c r="AK133" s="55" t="s">
        <v>22079</v>
      </c>
      <c r="AP133" s="66">
        <f>IF(AND(Kalk4!$O$21&gt;0,Kalk4!$N$21="60°"),Kalk4!$O$21,0)</f>
        <v>0</v>
      </c>
      <c r="AQ133" s="55" t="s">
        <v>22090</v>
      </c>
      <c r="AT133" s="55" t="s">
        <v>22079</v>
      </c>
      <c r="AU133" s="66">
        <f>IF(Kalk4!$AI$51=AV133,1,0)</f>
        <v>0</v>
      </c>
      <c r="AV133" s="55">
        <v>1750</v>
      </c>
      <c r="AX133" s="55" t="s">
        <v>22100</v>
      </c>
      <c r="AY133" s="66">
        <f>AP133*Kalk4!$H$37</f>
        <v>0</v>
      </c>
      <c r="AZ133" s="55" t="s">
        <v>20872</v>
      </c>
    </row>
    <row r="134" spans="2:52" ht="24.95" customHeight="1">
      <c r="B134" s="93">
        <f t="shared" si="26"/>
        <v>0</v>
      </c>
      <c r="C134" s="60">
        <v>2150</v>
      </c>
      <c r="D134" s="60"/>
      <c r="E134" s="60" t="str">
        <f>VLOOKUP(1600,Sprachindex!$A:$Z,Erhebungsbogen!$Y$20,FALSE)</f>
        <v>[Stk]</v>
      </c>
      <c r="F134" s="60" t="s">
        <v>22012</v>
      </c>
      <c r="G134" s="514" t="str">
        <f>VLOOKUP(2135,Sprachindex!$A:$Z,Erhebungsbogen!$Y$20,FALSE) &amp; " ( " &amp;Preisliste!H114 &amp; " " &amp; VLOOKUP(1744,Sprachindex!$A:$Z,Erhebungsbogen!$Y$20,FALSE) &amp; ")"</f>
        <v>Rundprofil 50-Vario 60° exkl. Dichtung, gebohrt und entgratet ( 47,345 kg/Stk)</v>
      </c>
      <c r="H134" s="514"/>
      <c r="I134" s="514"/>
      <c r="J134" s="514"/>
      <c r="K134" s="514"/>
      <c r="L134" s="514"/>
      <c r="M134" s="514"/>
      <c r="N134" s="514"/>
      <c r="O134" s="514"/>
      <c r="P134" s="514"/>
      <c r="Q134" s="514"/>
      <c r="R134" s="514"/>
      <c r="S134" s="514"/>
      <c r="T134" s="514"/>
      <c r="U134" s="352">
        <f>VLOOKUP(F134,Preisliste!C:F,4,FALSE)</f>
        <v>1231.95</v>
      </c>
      <c r="V134" s="352">
        <f t="shared" si="28"/>
        <v>0</v>
      </c>
      <c r="W134" s="86"/>
      <c r="X134" s="86"/>
      <c r="Y134" s="86"/>
      <c r="Z134" s="86"/>
      <c r="AA134" s="86"/>
      <c r="AB134" s="86"/>
      <c r="AC134" s="86"/>
      <c r="AD134" s="86"/>
      <c r="AE134" s="86"/>
      <c r="AF134" s="86"/>
      <c r="AG134" s="55">
        <f t="shared" si="27"/>
        <v>0</v>
      </c>
      <c r="AH134" s="66">
        <f>IF(OR(Kalk4!$AA$19=2,Kalk4!$AA$19=3),1,0)</f>
        <v>1</v>
      </c>
      <c r="AI134" s="55">
        <v>50</v>
      </c>
      <c r="AK134" s="55" t="s">
        <v>22079</v>
      </c>
      <c r="AP134" s="66">
        <f>IF(AND(Kalk4!$O$21&gt;0,Kalk4!$N$21="60°"),Kalk4!$O$21,0)</f>
        <v>0</v>
      </c>
      <c r="AQ134" s="55" t="s">
        <v>22090</v>
      </c>
      <c r="AT134" s="55" t="s">
        <v>22079</v>
      </c>
      <c r="AU134" s="66">
        <f>IF(Kalk4!$AI$51=AV134,1,0)</f>
        <v>0</v>
      </c>
      <c r="AV134" s="55">
        <v>2150</v>
      </c>
      <c r="AX134" s="55" t="s">
        <v>22100</v>
      </c>
      <c r="AY134" s="66">
        <f>AP134*Kalk4!$H$37</f>
        <v>0</v>
      </c>
      <c r="AZ134" s="55" t="s">
        <v>20872</v>
      </c>
    </row>
    <row r="135" spans="2:52" ht="24.95" customHeight="1">
      <c r="B135" s="93">
        <f t="shared" si="26"/>
        <v>0</v>
      </c>
      <c r="C135" s="60">
        <f>IF(AG135=1,AW135,0)</f>
        <v>0</v>
      </c>
      <c r="D135" s="60"/>
      <c r="E135" s="60" t="str">
        <f>VLOOKUP(1600,Sprachindex!$A:$Z,Erhebungsbogen!$Y$20,FALSE)</f>
        <v>[Stk]</v>
      </c>
      <c r="F135" s="60" t="s">
        <v>21826</v>
      </c>
      <c r="G135" s="514" t="str">
        <f>VLOOKUP(2136,Sprachindex!$A:$Z,Erhebungsbogen!$Y$20,FALSE) &amp; " (" &amp; ROUNDUP(C135/1000*Preisliste!I115,2) &amp; " " &amp; VLOOKUP(1744,Sprachindex!$A:$Z,Erhebungsbogen!$Y$20,FALSE) &amp; ")"</f>
        <v>Rundprofil 50-Vario 60° Sonderlänge exkl. Dichtung, (Stangenware) (0 kg/Stk)</v>
      </c>
      <c r="H135" s="514"/>
      <c r="I135" s="514"/>
      <c r="J135" s="514"/>
      <c r="K135" s="514"/>
      <c r="L135" s="514"/>
      <c r="M135" s="514"/>
      <c r="N135" s="514"/>
      <c r="O135" s="514"/>
      <c r="P135" s="514"/>
      <c r="Q135" s="514"/>
      <c r="R135" s="514"/>
      <c r="S135" s="514"/>
      <c r="T135" s="514"/>
      <c r="U135" s="354">
        <f>VLOOKUP(F135,Preisliste!C:F,4,FALSE)</f>
        <v>0</v>
      </c>
      <c r="V135" s="352">
        <f t="shared" si="28"/>
        <v>0</v>
      </c>
      <c r="W135" s="86"/>
      <c r="X135" s="86"/>
      <c r="Y135" s="86"/>
      <c r="Z135" s="86"/>
      <c r="AA135" s="86"/>
      <c r="AB135" s="86"/>
      <c r="AC135" s="86"/>
      <c r="AD135" s="86"/>
      <c r="AE135" s="86"/>
      <c r="AF135" s="86"/>
      <c r="AG135" s="55">
        <f t="shared" si="27"/>
        <v>0</v>
      </c>
      <c r="AH135" s="66">
        <f>IF(OR(Kalk4!$AA$19=2,Kalk4!$AA$19=3),1,0)</f>
        <v>1</v>
      </c>
      <c r="AI135" s="55">
        <v>50</v>
      </c>
      <c r="AK135" s="55" t="s">
        <v>22079</v>
      </c>
      <c r="AP135" s="66">
        <f>IF(AND(Kalk4!$O$21&gt;0,Kalk4!$N$21="60°"),Kalk4!$O$21,0)</f>
        <v>0</v>
      </c>
      <c r="AQ135" s="55" t="s">
        <v>22090</v>
      </c>
      <c r="AT135" s="55" t="s">
        <v>22079</v>
      </c>
      <c r="AU135" s="66">
        <f>IF(Kalk4!$AH$52&gt;AV135,1,0)</f>
        <v>0</v>
      </c>
      <c r="AV135" s="55">
        <v>2150</v>
      </c>
      <c r="AW135" s="66">
        <f>Kalk4!$AH$52</f>
        <v>0</v>
      </c>
      <c r="AX135" s="55" t="s">
        <v>22100</v>
      </c>
      <c r="AY135" s="66">
        <f>AP135*Kalk4!$H$37</f>
        <v>0</v>
      </c>
      <c r="AZ135" s="55" t="s">
        <v>20872</v>
      </c>
    </row>
    <row r="136" spans="2:52" ht="24.95" customHeight="1">
      <c r="B136" s="93">
        <f t="shared" si="26"/>
        <v>0</v>
      </c>
      <c r="C136" s="60">
        <v>750</v>
      </c>
      <c r="D136" s="60"/>
      <c r="E136" s="60" t="str">
        <f>VLOOKUP(1600,Sprachindex!$A:$Z,Erhebungsbogen!$Y$20,FALSE)</f>
        <v>[Stk]</v>
      </c>
      <c r="F136" s="60" t="s">
        <v>22013</v>
      </c>
      <c r="G136" s="514" t="str">
        <f>VLOOKUP(2137,Sprachindex!$A:$Z,Erhebungsbogen!$Y$20,FALSE) &amp; " ( " &amp;Preisliste!H116 &amp; " " &amp; VLOOKUP(1744,Sprachindex!$A:$Z,Erhebungsbogen!$Y$20,FALSE) &amp; ")"</f>
        <v>Rundprofil 50-Vario 75° exkl. Dichtung, gebohrt und entgratet ( 15,726 kg/Stk)</v>
      </c>
      <c r="H136" s="514"/>
      <c r="I136" s="514"/>
      <c r="J136" s="514"/>
      <c r="K136" s="514"/>
      <c r="L136" s="514"/>
      <c r="M136" s="514"/>
      <c r="N136" s="514"/>
      <c r="O136" s="514"/>
      <c r="P136" s="514"/>
      <c r="Q136" s="514"/>
      <c r="R136" s="514"/>
      <c r="S136" s="514"/>
      <c r="T136" s="514"/>
      <c r="U136" s="352">
        <f>VLOOKUP(F136,Preisliste!C:F,4,FALSE)</f>
        <v>805.1</v>
      </c>
      <c r="V136" s="352">
        <f t="shared" si="28"/>
        <v>0</v>
      </c>
      <c r="W136" s="86"/>
      <c r="X136" s="86"/>
      <c r="Y136" s="86"/>
      <c r="Z136" s="86"/>
      <c r="AA136" s="86"/>
      <c r="AB136" s="86"/>
      <c r="AC136" s="86"/>
      <c r="AD136" s="86"/>
      <c r="AE136" s="86"/>
      <c r="AF136" s="86"/>
      <c r="AG136" s="55">
        <f t="shared" si="27"/>
        <v>1</v>
      </c>
      <c r="AH136" s="66">
        <f>IF(OR(Kalk4!$AA$19=2,Kalk4!$AA$19=3),1,0)</f>
        <v>1</v>
      </c>
      <c r="AI136" s="55">
        <v>50</v>
      </c>
      <c r="AK136" s="55" t="s">
        <v>22079</v>
      </c>
      <c r="AP136" s="66">
        <f>IF(AND(Kalk4!$O$21&gt;0,Kalk4!$N$21="75°"),Kalk4!$O$21,0)</f>
        <v>0</v>
      </c>
      <c r="AQ136" s="55" t="s">
        <v>22091</v>
      </c>
      <c r="AT136" s="55" t="s">
        <v>22079</v>
      </c>
      <c r="AU136" s="66">
        <f>IF(Kalk4!$AI$51=$AV$91,1,0)</f>
        <v>1</v>
      </c>
      <c r="AV136" s="55">
        <v>750</v>
      </c>
      <c r="AX136" s="55" t="s">
        <v>22100</v>
      </c>
      <c r="AY136" s="66">
        <f>AP136*Kalk4!$H$37</f>
        <v>0</v>
      </c>
      <c r="AZ136" s="55" t="s">
        <v>20872</v>
      </c>
    </row>
    <row r="137" spans="2:52" ht="24.95" customHeight="1">
      <c r="B137" s="93">
        <f t="shared" si="26"/>
        <v>0</v>
      </c>
      <c r="C137" s="60">
        <v>1350</v>
      </c>
      <c r="D137" s="60"/>
      <c r="E137" s="60" t="str">
        <f>VLOOKUP(1600,Sprachindex!$A:$Z,Erhebungsbogen!$Y$20,FALSE)</f>
        <v>[Stk]</v>
      </c>
      <c r="F137" s="60" t="s">
        <v>22014</v>
      </c>
      <c r="G137" s="514" t="str">
        <f>VLOOKUP(2137,Sprachindex!$A:$Z,Erhebungsbogen!$Y$20,FALSE) &amp; " ( " &amp;Preisliste!H117 &amp; " " &amp; VLOOKUP(1744,Sprachindex!$A:$Z,Erhebungsbogen!$Y$20,FALSE) &amp; ")"</f>
        <v>Rundprofil 50-Vario 75° exkl. Dichtung, gebohrt und entgratet ( 28,307 kg/Stk)</v>
      </c>
      <c r="H137" s="514"/>
      <c r="I137" s="514"/>
      <c r="J137" s="514"/>
      <c r="K137" s="514"/>
      <c r="L137" s="514"/>
      <c r="M137" s="514"/>
      <c r="N137" s="514"/>
      <c r="O137" s="514"/>
      <c r="P137" s="514"/>
      <c r="Q137" s="514"/>
      <c r="R137" s="514"/>
      <c r="S137" s="514"/>
      <c r="T137" s="514"/>
      <c r="U137" s="352">
        <f>VLOOKUP(F137,Preisliste!C:F,4,FALSE)</f>
        <v>988.05</v>
      </c>
      <c r="V137" s="352">
        <f t="shared" si="28"/>
        <v>0</v>
      </c>
      <c r="W137" s="86"/>
      <c r="X137" s="86"/>
      <c r="Y137" s="86"/>
      <c r="Z137" s="86"/>
      <c r="AA137" s="86"/>
      <c r="AB137" s="86"/>
      <c r="AC137" s="86"/>
      <c r="AD137" s="86"/>
      <c r="AE137" s="86"/>
      <c r="AF137" s="86"/>
      <c r="AG137" s="55">
        <f>IF(AND(AH137=1,AP137&gt;0,AU137=1),1,0)</f>
        <v>0</v>
      </c>
      <c r="AH137" s="66">
        <f>IF(OR(Kalk4!$AA$19=2,Kalk4!$AA$19=3),1,0)</f>
        <v>1</v>
      </c>
      <c r="AI137" s="55">
        <v>50</v>
      </c>
      <c r="AK137" s="55" t="s">
        <v>22079</v>
      </c>
      <c r="AP137" s="66">
        <f>IF(AND(Kalk4!$O$21&gt;0,Kalk4!$N$21="75°"),Kalk4!$O$21,0)</f>
        <v>0</v>
      </c>
      <c r="AQ137" s="55" t="s">
        <v>22091</v>
      </c>
      <c r="AT137" s="55" t="s">
        <v>22079</v>
      </c>
      <c r="AU137" s="66">
        <f>IF(Kalk4!$AI$51=AV137,1,0)</f>
        <v>0</v>
      </c>
      <c r="AV137" s="55">
        <v>1350</v>
      </c>
      <c r="AX137" s="55" t="s">
        <v>22100</v>
      </c>
      <c r="AY137" s="66">
        <f>AP137*Kalk4!$H$37</f>
        <v>0</v>
      </c>
      <c r="AZ137" s="55" t="s">
        <v>20872</v>
      </c>
    </row>
    <row r="138" spans="2:52" ht="24.95" customHeight="1">
      <c r="B138" s="93">
        <f t="shared" si="26"/>
        <v>0</v>
      </c>
      <c r="C138" s="60">
        <v>1750</v>
      </c>
      <c r="D138" s="60"/>
      <c r="E138" s="60" t="str">
        <f>VLOOKUP(1600,Sprachindex!$A:$Z,Erhebungsbogen!$Y$20,FALSE)</f>
        <v>[Stk]</v>
      </c>
      <c r="F138" s="60" t="s">
        <v>22015</v>
      </c>
      <c r="G138" s="514" t="str">
        <f>VLOOKUP(2137,Sprachindex!$A:$Z,Erhebungsbogen!$Y$20,FALSE) &amp; " ( " &amp;Preisliste!H118 &amp; " " &amp; VLOOKUP(1744,Sprachindex!$A:$Z,Erhebungsbogen!$Y$20,FALSE) &amp; ")"</f>
        <v>Rundprofil 50-Vario 75° exkl. Dichtung, gebohrt und entgratet ( 36,694 kg/Stk)</v>
      </c>
      <c r="H138" s="514"/>
      <c r="I138" s="514"/>
      <c r="J138" s="514"/>
      <c r="K138" s="514"/>
      <c r="L138" s="514"/>
      <c r="M138" s="514"/>
      <c r="N138" s="514"/>
      <c r="O138" s="514"/>
      <c r="P138" s="514"/>
      <c r="Q138" s="514"/>
      <c r="R138" s="514"/>
      <c r="S138" s="514"/>
      <c r="T138" s="514"/>
      <c r="U138" s="352">
        <f>VLOOKUP(F138,Preisliste!C:F,4,FALSE)</f>
        <v>1110.0999999999999</v>
      </c>
      <c r="V138" s="352">
        <f t="shared" si="28"/>
        <v>0</v>
      </c>
      <c r="W138" s="86"/>
      <c r="X138" s="86"/>
      <c r="Y138" s="86"/>
      <c r="Z138" s="86"/>
      <c r="AA138" s="86"/>
      <c r="AB138" s="86"/>
      <c r="AC138" s="86"/>
      <c r="AD138" s="86"/>
      <c r="AE138" s="86"/>
      <c r="AF138" s="86"/>
      <c r="AG138" s="55">
        <f t="shared" si="27"/>
        <v>0</v>
      </c>
      <c r="AH138" s="66">
        <f>IF(OR(Kalk4!$AA$19=2,Kalk4!$AA$19=3),1,0)</f>
        <v>1</v>
      </c>
      <c r="AI138" s="55">
        <v>50</v>
      </c>
      <c r="AK138" s="55" t="s">
        <v>22079</v>
      </c>
      <c r="AP138" s="66">
        <f>IF(AND(Kalk4!$O$21&gt;0,Kalk4!$N$21="75°"),Kalk4!$O$21,0)</f>
        <v>0</v>
      </c>
      <c r="AQ138" s="55" t="s">
        <v>22091</v>
      </c>
      <c r="AT138" s="55" t="s">
        <v>22079</v>
      </c>
      <c r="AU138" s="66">
        <f>IF(Kalk4!$AI$51=AV138,1,0)</f>
        <v>0</v>
      </c>
      <c r="AV138" s="55">
        <v>1750</v>
      </c>
      <c r="AX138" s="55" t="s">
        <v>22100</v>
      </c>
      <c r="AY138" s="66">
        <f>AP138*Kalk4!$H$37</f>
        <v>0</v>
      </c>
      <c r="AZ138" s="55" t="s">
        <v>20872</v>
      </c>
    </row>
    <row r="139" spans="2:52" ht="24.95" customHeight="1">
      <c r="B139" s="93">
        <f t="shared" si="26"/>
        <v>0</v>
      </c>
      <c r="C139" s="60">
        <v>2150</v>
      </c>
      <c r="D139" s="60"/>
      <c r="E139" s="60" t="str">
        <f>VLOOKUP(1600,Sprachindex!$A:$Z,Erhebungsbogen!$Y$20,FALSE)</f>
        <v>[Stk]</v>
      </c>
      <c r="F139" s="60" t="s">
        <v>22016</v>
      </c>
      <c r="G139" s="514" t="str">
        <f>VLOOKUP(2137,Sprachindex!$A:$Z,Erhebungsbogen!$Y$20,FALSE) &amp; " ( " &amp;Preisliste!H119 &amp; " " &amp; VLOOKUP(1744,Sprachindex!$A:$Z,Erhebungsbogen!$Y$20,FALSE) &amp; ")"</f>
        <v>Rundprofil 50-Vario 75° exkl. Dichtung, gebohrt und entgratet ( 45,081 kg/Stk)</v>
      </c>
      <c r="H139" s="514"/>
      <c r="I139" s="514"/>
      <c r="J139" s="514"/>
      <c r="K139" s="514"/>
      <c r="L139" s="514"/>
      <c r="M139" s="514"/>
      <c r="N139" s="514"/>
      <c r="O139" s="514"/>
      <c r="P139" s="514"/>
      <c r="Q139" s="514"/>
      <c r="R139" s="514"/>
      <c r="S139" s="514"/>
      <c r="T139" s="514"/>
      <c r="U139" s="352">
        <f>VLOOKUP(F139,Preisliste!C:F,4,FALSE)</f>
        <v>1231.95</v>
      </c>
      <c r="V139" s="352">
        <f t="shared" si="28"/>
        <v>0</v>
      </c>
      <c r="W139" s="86"/>
      <c r="X139" s="86"/>
      <c r="Y139" s="86"/>
      <c r="Z139" s="86"/>
      <c r="AA139" s="86"/>
      <c r="AB139" s="86"/>
      <c r="AC139" s="86"/>
      <c r="AD139" s="86"/>
      <c r="AE139" s="86"/>
      <c r="AF139" s="86"/>
      <c r="AG139" s="55">
        <f t="shared" si="27"/>
        <v>0</v>
      </c>
      <c r="AH139" s="66">
        <f>IF(OR(Kalk4!$AA$19=2,Kalk4!$AA$19=3),1,0)</f>
        <v>1</v>
      </c>
      <c r="AI139" s="55">
        <v>50</v>
      </c>
      <c r="AK139" s="55" t="s">
        <v>22079</v>
      </c>
      <c r="AP139" s="66">
        <f>IF(AND(Kalk4!$O$21&gt;0,Kalk4!$N$21="75°"),Kalk4!$O$21,0)</f>
        <v>0</v>
      </c>
      <c r="AQ139" s="55" t="s">
        <v>22091</v>
      </c>
      <c r="AT139" s="55" t="s">
        <v>22079</v>
      </c>
      <c r="AU139" s="66">
        <f>IF(Kalk4!$AI$51=AV139,1,0)</f>
        <v>0</v>
      </c>
      <c r="AV139" s="55">
        <v>2150</v>
      </c>
      <c r="AX139" s="55" t="s">
        <v>22100</v>
      </c>
      <c r="AY139" s="66">
        <f>AP139*Kalk4!$H$37</f>
        <v>0</v>
      </c>
      <c r="AZ139" s="55" t="s">
        <v>20872</v>
      </c>
    </row>
    <row r="140" spans="2:52" ht="24.95" customHeight="1">
      <c r="B140" s="93">
        <f t="shared" si="26"/>
        <v>0</v>
      </c>
      <c r="C140" s="60">
        <f>IF(AG140=1,AW140,0)</f>
        <v>0</v>
      </c>
      <c r="D140" s="60"/>
      <c r="E140" s="60" t="str">
        <f>VLOOKUP(1600,Sprachindex!$A:$Z,Erhebungsbogen!$Y$20,FALSE)</f>
        <v>[Stk]</v>
      </c>
      <c r="F140" s="60" t="s">
        <v>21826</v>
      </c>
      <c r="G140" s="514" t="str">
        <f>VLOOKUP(2138,Sprachindex!$A:$Z,Erhebungsbogen!$Y$20,FALSE) &amp; " (" &amp; ROUNDUP(C140/1000*Preisliste!I120,2) &amp; " " &amp; VLOOKUP(1744,Sprachindex!$A:$Z,Erhebungsbogen!$Y$20,FALSE) &amp; ")"</f>
        <v>Rundprofil 50-Vario 75° Sonderlänge exkl. Dichtung, (Stangenware) (0 kg/Stk)</v>
      </c>
      <c r="H140" s="514"/>
      <c r="I140" s="514"/>
      <c r="J140" s="514"/>
      <c r="K140" s="514"/>
      <c r="L140" s="514"/>
      <c r="M140" s="514"/>
      <c r="N140" s="514"/>
      <c r="O140" s="514"/>
      <c r="P140" s="514"/>
      <c r="Q140" s="514"/>
      <c r="R140" s="514"/>
      <c r="S140" s="514"/>
      <c r="T140" s="514"/>
      <c r="U140" s="354">
        <f>VLOOKUP(F140,Preisliste!C:F,4,FALSE)</f>
        <v>0</v>
      </c>
      <c r="V140" s="352">
        <f t="shared" si="28"/>
        <v>0</v>
      </c>
      <c r="W140" s="86"/>
      <c r="X140" s="86"/>
      <c r="Y140" s="86"/>
      <c r="Z140" s="86"/>
      <c r="AA140" s="86"/>
      <c r="AB140" s="86"/>
      <c r="AC140" s="86"/>
      <c r="AD140" s="86"/>
      <c r="AE140" s="86"/>
      <c r="AF140" s="86"/>
      <c r="AG140" s="55">
        <f t="shared" si="27"/>
        <v>0</v>
      </c>
      <c r="AH140" s="66">
        <f>IF(OR(Kalk4!$AA$19=2,Kalk4!$AA$19=3),1,0)</f>
        <v>1</v>
      </c>
      <c r="AI140" s="55">
        <v>50</v>
      </c>
      <c r="AK140" s="55" t="s">
        <v>22079</v>
      </c>
      <c r="AP140" s="66">
        <f>IF(AND(Kalk4!$O$21&gt;0,Kalk4!$N$21="75°"),Kalk4!$O$21,0)</f>
        <v>0</v>
      </c>
      <c r="AQ140" s="55" t="s">
        <v>22091</v>
      </c>
      <c r="AT140" s="55" t="s">
        <v>22079</v>
      </c>
      <c r="AU140" s="66">
        <f>IF(Kalk4!$AH$52&gt;AV140,1,0)</f>
        <v>0</v>
      </c>
      <c r="AV140" s="55">
        <v>2150</v>
      </c>
      <c r="AW140" s="66">
        <f>Kalk4!$AH$52</f>
        <v>0</v>
      </c>
      <c r="AX140" s="55" t="s">
        <v>22100</v>
      </c>
      <c r="AY140" s="66">
        <f>AP140*Kalk4!$H$37</f>
        <v>0</v>
      </c>
      <c r="AZ140" s="55" t="s">
        <v>20872</v>
      </c>
    </row>
    <row r="141" spans="2:52" ht="24.95" customHeight="1">
      <c r="B141" s="93">
        <f t="shared" si="26"/>
        <v>0</v>
      </c>
      <c r="C141" s="60">
        <v>750</v>
      </c>
      <c r="D141" s="60"/>
      <c r="E141" s="60" t="str">
        <f>VLOOKUP(1600,Sprachindex!$A:$Z,Erhebungsbogen!$Y$20,FALSE)</f>
        <v>[Stk]</v>
      </c>
      <c r="F141" s="60" t="s">
        <v>21930</v>
      </c>
      <c r="G141" s="514" t="str">
        <f>VLOOKUP(2139,Sprachindex!$A:$Z,Erhebungsbogen!$Y$20,FALSE) &amp; " ( " &amp;Preisliste!H121 &amp; " " &amp; VLOOKUP(1744,Sprachindex!$A:$Z,Erhebungsbogen!$Y$20,FALSE) &amp; ")"</f>
        <v>Rundprofil 80-Vario 15° exkl. Dichtung, gebohrt und entgratet ( 14,244 kg/Stk)</v>
      </c>
      <c r="H141" s="514"/>
      <c r="I141" s="514"/>
      <c r="J141" s="514"/>
      <c r="K141" s="514"/>
      <c r="L141" s="514"/>
      <c r="M141" s="514"/>
      <c r="N141" s="514"/>
      <c r="O141" s="514"/>
      <c r="P141" s="514"/>
      <c r="Q141" s="514"/>
      <c r="R141" s="514"/>
      <c r="S141" s="514"/>
      <c r="T141" s="514"/>
      <c r="U141" s="352">
        <f>VLOOKUP(F141,Preisliste!C:F,4,FALSE)</f>
        <v>628.54999999999995</v>
      </c>
      <c r="V141" s="352">
        <f t="shared" si="28"/>
        <v>0</v>
      </c>
      <c r="W141" s="86"/>
      <c r="X141" s="86"/>
      <c r="Y141" s="86"/>
      <c r="Z141" s="86"/>
      <c r="AA141" s="86"/>
      <c r="AB141" s="86"/>
      <c r="AC141" s="86"/>
      <c r="AD141" s="86"/>
      <c r="AE141" s="86"/>
      <c r="AF141" s="86"/>
      <c r="AG141" s="55">
        <f t="shared" si="27"/>
        <v>0</v>
      </c>
      <c r="AH141" s="66">
        <f>IF(Kalk4!$AA$19=4,1,0)</f>
        <v>0</v>
      </c>
      <c r="AI141" s="55">
        <v>80</v>
      </c>
      <c r="AK141" s="55" t="s">
        <v>22079</v>
      </c>
      <c r="AP141" s="66">
        <f>IF(AND(Kalk4!$O$21&gt;0,Kalk4!$N$21="15°"),Kalk4!$O$21,0)</f>
        <v>0</v>
      </c>
      <c r="AQ141" s="55" t="s">
        <v>22087</v>
      </c>
      <c r="AT141" s="55" t="s">
        <v>22079</v>
      </c>
      <c r="AU141" s="66">
        <f>IF(Kalk4!$AI$51=$AV$91,1,0)</f>
        <v>1</v>
      </c>
      <c r="AV141" s="55">
        <v>750</v>
      </c>
      <c r="AX141" s="55" t="s">
        <v>22100</v>
      </c>
      <c r="AY141" s="66">
        <f>AP141*Kalk4!$H$37</f>
        <v>0</v>
      </c>
      <c r="AZ141" s="55" t="s">
        <v>20872</v>
      </c>
    </row>
    <row r="142" spans="2:52" ht="24.95" customHeight="1">
      <c r="B142" s="93">
        <f t="shared" si="26"/>
        <v>0</v>
      </c>
      <c r="C142" s="60">
        <v>1350</v>
      </c>
      <c r="D142" s="60"/>
      <c r="E142" s="60" t="str">
        <f>VLOOKUP(1600,Sprachindex!$A:$Z,Erhebungsbogen!$Y$20,FALSE)</f>
        <v>[Stk]</v>
      </c>
      <c r="F142" s="60" t="s">
        <v>21931</v>
      </c>
      <c r="G142" s="514" t="str">
        <f>VLOOKUP(2139,Sprachindex!$A:$Z,Erhebungsbogen!$Y$20,FALSE) &amp; " ( " &amp;Preisliste!H122 &amp; " " &amp; VLOOKUP(1744,Sprachindex!$A:$Z,Erhebungsbogen!$Y$20,FALSE) &amp; ")"</f>
        <v>Rundprofil 80-Vario 15° exkl. Dichtung, gebohrt und entgratet ( 25,639 kg/Stk)</v>
      </c>
      <c r="H142" s="514"/>
      <c r="I142" s="514"/>
      <c r="J142" s="514"/>
      <c r="K142" s="514"/>
      <c r="L142" s="514"/>
      <c r="M142" s="514"/>
      <c r="N142" s="514"/>
      <c r="O142" s="514"/>
      <c r="P142" s="514"/>
      <c r="Q142" s="514"/>
      <c r="R142" s="514"/>
      <c r="S142" s="514"/>
      <c r="T142" s="514"/>
      <c r="U142" s="352">
        <f>VLOOKUP(F142,Preisliste!C:F,4,FALSE)</f>
        <v>814.15</v>
      </c>
      <c r="V142" s="352">
        <f t="shared" si="28"/>
        <v>0</v>
      </c>
      <c r="W142" s="86"/>
      <c r="X142" s="86"/>
      <c r="Y142" s="86"/>
      <c r="Z142" s="86"/>
      <c r="AA142" s="86"/>
      <c r="AB142" s="86"/>
      <c r="AC142" s="86"/>
      <c r="AD142" s="86"/>
      <c r="AE142" s="86"/>
      <c r="AF142" s="86"/>
      <c r="AG142" s="55">
        <f t="shared" si="27"/>
        <v>0</v>
      </c>
      <c r="AH142" s="66">
        <f>IF(Kalk4!$AA$19=4,1,0)</f>
        <v>0</v>
      </c>
      <c r="AI142" s="55">
        <v>80</v>
      </c>
      <c r="AK142" s="55" t="s">
        <v>22079</v>
      </c>
      <c r="AP142" s="66">
        <f>IF(AND(Kalk4!$O$21&gt;0,Kalk4!$N$21="15°"),Kalk4!$O$21,0)</f>
        <v>0</v>
      </c>
      <c r="AQ142" s="55" t="s">
        <v>22087</v>
      </c>
      <c r="AT142" s="55" t="s">
        <v>22079</v>
      </c>
      <c r="AU142" s="66">
        <f>IF(Kalk4!$AI$51=AV142,1,0)</f>
        <v>0</v>
      </c>
      <c r="AV142" s="55">
        <v>1350</v>
      </c>
      <c r="AX142" s="55" t="s">
        <v>22100</v>
      </c>
      <c r="AY142" s="66">
        <f>AP142*Kalk4!$H$37</f>
        <v>0</v>
      </c>
      <c r="AZ142" s="55" t="s">
        <v>20872</v>
      </c>
    </row>
    <row r="143" spans="2:52" ht="24.95" customHeight="1">
      <c r="B143" s="93">
        <f t="shared" si="26"/>
        <v>0</v>
      </c>
      <c r="C143" s="60">
        <v>1750</v>
      </c>
      <c r="D143" s="60"/>
      <c r="E143" s="60" t="str">
        <f>VLOOKUP(1600,Sprachindex!$A:$Z,Erhebungsbogen!$Y$20,FALSE)</f>
        <v>[Stk]</v>
      </c>
      <c r="F143" s="60" t="s">
        <v>21932</v>
      </c>
      <c r="G143" s="514" t="str">
        <f>VLOOKUP(2139,Sprachindex!$A:$Z,Erhebungsbogen!$Y$20,FALSE) &amp; " ( " &amp;Preisliste!H123 &amp; " " &amp; VLOOKUP(1744,Sprachindex!$A:$Z,Erhebungsbogen!$Y$20,FALSE) &amp; ")"</f>
        <v>Rundprofil 80-Vario 15° exkl. Dichtung, gebohrt und entgratet ( 33,236 kg/Stk)</v>
      </c>
      <c r="H143" s="514"/>
      <c r="I143" s="514"/>
      <c r="J143" s="514"/>
      <c r="K143" s="514"/>
      <c r="L143" s="514"/>
      <c r="M143" s="514"/>
      <c r="N143" s="514"/>
      <c r="O143" s="514"/>
      <c r="P143" s="514"/>
      <c r="Q143" s="514"/>
      <c r="R143" s="514"/>
      <c r="S143" s="514"/>
      <c r="T143" s="514"/>
      <c r="U143" s="352">
        <f>VLOOKUP(F143,Preisliste!C:F,4,FALSE)</f>
        <v>937.8</v>
      </c>
      <c r="V143" s="352">
        <f t="shared" si="28"/>
        <v>0</v>
      </c>
      <c r="W143" s="86"/>
      <c r="X143" s="86"/>
      <c r="Y143" s="86"/>
      <c r="Z143" s="86"/>
      <c r="AA143" s="86"/>
      <c r="AB143" s="86"/>
      <c r="AC143" s="86"/>
      <c r="AD143" s="86"/>
      <c r="AE143" s="86"/>
      <c r="AF143" s="86"/>
      <c r="AG143" s="55">
        <f t="shared" si="27"/>
        <v>0</v>
      </c>
      <c r="AH143" s="66">
        <f>IF(Kalk4!$AA$19=4,1,0)</f>
        <v>0</v>
      </c>
      <c r="AI143" s="55">
        <v>80</v>
      </c>
      <c r="AK143" s="55" t="s">
        <v>22079</v>
      </c>
      <c r="AP143" s="66">
        <f>IF(AND(Kalk4!$O$21&gt;0,Kalk4!$N$21="15°"),Kalk4!$O$21,0)</f>
        <v>0</v>
      </c>
      <c r="AQ143" s="55" t="s">
        <v>22087</v>
      </c>
      <c r="AT143" s="55" t="s">
        <v>22079</v>
      </c>
      <c r="AU143" s="66">
        <f>IF(Kalk4!$AI$51=AV143,1,0)</f>
        <v>0</v>
      </c>
      <c r="AV143" s="55">
        <v>1750</v>
      </c>
      <c r="AX143" s="55" t="s">
        <v>22100</v>
      </c>
      <c r="AY143" s="66">
        <f>AP143*Kalk4!$H$37</f>
        <v>0</v>
      </c>
      <c r="AZ143" s="55" t="s">
        <v>20872</v>
      </c>
    </row>
    <row r="144" spans="2:52" ht="24.95" customHeight="1">
      <c r="B144" s="93">
        <f t="shared" si="26"/>
        <v>0</v>
      </c>
      <c r="C144" s="60">
        <v>2150</v>
      </c>
      <c r="D144" s="60"/>
      <c r="E144" s="60" t="str">
        <f>VLOOKUP(1600,Sprachindex!$A:$Z,Erhebungsbogen!$Y$20,FALSE)</f>
        <v>[Stk]</v>
      </c>
      <c r="F144" s="60" t="s">
        <v>21933</v>
      </c>
      <c r="G144" s="514" t="str">
        <f>VLOOKUP(2139,Sprachindex!$A:$Z,Erhebungsbogen!$Y$20,FALSE) &amp; " ( " &amp;Preisliste!H124 &amp; " " &amp; VLOOKUP(1744,Sprachindex!$A:$Z,Erhebungsbogen!$Y$20,FALSE) &amp; ")"</f>
        <v>Rundprofil 80-Vario 15° exkl. Dichtung, gebohrt und entgratet ( 40,833 kg/Stk)</v>
      </c>
      <c r="H144" s="514"/>
      <c r="I144" s="514"/>
      <c r="J144" s="514"/>
      <c r="K144" s="514"/>
      <c r="L144" s="514"/>
      <c r="M144" s="514"/>
      <c r="N144" s="514"/>
      <c r="O144" s="514"/>
      <c r="P144" s="514"/>
      <c r="Q144" s="514"/>
      <c r="R144" s="514"/>
      <c r="S144" s="514"/>
      <c r="T144" s="514"/>
      <c r="U144" s="352">
        <f>VLOOKUP(F144,Preisliste!C:F,4,FALSE)</f>
        <v>1061.5</v>
      </c>
      <c r="V144" s="352">
        <f t="shared" si="28"/>
        <v>0</v>
      </c>
      <c r="W144" s="86"/>
      <c r="X144" s="86"/>
      <c r="Y144" s="86"/>
      <c r="Z144" s="86"/>
      <c r="AA144" s="86"/>
      <c r="AB144" s="86"/>
      <c r="AC144" s="86"/>
      <c r="AD144" s="86"/>
      <c r="AE144" s="86"/>
      <c r="AF144" s="86"/>
      <c r="AG144" s="55">
        <f t="shared" si="27"/>
        <v>0</v>
      </c>
      <c r="AH144" s="66">
        <f>IF(Kalk4!$AA$19=4,1,0)</f>
        <v>0</v>
      </c>
      <c r="AI144" s="55">
        <v>80</v>
      </c>
      <c r="AK144" s="55" t="s">
        <v>22079</v>
      </c>
      <c r="AP144" s="66">
        <f>IF(AND(Kalk4!$O$21&gt;0,Kalk4!$N$21="15°"),Kalk4!$O$21,0)</f>
        <v>0</v>
      </c>
      <c r="AQ144" s="55" t="s">
        <v>22087</v>
      </c>
      <c r="AT144" s="55" t="s">
        <v>22079</v>
      </c>
      <c r="AU144" s="66">
        <f>IF(Kalk4!$AI$51=AV144,1,0)</f>
        <v>0</v>
      </c>
      <c r="AV144" s="55">
        <v>2150</v>
      </c>
      <c r="AX144" s="55" t="s">
        <v>22100</v>
      </c>
      <c r="AY144" s="66">
        <f>AP144*Kalk4!$H$37</f>
        <v>0</v>
      </c>
      <c r="AZ144" s="55" t="s">
        <v>20872</v>
      </c>
    </row>
    <row r="145" spans="2:55" ht="24.95" customHeight="1">
      <c r="B145" s="93">
        <f t="shared" si="26"/>
        <v>0</v>
      </c>
      <c r="C145" s="60">
        <f>IF(AG145=1,AW145,0)</f>
        <v>0</v>
      </c>
      <c r="D145" s="60"/>
      <c r="E145" s="60" t="str">
        <f>VLOOKUP(1600,Sprachindex!$A:$Z,Erhebungsbogen!$Y$20,FALSE)</f>
        <v>[Stk]</v>
      </c>
      <c r="F145" s="60" t="s">
        <v>21826</v>
      </c>
      <c r="G145" s="514" t="str">
        <f>VLOOKUP(2140,Sprachindex!$A:$Z,Erhebungsbogen!$Y$20,FALSE) &amp; " (" &amp; ROUNDUP(C145/1000*Preisliste!I125,2) &amp; " " &amp; VLOOKUP(1744,Sprachindex!$A:$Z,Erhebungsbogen!$Y$20,FALSE) &amp; ")"</f>
        <v>Rundprofil 80-Vario 15° Sonderlänge exkl. Dichtung, (Stangenware) (0 kg/Stk)</v>
      </c>
      <c r="H145" s="514"/>
      <c r="I145" s="514"/>
      <c r="J145" s="514"/>
      <c r="K145" s="514"/>
      <c r="L145" s="514"/>
      <c r="M145" s="514"/>
      <c r="N145" s="514"/>
      <c r="O145" s="514"/>
      <c r="P145" s="514"/>
      <c r="Q145" s="514"/>
      <c r="R145" s="514"/>
      <c r="S145" s="514"/>
      <c r="T145" s="514"/>
      <c r="U145" s="354">
        <f>VLOOKUP(F145,Preisliste!C:F,4,FALSE)</f>
        <v>0</v>
      </c>
      <c r="V145" s="352">
        <f t="shared" si="28"/>
        <v>0</v>
      </c>
      <c r="W145" s="86"/>
      <c r="X145" s="86"/>
      <c r="Y145" s="86"/>
      <c r="Z145" s="86"/>
      <c r="AA145" s="86"/>
      <c r="AB145" s="86"/>
      <c r="AC145" s="86"/>
      <c r="AD145" s="86"/>
      <c r="AE145" s="86"/>
      <c r="AF145" s="86"/>
      <c r="AG145" s="55">
        <f t="shared" si="27"/>
        <v>0</v>
      </c>
      <c r="AH145" s="66">
        <f>IF(Kalk4!$AA$19=4,1,0)</f>
        <v>0</v>
      </c>
      <c r="AI145" s="55">
        <v>80</v>
      </c>
      <c r="AK145" s="55" t="s">
        <v>22079</v>
      </c>
      <c r="AP145" s="66">
        <f>IF(AND(Kalk4!$O$21&gt;0,Kalk4!$N$21="15°"),Kalk4!$O$21,0)</f>
        <v>0</v>
      </c>
      <c r="AQ145" s="55" t="s">
        <v>22087</v>
      </c>
      <c r="AT145" s="55" t="s">
        <v>22079</v>
      </c>
      <c r="AU145" s="66">
        <f>IF(Kalk4!$AH$52&gt;AV145,1,0)</f>
        <v>0</v>
      </c>
      <c r="AV145" s="55">
        <v>2150</v>
      </c>
      <c r="AW145" s="66">
        <f>Kalk4!$AH$52</f>
        <v>0</v>
      </c>
      <c r="AX145" s="55" t="s">
        <v>22100</v>
      </c>
      <c r="AY145" s="66">
        <f>AP145*Kalk4!$H$37</f>
        <v>0</v>
      </c>
      <c r="AZ145" s="55" t="s">
        <v>20872</v>
      </c>
    </row>
    <row r="146" spans="2:55" ht="24.95" customHeight="1">
      <c r="B146" s="93">
        <f t="shared" si="26"/>
        <v>0</v>
      </c>
      <c r="C146" s="60">
        <v>750</v>
      </c>
      <c r="D146" s="60"/>
      <c r="E146" s="60" t="str">
        <f>VLOOKUP(1600,Sprachindex!$A:$Z,Erhebungsbogen!$Y$20,FALSE)</f>
        <v>[Stk]</v>
      </c>
      <c r="F146" s="60" t="s">
        <v>21989</v>
      </c>
      <c r="G146" s="514" t="str">
        <f>VLOOKUP(2141,Sprachindex!$A:$Z,Erhebungsbogen!$Y$20,FALSE) &amp; " ( " &amp;Preisliste!H126 &amp; " " &amp; VLOOKUP(1744,Sprachindex!$A:$Z,Erhebungsbogen!$Y$20,FALSE) &amp; ")"</f>
        <v>Rundprofil 80-Vario 30° exkl. Dichtung, gebohrt und entgratet ( 15,167 kg/Stk)</v>
      </c>
      <c r="H146" s="514"/>
      <c r="I146" s="514"/>
      <c r="J146" s="514"/>
      <c r="K146" s="514"/>
      <c r="L146" s="514"/>
      <c r="M146" s="514"/>
      <c r="N146" s="514"/>
      <c r="O146" s="514"/>
      <c r="P146" s="514"/>
      <c r="Q146" s="514"/>
      <c r="R146" s="514"/>
      <c r="S146" s="514"/>
      <c r="T146" s="514"/>
      <c r="U146" s="352">
        <f>VLOOKUP(F146,Preisliste!C:F,4,FALSE)</f>
        <v>628.54999999999995</v>
      </c>
      <c r="V146" s="352">
        <f t="shared" si="28"/>
        <v>0</v>
      </c>
      <c r="W146" s="86"/>
      <c r="X146" s="86"/>
      <c r="Y146" s="86"/>
      <c r="Z146" s="86"/>
      <c r="AA146" s="86"/>
      <c r="AB146" s="86"/>
      <c r="AC146" s="86"/>
      <c r="AD146" s="86"/>
      <c r="AE146" s="86"/>
      <c r="AF146" s="86"/>
      <c r="AG146" s="55">
        <f t="shared" si="27"/>
        <v>0</v>
      </c>
      <c r="AH146" s="66">
        <f>IF(Kalk4!$AA$19=4,1,0)</f>
        <v>0</v>
      </c>
      <c r="AI146" s="55">
        <v>80</v>
      </c>
      <c r="AK146" s="55" t="s">
        <v>22079</v>
      </c>
      <c r="AP146" s="66">
        <f>IF(AND(Kalk4!$O$21&gt;0,Kalk4!$N$21="30°"),Kalk4!$O$21,0)</f>
        <v>0</v>
      </c>
      <c r="AQ146" s="55" t="s">
        <v>22088</v>
      </c>
      <c r="AT146" s="55" t="s">
        <v>22079</v>
      </c>
      <c r="AU146" s="66">
        <f>IF(Kalk4!$AI$51=$AV$91,1,0)</f>
        <v>1</v>
      </c>
      <c r="AV146" s="55">
        <v>750</v>
      </c>
      <c r="AX146" s="55" t="s">
        <v>22100</v>
      </c>
      <c r="AY146" s="66">
        <f>AP146*Kalk4!$H$37</f>
        <v>0</v>
      </c>
      <c r="AZ146" s="55" t="s">
        <v>20872</v>
      </c>
    </row>
    <row r="147" spans="2:55" ht="24.95" customHeight="1">
      <c r="B147" s="93">
        <f t="shared" si="26"/>
        <v>0</v>
      </c>
      <c r="C147" s="60">
        <v>1350</v>
      </c>
      <c r="D147" s="60"/>
      <c r="E147" s="60" t="str">
        <f>VLOOKUP(1600,Sprachindex!$A:$Z,Erhebungsbogen!$Y$20,FALSE)</f>
        <v>[Stk]</v>
      </c>
      <c r="F147" s="60" t="s">
        <v>21990</v>
      </c>
      <c r="G147" s="514" t="str">
        <f>VLOOKUP(2141,Sprachindex!$A:$Z,Erhebungsbogen!$Y$20,FALSE) &amp; " ( " &amp;Preisliste!H127 &amp; " " &amp; VLOOKUP(1744,Sprachindex!$A:$Z,Erhebungsbogen!$Y$20,FALSE) &amp; ")"</f>
        <v>Rundprofil 80-Vario 30° exkl. Dichtung, gebohrt und entgratet ( 27,301 kg/Stk)</v>
      </c>
      <c r="H147" s="514"/>
      <c r="I147" s="514"/>
      <c r="J147" s="514"/>
      <c r="K147" s="514"/>
      <c r="L147" s="514"/>
      <c r="M147" s="514"/>
      <c r="N147" s="514"/>
      <c r="O147" s="514"/>
      <c r="P147" s="514"/>
      <c r="Q147" s="514"/>
      <c r="R147" s="514"/>
      <c r="S147" s="514"/>
      <c r="T147" s="514"/>
      <c r="U147" s="352">
        <f>VLOOKUP(F147,Preisliste!C:F,4,FALSE)</f>
        <v>814.15</v>
      </c>
      <c r="V147" s="352">
        <f t="shared" si="28"/>
        <v>0</v>
      </c>
      <c r="W147" s="86"/>
      <c r="X147" s="86"/>
      <c r="Y147" s="86"/>
      <c r="Z147" s="86"/>
      <c r="AA147" s="86"/>
      <c r="AB147" s="86"/>
      <c r="AC147" s="86"/>
      <c r="AD147" s="86"/>
      <c r="AE147" s="86"/>
      <c r="AF147" s="86"/>
      <c r="AG147" s="55">
        <f t="shared" si="27"/>
        <v>0</v>
      </c>
      <c r="AH147" s="66">
        <f>IF(Kalk4!$AA$19=4,1,0)</f>
        <v>0</v>
      </c>
      <c r="AI147" s="55">
        <v>80</v>
      </c>
      <c r="AK147" s="55" t="s">
        <v>22079</v>
      </c>
      <c r="AP147" s="66">
        <f>IF(AND(Kalk4!$O$21&gt;0,Kalk4!$N$21="30°"),Kalk4!$O$21,0)</f>
        <v>0</v>
      </c>
      <c r="AQ147" s="55" t="s">
        <v>22088</v>
      </c>
      <c r="AT147" s="55" t="s">
        <v>22079</v>
      </c>
      <c r="AU147" s="66">
        <f>IF(Kalk4!$AI$51=AV147,1,0)</f>
        <v>0</v>
      </c>
      <c r="AV147" s="55">
        <v>1350</v>
      </c>
      <c r="AX147" s="55" t="s">
        <v>22100</v>
      </c>
      <c r="AY147" s="66">
        <f>AP147*Kalk4!$H$37</f>
        <v>0</v>
      </c>
      <c r="AZ147" s="55" t="s">
        <v>20872</v>
      </c>
    </row>
    <row r="148" spans="2:55" ht="24.95" customHeight="1">
      <c r="B148" s="93">
        <f t="shared" si="26"/>
        <v>0</v>
      </c>
      <c r="C148" s="60">
        <v>1750</v>
      </c>
      <c r="D148" s="60"/>
      <c r="E148" s="60" t="str">
        <f>VLOOKUP(1600,Sprachindex!$A:$Z,Erhebungsbogen!$Y$20,FALSE)</f>
        <v>[Stk]</v>
      </c>
      <c r="F148" s="60" t="s">
        <v>21991</v>
      </c>
      <c r="G148" s="514" t="str">
        <f>VLOOKUP(2141,Sprachindex!$A:$Z,Erhebungsbogen!$Y$20,FALSE) &amp; " ( " &amp;Preisliste!H128 &amp; " " &amp; VLOOKUP(1744,Sprachindex!$A:$Z,Erhebungsbogen!$Y$20,FALSE) &amp; ")"</f>
        <v>Rundprofil 80-Vario 30° exkl. Dichtung, gebohrt und entgratet ( 35,39 kg/Stk)</v>
      </c>
      <c r="H148" s="514"/>
      <c r="I148" s="514"/>
      <c r="J148" s="514"/>
      <c r="K148" s="514"/>
      <c r="L148" s="514"/>
      <c r="M148" s="514"/>
      <c r="N148" s="514"/>
      <c r="O148" s="514"/>
      <c r="P148" s="514"/>
      <c r="Q148" s="514"/>
      <c r="R148" s="514"/>
      <c r="S148" s="514"/>
      <c r="T148" s="514"/>
      <c r="U148" s="352">
        <f>VLOOKUP(F148,Preisliste!C:F,4,FALSE)</f>
        <v>937.8</v>
      </c>
      <c r="V148" s="352">
        <f t="shared" si="28"/>
        <v>0</v>
      </c>
      <c r="W148" s="86"/>
      <c r="X148" s="86"/>
      <c r="Y148" s="86"/>
      <c r="Z148" s="86"/>
      <c r="AA148" s="86"/>
      <c r="AB148" s="86"/>
      <c r="AC148" s="86"/>
      <c r="AD148" s="86"/>
      <c r="AE148" s="86"/>
      <c r="AF148" s="86"/>
      <c r="AG148" s="55">
        <f t="shared" si="27"/>
        <v>0</v>
      </c>
      <c r="AH148" s="66">
        <f>IF(Kalk4!$AA$19=4,1,0)</f>
        <v>0</v>
      </c>
      <c r="AI148" s="55">
        <v>80</v>
      </c>
      <c r="AK148" s="55" t="s">
        <v>22079</v>
      </c>
      <c r="AP148" s="66">
        <f>IF(AND(Kalk4!$O$21&gt;0,Kalk4!$N$21="30°"),Kalk4!$O$21,0)</f>
        <v>0</v>
      </c>
      <c r="AQ148" s="55" t="s">
        <v>22088</v>
      </c>
      <c r="AT148" s="55" t="s">
        <v>22079</v>
      </c>
      <c r="AU148" s="66">
        <f>IF(Kalk4!$AI$51=AV148,1,0)</f>
        <v>0</v>
      </c>
      <c r="AV148" s="55">
        <v>1750</v>
      </c>
      <c r="AX148" s="55" t="s">
        <v>22100</v>
      </c>
      <c r="AY148" s="66">
        <f>AP148*Kalk4!$H$37</f>
        <v>0</v>
      </c>
      <c r="AZ148" s="55" t="s">
        <v>20872</v>
      </c>
    </row>
    <row r="149" spans="2:55" ht="24.95" customHeight="1">
      <c r="B149" s="93">
        <f t="shared" si="26"/>
        <v>0</v>
      </c>
      <c r="C149" s="60">
        <v>2150</v>
      </c>
      <c r="D149" s="60"/>
      <c r="E149" s="60" t="str">
        <f>VLOOKUP(1600,Sprachindex!$A:$Z,Erhebungsbogen!$Y$20,FALSE)</f>
        <v>[Stk]</v>
      </c>
      <c r="F149" s="60" t="s">
        <v>21992</v>
      </c>
      <c r="G149" s="514" t="str">
        <f>VLOOKUP(2141,Sprachindex!$A:$Z,Erhebungsbogen!$Y$20,FALSE) &amp; " ( " &amp;Preisliste!H129 &amp; " " &amp; VLOOKUP(1744,Sprachindex!$A:$Z,Erhebungsbogen!$Y$20,FALSE) &amp; ")"</f>
        <v>Rundprofil 80-Vario 30° exkl. Dichtung, gebohrt und entgratet ( 43,479 kg/Stk)</v>
      </c>
      <c r="H149" s="514"/>
      <c r="I149" s="514"/>
      <c r="J149" s="514"/>
      <c r="K149" s="514"/>
      <c r="L149" s="514"/>
      <c r="M149" s="514"/>
      <c r="N149" s="514"/>
      <c r="O149" s="514"/>
      <c r="P149" s="514"/>
      <c r="Q149" s="514"/>
      <c r="R149" s="514"/>
      <c r="S149" s="514"/>
      <c r="T149" s="514"/>
      <c r="U149" s="352">
        <f>VLOOKUP(F149,Preisliste!C:F,4,FALSE)</f>
        <v>1061.5</v>
      </c>
      <c r="V149" s="352">
        <f t="shared" si="28"/>
        <v>0</v>
      </c>
      <c r="W149" s="86"/>
      <c r="X149" s="86"/>
      <c r="Y149" s="86"/>
      <c r="Z149" s="86"/>
      <c r="AA149" s="86"/>
      <c r="AB149" s="86"/>
      <c r="AC149" s="86"/>
      <c r="AD149" s="86"/>
      <c r="AE149" s="86"/>
      <c r="AF149" s="86"/>
      <c r="AG149" s="55">
        <f t="shared" si="27"/>
        <v>0</v>
      </c>
      <c r="AH149" s="66">
        <f>IF(Kalk4!$AA$19=4,1,0)</f>
        <v>0</v>
      </c>
      <c r="AI149" s="55">
        <v>80</v>
      </c>
      <c r="AK149" s="55" t="s">
        <v>22079</v>
      </c>
      <c r="AP149" s="66">
        <f>IF(AND(Kalk4!$O$21&gt;0,Kalk4!$N$21="30°"),Kalk4!$O$21,0)</f>
        <v>0</v>
      </c>
      <c r="AQ149" s="55" t="s">
        <v>22088</v>
      </c>
      <c r="AT149" s="55" t="s">
        <v>22079</v>
      </c>
      <c r="AU149" s="66">
        <f>IF(Kalk4!$AI$51=AV149,1,0)</f>
        <v>0</v>
      </c>
      <c r="AV149" s="55">
        <v>2150</v>
      </c>
      <c r="AX149" s="55" t="s">
        <v>22100</v>
      </c>
      <c r="AY149" s="66">
        <f>AP149*Kalk4!$H$37</f>
        <v>0</v>
      </c>
      <c r="AZ149" s="55" t="s">
        <v>20872</v>
      </c>
    </row>
    <row r="150" spans="2:55" ht="24.95" customHeight="1">
      <c r="B150" s="93">
        <f t="shared" si="26"/>
        <v>0</v>
      </c>
      <c r="C150" s="60">
        <f>IF(AG150=1,AW150,0)</f>
        <v>0</v>
      </c>
      <c r="D150" s="60"/>
      <c r="E150" s="60" t="str">
        <f>VLOOKUP(1600,Sprachindex!$A:$Z,Erhebungsbogen!$Y$20,FALSE)</f>
        <v>[Stk]</v>
      </c>
      <c r="F150" s="60" t="s">
        <v>21826</v>
      </c>
      <c r="G150" s="514" t="str">
        <f>VLOOKUP(2142,Sprachindex!$A:$Z,Erhebungsbogen!$Y$20,FALSE) &amp; " (" &amp; ROUNDUP(C150/1000*Preisliste!I130,2) &amp; " " &amp; VLOOKUP(1744,Sprachindex!$A:$Z,Erhebungsbogen!$Y$20,FALSE) &amp; ")"</f>
        <v>Rundprofil 80-Vario 30° Sonderlänge exkl. Dichtung, (Stangenware) (0 kg/Stk)</v>
      </c>
      <c r="H150" s="514"/>
      <c r="I150" s="514"/>
      <c r="J150" s="514"/>
      <c r="K150" s="514"/>
      <c r="L150" s="514"/>
      <c r="M150" s="514"/>
      <c r="N150" s="514"/>
      <c r="O150" s="514"/>
      <c r="P150" s="514"/>
      <c r="Q150" s="514"/>
      <c r="R150" s="514"/>
      <c r="S150" s="514"/>
      <c r="T150" s="514"/>
      <c r="U150" s="354">
        <f>VLOOKUP(F150,Preisliste!C:F,4,FALSE)</f>
        <v>0</v>
      </c>
      <c r="V150" s="352">
        <f t="shared" si="28"/>
        <v>0</v>
      </c>
      <c r="W150" s="86"/>
      <c r="X150" s="86"/>
      <c r="Y150" s="86"/>
      <c r="Z150" s="86"/>
      <c r="AA150" s="86"/>
      <c r="AB150" s="86"/>
      <c r="AC150" s="86"/>
      <c r="AD150" s="86"/>
      <c r="AE150" s="86"/>
      <c r="AF150" s="86"/>
      <c r="AG150" s="55">
        <f t="shared" si="27"/>
        <v>0</v>
      </c>
      <c r="AH150" s="66">
        <f>IF(Kalk4!$AA$19=4,1,0)</f>
        <v>0</v>
      </c>
      <c r="AI150" s="55">
        <v>80</v>
      </c>
      <c r="AK150" s="55" t="s">
        <v>22079</v>
      </c>
      <c r="AP150" s="66">
        <f>IF(AND(Kalk4!$O$21&gt;0,Kalk4!$N$21="30°"),Kalk4!$O$21,0)</f>
        <v>0</v>
      </c>
      <c r="AQ150" s="55" t="s">
        <v>22088</v>
      </c>
      <c r="AT150" s="55" t="s">
        <v>22079</v>
      </c>
      <c r="AU150" s="66">
        <f>IF(Kalk4!$AH$52&gt;AV150,1,0)</f>
        <v>0</v>
      </c>
      <c r="AV150" s="55">
        <v>2150</v>
      </c>
      <c r="AW150" s="66">
        <f>Kalk4!$AH$52</f>
        <v>0</v>
      </c>
      <c r="AX150" s="55" t="s">
        <v>22100</v>
      </c>
      <c r="AY150" s="66">
        <f>AP150*Kalk4!$H$37</f>
        <v>0</v>
      </c>
      <c r="AZ150" s="55" t="s">
        <v>20872</v>
      </c>
    </row>
    <row r="151" spans="2:55" ht="24.95" customHeight="1">
      <c r="B151" s="93">
        <f t="shared" si="26"/>
        <v>0</v>
      </c>
      <c r="C151" s="60">
        <v>750</v>
      </c>
      <c r="D151" s="60"/>
      <c r="E151" s="60" t="str">
        <f>VLOOKUP(1600,Sprachindex!$A:$Z,Erhebungsbogen!$Y$20,FALSE)</f>
        <v>[Stk]</v>
      </c>
      <c r="F151" s="60" t="s">
        <v>21993</v>
      </c>
      <c r="G151" s="514" t="str">
        <f>VLOOKUP(2143,Sprachindex!$A:$Z,Erhebungsbogen!$Y$20,FALSE) &amp; " ( " &amp;Preisliste!H131 &amp; " " &amp; VLOOKUP(1744,Sprachindex!$A:$Z,Erhebungsbogen!$Y$20,FALSE) &amp; ")"</f>
        <v>Rundprofil 80-Vario 45° exkl. Dichtung, gebohrt und entgratet ( 15,167 kg/Stk)</v>
      </c>
      <c r="H151" s="514"/>
      <c r="I151" s="514"/>
      <c r="J151" s="514"/>
      <c r="K151" s="514"/>
      <c r="L151" s="514"/>
      <c r="M151" s="514"/>
      <c r="N151" s="514"/>
      <c r="O151" s="514"/>
      <c r="P151" s="514"/>
      <c r="Q151" s="514"/>
      <c r="R151" s="514"/>
      <c r="S151" s="514"/>
      <c r="T151" s="514"/>
      <c r="U151" s="352">
        <f>VLOOKUP(F151,Preisliste!C:F,4,FALSE)</f>
        <v>628.54999999999995</v>
      </c>
      <c r="V151" s="352">
        <f t="shared" si="28"/>
        <v>0</v>
      </c>
      <c r="W151" s="86"/>
      <c r="X151" s="86"/>
      <c r="Y151" s="86"/>
      <c r="Z151" s="86"/>
      <c r="AA151" s="86"/>
      <c r="AB151" s="86"/>
      <c r="AC151" s="86"/>
      <c r="AD151" s="86"/>
      <c r="AE151" s="86"/>
      <c r="AF151" s="86"/>
      <c r="AG151" s="55">
        <f t="shared" si="27"/>
        <v>0</v>
      </c>
      <c r="AH151" s="66">
        <f>IF(Kalk4!$AA$19=4,1,0)</f>
        <v>0</v>
      </c>
      <c r="AI151" s="55">
        <v>80</v>
      </c>
      <c r="AK151" s="55" t="s">
        <v>22079</v>
      </c>
      <c r="AP151" s="66">
        <f>IF(AND(Kalk4!$O$21&gt;0,Kalk4!$N$21="45°"),Kalk4!$O$21,0)</f>
        <v>0</v>
      </c>
      <c r="AQ151" s="55" t="s">
        <v>22089</v>
      </c>
      <c r="AT151" s="55" t="s">
        <v>22079</v>
      </c>
      <c r="AU151" s="66">
        <f>IF(Kalk4!$AI$51=$AV$91,1,0)</f>
        <v>1</v>
      </c>
      <c r="AV151" s="55">
        <v>750</v>
      </c>
      <c r="AX151" s="55" t="s">
        <v>22100</v>
      </c>
      <c r="AY151" s="66">
        <f>AP151*Kalk4!$H$37</f>
        <v>0</v>
      </c>
      <c r="AZ151" s="55" t="s">
        <v>20872</v>
      </c>
    </row>
    <row r="152" spans="2:55" ht="24.95" customHeight="1">
      <c r="B152" s="93">
        <f t="shared" si="26"/>
        <v>0</v>
      </c>
      <c r="C152" s="60">
        <v>1350</v>
      </c>
      <c r="D152" s="60"/>
      <c r="E152" s="60" t="str">
        <f>VLOOKUP(1600,Sprachindex!$A:$Z,Erhebungsbogen!$Y$20,FALSE)</f>
        <v>[Stk]</v>
      </c>
      <c r="F152" s="60" t="s">
        <v>21994</v>
      </c>
      <c r="G152" s="514" t="str">
        <f>VLOOKUP(2143,Sprachindex!$A:$Z,Erhebungsbogen!$Y$20,FALSE) &amp; " ( " &amp;Preisliste!H132 &amp; " " &amp; VLOOKUP(1744,Sprachindex!$A:$Z,Erhebungsbogen!$Y$20,FALSE) &amp; ")"</f>
        <v>Rundprofil 80-Vario 45° exkl. Dichtung, gebohrt und entgratet ( 27,301 kg/Stk)</v>
      </c>
      <c r="H152" s="514"/>
      <c r="I152" s="514"/>
      <c r="J152" s="514"/>
      <c r="K152" s="514"/>
      <c r="L152" s="514"/>
      <c r="M152" s="514"/>
      <c r="N152" s="514"/>
      <c r="O152" s="514"/>
      <c r="P152" s="514"/>
      <c r="Q152" s="514"/>
      <c r="R152" s="514"/>
      <c r="S152" s="514"/>
      <c r="T152" s="514"/>
      <c r="U152" s="352">
        <f>VLOOKUP(F152,Preisliste!C:F,4,FALSE)</f>
        <v>814.15</v>
      </c>
      <c r="V152" s="352">
        <f t="shared" si="28"/>
        <v>0</v>
      </c>
      <c r="W152" s="86"/>
      <c r="X152" s="86"/>
      <c r="Y152" s="86"/>
      <c r="Z152" s="86"/>
      <c r="AA152" s="86"/>
      <c r="AB152" s="86"/>
      <c r="AC152" s="86"/>
      <c r="AD152" s="86"/>
      <c r="AE152" s="86"/>
      <c r="AF152" s="86"/>
      <c r="AG152" s="55">
        <f t="shared" si="27"/>
        <v>0</v>
      </c>
      <c r="AH152" s="66">
        <f>IF(Kalk4!$AA$19=4,1,0)</f>
        <v>0</v>
      </c>
      <c r="AI152" s="55">
        <v>80</v>
      </c>
      <c r="AK152" s="55" t="s">
        <v>22079</v>
      </c>
      <c r="AP152" s="66">
        <f>IF(AND(Kalk4!$O$21&gt;0,Kalk4!$N$21="45°"),Kalk4!$O$21,0)</f>
        <v>0</v>
      </c>
      <c r="AQ152" s="55" t="s">
        <v>22089</v>
      </c>
      <c r="AT152" s="55" t="s">
        <v>22079</v>
      </c>
      <c r="AU152" s="66">
        <f>IF(Kalk4!$AI$51=AV152,1,0)</f>
        <v>0</v>
      </c>
      <c r="AV152" s="55">
        <v>1350</v>
      </c>
      <c r="AX152" s="55" t="s">
        <v>22100</v>
      </c>
      <c r="AY152" s="66">
        <f>AP152*Kalk4!$H$37</f>
        <v>0</v>
      </c>
      <c r="AZ152" s="55" t="s">
        <v>20872</v>
      </c>
    </row>
    <row r="153" spans="2:55" ht="24.95" customHeight="1">
      <c r="B153" s="93">
        <f t="shared" si="26"/>
        <v>0</v>
      </c>
      <c r="C153" s="60">
        <v>1750</v>
      </c>
      <c r="D153" s="60"/>
      <c r="E153" s="60" t="str">
        <f>VLOOKUP(1600,Sprachindex!$A:$Z,Erhebungsbogen!$Y$20,FALSE)</f>
        <v>[Stk]</v>
      </c>
      <c r="F153" s="60" t="s">
        <v>21995</v>
      </c>
      <c r="G153" s="514" t="str">
        <f>VLOOKUP(2143,Sprachindex!$A:$Z,Erhebungsbogen!$Y$20,FALSE) &amp; " ( " &amp;Preisliste!H133 &amp; " " &amp; VLOOKUP(1744,Sprachindex!$A:$Z,Erhebungsbogen!$Y$20,FALSE) &amp; ")"</f>
        <v>Rundprofil 80-Vario 45° exkl. Dichtung, gebohrt und entgratet ( 35,39 kg/Stk)</v>
      </c>
      <c r="H153" s="514"/>
      <c r="I153" s="514"/>
      <c r="J153" s="514"/>
      <c r="K153" s="514"/>
      <c r="L153" s="514"/>
      <c r="M153" s="514"/>
      <c r="N153" s="514"/>
      <c r="O153" s="514"/>
      <c r="P153" s="514"/>
      <c r="Q153" s="514"/>
      <c r="R153" s="514"/>
      <c r="S153" s="514"/>
      <c r="T153" s="514"/>
      <c r="U153" s="352">
        <f>VLOOKUP(F153,Preisliste!C:F,4,FALSE)</f>
        <v>937.8</v>
      </c>
      <c r="V153" s="352">
        <f t="shared" si="28"/>
        <v>0</v>
      </c>
      <c r="W153" s="86"/>
      <c r="X153" s="86"/>
      <c r="Y153" s="86"/>
      <c r="Z153" s="86"/>
      <c r="AA153" s="86"/>
      <c r="AB153" s="86"/>
      <c r="AC153" s="86"/>
      <c r="AD153" s="86"/>
      <c r="AE153" s="86"/>
      <c r="AF153" s="86"/>
      <c r="AG153" s="55">
        <f t="shared" si="27"/>
        <v>0</v>
      </c>
      <c r="AH153" s="66">
        <f>IF(Kalk4!$AA$19=4,1,0)</f>
        <v>0</v>
      </c>
      <c r="AI153" s="55">
        <v>80</v>
      </c>
      <c r="AK153" s="55" t="s">
        <v>22079</v>
      </c>
      <c r="AP153" s="66">
        <f>IF(AND(Kalk4!$O$21&gt;0,Kalk4!$N$21="45°"),Kalk4!$O$21,0)</f>
        <v>0</v>
      </c>
      <c r="AQ153" s="55" t="s">
        <v>22089</v>
      </c>
      <c r="AT153" s="55" t="s">
        <v>22079</v>
      </c>
      <c r="AU153" s="66">
        <f>IF(Kalk4!$AI$51=AV153,1,0)</f>
        <v>0</v>
      </c>
      <c r="AV153" s="55">
        <v>1750</v>
      </c>
      <c r="AX153" s="55" t="s">
        <v>22100</v>
      </c>
      <c r="AY153" s="66">
        <f>AP153*Kalk4!$H$37</f>
        <v>0</v>
      </c>
      <c r="AZ153" s="55" t="s">
        <v>20872</v>
      </c>
    </row>
    <row r="154" spans="2:55" ht="24.95" customHeight="1">
      <c r="B154" s="93">
        <f t="shared" si="26"/>
        <v>0</v>
      </c>
      <c r="C154" s="60">
        <v>2150</v>
      </c>
      <c r="D154" s="60"/>
      <c r="E154" s="60" t="str">
        <f>VLOOKUP(1600,Sprachindex!$A:$Z,Erhebungsbogen!$Y$20,FALSE)</f>
        <v>[Stk]</v>
      </c>
      <c r="F154" s="60" t="s">
        <v>21996</v>
      </c>
      <c r="G154" s="514" t="str">
        <f>VLOOKUP(2143,Sprachindex!$A:$Z,Erhebungsbogen!$Y$20,FALSE) &amp; " ( " &amp;Preisliste!H134 &amp; " " &amp; VLOOKUP(1744,Sprachindex!$A:$Z,Erhebungsbogen!$Y$20,FALSE) &amp; ")"</f>
        <v>Rundprofil 80-Vario 45° exkl. Dichtung, gebohrt und entgratet ( 43,479 kg/Stk)</v>
      </c>
      <c r="H154" s="514"/>
      <c r="I154" s="514"/>
      <c r="J154" s="514"/>
      <c r="K154" s="514"/>
      <c r="L154" s="514"/>
      <c r="M154" s="514"/>
      <c r="N154" s="514"/>
      <c r="O154" s="514"/>
      <c r="P154" s="514"/>
      <c r="Q154" s="514"/>
      <c r="R154" s="514"/>
      <c r="S154" s="514"/>
      <c r="T154" s="514"/>
      <c r="U154" s="352">
        <f>VLOOKUP(F154,Preisliste!C:F,4,FALSE)</f>
        <v>1061.5</v>
      </c>
      <c r="V154" s="352">
        <f t="shared" si="28"/>
        <v>0</v>
      </c>
      <c r="W154" s="86"/>
      <c r="X154" s="86"/>
      <c r="Y154" s="86"/>
      <c r="Z154" s="86"/>
      <c r="AA154" s="86"/>
      <c r="AB154" s="86"/>
      <c r="AC154" s="86"/>
      <c r="AD154" s="86"/>
      <c r="AE154" s="86"/>
      <c r="AF154" s="86"/>
      <c r="AG154" s="55">
        <f t="shared" si="27"/>
        <v>0</v>
      </c>
      <c r="AH154" s="66">
        <f>IF(Kalk4!$AA$19=4,1,0)</f>
        <v>0</v>
      </c>
      <c r="AI154" s="55">
        <v>80</v>
      </c>
      <c r="AK154" s="55" t="s">
        <v>22079</v>
      </c>
      <c r="AP154" s="66">
        <f>IF(AND(Kalk4!$O$21&gt;0,Kalk4!$N$21="45°"),Kalk4!$O$21,0)</f>
        <v>0</v>
      </c>
      <c r="AQ154" s="55" t="s">
        <v>22089</v>
      </c>
      <c r="AT154" s="55" t="s">
        <v>22079</v>
      </c>
      <c r="AU154" s="66">
        <f>IF(Kalk4!$AI$51=AV154,1,0)</f>
        <v>0</v>
      </c>
      <c r="AV154" s="55">
        <v>2150</v>
      </c>
      <c r="AX154" s="55" t="s">
        <v>22100</v>
      </c>
      <c r="AY154" s="66">
        <f>AP154*Kalk4!$H$37</f>
        <v>0</v>
      </c>
      <c r="AZ154" s="55" t="s">
        <v>20872</v>
      </c>
    </row>
    <row r="155" spans="2:55" ht="24.95" customHeight="1">
      <c r="B155" s="93">
        <f t="shared" si="26"/>
        <v>0</v>
      </c>
      <c r="C155" s="60">
        <f>IF(AG155=1,AW155,0)</f>
        <v>0</v>
      </c>
      <c r="D155" s="60"/>
      <c r="E155" s="60" t="str">
        <f>VLOOKUP(1600,Sprachindex!$A:$Z,Erhebungsbogen!$Y$20,FALSE)</f>
        <v>[Stk]</v>
      </c>
      <c r="F155" s="60" t="s">
        <v>21826</v>
      </c>
      <c r="G155" s="514" t="str">
        <f>VLOOKUP(2144,Sprachindex!$A:$Z,Erhebungsbogen!$Y$20,FALSE) &amp; " (" &amp; ROUNDUP(C155/1000*Preisliste!I135,2) &amp; " " &amp; VLOOKUP(1744,Sprachindex!$A:$Z,Erhebungsbogen!$Y$20,FALSE) &amp; ")"</f>
        <v>Rundprofil 80-Vario 45° Sonderlänge exkl. Dichtung, (Stangenware) (0 kg/Stk)</v>
      </c>
      <c r="H155" s="514"/>
      <c r="I155" s="514"/>
      <c r="J155" s="514"/>
      <c r="K155" s="514"/>
      <c r="L155" s="514"/>
      <c r="M155" s="514"/>
      <c r="N155" s="514"/>
      <c r="O155" s="514"/>
      <c r="P155" s="514"/>
      <c r="Q155" s="514"/>
      <c r="R155" s="514"/>
      <c r="S155" s="514"/>
      <c r="T155" s="514"/>
      <c r="U155" s="354">
        <f>VLOOKUP(F155,Preisliste!C:F,4,FALSE)</f>
        <v>0</v>
      </c>
      <c r="V155" s="352">
        <f t="shared" si="28"/>
        <v>0</v>
      </c>
      <c r="W155" s="86"/>
      <c r="X155" s="86"/>
      <c r="Y155" s="86"/>
      <c r="Z155" s="86"/>
      <c r="AA155" s="86"/>
      <c r="AB155" s="86"/>
      <c r="AC155" s="86"/>
      <c r="AD155" s="86"/>
      <c r="AE155" s="86"/>
      <c r="AF155" s="86"/>
      <c r="AG155" s="55">
        <f t="shared" si="27"/>
        <v>0</v>
      </c>
      <c r="AH155" s="66">
        <f>IF(Kalk4!$AA$19=4,1,0)</f>
        <v>0</v>
      </c>
      <c r="AI155" s="55">
        <v>80</v>
      </c>
      <c r="AK155" s="55" t="s">
        <v>22079</v>
      </c>
      <c r="AP155" s="66">
        <f>IF(AND(Kalk4!$O$21&gt;0,Kalk4!$N$21="45°"),Kalk4!$O$21,0)</f>
        <v>0</v>
      </c>
      <c r="AQ155" s="55" t="s">
        <v>22089</v>
      </c>
      <c r="AT155" s="55" t="s">
        <v>22079</v>
      </c>
      <c r="AU155" s="66">
        <f>IF(Kalk4!$AH$52&gt;AV155,1,0)</f>
        <v>0</v>
      </c>
      <c r="AV155" s="55">
        <v>2150</v>
      </c>
      <c r="AW155" s="66">
        <f>Kalk4!$AH$52</f>
        <v>0</v>
      </c>
      <c r="AX155" s="55" t="s">
        <v>22100</v>
      </c>
      <c r="AY155" s="66">
        <f>AP155*Kalk4!$H$37</f>
        <v>0</v>
      </c>
      <c r="AZ155" s="55" t="s">
        <v>20872</v>
      </c>
    </row>
    <row r="156" spans="2:55" ht="24.95" customHeight="1">
      <c r="B156" s="93">
        <f t="shared" si="26"/>
        <v>0</v>
      </c>
      <c r="C156" s="60">
        <v>750</v>
      </c>
      <c r="D156" s="60"/>
      <c r="E156" s="60" t="str">
        <f>VLOOKUP(1600,Sprachindex!$A:$Z,Erhebungsbogen!$Y$20,FALSE)</f>
        <v>[Stk]</v>
      </c>
      <c r="F156" s="60" t="s">
        <v>21997</v>
      </c>
      <c r="G156" s="517" t="str">
        <f>VLOOKUP(2145,Sprachindex!$A:$Z,Erhebungsbogen!$Y$20,FALSE) &amp; " ( " &amp;Preisliste!H136 &amp; " " &amp; VLOOKUP(1744,Sprachindex!$A:$Z,Erhebungsbogen!$Y$20,FALSE) &amp; ")"</f>
        <v>Rundprofil 80-Vario 60° exkl. Dichtung, gebohrt und entgratet ( 14,244 kg/Stk)</v>
      </c>
      <c r="H156" s="515"/>
      <c r="I156" s="515"/>
      <c r="J156" s="515"/>
      <c r="K156" s="515"/>
      <c r="L156" s="515"/>
      <c r="M156" s="515"/>
      <c r="N156" s="515"/>
      <c r="O156" s="515"/>
      <c r="P156" s="515"/>
      <c r="Q156" s="515"/>
      <c r="R156" s="515"/>
      <c r="S156" s="515"/>
      <c r="T156" s="516"/>
      <c r="U156" s="352">
        <f>VLOOKUP(F156,Preisliste!C:F,4,FALSE)</f>
        <v>628.54999999999995</v>
      </c>
      <c r="V156" s="352">
        <f t="shared" si="28"/>
        <v>0</v>
      </c>
      <c r="W156" s="86"/>
      <c r="X156" s="86"/>
      <c r="Y156" s="86"/>
      <c r="Z156" s="86"/>
      <c r="AA156" s="86"/>
      <c r="AB156" s="86"/>
      <c r="AC156" s="86"/>
      <c r="AD156" s="86"/>
      <c r="AE156" s="86"/>
      <c r="AF156" s="86"/>
      <c r="AG156" s="55">
        <f t="shared" si="27"/>
        <v>0</v>
      </c>
      <c r="AH156" s="66">
        <f>IF(Kalk4!$AA$19=4,1,0)</f>
        <v>0</v>
      </c>
      <c r="AI156" s="55">
        <v>80</v>
      </c>
      <c r="AK156" s="55" t="s">
        <v>22079</v>
      </c>
      <c r="AP156" s="66">
        <f>IF(AND(Kalk4!$O$21&gt;0,Kalk4!$N$21="60°"),Kalk4!$O$21,0)</f>
        <v>0</v>
      </c>
      <c r="AQ156" s="55" t="s">
        <v>22090</v>
      </c>
      <c r="AT156" s="55" t="s">
        <v>22079</v>
      </c>
      <c r="AU156" s="66">
        <f>IF(Kalk4!$AI$51=$AV$91,1,0)</f>
        <v>1</v>
      </c>
      <c r="AV156" s="55">
        <v>750</v>
      </c>
      <c r="AX156" s="55" t="s">
        <v>22100</v>
      </c>
      <c r="AY156" s="66">
        <f>AP156*Kalk4!$H$37</f>
        <v>0</v>
      </c>
      <c r="AZ156" s="55" t="s">
        <v>20872</v>
      </c>
    </row>
    <row r="157" spans="2:55" ht="24.95" customHeight="1">
      <c r="B157" s="93">
        <f t="shared" si="26"/>
        <v>0</v>
      </c>
      <c r="C157" s="60">
        <v>1350</v>
      </c>
      <c r="D157" s="60"/>
      <c r="E157" s="60" t="str">
        <f>VLOOKUP(1600,Sprachindex!$A:$Z,Erhebungsbogen!$Y$20,FALSE)</f>
        <v>[Stk]</v>
      </c>
      <c r="F157" s="60" t="s">
        <v>21998</v>
      </c>
      <c r="G157" s="517" t="str">
        <f>VLOOKUP(2145,Sprachindex!$A:$Z,Erhebungsbogen!$Y$20,FALSE) &amp; " ( " &amp;Preisliste!H137 &amp; " " &amp; VLOOKUP(1744,Sprachindex!$A:$Z,Erhebungsbogen!$Y$20,FALSE) &amp; ")"</f>
        <v>Rundprofil 80-Vario 60° exkl. Dichtung, gebohrt und entgratet ( 25,639 kg/Stk)</v>
      </c>
      <c r="H157" s="515"/>
      <c r="I157" s="515"/>
      <c r="J157" s="515"/>
      <c r="K157" s="515"/>
      <c r="L157" s="515"/>
      <c r="M157" s="515"/>
      <c r="N157" s="515"/>
      <c r="O157" s="515"/>
      <c r="P157" s="515"/>
      <c r="Q157" s="515"/>
      <c r="R157" s="515"/>
      <c r="S157" s="515"/>
      <c r="T157" s="516"/>
      <c r="U157" s="352">
        <f>VLOOKUP(F157,Preisliste!C:F,4,FALSE)</f>
        <v>814.15</v>
      </c>
      <c r="V157" s="352">
        <f t="shared" si="28"/>
        <v>0</v>
      </c>
      <c r="W157" s="86"/>
      <c r="X157" s="86"/>
      <c r="Y157" s="86"/>
      <c r="Z157" s="86"/>
      <c r="AA157" s="86"/>
      <c r="AB157" s="86"/>
      <c r="AC157" s="86"/>
      <c r="AD157" s="86"/>
      <c r="AE157" s="86"/>
      <c r="AF157" s="86"/>
      <c r="AG157" s="55">
        <f t="shared" si="27"/>
        <v>0</v>
      </c>
      <c r="AH157" s="66">
        <f>IF(Kalk4!$AA$19=4,1,0)</f>
        <v>0</v>
      </c>
      <c r="AI157" s="55">
        <v>80</v>
      </c>
      <c r="AK157" s="55" t="s">
        <v>22079</v>
      </c>
      <c r="AP157" s="66">
        <f>IF(AND(Kalk4!$O$21&gt;0,Kalk4!$N$21="60°"),Kalk4!$O$21,0)</f>
        <v>0</v>
      </c>
      <c r="AQ157" s="55" t="s">
        <v>22090</v>
      </c>
      <c r="AT157" s="55" t="s">
        <v>22079</v>
      </c>
      <c r="AU157" s="66">
        <f>IF(Kalk4!$AI$51=AV157,1,0)</f>
        <v>0</v>
      </c>
      <c r="AV157" s="55">
        <v>1350</v>
      </c>
      <c r="AX157" s="55" t="s">
        <v>22100</v>
      </c>
      <c r="AY157" s="66">
        <f>AP157*Kalk4!$H$37</f>
        <v>0</v>
      </c>
      <c r="AZ157" s="55" t="s">
        <v>20872</v>
      </c>
    </row>
    <row r="158" spans="2:55" ht="24.95" customHeight="1">
      <c r="B158" s="93">
        <f t="shared" si="26"/>
        <v>0</v>
      </c>
      <c r="C158" s="60">
        <v>1750</v>
      </c>
      <c r="D158" s="60"/>
      <c r="E158" s="60" t="str">
        <f>VLOOKUP(1600,Sprachindex!$A:$Z,Erhebungsbogen!$Y$20,FALSE)</f>
        <v>[Stk]</v>
      </c>
      <c r="F158" s="60" t="s">
        <v>21999</v>
      </c>
      <c r="G158" s="517" t="str">
        <f>VLOOKUP(2145,Sprachindex!$A:$Z,Erhebungsbogen!$Y$20,FALSE) &amp; " ( " &amp;Preisliste!H138 &amp; " " &amp; VLOOKUP(1744,Sprachindex!$A:$Z,Erhebungsbogen!$Y$20,FALSE) &amp; ")"</f>
        <v>Rundprofil 80-Vario 60° exkl. Dichtung, gebohrt und entgratet ( 33,236 kg/Stk)</v>
      </c>
      <c r="H158" s="515"/>
      <c r="I158" s="515"/>
      <c r="J158" s="515"/>
      <c r="K158" s="515"/>
      <c r="L158" s="515"/>
      <c r="M158" s="515"/>
      <c r="N158" s="515"/>
      <c r="O158" s="515"/>
      <c r="P158" s="515"/>
      <c r="Q158" s="515"/>
      <c r="R158" s="515"/>
      <c r="S158" s="515"/>
      <c r="T158" s="516"/>
      <c r="U158" s="352">
        <f>VLOOKUP(F158,Preisliste!C:F,4,FALSE)</f>
        <v>937.8</v>
      </c>
      <c r="V158" s="352">
        <f t="shared" si="28"/>
        <v>0</v>
      </c>
      <c r="W158" s="86"/>
      <c r="X158" s="86"/>
      <c r="Y158" s="86"/>
      <c r="Z158" s="86"/>
      <c r="AA158" s="86"/>
      <c r="AB158" s="86"/>
      <c r="AC158" s="86"/>
      <c r="AD158" s="86"/>
      <c r="AE158" s="86"/>
      <c r="AF158" s="86"/>
      <c r="AG158" s="55">
        <f t="shared" si="27"/>
        <v>0</v>
      </c>
      <c r="AH158" s="66">
        <f>IF(Kalk4!$AA$19=4,1,0)</f>
        <v>0</v>
      </c>
      <c r="AI158" s="55">
        <v>80</v>
      </c>
      <c r="AK158" s="55" t="s">
        <v>22079</v>
      </c>
      <c r="AP158" s="66">
        <f>IF(AND(Kalk4!$O$21&gt;0,Kalk4!$N$21="60°"),Kalk4!$O$21,0)</f>
        <v>0</v>
      </c>
      <c r="AQ158" s="55" t="s">
        <v>22090</v>
      </c>
      <c r="AT158" s="55" t="s">
        <v>22079</v>
      </c>
      <c r="AU158" s="66">
        <f>IF(Kalk4!$AI$51=AV158,1,0)</f>
        <v>0</v>
      </c>
      <c r="AV158" s="55">
        <v>1750</v>
      </c>
      <c r="AX158" s="55" t="s">
        <v>22100</v>
      </c>
      <c r="AY158" s="66">
        <f>AP158*Kalk4!$H$37</f>
        <v>0</v>
      </c>
      <c r="AZ158" s="55" t="s">
        <v>20872</v>
      </c>
      <c r="BC158" s="84" t="s">
        <v>22181</v>
      </c>
    </row>
    <row r="159" spans="2:55" ht="24.95" customHeight="1">
      <c r="B159" s="93">
        <f t="shared" si="26"/>
        <v>0</v>
      </c>
      <c r="C159" s="60">
        <v>2150</v>
      </c>
      <c r="D159" s="60"/>
      <c r="E159" s="60" t="str">
        <f>VLOOKUP(1600,Sprachindex!$A:$Z,Erhebungsbogen!$Y$20,FALSE)</f>
        <v>[Stk]</v>
      </c>
      <c r="F159" s="60" t="s">
        <v>22000</v>
      </c>
      <c r="G159" s="517" t="str">
        <f>VLOOKUP(2145,Sprachindex!$A:$Z,Erhebungsbogen!$Y$20,FALSE) &amp; " ( " &amp;Preisliste!H139 &amp; " " &amp; VLOOKUP(1744,Sprachindex!$A:$Z,Erhebungsbogen!$Y$20,FALSE) &amp; ")"</f>
        <v>Rundprofil 80-Vario 60° exkl. Dichtung, gebohrt und entgratet ( 40,833 kg/Stk)</v>
      </c>
      <c r="H159" s="515"/>
      <c r="I159" s="515"/>
      <c r="J159" s="515"/>
      <c r="K159" s="515"/>
      <c r="L159" s="515"/>
      <c r="M159" s="515"/>
      <c r="N159" s="515"/>
      <c r="O159" s="515"/>
      <c r="P159" s="515"/>
      <c r="Q159" s="515"/>
      <c r="R159" s="515"/>
      <c r="S159" s="515"/>
      <c r="T159" s="516"/>
      <c r="U159" s="352">
        <f>VLOOKUP(F159,Preisliste!C:F,4,FALSE)</f>
        <v>1061.5</v>
      </c>
      <c r="V159" s="352">
        <f t="shared" si="28"/>
        <v>0</v>
      </c>
      <c r="W159" s="86"/>
      <c r="X159" s="86"/>
      <c r="Y159" s="86"/>
      <c r="Z159" s="86"/>
      <c r="AA159" s="86"/>
      <c r="AB159" s="86"/>
      <c r="AC159" s="86"/>
      <c r="AD159" s="86"/>
      <c r="AE159" s="86"/>
      <c r="AF159" s="86"/>
      <c r="AG159" s="55">
        <f t="shared" si="27"/>
        <v>0</v>
      </c>
      <c r="AH159" s="66">
        <f>IF(Kalk4!$AA$19=4,1,0)</f>
        <v>0</v>
      </c>
      <c r="AI159" s="55">
        <v>80</v>
      </c>
      <c r="AK159" s="55" t="s">
        <v>22079</v>
      </c>
      <c r="AP159" s="66">
        <f>IF(AND(Kalk4!$O$21&gt;0,Kalk4!$N$21="60°"),Kalk4!$O$21,0)</f>
        <v>0</v>
      </c>
      <c r="AQ159" s="55" t="s">
        <v>22090</v>
      </c>
      <c r="AT159" s="55" t="s">
        <v>22079</v>
      </c>
      <c r="AU159" s="66">
        <f>IF(Kalk4!$AI$51=AV159,1,0)</f>
        <v>0</v>
      </c>
      <c r="AV159" s="55">
        <v>2150</v>
      </c>
      <c r="AX159" s="55" t="s">
        <v>22100</v>
      </c>
      <c r="AY159" s="66">
        <f>AP159*Kalk4!$H$37</f>
        <v>0</v>
      </c>
      <c r="AZ159" s="55" t="s">
        <v>20872</v>
      </c>
      <c r="BC159" s="84" t="s">
        <v>22182</v>
      </c>
    </row>
    <row r="160" spans="2:55" ht="24.95" customHeight="1">
      <c r="B160" s="93">
        <f t="shared" si="26"/>
        <v>0</v>
      </c>
      <c r="C160" s="60">
        <f>IF(AG160=1,AW160,0)</f>
        <v>0</v>
      </c>
      <c r="D160" s="60"/>
      <c r="E160" s="60" t="str">
        <f>VLOOKUP(1600,Sprachindex!$A:$Z,Erhebungsbogen!$Y$20,FALSE)</f>
        <v>[Stk]</v>
      </c>
      <c r="F160" s="60" t="s">
        <v>21826</v>
      </c>
      <c r="G160" s="517" t="str">
        <f>VLOOKUP(2146,Sprachindex!$A:$Z,Erhebungsbogen!$Y$20,FALSE) &amp; " (" &amp; ROUNDUP(C160/1000*Preisliste!I140,2) &amp; " " &amp; VLOOKUP(1744,Sprachindex!$A:$Z,Erhebungsbogen!$Y$20,FALSE) &amp; ")"</f>
        <v>Rundprofil 80-Vario 60° Sonderlänge exkl. Dichtung, (Stangenware) (0 kg/Stk)</v>
      </c>
      <c r="H160" s="515"/>
      <c r="I160" s="515"/>
      <c r="J160" s="515"/>
      <c r="K160" s="515"/>
      <c r="L160" s="515"/>
      <c r="M160" s="515"/>
      <c r="N160" s="515"/>
      <c r="O160" s="515"/>
      <c r="P160" s="515"/>
      <c r="Q160" s="515"/>
      <c r="R160" s="515"/>
      <c r="S160" s="515"/>
      <c r="T160" s="516"/>
      <c r="U160" s="354">
        <f>VLOOKUP(F160,Preisliste!C:F,4,FALSE)</f>
        <v>0</v>
      </c>
      <c r="V160" s="352">
        <f t="shared" si="28"/>
        <v>0</v>
      </c>
      <c r="W160" s="86"/>
      <c r="X160" s="86"/>
      <c r="Y160" s="86"/>
      <c r="Z160" s="86"/>
      <c r="AA160" s="86"/>
      <c r="AB160" s="86"/>
      <c r="AC160" s="86"/>
      <c r="AD160" s="86"/>
      <c r="AE160" s="86"/>
      <c r="AF160" s="86"/>
      <c r="AG160" s="55">
        <f t="shared" si="27"/>
        <v>0</v>
      </c>
      <c r="AH160" s="66">
        <f>IF(Kalk4!$AA$19=4,1,0)</f>
        <v>0</v>
      </c>
      <c r="AI160" s="55">
        <v>80</v>
      </c>
      <c r="AK160" s="55" t="s">
        <v>22079</v>
      </c>
      <c r="AP160" s="66">
        <f>IF(AND(Kalk4!$O$21&gt;0,Kalk4!$N$21="60°"),Kalk4!$O$21,0)</f>
        <v>0</v>
      </c>
      <c r="AQ160" s="55" t="s">
        <v>22090</v>
      </c>
      <c r="AT160" s="55" t="s">
        <v>22079</v>
      </c>
      <c r="AU160" s="66">
        <f>IF(Kalk4!$AH$52&gt;AV160,1,0)</f>
        <v>0</v>
      </c>
      <c r="AV160" s="55">
        <v>2150</v>
      </c>
      <c r="AW160" s="66">
        <f>Kalk4!$AH$52</f>
        <v>0</v>
      </c>
      <c r="AX160" s="55" t="s">
        <v>22100</v>
      </c>
      <c r="AY160" s="66">
        <f>AP160*Kalk4!$H$37</f>
        <v>0</v>
      </c>
      <c r="AZ160" s="55" t="s">
        <v>20872</v>
      </c>
    </row>
    <row r="161" spans="2:53" ht="24.95" customHeight="1">
      <c r="B161" s="93">
        <f t="shared" si="26"/>
        <v>0</v>
      </c>
      <c r="C161" s="60"/>
      <c r="D161" s="60"/>
      <c r="E161" s="60" t="str">
        <f>VLOOKUP(1600,Sprachindex!$A:$Z,Erhebungsbogen!$Y$20,FALSE)</f>
        <v>[Stk]</v>
      </c>
      <c r="F161" s="60" t="s">
        <v>21971</v>
      </c>
      <c r="G161" s="514" t="str">
        <f>VLOOKUP(1814,Sprachindex!$A:$Z,Erhebungsbogen!$Y$20,FALSE)</f>
        <v>Sicherungsschraube für Abdeckung</v>
      </c>
      <c r="H161" s="514"/>
      <c r="I161" s="514"/>
      <c r="J161" s="514"/>
      <c r="K161" s="514"/>
      <c r="L161" s="514"/>
      <c r="M161" s="514"/>
      <c r="N161" s="514"/>
      <c r="O161" s="514"/>
      <c r="P161" s="514"/>
      <c r="Q161" s="514"/>
      <c r="R161" s="514"/>
      <c r="S161" s="514"/>
      <c r="T161" s="514"/>
      <c r="U161" s="352">
        <f>VLOOKUP(F161,Preisliste!C:F,4,FALSE)</f>
        <v>15.9</v>
      </c>
      <c r="V161" s="352">
        <f t="shared" si="28"/>
        <v>0</v>
      </c>
      <c r="W161" s="86"/>
      <c r="X161" s="86"/>
      <c r="Y161" s="86"/>
      <c r="Z161" s="86"/>
      <c r="AA161" s="86"/>
      <c r="AB161" s="86"/>
      <c r="AC161" s="86"/>
      <c r="AD161" s="86"/>
      <c r="AE161" s="86"/>
      <c r="AF161" s="86"/>
      <c r="AG161" s="55">
        <f>IF(Kalk4!$AA$25,1,0)</f>
        <v>0</v>
      </c>
      <c r="AH161" s="66">
        <f>IF(Kalk4!$AA$19=1,0,1)</f>
        <v>1</v>
      </c>
      <c r="AI161" s="55" t="s">
        <v>22183</v>
      </c>
      <c r="AL161" s="66">
        <f>IF(MAX(Kalk4!$AH$51,Kalk4!$AH$52)&lt;=750,1,0)</f>
        <v>1</v>
      </c>
      <c r="AM161" s="55" t="s">
        <v>22184</v>
      </c>
      <c r="AP161" s="66">
        <f>2*Kalk4!H37</f>
        <v>2</v>
      </c>
      <c r="AQ161" s="55" t="s">
        <v>22101</v>
      </c>
      <c r="AT161" s="55" t="s">
        <v>22079</v>
      </c>
      <c r="AU161" s="66">
        <f>IF(AL161=0,2*Kalk4!H37,0)</f>
        <v>0</v>
      </c>
      <c r="AV161" s="55" t="s">
        <v>22185</v>
      </c>
      <c r="AX161" s="55" t="s">
        <v>22100</v>
      </c>
      <c r="AY161" s="66">
        <f>AP161+AU161</f>
        <v>2</v>
      </c>
      <c r="AZ161" s="55" t="s">
        <v>20872</v>
      </c>
    </row>
    <row r="162" spans="2:53" ht="24.95" customHeight="1">
      <c r="B162" s="93">
        <f>IF(AG162=1,AU162,0)</f>
        <v>0</v>
      </c>
      <c r="C162" s="60"/>
      <c r="D162" s="60"/>
      <c r="E162" s="60" t="str">
        <f>VLOOKUP(1600,Sprachindex!$A:$Z,Erhebungsbogen!$Y$20,FALSE)</f>
        <v>[Stk]</v>
      </c>
      <c r="F162" s="60" t="s">
        <v>21942</v>
      </c>
      <c r="G162" s="514" t="str">
        <f>VLOOKUP(1817,Sprachindex!$A:$Z,Erhebungsbogen!$Y$20,FALSE)</f>
        <v>Spannstück mit 6-Kantschraube</v>
      </c>
      <c r="H162" s="514"/>
      <c r="I162" s="514"/>
      <c r="J162" s="514"/>
      <c r="K162" s="514"/>
      <c r="L162" s="514"/>
      <c r="M162" s="514"/>
      <c r="N162" s="514"/>
      <c r="O162" s="514"/>
      <c r="P162" s="514"/>
      <c r="Q162" s="514"/>
      <c r="R162" s="514"/>
      <c r="S162" s="514"/>
      <c r="T162" s="514"/>
      <c r="U162" s="352">
        <f>VLOOKUP(F162,Preisliste!C:F,4,FALSE)</f>
        <v>98.9</v>
      </c>
      <c r="V162" s="352">
        <f t="shared" si="28"/>
        <v>0</v>
      </c>
      <c r="W162" s="86"/>
      <c r="X162" s="86"/>
      <c r="Y162" s="86"/>
      <c r="Z162" s="86"/>
      <c r="AA162" s="86"/>
      <c r="AB162" s="86"/>
      <c r="AC162" s="86"/>
      <c r="AD162" s="86"/>
      <c r="AE162" s="86"/>
      <c r="AF162" s="86"/>
      <c r="AG162" s="55">
        <f>IF(AH162=1,1,0)</f>
        <v>0</v>
      </c>
      <c r="AH162" s="66">
        <f>IF(Kalk4!$AA$28,1,0)</f>
        <v>0</v>
      </c>
      <c r="AI162" s="55" t="s">
        <v>22098</v>
      </c>
      <c r="AK162" s="55" t="s">
        <v>22079</v>
      </c>
      <c r="AL162" s="66">
        <f>IF(Kalk4!$H$33&gt;1,Kalk4!$H$33-1,0)</f>
        <v>0</v>
      </c>
      <c r="AM162" s="55" t="s">
        <v>22085</v>
      </c>
      <c r="AT162" s="55" t="s">
        <v>22100</v>
      </c>
      <c r="AU162" s="66">
        <f>(2+2*AL162-IF(AH165=1,AU165,0))*Kalk4!$H$37</f>
        <v>2</v>
      </c>
      <c r="AV162" s="55" t="s">
        <v>22101</v>
      </c>
    </row>
    <row r="163" spans="2:53" ht="24.95" customHeight="1">
      <c r="B163" s="93">
        <f>IF(AG163=1,AU163,0)</f>
        <v>0</v>
      </c>
      <c r="C163" s="60"/>
      <c r="D163" s="60"/>
      <c r="E163" s="60" t="str">
        <f>VLOOKUP(1600,Sprachindex!$A:$Z,Erhebungsbogen!$Y$20,FALSE)</f>
        <v>[Stk]</v>
      </c>
      <c r="F163" s="60" t="s">
        <v>21941</v>
      </c>
      <c r="G163" s="514" t="str">
        <f>VLOOKUP(1819,Sprachindex!$A:$Z,Erhebungsbogen!$Y$20,FALSE)</f>
        <v>Spannstück mit Sterngriff</v>
      </c>
      <c r="H163" s="514"/>
      <c r="I163" s="514"/>
      <c r="J163" s="514"/>
      <c r="K163" s="514"/>
      <c r="L163" s="514"/>
      <c r="M163" s="514"/>
      <c r="N163" s="514"/>
      <c r="O163" s="514"/>
      <c r="P163" s="514"/>
      <c r="Q163" s="514"/>
      <c r="R163" s="514"/>
      <c r="S163" s="514"/>
      <c r="T163" s="514"/>
      <c r="U163" s="352">
        <f>VLOOKUP(F163,Preisliste!C:F,4,FALSE)</f>
        <v>104.9</v>
      </c>
      <c r="V163" s="352">
        <f t="shared" si="28"/>
        <v>0</v>
      </c>
      <c r="W163" s="86"/>
      <c r="X163" s="86"/>
      <c r="Y163" s="86"/>
      <c r="Z163" s="86"/>
      <c r="AA163" s="86"/>
      <c r="AB163" s="86"/>
      <c r="AC163" s="86"/>
      <c r="AD163" s="86"/>
      <c r="AE163" s="86"/>
      <c r="AF163" s="86"/>
      <c r="AG163" s="55">
        <f>IF(AH163=1,1,0)</f>
        <v>0</v>
      </c>
      <c r="AH163" s="66">
        <f>IF(Kalk4!$AA$27,1,0)</f>
        <v>0</v>
      </c>
      <c r="AI163" s="55" t="s">
        <v>22097</v>
      </c>
      <c r="AK163" s="55" t="s">
        <v>22079</v>
      </c>
      <c r="AL163" s="66">
        <f>IF(Kalk4!$H$33&gt;1,Kalk4!$H$33-1,0)</f>
        <v>0</v>
      </c>
      <c r="AM163" s="55" t="s">
        <v>22085</v>
      </c>
      <c r="AT163" s="55" t="s">
        <v>22100</v>
      </c>
      <c r="AU163" s="66">
        <f>(2+2*AL163-IF(AH164=1,AU164,0))*Kalk4!$H$37</f>
        <v>2</v>
      </c>
      <c r="AV163" s="55" t="s">
        <v>22101</v>
      </c>
    </row>
    <row r="164" spans="2:53" ht="24.95" customHeight="1">
      <c r="B164" s="93">
        <f>IF(AG164=1,AU164,0)</f>
        <v>0</v>
      </c>
      <c r="C164" s="60"/>
      <c r="D164" s="60"/>
      <c r="E164" s="60" t="str">
        <f>VLOOKUP(1600,Sprachindex!$A:$Z,Erhebungsbogen!$Y$20,FALSE)</f>
        <v>[Stk]</v>
      </c>
      <c r="F164" s="60" t="s">
        <v>21981</v>
      </c>
      <c r="G164" s="514" t="str">
        <f>VLOOKUP(2147,Sprachindex!$A:$Z,Erhebungsbogen!$Y$20,FALSE)</f>
        <v>Spannstück mit Sterngriff zum seitlich Einfädeln</v>
      </c>
      <c r="H164" s="514"/>
      <c r="I164" s="514"/>
      <c r="J164" s="514"/>
      <c r="K164" s="514"/>
      <c r="L164" s="514"/>
      <c r="M164" s="514"/>
      <c r="N164" s="514"/>
      <c r="O164" s="514"/>
      <c r="P164" s="514"/>
      <c r="Q164" s="514"/>
      <c r="R164" s="514"/>
      <c r="S164" s="514"/>
      <c r="T164" s="514"/>
      <c r="U164" s="352">
        <f>VLOOKUP(F164,Preisliste!C:F,4,FALSE)</f>
        <v>110.9</v>
      </c>
      <c r="V164" s="352">
        <f t="shared" si="28"/>
        <v>0</v>
      </c>
      <c r="W164" s="86"/>
      <c r="X164" s="86"/>
      <c r="Y164" s="86"/>
      <c r="Z164" s="86"/>
      <c r="AA164" s="86"/>
      <c r="AB164" s="86"/>
      <c r="AC164" s="86"/>
      <c r="AD164" s="86"/>
      <c r="AE164" s="86"/>
      <c r="AF164" s="86"/>
      <c r="AG164" s="55">
        <f>IF(AND(AH164=1,AL164=1,AP164=1),1,0)</f>
        <v>0</v>
      </c>
      <c r="AH164" s="66">
        <f>IF(Kalk4!$AA$19=1,1,0)</f>
        <v>0</v>
      </c>
      <c r="AI164" s="55">
        <v>25</v>
      </c>
      <c r="AK164" s="55" t="s">
        <v>22079</v>
      </c>
      <c r="AL164" s="66">
        <f>IF(Kalk4!$AA$27,1,0)</f>
        <v>0</v>
      </c>
      <c r="AM164" s="55" t="s">
        <v>22097</v>
      </c>
      <c r="AO164" s="55" t="s">
        <v>22079</v>
      </c>
      <c r="AP164" s="66">
        <f>IF(OR(Kalk4!$AA$7=3,Kalk4!$AA$9=3),1,0)</f>
        <v>0</v>
      </c>
      <c r="AQ164" s="55" t="s">
        <v>22099</v>
      </c>
      <c r="AT164" s="55" t="s">
        <v>22100</v>
      </c>
      <c r="AU164" s="66">
        <f>IF(AND(Kalk4!$AA$7=3,Kalk4!$AA$9=3),2,IF(AP164=1,1,0))*Kalk4!$H$37</f>
        <v>0</v>
      </c>
      <c r="AV164" s="55" t="s">
        <v>22101</v>
      </c>
    </row>
    <row r="165" spans="2:53" ht="24.95" customHeight="1">
      <c r="B165" s="93">
        <f>IF(AG165=1,AU165,0)</f>
        <v>0</v>
      </c>
      <c r="C165" s="60"/>
      <c r="D165" s="60"/>
      <c r="E165" s="60" t="str">
        <f>VLOOKUP(1600,Sprachindex!$A:$Z,Erhebungsbogen!$Y$20,FALSE)</f>
        <v>[Stk]</v>
      </c>
      <c r="F165" s="60" t="s">
        <v>21980</v>
      </c>
      <c r="G165" s="514" t="str">
        <f>VLOOKUP(2148,Sprachindex!$A:$Z,Erhebungsbogen!$Y$20,FALSE)</f>
        <v>Spannstück mit Sechskantschraube zum seitlichen Einfädeln</v>
      </c>
      <c r="H165" s="515"/>
      <c r="I165" s="515"/>
      <c r="J165" s="515"/>
      <c r="K165" s="515"/>
      <c r="L165" s="515"/>
      <c r="M165" s="515"/>
      <c r="N165" s="515"/>
      <c r="O165" s="515"/>
      <c r="P165" s="515"/>
      <c r="Q165" s="515"/>
      <c r="R165" s="515"/>
      <c r="S165" s="515"/>
      <c r="T165" s="516"/>
      <c r="U165" s="352">
        <f>VLOOKUP(F165,Preisliste!C:F,4,FALSE)</f>
        <v>106.9</v>
      </c>
      <c r="V165" s="352">
        <f t="shared" si="28"/>
        <v>0</v>
      </c>
      <c r="W165" s="86"/>
      <c r="X165" s="86"/>
      <c r="Y165" s="86"/>
      <c r="Z165" s="86"/>
      <c r="AA165" s="86"/>
      <c r="AB165" s="86"/>
      <c r="AC165" s="86"/>
      <c r="AD165" s="86"/>
      <c r="AE165" s="86"/>
      <c r="AF165" s="86"/>
      <c r="AG165" s="55">
        <f>IF(AND(AH165=1,AL165=1,AP165=1),1,0)</f>
        <v>0</v>
      </c>
      <c r="AH165" s="66">
        <f>IF(Kalk4!$AA$19=1,1,0)</f>
        <v>0</v>
      </c>
      <c r="AI165" s="55">
        <v>25</v>
      </c>
      <c r="AK165" s="55" t="s">
        <v>22079</v>
      </c>
      <c r="AL165" s="66">
        <f>IF(Kalk4!$AA$28,1,0)</f>
        <v>0</v>
      </c>
      <c r="AM165" s="55" t="s">
        <v>22098</v>
      </c>
      <c r="AO165" s="55" t="s">
        <v>22079</v>
      </c>
      <c r="AP165" s="66">
        <f>IF(OR(Kalk4!$AA$7=3,Kalk4!$AA$9=3),1,0)</f>
        <v>0</v>
      </c>
      <c r="AQ165" s="55" t="s">
        <v>22099</v>
      </c>
      <c r="AT165" s="55" t="s">
        <v>22100</v>
      </c>
      <c r="AU165" s="66">
        <f>IF(AND(Kalk4!$AA$7=3,Kalk4!$AA$9=3),2,IF(AP165=1,1,0))*Kalk4!$H$37</f>
        <v>0</v>
      </c>
      <c r="AV165" s="55" t="s">
        <v>22101</v>
      </c>
    </row>
    <row r="166" spans="2:53" ht="24.95" customHeight="1">
      <c r="B166" s="93">
        <f t="shared" ref="B166:B180" si="29">IF(AG166=1,AZ166,0)</f>
        <v>0</v>
      </c>
      <c r="C166" s="60">
        <v>750</v>
      </c>
      <c r="D166" s="60"/>
      <c r="E166" s="60" t="str">
        <f>VLOOKUP(1600,Sprachindex!$A:$Z,Erhebungsbogen!$Y$20,FALSE)</f>
        <v>[Stk]</v>
      </c>
      <c r="F166" s="60" t="s">
        <v>21881</v>
      </c>
      <c r="G166" s="514" t="str">
        <f>VLOOKUP(2149,Sprachindex!$A:$Z,Erhebungsbogen!$Y$20,FALSE) &amp; IF(AND(Kalk4!$AA$5=2,Kalk4!$AA$13),", " &amp; VLOOKUP(1645,Sprachindex!$A:$Z,Erhebungsbogen!$Y$20,FALSE) &amp; " " &amp; $U$8,", "&amp; VLOOKUP(1648,Sprachindex!$A:$Z,Erhebungsbogen!$Y$20,FALSE))</f>
        <v>U-Profil 25 (in der Laibung) exkl. Dichtung, gebohrt und entgratet, blank</v>
      </c>
      <c r="H166" s="515"/>
      <c r="I166" s="515"/>
      <c r="J166" s="515"/>
      <c r="K166" s="515"/>
      <c r="L166" s="515"/>
      <c r="M166" s="515"/>
      <c r="N166" s="515"/>
      <c r="O166" s="515"/>
      <c r="P166" s="515"/>
      <c r="Q166" s="515"/>
      <c r="R166" s="515"/>
      <c r="S166" s="515"/>
      <c r="T166" s="516"/>
      <c r="U166" s="352">
        <f>IF(AND(Kalk4!$AA$5=2,Kalk4!$AA$13),VLOOKUP(F166,Preisliste!C:G,5,FALSE),VLOOKUP(F166,Preisliste!C:G,4,FALSE))</f>
        <v>81.150000000000006</v>
      </c>
      <c r="V166" s="352">
        <f t="shared" si="28"/>
        <v>0</v>
      </c>
      <c r="W166" s="86"/>
      <c r="X166" s="86"/>
      <c r="Y166" s="86"/>
      <c r="Z166" s="143">
        <f>IF(AND(Kalk4!$AA$5=2,Kalk4!$AA$13),(VLOOKUP(F166,Preisliste!C:G,5,FALSE)-VLOOKUP(F166,Preisliste!C:G,4,FALSE))*B166,0)</f>
        <v>0</v>
      </c>
      <c r="AA166" s="86"/>
      <c r="AB166" s="86"/>
      <c r="AC166" s="86"/>
      <c r="AD166" s="86"/>
      <c r="AE166" s="86"/>
      <c r="AF166" s="86"/>
      <c r="AG166" s="55">
        <f>IF(AND(AH166=1,AL166=1,AP166=1,AND(Kalk4!H28&gt;0,Kalk4!H29&gt;0)),1,0)</f>
        <v>0</v>
      </c>
      <c r="AH166" s="66">
        <f>IF(Kalk4!$AA$19=1,1,0)</f>
        <v>0</v>
      </c>
      <c r="AI166" s="55">
        <v>25</v>
      </c>
      <c r="AK166" s="55" t="s">
        <v>22079</v>
      </c>
      <c r="AL166" s="66">
        <f>IF(OR(OR(Kalk4!$AA$7=2,Kalk4!$AA$7=3),OR(Kalk4!$AA$9=2,Kalk4!$AA$9=3)),1,0)</f>
        <v>0</v>
      </c>
      <c r="AM166" s="55" t="s">
        <v>22092</v>
      </c>
      <c r="AO166" s="55" t="s">
        <v>22079</v>
      </c>
      <c r="AP166" s="66">
        <f>IF(Kalk4!$AI$51=AQ166,1,0)</f>
        <v>1</v>
      </c>
      <c r="AQ166" s="55">
        <v>750</v>
      </c>
      <c r="AU166" s="66">
        <f>IF(OR(Kalk4!$AA$7=2,Kalk4!$AA$7=3),1,0)</f>
        <v>0</v>
      </c>
      <c r="AV166" s="55" t="s">
        <v>19882</v>
      </c>
      <c r="AW166" s="66">
        <f>IF(OR(Kalk4!$AA$9=2,Kalk4!$AA$9=3),1,0)</f>
        <v>0</v>
      </c>
      <c r="AX166" s="55" t="s">
        <v>20310</v>
      </c>
      <c r="AY166" s="55" t="s">
        <v>22100</v>
      </c>
      <c r="AZ166" s="66">
        <f>(AU166+AW166)*Kalk4!$H$37</f>
        <v>0</v>
      </c>
      <c r="BA166" s="55" t="s">
        <v>22101</v>
      </c>
    </row>
    <row r="167" spans="2:53" ht="24.95" customHeight="1">
      <c r="B167" s="93">
        <f t="shared" si="29"/>
        <v>0</v>
      </c>
      <c r="C167" s="60">
        <v>1350</v>
      </c>
      <c r="D167" s="60"/>
      <c r="E167" s="60" t="str">
        <f>VLOOKUP(1600,Sprachindex!$A:$Z,Erhebungsbogen!$Y$20,FALSE)</f>
        <v>[Stk]</v>
      </c>
      <c r="F167" s="60" t="s">
        <v>21882</v>
      </c>
      <c r="G167" s="514" t="str">
        <f>VLOOKUP(2149,Sprachindex!$A:$Z,Erhebungsbogen!$Y$20,FALSE) &amp; IF(AND(Kalk4!$AA$5=2,Kalk4!$AA$13),", " &amp; VLOOKUP(1645,Sprachindex!$A:$Z,Erhebungsbogen!$Y$20,FALSE) &amp; " " &amp; $U$8,", "&amp; VLOOKUP(1648,Sprachindex!$A:$Z,Erhebungsbogen!$Y$20,FALSE))</f>
        <v>U-Profil 25 (in der Laibung) exkl. Dichtung, gebohrt und entgratet, blank</v>
      </c>
      <c r="H167" s="515"/>
      <c r="I167" s="515"/>
      <c r="J167" s="515"/>
      <c r="K167" s="515"/>
      <c r="L167" s="515"/>
      <c r="M167" s="515"/>
      <c r="N167" s="515"/>
      <c r="O167" s="515"/>
      <c r="P167" s="515"/>
      <c r="Q167" s="515"/>
      <c r="R167" s="515"/>
      <c r="S167" s="515"/>
      <c r="T167" s="516"/>
      <c r="U167" s="352">
        <f>IF(AND(Kalk4!$AA$5=2,Kalk4!$AA$13),VLOOKUP(F167,Preisliste!C:G,5,FALSE),VLOOKUP(F167,Preisliste!C:G,4,FALSE))</f>
        <v>123.15</v>
      </c>
      <c r="V167" s="352">
        <f t="shared" si="28"/>
        <v>0</v>
      </c>
      <c r="W167" s="86"/>
      <c r="X167" s="86"/>
      <c r="Y167" s="86"/>
      <c r="Z167" s="143">
        <f>IF(AND(Kalk4!$AA$5=2,Kalk4!$AA$13),(VLOOKUP(F167,Preisliste!C:G,5,FALSE)-VLOOKUP(F167,Preisliste!C:G,4,FALSE))*B167,0)</f>
        <v>0</v>
      </c>
      <c r="AA167" s="86"/>
      <c r="AB167" s="86"/>
      <c r="AC167" s="86"/>
      <c r="AD167" s="86"/>
      <c r="AE167" s="86"/>
      <c r="AF167" s="86"/>
      <c r="AG167" s="55">
        <f>IF(AND(AH167=1,AL167=1,AP167=1,AND(Kalk4!H28&gt;0,Kalk4!H29&gt;0)),1,0)</f>
        <v>0</v>
      </c>
      <c r="AH167" s="66">
        <f>IF(Kalk4!$AA$19=1,1,0)</f>
        <v>0</v>
      </c>
      <c r="AI167" s="55">
        <v>25</v>
      </c>
      <c r="AK167" s="55" t="s">
        <v>22079</v>
      </c>
      <c r="AL167" s="66">
        <f>IF(OR(OR(Kalk4!$AA$7=2,Kalk4!$AA$7=3),OR(Kalk4!$AA$9=2,Kalk4!$AA$9=3)),1,0)</f>
        <v>0</v>
      </c>
      <c r="AM167" s="55" t="s">
        <v>22092</v>
      </c>
      <c r="AO167" s="55" t="s">
        <v>22079</v>
      </c>
      <c r="AP167" s="66">
        <f>IF(Kalk4!$AI$51=AQ167,1,0)</f>
        <v>0</v>
      </c>
      <c r="AQ167" s="55">
        <v>1350</v>
      </c>
      <c r="AU167" s="66">
        <f>IF(OR(Kalk4!$AA$7=2,Kalk4!$AA$7=3),1,0)</f>
        <v>0</v>
      </c>
      <c r="AV167" s="55" t="s">
        <v>19882</v>
      </c>
      <c r="AW167" s="66">
        <f>IF(OR(Kalk4!$AA$9=2,Kalk4!$AA$9=3),1,0)</f>
        <v>0</v>
      </c>
      <c r="AX167" s="55" t="s">
        <v>20310</v>
      </c>
      <c r="AY167" s="55" t="s">
        <v>22100</v>
      </c>
      <c r="AZ167" s="66">
        <f>(AU167+AW167)*Kalk4!$H$37</f>
        <v>0</v>
      </c>
      <c r="BA167" s="55" t="s">
        <v>22101</v>
      </c>
    </row>
    <row r="168" spans="2:53" ht="24.95" customHeight="1">
      <c r="B168" s="93">
        <f t="shared" si="29"/>
        <v>0</v>
      </c>
      <c r="C168" s="60">
        <v>1750</v>
      </c>
      <c r="D168" s="60"/>
      <c r="E168" s="60" t="str">
        <f>VLOOKUP(1600,Sprachindex!$A:$Z,Erhebungsbogen!$Y$20,FALSE)</f>
        <v>[Stk]</v>
      </c>
      <c r="F168" s="60" t="s">
        <v>21982</v>
      </c>
      <c r="G168" s="514" t="str">
        <f>VLOOKUP(2149,Sprachindex!$A:$Z,Erhebungsbogen!$Y$20,FALSE) &amp; IF(AND(Kalk4!$AA$5=2,Kalk4!$AA$13),", " &amp; VLOOKUP(1645,Sprachindex!$A:$Z,Erhebungsbogen!$Y$20,FALSE) &amp; " " &amp; $U$8,", "&amp; VLOOKUP(1648,Sprachindex!$A:$Z,Erhebungsbogen!$Y$20,FALSE))</f>
        <v>U-Profil 25 (in der Laibung) exkl. Dichtung, gebohrt und entgratet, blank</v>
      </c>
      <c r="H168" s="515"/>
      <c r="I168" s="515"/>
      <c r="J168" s="515"/>
      <c r="K168" s="515"/>
      <c r="L168" s="515"/>
      <c r="M168" s="515"/>
      <c r="N168" s="515"/>
      <c r="O168" s="515"/>
      <c r="P168" s="515"/>
      <c r="Q168" s="515"/>
      <c r="R168" s="515"/>
      <c r="S168" s="515"/>
      <c r="T168" s="516"/>
      <c r="U168" s="352">
        <f>IF(AND(Kalk4!$AA$5=2,Kalk4!$AA$13),VLOOKUP(F168,Preisliste!C:G,5,FALSE),VLOOKUP(F168,Preisliste!C:G,4,FALSE))</f>
        <v>137.5</v>
      </c>
      <c r="V168" s="352">
        <f t="shared" si="28"/>
        <v>0</v>
      </c>
      <c r="W168" s="86"/>
      <c r="X168" s="86"/>
      <c r="Y168" s="86"/>
      <c r="Z168" s="143">
        <f>IF(AND(Kalk4!$AA$5=2,Kalk4!$AA$13),(VLOOKUP(F168,Preisliste!C:G,5,FALSE)-VLOOKUP(F168,Preisliste!C:G,4,FALSE))*B168,0)</f>
        <v>0</v>
      </c>
      <c r="AA168" s="86"/>
      <c r="AB168" s="86"/>
      <c r="AC168" s="86"/>
      <c r="AD168" s="86"/>
      <c r="AE168" s="86"/>
      <c r="AF168" s="86"/>
      <c r="AG168" s="55">
        <f>IF(AND(AH168=1,AL168=1,AP168=1,AND(Kalk4!H28&gt;0,Kalk4!H29&gt;0)),1,0)</f>
        <v>0</v>
      </c>
      <c r="AH168" s="66">
        <f>IF(Kalk4!$AA$19=1,1,0)</f>
        <v>0</v>
      </c>
      <c r="AI168" s="55">
        <v>25</v>
      </c>
      <c r="AK168" s="55" t="s">
        <v>22079</v>
      </c>
      <c r="AL168" s="66">
        <f>IF(OR(OR(Kalk4!$AA$7=2,Kalk4!$AA$7=3),OR(Kalk4!$AA$9=2,Kalk4!$AA$9=3)),1,0)</f>
        <v>0</v>
      </c>
      <c r="AM168" s="55" t="s">
        <v>22092</v>
      </c>
      <c r="AO168" s="55" t="s">
        <v>22079</v>
      </c>
      <c r="AP168" s="66">
        <f>IF(Kalk4!$AI$51=AQ168,1,0)</f>
        <v>0</v>
      </c>
      <c r="AQ168" s="55">
        <v>1750</v>
      </c>
      <c r="AU168" s="66">
        <f>IF(OR(Kalk4!$AA$7=2,Kalk4!$AA$7=3),1,0)</f>
        <v>0</v>
      </c>
      <c r="AV168" s="55" t="s">
        <v>19882</v>
      </c>
      <c r="AW168" s="66">
        <f>IF(OR(Kalk4!$AA$9=2,Kalk4!$AA$9=3),1,0)</f>
        <v>0</v>
      </c>
      <c r="AX168" s="55" t="s">
        <v>20310</v>
      </c>
      <c r="AY168" s="55" t="s">
        <v>22100</v>
      </c>
      <c r="AZ168" s="66">
        <f>(AU168+AW168)*Kalk4!$H$37</f>
        <v>0</v>
      </c>
      <c r="BA168" s="55" t="s">
        <v>22101</v>
      </c>
    </row>
    <row r="169" spans="2:53" ht="24.95" customHeight="1">
      <c r="B169" s="93">
        <f t="shared" si="29"/>
        <v>0</v>
      </c>
      <c r="C169" s="60">
        <v>2150</v>
      </c>
      <c r="D169" s="60"/>
      <c r="E169" s="60" t="str">
        <f>VLOOKUP(1600,Sprachindex!$A:$Z,Erhebungsbogen!$Y$20,FALSE)</f>
        <v>[Stk]</v>
      </c>
      <c r="F169" s="60" t="s">
        <v>21983</v>
      </c>
      <c r="G169" s="514" t="str">
        <f>VLOOKUP(2149,Sprachindex!$A:$Z,Erhebungsbogen!$Y$20,FALSE) &amp; IF(AND(Kalk4!$AA$5=2,Kalk4!$AA$13),", " &amp; VLOOKUP(1645,Sprachindex!$A:$Z,Erhebungsbogen!$Y$20,FALSE) &amp; " " &amp; $U$8,", "&amp; VLOOKUP(1648,Sprachindex!$A:$Z,Erhebungsbogen!$Y$20,FALSE))</f>
        <v>U-Profil 25 (in der Laibung) exkl. Dichtung, gebohrt und entgratet, blank</v>
      </c>
      <c r="H169" s="515"/>
      <c r="I169" s="515"/>
      <c r="J169" s="515"/>
      <c r="K169" s="515"/>
      <c r="L169" s="515"/>
      <c r="M169" s="515"/>
      <c r="N169" s="515"/>
      <c r="O169" s="515"/>
      <c r="P169" s="515"/>
      <c r="Q169" s="515"/>
      <c r="R169" s="515"/>
      <c r="S169" s="515"/>
      <c r="T169" s="516"/>
      <c r="U169" s="352">
        <f>IF(AND(Kalk4!$AA$5=2,Kalk4!$AA$13),VLOOKUP(F169,Preisliste!C:G,5,FALSE),VLOOKUP(F169,Preisliste!C:G,4,FALSE))</f>
        <v>162.9</v>
      </c>
      <c r="V169" s="352">
        <f t="shared" si="28"/>
        <v>0</v>
      </c>
      <c r="W169" s="86"/>
      <c r="X169" s="86"/>
      <c r="Y169" s="86"/>
      <c r="Z169" s="143">
        <f>IF(AND(Kalk4!$AA$5=2,Kalk4!$AA$13),(VLOOKUP(F169,Preisliste!C:G,5,FALSE)-VLOOKUP(F169,Preisliste!C:G,4,FALSE))*B169,0)</f>
        <v>0</v>
      </c>
      <c r="AA169" s="86"/>
      <c r="AB169" s="86"/>
      <c r="AC169" s="86"/>
      <c r="AD169" s="86"/>
      <c r="AE169" s="86"/>
      <c r="AF169" s="86"/>
      <c r="AG169" s="55">
        <f>IF(AND(AH169=1,AL169=1,AP169=1,AND(Kalk4!H28&gt;0,Kalk4!H29&gt;0)),1,0)</f>
        <v>0</v>
      </c>
      <c r="AH169" s="66">
        <f>IF(Kalk4!$AA$19=1,1,0)</f>
        <v>0</v>
      </c>
      <c r="AI169" s="55">
        <v>25</v>
      </c>
      <c r="AK169" s="55" t="s">
        <v>22079</v>
      </c>
      <c r="AL169" s="66">
        <f>IF(OR(OR(Kalk4!$AA$7=2,Kalk4!$AA$7=3),OR(Kalk4!$AA$9=2,Kalk4!$AA$9=3)),1,0)</f>
        <v>0</v>
      </c>
      <c r="AM169" s="55" t="s">
        <v>22092</v>
      </c>
      <c r="AO169" s="55" t="s">
        <v>22079</v>
      </c>
      <c r="AP169" s="66">
        <f>IF(Kalk4!$AI$51=AQ169,1,0)</f>
        <v>0</v>
      </c>
      <c r="AQ169" s="55">
        <v>2150</v>
      </c>
      <c r="AU169" s="66">
        <f>IF(OR(Kalk4!$AA$7=2,Kalk4!$AA$7=3),1,0)</f>
        <v>0</v>
      </c>
      <c r="AV169" s="55" t="s">
        <v>19882</v>
      </c>
      <c r="AW169" s="66">
        <f>IF(OR(Kalk4!$AA$9=2,Kalk4!$AA$9=3),1,0)</f>
        <v>0</v>
      </c>
      <c r="AX169" s="55" t="s">
        <v>20310</v>
      </c>
      <c r="AY169" s="55" t="s">
        <v>22100</v>
      </c>
      <c r="AZ169" s="66">
        <f>(AU169+AW169)*Kalk4!$H$37</f>
        <v>0</v>
      </c>
      <c r="BA169" s="55" t="s">
        <v>22101</v>
      </c>
    </row>
    <row r="170" spans="2:53" ht="24.95" customHeight="1">
      <c r="B170" s="93">
        <f t="shared" si="29"/>
        <v>0</v>
      </c>
      <c r="C170" s="60">
        <f>IF(AG170=1,AS170,0)</f>
        <v>0</v>
      </c>
      <c r="D170" s="60"/>
      <c r="E170" s="60" t="str">
        <f>VLOOKUP(1600,Sprachindex!$A:$Z,Erhebungsbogen!$Y$20,FALSE)</f>
        <v>[Stk]</v>
      </c>
      <c r="F170" s="60" t="s">
        <v>21883</v>
      </c>
      <c r="G170" s="514" t="str">
        <f>VLOOKUP(1858,Sprachindex!$A:$Z,Erhebungsbogen!$Y$20,FALSE)</f>
        <v>U-Profil 25 Sonderlänge exkl. Dichtung, (Stangenware)</v>
      </c>
      <c r="H170" s="515"/>
      <c r="I170" s="515"/>
      <c r="J170" s="515"/>
      <c r="K170" s="515"/>
      <c r="L170" s="515"/>
      <c r="M170" s="515"/>
      <c r="N170" s="515"/>
      <c r="O170" s="515"/>
      <c r="P170" s="515"/>
      <c r="Q170" s="515"/>
      <c r="R170" s="515"/>
      <c r="S170" s="515"/>
      <c r="T170" s="516"/>
      <c r="U170" s="352">
        <f>IF(AND(Kalk4!$AA$5=2,Kalk4!$AA$13),VLOOKUP(F170,Preisliste!C:G,5,FALSE),VLOOKUP(F170,Preisliste!C:G,4,FALSE))</f>
        <v>72</v>
      </c>
      <c r="V170" s="352">
        <f t="shared" si="28"/>
        <v>0</v>
      </c>
      <c r="W170" s="86"/>
      <c r="X170" s="86"/>
      <c r="Y170" s="86"/>
      <c r="Z170" s="143">
        <f>IF(AND(Kalk4!$AA$5=2,Kalk4!$AA$13),(VLOOKUP(F170,Preisliste!C:G,5,FALSE)-VLOOKUP(F170,Preisliste!C:G,4,FALSE))*B170,0)</f>
        <v>0</v>
      </c>
      <c r="AA170" s="86"/>
      <c r="AB170" s="86"/>
      <c r="AC170" s="86"/>
      <c r="AD170" s="86"/>
      <c r="AE170" s="86"/>
      <c r="AF170" s="86"/>
      <c r="AG170" s="55">
        <f>IF(AND(AH170=1,AL170=1,AP170=1,AND(Kalk4!H28&gt;0,Kalk4!H29&gt;0)),1,0)</f>
        <v>0</v>
      </c>
      <c r="AH170" s="66">
        <f>IF(Kalk4!$AA$19=1,1,0)</f>
        <v>0</v>
      </c>
      <c r="AI170" s="55">
        <v>25</v>
      </c>
      <c r="AK170" s="55" t="s">
        <v>22079</v>
      </c>
      <c r="AL170" s="66">
        <f>IF(OR(OR(Kalk4!$AA$7=1,Kalk4!$AA$7=2,Kalk4!$AA$7=3),OR(Kalk4!$AA$9=1,Kalk4!$AA$9=2,Kalk4!$AA$9=3)),1,0)</f>
        <v>1</v>
      </c>
      <c r="AM170" s="55" t="s">
        <v>22092</v>
      </c>
      <c r="AO170" s="55" t="s">
        <v>22079</v>
      </c>
      <c r="AP170" s="66">
        <f>IF(Kalk4!$AH$52&gt;AQ170,1,0)</f>
        <v>0</v>
      </c>
      <c r="AQ170" s="55">
        <v>2150</v>
      </c>
      <c r="AR170" s="55" t="s">
        <v>22084</v>
      </c>
      <c r="AS170" s="66">
        <f>Kalk4!$AH$52</f>
        <v>0</v>
      </c>
      <c r="AU170" s="66">
        <f>IF(OR(Kalk4!$AA$7=2,Kalk4!$AA$7=3),1,0)</f>
        <v>0</v>
      </c>
      <c r="AV170" s="55" t="s">
        <v>19882</v>
      </c>
      <c r="AW170" s="66">
        <f>IF(OR(Kalk4!$AA$9=2,Kalk4!$AA$9=3),1,0)</f>
        <v>0</v>
      </c>
      <c r="AX170" s="55" t="s">
        <v>20310</v>
      </c>
      <c r="AY170" s="55" t="s">
        <v>22100</v>
      </c>
      <c r="AZ170" s="66">
        <f>(AU170+AW170)*Kalk4!$H$37</f>
        <v>0</v>
      </c>
      <c r="BA170" s="55" t="s">
        <v>22101</v>
      </c>
    </row>
    <row r="171" spans="2:53" ht="24.95" customHeight="1">
      <c r="B171" s="93">
        <f t="shared" si="29"/>
        <v>0</v>
      </c>
      <c r="C171" s="60">
        <v>750</v>
      </c>
      <c r="D171" s="60"/>
      <c r="E171" s="60" t="str">
        <f>VLOOKUP(1600,Sprachindex!$A:$Z,Erhebungsbogen!$Y$20,FALSE)</f>
        <v>[Stk]</v>
      </c>
      <c r="F171" s="60" t="s">
        <v>21886</v>
      </c>
      <c r="G171" s="514" t="str">
        <f>VLOOKUP(1859,Sprachindex!$A:$Z,Erhebungsbogen!$Y$20,FALSE) &amp; IF(AND(Kalk4!$AA$5=2,Kalk4!$AA$13),", " &amp; VLOOKUP(1645,Sprachindex!$A:$Z,Erhebungsbogen!$Y$20,FALSE) &amp; " " &amp; $U$8,", "&amp; VLOOKUP(1648,Sprachindex!$A:$Z,Erhebungsbogen!$Y$20,FALSE))</f>
        <v>U-Profil 50 exkl. Dichtung, gebohrt und entgratet, blank</v>
      </c>
      <c r="H171" s="514"/>
      <c r="I171" s="514"/>
      <c r="J171" s="514"/>
      <c r="K171" s="514"/>
      <c r="L171" s="514"/>
      <c r="M171" s="514"/>
      <c r="N171" s="514"/>
      <c r="O171" s="514"/>
      <c r="P171" s="514"/>
      <c r="Q171" s="514"/>
      <c r="R171" s="514"/>
      <c r="S171" s="514"/>
      <c r="T171" s="514"/>
      <c r="U171" s="352">
        <f>IF(AND(Kalk4!$AA$5=2,Kalk4!$AA$13),VLOOKUP(F171,Preisliste!C:G,5,FALSE),VLOOKUP(F171,Preisliste!C:G,4,FALSE))</f>
        <v>134.25</v>
      </c>
      <c r="V171" s="352">
        <f t="shared" si="28"/>
        <v>0</v>
      </c>
      <c r="W171" s="86"/>
      <c r="X171" s="86"/>
      <c r="Y171" s="86"/>
      <c r="Z171" s="143">
        <f>IF(AND(Kalk4!$AA$5=2,Kalk4!$AA$13),(VLOOKUP(F171,Preisliste!C:G,5,FALSE)-VLOOKUP(F171,Preisliste!C:G,4,FALSE))*B171,0)</f>
        <v>0</v>
      </c>
      <c r="AA171" s="86"/>
      <c r="AB171" s="86"/>
      <c r="AC171" s="86"/>
      <c r="AD171" s="86"/>
      <c r="AE171" s="86"/>
      <c r="AF171" s="86"/>
      <c r="AG171" s="249">
        <f>IF(AND(AH171=1,AL171=1,AP171=1,AND(Kalk4!H28&gt;0,Kalk4!H29&gt;0)),1,0)</f>
        <v>0</v>
      </c>
      <c r="AH171" s="66">
        <f>IF(OR(Kalk4!$AA$19=2,Kalk4!$AA$19=3),1,0)</f>
        <v>1</v>
      </c>
      <c r="AI171" s="55">
        <v>50</v>
      </c>
      <c r="AK171" s="55" t="s">
        <v>22079</v>
      </c>
      <c r="AL171" s="66">
        <f>IF(OR(OR(Kalk4!$AA$7=2,Kalk4!$AA$7=3),OR(Kalk4!$AA$9=2,Kalk4!$AA$9=3)),1,0)</f>
        <v>0</v>
      </c>
      <c r="AM171" s="55" t="s">
        <v>22092</v>
      </c>
      <c r="AO171" s="55" t="s">
        <v>22079</v>
      </c>
      <c r="AP171" s="55">
        <f>IF(Kalk4!$AI$51=AQ171,1,0)</f>
        <v>1</v>
      </c>
      <c r="AQ171" s="55">
        <v>750</v>
      </c>
      <c r="AU171" s="66">
        <f>IF(OR(Kalk4!$AA$7=2,Kalk4!$AA$7=3),1,0)</f>
        <v>0</v>
      </c>
      <c r="AV171" s="55" t="s">
        <v>19882</v>
      </c>
      <c r="AW171" s="66">
        <f>IF(OR(Kalk4!$AA$9=2,Kalk4!$AA$9=3),1,0)</f>
        <v>0</v>
      </c>
      <c r="AX171" s="55" t="s">
        <v>20310</v>
      </c>
      <c r="AY171" s="55" t="s">
        <v>22100</v>
      </c>
      <c r="AZ171" s="66">
        <f>(AU171+AW171)*Kalk4!$H$37</f>
        <v>0</v>
      </c>
      <c r="BA171" s="55" t="s">
        <v>22101</v>
      </c>
    </row>
    <row r="172" spans="2:53" ht="24.95" customHeight="1">
      <c r="B172" s="93">
        <f t="shared" si="29"/>
        <v>0</v>
      </c>
      <c r="C172" s="60">
        <v>1350</v>
      </c>
      <c r="D172" s="60"/>
      <c r="E172" s="60" t="str">
        <f>VLOOKUP(1600,Sprachindex!$A:$Z,Erhebungsbogen!$Y$20,FALSE)</f>
        <v>[Stk]</v>
      </c>
      <c r="F172" s="60" t="s">
        <v>21887</v>
      </c>
      <c r="G172" s="514" t="str">
        <f>VLOOKUP(1859,Sprachindex!$A:$Z,Erhebungsbogen!$Y$20,FALSE) &amp; IF(AND(Kalk4!$AA$5=2,Kalk4!$AA$13),", " &amp; VLOOKUP(1645,Sprachindex!$A:$Z,Erhebungsbogen!$Y$20,FALSE) &amp; " " &amp; $U$8,", "&amp; VLOOKUP(1648,Sprachindex!$A:$Z,Erhebungsbogen!$Y$20,FALSE))</f>
        <v>U-Profil 50 exkl. Dichtung, gebohrt und entgratet, blank</v>
      </c>
      <c r="H172" s="514"/>
      <c r="I172" s="514"/>
      <c r="J172" s="514"/>
      <c r="K172" s="514"/>
      <c r="L172" s="514"/>
      <c r="M172" s="514"/>
      <c r="N172" s="514"/>
      <c r="O172" s="514"/>
      <c r="P172" s="514"/>
      <c r="Q172" s="514"/>
      <c r="R172" s="514"/>
      <c r="S172" s="514"/>
      <c r="T172" s="514"/>
      <c r="U172" s="352">
        <f>IF(AND(Kalk4!$AA$5=2,Kalk4!$AA$13),VLOOKUP(F172,Preisliste!C:G,5,FALSE),VLOOKUP(F172,Preisliste!C:G,4,FALSE))</f>
        <v>206.7</v>
      </c>
      <c r="V172" s="352">
        <f t="shared" si="28"/>
        <v>0</v>
      </c>
      <c r="W172" s="86"/>
      <c r="X172" s="86"/>
      <c r="Y172" s="86"/>
      <c r="Z172" s="143">
        <f>IF(AND(Kalk4!$AA$5=2,Kalk4!$AA$13),(VLOOKUP(F172,Preisliste!C:G,5,FALSE)-VLOOKUP(F172,Preisliste!C:G,4,FALSE))*B172,0)</f>
        <v>0</v>
      </c>
      <c r="AA172" s="86"/>
      <c r="AB172" s="86"/>
      <c r="AC172" s="86"/>
      <c r="AD172" s="86"/>
      <c r="AE172" s="86"/>
      <c r="AF172" s="86"/>
      <c r="AG172" s="55">
        <f>IF(AND(AH172=1,AL172=1,AP172=1,AND(Kalk4!H28&gt;0,Kalk4!H29&gt;0)),1,0)</f>
        <v>0</v>
      </c>
      <c r="AH172" s="66">
        <f>IF(OR(Kalk4!$AA$19=2,Kalk4!$AA$19=3),1,0)</f>
        <v>1</v>
      </c>
      <c r="AI172" s="55">
        <v>50</v>
      </c>
      <c r="AK172" s="55" t="s">
        <v>22079</v>
      </c>
      <c r="AL172" s="66">
        <f>IF(OR(OR(Kalk4!$AA$7=2,Kalk4!$AA$7=3),OR(Kalk4!$AA$9=2,Kalk4!$AA$9=3)),1,0)</f>
        <v>0</v>
      </c>
      <c r="AM172" s="55" t="s">
        <v>22092</v>
      </c>
      <c r="AO172" s="55" t="s">
        <v>22079</v>
      </c>
      <c r="AP172" s="66">
        <f>IF(Kalk4!$AI$51=AQ172,1,0)</f>
        <v>0</v>
      </c>
      <c r="AQ172" s="55">
        <v>1350</v>
      </c>
      <c r="AU172" s="66">
        <f>IF(OR(Kalk4!$AA$7=2,Kalk4!$AA$7=3),1,0)</f>
        <v>0</v>
      </c>
      <c r="AV172" s="55" t="s">
        <v>19882</v>
      </c>
      <c r="AW172" s="66">
        <f>IF(OR(Kalk4!$AA$9=2,Kalk4!$AA$9=3),1,0)</f>
        <v>0</v>
      </c>
      <c r="AX172" s="55" t="s">
        <v>20310</v>
      </c>
      <c r="AY172" s="55" t="s">
        <v>22100</v>
      </c>
      <c r="AZ172" s="66">
        <f>(AU172+AW172)*Kalk4!$H$37</f>
        <v>0</v>
      </c>
      <c r="BA172" s="55" t="s">
        <v>22101</v>
      </c>
    </row>
    <row r="173" spans="2:53" ht="24.95" customHeight="1">
      <c r="B173" s="93">
        <f t="shared" si="29"/>
        <v>0</v>
      </c>
      <c r="C173" s="60">
        <v>1750</v>
      </c>
      <c r="D173" s="60"/>
      <c r="E173" s="60" t="str">
        <f>VLOOKUP(1600,Sprachindex!$A:$Z,Erhebungsbogen!$Y$20,FALSE)</f>
        <v>[Stk]</v>
      </c>
      <c r="F173" s="60" t="s">
        <v>21888</v>
      </c>
      <c r="G173" s="514" t="str">
        <f>VLOOKUP(1859,Sprachindex!$A:$Z,Erhebungsbogen!$Y$20,FALSE) &amp; IF(AND(Kalk4!$AA$5=2,Kalk4!$AA$13),", " &amp; VLOOKUP(1645,Sprachindex!$A:$Z,Erhebungsbogen!$Y$20,FALSE) &amp; " " &amp; $U$8,", "&amp; VLOOKUP(1648,Sprachindex!$A:$Z,Erhebungsbogen!$Y$20,FALSE))</f>
        <v>U-Profil 50 exkl. Dichtung, gebohrt und entgratet, blank</v>
      </c>
      <c r="H173" s="514"/>
      <c r="I173" s="514"/>
      <c r="J173" s="514"/>
      <c r="K173" s="514"/>
      <c r="L173" s="514"/>
      <c r="M173" s="514"/>
      <c r="N173" s="514"/>
      <c r="O173" s="514"/>
      <c r="P173" s="514"/>
      <c r="Q173" s="514"/>
      <c r="R173" s="514"/>
      <c r="S173" s="514"/>
      <c r="T173" s="514"/>
      <c r="U173" s="352">
        <f>IF(AND(Kalk4!$AA$5=2,Kalk4!$AA$13),VLOOKUP(F173,Preisliste!C:G,5,FALSE),VLOOKUP(F173,Preisliste!C:G,4,FALSE))</f>
        <v>256.25</v>
      </c>
      <c r="V173" s="352">
        <f t="shared" si="28"/>
        <v>0</v>
      </c>
      <c r="W173" s="86"/>
      <c r="X173" s="86"/>
      <c r="Y173" s="86"/>
      <c r="Z173" s="143">
        <f>IF(AND(Kalk4!$AA$5=2,Kalk4!$AA$13),(VLOOKUP(F173,Preisliste!C:G,5,FALSE)-VLOOKUP(F173,Preisliste!C:G,4,FALSE))*B173,0)</f>
        <v>0</v>
      </c>
      <c r="AA173" s="86"/>
      <c r="AB173" s="86"/>
      <c r="AC173" s="86"/>
      <c r="AD173" s="86"/>
      <c r="AE173" s="86"/>
      <c r="AF173" s="86"/>
      <c r="AG173" s="55">
        <f>IF(AND(AH173=1,AL173=1,AP173=1,AND(Kalk4!H28&gt;0,Kalk4!H29&gt;0)),1,0)</f>
        <v>0</v>
      </c>
      <c r="AH173" s="66">
        <f>IF(OR(Kalk4!$AA$19=2,Kalk4!$AA$19=3),1,0)</f>
        <v>1</v>
      </c>
      <c r="AI173" s="55">
        <v>50</v>
      </c>
      <c r="AK173" s="55" t="s">
        <v>22079</v>
      </c>
      <c r="AL173" s="66">
        <f>IF(OR(OR(Kalk4!$AA$7=2,Kalk4!$AA$7=3),OR(Kalk4!$AA$9=2,Kalk4!$AA$9=3)),1,0)</f>
        <v>0</v>
      </c>
      <c r="AM173" s="55" t="s">
        <v>22092</v>
      </c>
      <c r="AO173" s="55" t="s">
        <v>22079</v>
      </c>
      <c r="AP173" s="66">
        <f>IF(Kalk4!$AI$51=AQ173,1,0)</f>
        <v>0</v>
      </c>
      <c r="AQ173" s="55">
        <v>1750</v>
      </c>
      <c r="AU173" s="66">
        <f>IF(OR(Kalk4!$AA$7=2,Kalk4!$AA$7=3),1,0)</f>
        <v>0</v>
      </c>
      <c r="AV173" s="55" t="s">
        <v>19882</v>
      </c>
      <c r="AW173" s="66">
        <f>IF(OR(Kalk4!$AA$9=2,Kalk4!$AA$9=3),1,0)</f>
        <v>0</v>
      </c>
      <c r="AX173" s="55" t="s">
        <v>20310</v>
      </c>
      <c r="AY173" s="55" t="s">
        <v>22100</v>
      </c>
      <c r="AZ173" s="66">
        <f>(AU173+AW173)*Kalk4!$H$37</f>
        <v>0</v>
      </c>
      <c r="BA173" s="55" t="s">
        <v>22101</v>
      </c>
    </row>
    <row r="174" spans="2:53" ht="24.95" customHeight="1">
      <c r="B174" s="93">
        <f t="shared" si="29"/>
        <v>0</v>
      </c>
      <c r="C174" s="60">
        <v>2150</v>
      </c>
      <c r="D174" s="60"/>
      <c r="E174" s="60" t="str">
        <f>VLOOKUP(1600,Sprachindex!$A:$Z,Erhebungsbogen!$Y$20,FALSE)</f>
        <v>[Stk]</v>
      </c>
      <c r="F174" s="60" t="s">
        <v>21889</v>
      </c>
      <c r="G174" s="514" t="str">
        <f>VLOOKUP(1859,Sprachindex!$A:$Z,Erhebungsbogen!$Y$20,FALSE) &amp; IF(AND(Kalk4!$AA$5=2,Kalk4!$AA$13),", " &amp; VLOOKUP(1645,Sprachindex!$A:$Z,Erhebungsbogen!$Y$20,FALSE) &amp; " " &amp; $U$8,", "&amp; VLOOKUP(1648,Sprachindex!$A:$Z,Erhebungsbogen!$Y$20,FALSE))</f>
        <v>U-Profil 50 exkl. Dichtung, gebohrt und entgratet, blank</v>
      </c>
      <c r="H174" s="514"/>
      <c r="I174" s="514"/>
      <c r="J174" s="514"/>
      <c r="K174" s="514"/>
      <c r="L174" s="514"/>
      <c r="M174" s="514"/>
      <c r="N174" s="514"/>
      <c r="O174" s="514"/>
      <c r="P174" s="514"/>
      <c r="Q174" s="514"/>
      <c r="R174" s="514"/>
      <c r="S174" s="514"/>
      <c r="T174" s="514"/>
      <c r="U174" s="352">
        <f>IF(AND(Kalk4!$AA$5=2,Kalk4!$AA$13),VLOOKUP(F174,Preisliste!C:G,5,FALSE),VLOOKUP(F174,Preisliste!C:G,4,FALSE))</f>
        <v>306.5</v>
      </c>
      <c r="V174" s="352">
        <f t="shared" si="28"/>
        <v>0</v>
      </c>
      <c r="W174" s="86"/>
      <c r="X174" s="86"/>
      <c r="Y174" s="86"/>
      <c r="Z174" s="143">
        <f>IF(AND(Kalk4!$AA$5=2,Kalk4!$AA$13),(VLOOKUP(F174,Preisliste!C:G,5,FALSE)-VLOOKUP(F174,Preisliste!C:G,4,FALSE))*B174,0)</f>
        <v>0</v>
      </c>
      <c r="AA174" s="86"/>
      <c r="AB174" s="86"/>
      <c r="AC174" s="86"/>
      <c r="AD174" s="86"/>
      <c r="AE174" s="86"/>
      <c r="AF174" s="86"/>
      <c r="AG174" s="55">
        <f>IF(AND(AH174=1,AL174=1,AP174=1,AND(Kalk4!H28&gt;0,Kalk4!H29&gt;0)),1,0)</f>
        <v>0</v>
      </c>
      <c r="AH174" s="66">
        <f>IF(OR(Kalk4!$AA$19=2,Kalk4!$AA$19=3),1,0)</f>
        <v>1</v>
      </c>
      <c r="AI174" s="55">
        <v>50</v>
      </c>
      <c r="AK174" s="55" t="s">
        <v>22079</v>
      </c>
      <c r="AL174" s="66">
        <f>IF(OR(OR(Kalk4!$AA$7=2,Kalk4!$AA$7=3),OR(Kalk4!$AA$9=2,Kalk4!$AA$9=3)),1,0)</f>
        <v>0</v>
      </c>
      <c r="AM174" s="55" t="s">
        <v>22092</v>
      </c>
      <c r="AO174" s="55" t="s">
        <v>22079</v>
      </c>
      <c r="AP174" s="66">
        <f>IF(Kalk4!$AI$51=AQ174,1,0)</f>
        <v>0</v>
      </c>
      <c r="AQ174" s="55">
        <v>2150</v>
      </c>
      <c r="AU174" s="66">
        <f>IF(OR(Kalk4!$AA$7=2,Kalk4!$AA$7=3),1,0)</f>
        <v>0</v>
      </c>
      <c r="AV174" s="55" t="s">
        <v>19882</v>
      </c>
      <c r="AW174" s="66">
        <f>IF(OR(Kalk4!$AA$9=2,Kalk4!$AA$9=3),1,0)</f>
        <v>0</v>
      </c>
      <c r="AX174" s="55" t="s">
        <v>20310</v>
      </c>
      <c r="AY174" s="55" t="s">
        <v>22100</v>
      </c>
      <c r="AZ174" s="66">
        <f>(AU174+AW174)*Kalk4!$H$37</f>
        <v>0</v>
      </c>
      <c r="BA174" s="55" t="s">
        <v>22101</v>
      </c>
    </row>
    <row r="175" spans="2:53" ht="24.95" customHeight="1">
      <c r="B175" s="93">
        <f t="shared" si="29"/>
        <v>0</v>
      </c>
      <c r="C175" s="60">
        <f>IF(AG175=1,AS175,0)</f>
        <v>0</v>
      </c>
      <c r="D175" s="60"/>
      <c r="E175" s="60" t="str">
        <f>VLOOKUP(1600,Sprachindex!$A:$Z,Erhebungsbogen!$Y$20,FALSE)</f>
        <v>[Stk]</v>
      </c>
      <c r="F175" s="60" t="s">
        <v>21890</v>
      </c>
      <c r="G175" s="514" t="str">
        <f>VLOOKUP(1860,Sprachindex!$A:$Z,Erhebungsbogen!$Y$20,FALSE)</f>
        <v>U-Profil 50 Sonderlänge exkl. Dichtung, (Stangenware)</v>
      </c>
      <c r="H175" s="514"/>
      <c r="I175" s="514"/>
      <c r="J175" s="514"/>
      <c r="K175" s="514"/>
      <c r="L175" s="514"/>
      <c r="M175" s="514"/>
      <c r="N175" s="514"/>
      <c r="O175" s="514"/>
      <c r="P175" s="514"/>
      <c r="Q175" s="514"/>
      <c r="R175" s="514"/>
      <c r="S175" s="514"/>
      <c r="T175" s="514"/>
      <c r="U175" s="352">
        <f>IF(AND(Kalk4!$AA$5=2,Kalk4!$AA$13),VLOOKUP(F175,Preisliste!C:G,5,FALSE),VLOOKUP(F175,Preisliste!C:G,4,FALSE))</f>
        <v>117.2</v>
      </c>
      <c r="V175" s="352">
        <f t="shared" si="28"/>
        <v>0</v>
      </c>
      <c r="W175" s="86"/>
      <c r="X175" s="86"/>
      <c r="Y175" s="86"/>
      <c r="Z175" s="143">
        <f>IF(AND(Kalk4!$AA$5=2,Kalk4!$AA$13),(VLOOKUP(F175,Preisliste!C:G,5,FALSE)-VLOOKUP(F175,Preisliste!C:G,4,FALSE))*B175,0)</f>
        <v>0</v>
      </c>
      <c r="AA175" s="86"/>
      <c r="AB175" s="86"/>
      <c r="AC175" s="86"/>
      <c r="AD175" s="86"/>
      <c r="AE175" s="86"/>
      <c r="AF175" s="86"/>
      <c r="AG175" s="55">
        <f>IF(AND(AH175=1,AL175=1,AP175=1,AND(Kalk4!H28&gt;0,Kalk4!H29&gt;0)),1,0)</f>
        <v>0</v>
      </c>
      <c r="AH175" s="66">
        <f>IF(OR(Kalk4!$AA$19=2,Kalk4!$AA$19=3),1,0)</f>
        <v>1</v>
      </c>
      <c r="AI175" s="55">
        <v>50</v>
      </c>
      <c r="AK175" s="55" t="s">
        <v>22079</v>
      </c>
      <c r="AL175" s="66">
        <f>IF(OR(OR(Kalk4!$AA$7=2,Kalk4!$AA$7=3),OR(Kalk4!$AA$9=2,Kalk4!$AA$9=3)),1,0)</f>
        <v>0</v>
      </c>
      <c r="AM175" s="55" t="s">
        <v>22092</v>
      </c>
      <c r="AO175" s="55" t="s">
        <v>22079</v>
      </c>
      <c r="AP175" s="66">
        <f>IF(Kalk4!$AH$52&gt;AQ175,1,0)</f>
        <v>0</v>
      </c>
      <c r="AQ175" s="55">
        <v>2150</v>
      </c>
      <c r="AR175" s="55" t="s">
        <v>22084</v>
      </c>
      <c r="AS175" s="66">
        <f>Kalk4!$AH$52</f>
        <v>0</v>
      </c>
      <c r="AU175" s="66">
        <f>IF(OR(Kalk4!$AA$7=2,Kalk4!$AA$7=3),1,0)</f>
        <v>0</v>
      </c>
      <c r="AV175" s="55" t="s">
        <v>19882</v>
      </c>
      <c r="AW175" s="66">
        <f>IF(OR(Kalk4!$AA$9=2,Kalk4!$AA$9=3),1,0)</f>
        <v>0</v>
      </c>
      <c r="AX175" s="55" t="s">
        <v>20310</v>
      </c>
      <c r="AY175" s="55" t="s">
        <v>22100</v>
      </c>
      <c r="AZ175" s="66">
        <f>(AU175+AW175)*Kalk4!$H$37</f>
        <v>0</v>
      </c>
      <c r="BA175" s="55" t="s">
        <v>22101</v>
      </c>
    </row>
    <row r="176" spans="2:53" ht="24.95" customHeight="1">
      <c r="B176" s="93">
        <f t="shared" si="29"/>
        <v>0</v>
      </c>
      <c r="C176" s="60">
        <v>750</v>
      </c>
      <c r="D176" s="60"/>
      <c r="E176" s="60" t="str">
        <f>VLOOKUP(1600,Sprachindex!$A:$Z,Erhebungsbogen!$Y$20,FALSE)</f>
        <v>[Stk]</v>
      </c>
      <c r="F176" s="60" t="s">
        <v>21891</v>
      </c>
      <c r="G176" s="514" t="str">
        <f>VLOOKUP(1861,Sprachindex!$A:$Z,Erhebungsbogen!$Y$20,FALSE) &amp; IF(AND(Kalk4!$AA$5=2,Kalk4!$AA$13),", " &amp; VLOOKUP(1645,Sprachindex!$A:$Z,Erhebungsbogen!$Y$20,FALSE) &amp; " " &amp; $U$8,", "&amp; VLOOKUP(1648,Sprachindex!$A:$Z,Erhebungsbogen!$Y$20,FALSE))</f>
        <v>U-Profil 80 exkl. Dichtung, gebohrt und entgratet, blank</v>
      </c>
      <c r="H176" s="514"/>
      <c r="I176" s="514"/>
      <c r="J176" s="514"/>
      <c r="K176" s="514"/>
      <c r="L176" s="514"/>
      <c r="M176" s="514"/>
      <c r="N176" s="514"/>
      <c r="O176" s="514"/>
      <c r="P176" s="514"/>
      <c r="Q176" s="514"/>
      <c r="R176" s="514"/>
      <c r="S176" s="514"/>
      <c r="T176" s="514"/>
      <c r="U176" s="352">
        <f>IF(AND(Kalk4!$AA$5=2,Kalk4!$AA$13),VLOOKUP(F176,Preisliste!C:G,5,FALSE),VLOOKUP(F176,Preisliste!C:G,4,FALSE))</f>
        <v>153.25</v>
      </c>
      <c r="V176" s="352">
        <f t="shared" si="28"/>
        <v>0</v>
      </c>
      <c r="W176" s="86"/>
      <c r="X176" s="86"/>
      <c r="Y176" s="86"/>
      <c r="Z176" s="143">
        <f>IF(AND(Kalk4!$AA$5=2,Kalk4!$AA$13),(VLOOKUP(F176,Preisliste!C:G,5,FALSE)-VLOOKUP(F176,Preisliste!C:G,4,FALSE))*B176,0)</f>
        <v>0</v>
      </c>
      <c r="AA176" s="86"/>
      <c r="AB176" s="86"/>
      <c r="AC176" s="86"/>
      <c r="AD176" s="86"/>
      <c r="AE176" s="86"/>
      <c r="AF176" s="86"/>
      <c r="AG176" s="55">
        <f>IF(AND(AH176=1,AL176=1,AP176=1,AND(Kalk4!H28&gt;0,Kalk4!H29&gt;0)),1,0)</f>
        <v>0</v>
      </c>
      <c r="AH176" s="66">
        <f>IF(Kalk4!$AA$19=4,1,0)</f>
        <v>0</v>
      </c>
      <c r="AI176" s="55">
        <v>80</v>
      </c>
      <c r="AK176" s="55" t="s">
        <v>22079</v>
      </c>
      <c r="AL176" s="66">
        <f>IF(OR(OR(Kalk4!$AA$7=2,Kalk4!$AA$7=3),OR(Kalk4!$AA$9=2,Kalk4!$AA$9=3)),1,0)</f>
        <v>0</v>
      </c>
      <c r="AM176" s="55" t="s">
        <v>22092</v>
      </c>
      <c r="AO176" s="55" t="s">
        <v>22079</v>
      </c>
      <c r="AP176" s="66">
        <f>IF(Kalk4!$AI$51=AQ176,1,0)</f>
        <v>1</v>
      </c>
      <c r="AQ176" s="55">
        <v>750</v>
      </c>
      <c r="AU176" s="66">
        <f>IF(OR(Kalk4!$AA$7=2,Kalk4!$AA$7=3),1,0)</f>
        <v>0</v>
      </c>
      <c r="AV176" s="55" t="s">
        <v>19882</v>
      </c>
      <c r="AW176" s="66">
        <f>IF(OR(Kalk4!$AA$9=2,Kalk4!$AA$9=3),1,0)</f>
        <v>0</v>
      </c>
      <c r="AX176" s="55" t="s">
        <v>20310</v>
      </c>
      <c r="AY176" s="55" t="s">
        <v>22100</v>
      </c>
      <c r="AZ176" s="66">
        <f>(AU176+AW176)*Kalk4!$H$37</f>
        <v>0</v>
      </c>
      <c r="BA176" s="55" t="s">
        <v>22101</v>
      </c>
    </row>
    <row r="177" spans="2:53" ht="24.95" customHeight="1">
      <c r="B177" s="93">
        <f t="shared" si="29"/>
        <v>0</v>
      </c>
      <c r="C177" s="60">
        <v>1350</v>
      </c>
      <c r="D177" s="60"/>
      <c r="E177" s="60" t="str">
        <f>VLOOKUP(1600,Sprachindex!$A:$Z,Erhebungsbogen!$Y$20,FALSE)</f>
        <v>[Stk]</v>
      </c>
      <c r="F177" s="60" t="s">
        <v>21892</v>
      </c>
      <c r="G177" s="514" t="str">
        <f>VLOOKUP(1861,Sprachindex!$A:$Z,Erhebungsbogen!$Y$20,FALSE) &amp; IF(AND(Kalk4!$AA$5=2,Kalk4!$AA$13),", " &amp; VLOOKUP(1645,Sprachindex!$A:$Z,Erhebungsbogen!$Y$20,FALSE) &amp; " " &amp; $U$8,", "&amp; VLOOKUP(1648,Sprachindex!$A:$Z,Erhebungsbogen!$Y$20,FALSE))</f>
        <v>U-Profil 80 exkl. Dichtung, gebohrt und entgratet, blank</v>
      </c>
      <c r="H177" s="514"/>
      <c r="I177" s="514"/>
      <c r="J177" s="514"/>
      <c r="K177" s="514"/>
      <c r="L177" s="514"/>
      <c r="M177" s="514"/>
      <c r="N177" s="514"/>
      <c r="O177" s="514"/>
      <c r="P177" s="514"/>
      <c r="Q177" s="514"/>
      <c r="R177" s="514"/>
      <c r="S177" s="514"/>
      <c r="T177" s="514"/>
      <c r="U177" s="352">
        <f>IF(AND(Kalk4!$AA$5=2,Kalk4!$AA$13),VLOOKUP(F177,Preisliste!C:G,5,FALSE),VLOOKUP(F177,Preisliste!C:G,4,FALSE))</f>
        <v>239.85</v>
      </c>
      <c r="V177" s="352">
        <f t="shared" si="28"/>
        <v>0</v>
      </c>
      <c r="W177" s="86"/>
      <c r="X177" s="86"/>
      <c r="Y177" s="86"/>
      <c r="Z177" s="143">
        <f>IF(AND(Kalk4!$AA$5=2,Kalk4!$AA$13),(VLOOKUP(F177,Preisliste!C:G,5,FALSE)-VLOOKUP(F177,Preisliste!C:G,4,FALSE))*B177,0)</f>
        <v>0</v>
      </c>
      <c r="AA177" s="86"/>
      <c r="AB177" s="86"/>
      <c r="AC177" s="86"/>
      <c r="AD177" s="86"/>
      <c r="AE177" s="86"/>
      <c r="AF177" s="86"/>
      <c r="AG177" s="55">
        <f>IF(AND(AH177=1,AL177=1,AP177=1,AND(Kalk4!H28&gt;0,Kalk4!H29&gt;0)),1,0)</f>
        <v>0</v>
      </c>
      <c r="AH177" s="66">
        <f>IF(Kalk4!$AA$19=4,1,0)</f>
        <v>0</v>
      </c>
      <c r="AI177" s="55">
        <v>80</v>
      </c>
      <c r="AK177" s="55" t="s">
        <v>22079</v>
      </c>
      <c r="AL177" s="66">
        <f>IF(OR(OR(Kalk4!$AA$7=2,Kalk4!$AA$7=3),OR(Kalk4!$AA$9=2,Kalk4!$AA$9=3)),1,0)</f>
        <v>0</v>
      </c>
      <c r="AM177" s="55" t="s">
        <v>22092</v>
      </c>
      <c r="AO177" s="55" t="s">
        <v>22079</v>
      </c>
      <c r="AP177" s="66">
        <f>IF(Kalk4!$AI$51=AQ177,1,0)</f>
        <v>0</v>
      </c>
      <c r="AQ177" s="55">
        <v>1350</v>
      </c>
      <c r="AU177" s="66">
        <f>IF(OR(Kalk4!$AA$7=2,Kalk4!$AA$7=3),1,0)</f>
        <v>0</v>
      </c>
      <c r="AV177" s="55" t="s">
        <v>19882</v>
      </c>
      <c r="AW177" s="66">
        <f>IF(OR(Kalk4!$AA$9=2,Kalk4!$AA$9=3),1,0)</f>
        <v>0</v>
      </c>
      <c r="AX177" s="55" t="s">
        <v>20310</v>
      </c>
      <c r="AY177" s="55" t="s">
        <v>22100</v>
      </c>
      <c r="AZ177" s="66">
        <f>(AU177+AW177)*Kalk4!$H$37</f>
        <v>0</v>
      </c>
      <c r="BA177" s="55" t="s">
        <v>22101</v>
      </c>
    </row>
    <row r="178" spans="2:53" ht="24.95" customHeight="1">
      <c r="B178" s="93">
        <f t="shared" si="29"/>
        <v>0</v>
      </c>
      <c r="C178" s="60">
        <v>1750</v>
      </c>
      <c r="D178" s="60"/>
      <c r="E178" s="60" t="str">
        <f>VLOOKUP(1600,Sprachindex!$A:$Z,Erhebungsbogen!$Y$20,FALSE)</f>
        <v>[Stk]</v>
      </c>
      <c r="F178" s="60" t="s">
        <v>21893</v>
      </c>
      <c r="G178" s="514" t="str">
        <f>VLOOKUP(1861,Sprachindex!$A:$Z,Erhebungsbogen!$Y$20,FALSE) &amp; IF(AND(Kalk4!$AA$5=2,Kalk4!$AA$13),", " &amp; VLOOKUP(1645,Sprachindex!$A:$Z,Erhebungsbogen!$Y$20,FALSE) &amp; " " &amp; $U$8,", "&amp; VLOOKUP(1648,Sprachindex!$A:$Z,Erhebungsbogen!$Y$20,FALSE))</f>
        <v>U-Profil 80 exkl. Dichtung, gebohrt und entgratet, blank</v>
      </c>
      <c r="H178" s="514"/>
      <c r="I178" s="514"/>
      <c r="J178" s="514"/>
      <c r="K178" s="514"/>
      <c r="L178" s="514"/>
      <c r="M178" s="514"/>
      <c r="N178" s="514"/>
      <c r="O178" s="514"/>
      <c r="P178" s="514"/>
      <c r="Q178" s="514"/>
      <c r="R178" s="514"/>
      <c r="S178" s="514"/>
      <c r="T178" s="514"/>
      <c r="U178" s="352">
        <f>IF(AND(Kalk4!$AA$5=2,Kalk4!$AA$13),VLOOKUP(F178,Preisliste!C:G,5,FALSE),VLOOKUP(F178,Preisliste!C:G,4,FALSE))</f>
        <v>298.89999999999998</v>
      </c>
      <c r="V178" s="352">
        <f t="shared" si="28"/>
        <v>0</v>
      </c>
      <c r="W178" s="86"/>
      <c r="X178" s="86"/>
      <c r="Y178" s="86"/>
      <c r="Z178" s="143">
        <f>IF(AND(Kalk4!$AA$5=2,Kalk4!$AA$13),(VLOOKUP(F178,Preisliste!C:G,5,FALSE)-VLOOKUP(F178,Preisliste!C:G,4,FALSE))*B178,0)</f>
        <v>0</v>
      </c>
      <c r="AA178" s="86"/>
      <c r="AB178" s="86"/>
      <c r="AC178" s="86"/>
      <c r="AD178" s="86"/>
      <c r="AE178" s="86"/>
      <c r="AF178" s="86"/>
      <c r="AG178" s="55">
        <f>IF(AND(AH178=1,AL178=1,AP178=1,AND(Kalk4!H28&gt;0,Kalk4!H29&gt;0)),1,0)</f>
        <v>0</v>
      </c>
      <c r="AH178" s="66">
        <f>IF(Kalk4!$AA$19=4,1,0)</f>
        <v>0</v>
      </c>
      <c r="AI178" s="55">
        <v>80</v>
      </c>
      <c r="AK178" s="55" t="s">
        <v>22079</v>
      </c>
      <c r="AL178" s="66">
        <f>IF(OR(OR(Kalk4!$AA$7=2,Kalk4!$AA$7=3),OR(Kalk4!$AA$9=2,Kalk4!$AA$9=3)),1,0)</f>
        <v>0</v>
      </c>
      <c r="AM178" s="55" t="s">
        <v>22092</v>
      </c>
      <c r="AO178" s="55" t="s">
        <v>22079</v>
      </c>
      <c r="AP178" s="66">
        <f>IF(Kalk4!$AI$51=AQ178,1,0)</f>
        <v>0</v>
      </c>
      <c r="AQ178" s="55">
        <v>1750</v>
      </c>
      <c r="AU178" s="66">
        <f>IF(OR(Kalk4!$AA$7=2,Kalk4!$AA$7=3),1,0)</f>
        <v>0</v>
      </c>
      <c r="AV178" s="55" t="s">
        <v>19882</v>
      </c>
      <c r="AW178" s="66">
        <f>IF(OR(Kalk4!$AA$9=2,Kalk4!$AA$9=3),1,0)</f>
        <v>0</v>
      </c>
      <c r="AX178" s="55" t="s">
        <v>20310</v>
      </c>
      <c r="AY178" s="55" t="s">
        <v>22100</v>
      </c>
      <c r="AZ178" s="66">
        <f>(AU178+AW178)*Kalk4!$H$37</f>
        <v>0</v>
      </c>
      <c r="BA178" s="55" t="s">
        <v>22101</v>
      </c>
    </row>
    <row r="179" spans="2:53" ht="24.95" customHeight="1">
      <c r="B179" s="93">
        <f t="shared" si="29"/>
        <v>0</v>
      </c>
      <c r="C179" s="60">
        <v>2150</v>
      </c>
      <c r="D179" s="60"/>
      <c r="E179" s="60" t="str">
        <f>VLOOKUP(1600,Sprachindex!$A:$Z,Erhebungsbogen!$Y$20,FALSE)</f>
        <v>[Stk]</v>
      </c>
      <c r="F179" s="60" t="s">
        <v>21894</v>
      </c>
      <c r="G179" s="514" t="str">
        <f>VLOOKUP(1861,Sprachindex!$A:$Z,Erhebungsbogen!$Y$20,FALSE) &amp; IF(AND(Kalk4!$AA$5=2,Kalk4!$AA$13),", " &amp; VLOOKUP(1645,Sprachindex!$A:$Z,Erhebungsbogen!$Y$20,FALSE) &amp; " " &amp; $U$8,", "&amp; VLOOKUP(1648,Sprachindex!$A:$Z,Erhebungsbogen!$Y$20,FALSE))</f>
        <v>U-Profil 80 exkl. Dichtung, gebohrt und entgratet, blank</v>
      </c>
      <c r="H179" s="514"/>
      <c r="I179" s="514"/>
      <c r="J179" s="514"/>
      <c r="K179" s="514"/>
      <c r="L179" s="514"/>
      <c r="M179" s="514"/>
      <c r="N179" s="514"/>
      <c r="O179" s="514"/>
      <c r="P179" s="514"/>
      <c r="Q179" s="514"/>
      <c r="R179" s="514"/>
      <c r="S179" s="514"/>
      <c r="T179" s="514"/>
      <c r="U179" s="352">
        <f>IF(AND(Kalk4!$AA$5=2,Kalk4!$AA$13),VLOOKUP(F179,Preisliste!C:G,5,FALSE),VLOOKUP(F179,Preisliste!C:G,4,FALSE))</f>
        <v>359</v>
      </c>
      <c r="V179" s="352">
        <f t="shared" si="28"/>
        <v>0</v>
      </c>
      <c r="W179" s="86"/>
      <c r="X179" s="86"/>
      <c r="Y179" s="86"/>
      <c r="Z179" s="143">
        <f>IF(AND(Kalk4!$AA$5=2,Kalk4!$AA$13),(VLOOKUP(F179,Preisliste!C:G,5,FALSE)-VLOOKUP(F179,Preisliste!C:G,4,FALSE))*B179,0)</f>
        <v>0</v>
      </c>
      <c r="AA179" s="86"/>
      <c r="AB179" s="86"/>
      <c r="AC179" s="86"/>
      <c r="AD179" s="86"/>
      <c r="AE179" s="86"/>
      <c r="AF179" s="86"/>
      <c r="AG179" s="55">
        <f>IF(AND(AH179=1,AL179=1,AP179=1,AND(Kalk4!H28&gt;0,Kalk4!H29&gt;0)),1,0)</f>
        <v>0</v>
      </c>
      <c r="AH179" s="66">
        <f>IF(Kalk4!$AA$19=4,1,0)</f>
        <v>0</v>
      </c>
      <c r="AI179" s="55">
        <v>80</v>
      </c>
      <c r="AK179" s="55" t="s">
        <v>22079</v>
      </c>
      <c r="AL179" s="66">
        <f>IF(OR(OR(Kalk4!$AA$7=2,Kalk4!$AA$7=3),OR(Kalk4!$AA$9=2,Kalk4!$AA$9=3)),1,0)</f>
        <v>0</v>
      </c>
      <c r="AM179" s="55" t="s">
        <v>22092</v>
      </c>
      <c r="AO179" s="55" t="s">
        <v>22079</v>
      </c>
      <c r="AP179" s="66">
        <f>IF(Kalk4!$AI$51=AQ179,1,0)</f>
        <v>0</v>
      </c>
      <c r="AQ179" s="55">
        <v>2150</v>
      </c>
      <c r="AU179" s="66">
        <f>IF(OR(Kalk4!$AA$7=2,Kalk4!$AA$7=3),1,0)</f>
        <v>0</v>
      </c>
      <c r="AV179" s="55" t="s">
        <v>19882</v>
      </c>
      <c r="AW179" s="66">
        <f>IF(OR(Kalk4!$AA$9=2,Kalk4!$AA$9=3),1,0)</f>
        <v>0</v>
      </c>
      <c r="AX179" s="55" t="s">
        <v>20310</v>
      </c>
      <c r="AY179" s="55" t="s">
        <v>22100</v>
      </c>
      <c r="AZ179" s="66">
        <f>(AU179+AW179)*Kalk4!$H$37</f>
        <v>0</v>
      </c>
      <c r="BA179" s="55" t="s">
        <v>22101</v>
      </c>
    </row>
    <row r="180" spans="2:53" ht="24.95" customHeight="1">
      <c r="B180" s="93">
        <f t="shared" si="29"/>
        <v>0</v>
      </c>
      <c r="C180" s="60">
        <f>IF(AG180=1,AS180,0)</f>
        <v>0</v>
      </c>
      <c r="D180" s="60"/>
      <c r="E180" s="60" t="str">
        <f>VLOOKUP(1600,Sprachindex!$A:$Z,Erhebungsbogen!$Y$20,FALSE)</f>
        <v>[Stk]</v>
      </c>
      <c r="F180" s="60" t="s">
        <v>21895</v>
      </c>
      <c r="G180" s="514" t="str">
        <f>VLOOKUP(1862,Sprachindex!$A:$Z,Erhebungsbogen!$Y$20,FALSE)</f>
        <v>U-Profil 80 Sonderlänge exkl. Dichtung, (Stangenware)</v>
      </c>
      <c r="H180" s="514"/>
      <c r="I180" s="514"/>
      <c r="J180" s="514"/>
      <c r="K180" s="514"/>
      <c r="L180" s="514"/>
      <c r="M180" s="514"/>
      <c r="N180" s="514"/>
      <c r="O180" s="514"/>
      <c r="P180" s="514"/>
      <c r="Q180" s="514"/>
      <c r="R180" s="514"/>
      <c r="S180" s="514"/>
      <c r="T180" s="514"/>
      <c r="U180" s="352">
        <f>IF(AND(Kalk4!$AA$5=2,Kalk4!$AA$13),VLOOKUP(F180,Preisliste!C:G,5,FALSE),VLOOKUP(F180,Preisliste!C:G,4,FALSE))</f>
        <v>141.35</v>
      </c>
      <c r="V180" s="352">
        <f t="shared" si="28"/>
        <v>0</v>
      </c>
      <c r="W180" s="86"/>
      <c r="X180" s="86"/>
      <c r="Y180" s="86"/>
      <c r="Z180" s="143">
        <f>IF(AND(Kalk4!$AA$5=2,Kalk4!$AA$13),(VLOOKUP(F180,Preisliste!C:G,5,FALSE)-VLOOKUP(F180,Preisliste!C:G,4,FALSE))*B180,0)</f>
        <v>0</v>
      </c>
      <c r="AA180" s="86"/>
      <c r="AB180" s="86"/>
      <c r="AC180" s="86"/>
      <c r="AD180" s="86"/>
      <c r="AE180" s="86"/>
      <c r="AF180" s="86"/>
      <c r="AG180" s="55">
        <f>IF(AND(AH180=1,AL180=1,AP180=1,AND(Kalk4!H28&gt;0,Kalk4!H29&gt;0)),1,0)</f>
        <v>0</v>
      </c>
      <c r="AH180" s="66">
        <f>IF(Kalk4!$AA$19=4,1,0)</f>
        <v>0</v>
      </c>
      <c r="AI180" s="55">
        <v>80</v>
      </c>
      <c r="AK180" s="55" t="s">
        <v>22079</v>
      </c>
      <c r="AL180" s="66">
        <f>IF(OR(OR(Kalk4!$AA$7=2,Kalk4!$AA$7=3),OR(Kalk4!$AA$9=2,Kalk4!$AA$9=3)),1,0)</f>
        <v>0</v>
      </c>
      <c r="AM180" s="55" t="s">
        <v>22092</v>
      </c>
      <c r="AO180" s="55" t="s">
        <v>22079</v>
      </c>
      <c r="AP180" s="66">
        <f>IF(Kalk4!$AH$52&gt;AQ180,1,0)</f>
        <v>0</v>
      </c>
      <c r="AQ180" s="55">
        <v>2150</v>
      </c>
      <c r="AR180" s="55" t="s">
        <v>22084</v>
      </c>
      <c r="AS180" s="66">
        <f>Kalk4!$AH$52</f>
        <v>0</v>
      </c>
      <c r="AU180" s="66">
        <f>IF(OR(Kalk4!$AA$7=2,Kalk4!$AA$7=3),1,0)</f>
        <v>0</v>
      </c>
      <c r="AV180" s="55" t="s">
        <v>19882</v>
      </c>
      <c r="AW180" s="66">
        <f>IF(OR(Kalk4!$AA$9=2,Kalk4!$AA$9=3),1,0)</f>
        <v>0</v>
      </c>
      <c r="AX180" s="55" t="s">
        <v>20310</v>
      </c>
      <c r="AY180" s="55" t="s">
        <v>22100</v>
      </c>
      <c r="AZ180" s="66">
        <f>(AU180+AW180)*Kalk4!$H$37</f>
        <v>0</v>
      </c>
      <c r="BA180" s="55" t="s">
        <v>22101</v>
      </c>
    </row>
    <row r="181" spans="2:53">
      <c r="B181" s="91">
        <v>1</v>
      </c>
      <c r="R181" s="56"/>
      <c r="U181" s="56" t="str">
        <f>IF(AND(AB16=1,OR(AB17=1,AB18&gt;=300),AB19&gt;=Preisliste!G176,X19=0),AA181,AB181)</f>
        <v>Summe</v>
      </c>
      <c r="V181" s="355">
        <f>AB19</f>
        <v>0</v>
      </c>
      <c r="AA181" s="55" t="str">
        <f>VLOOKUP(1700,Sprachindex!$A:$Z,Erhebungsbogen!$Y$20,FALSE)</f>
        <v>Endsumme exkl. MwSt.</v>
      </c>
      <c r="AB181" s="55" t="str">
        <f>VLOOKUP(1491,Sprachindex!$A:$Z,Erhebungsbogen!$Y$20,FALSE)</f>
        <v>Summe</v>
      </c>
    </row>
    <row r="182" spans="2:53">
      <c r="B182" s="91">
        <v>1</v>
      </c>
      <c r="R182" s="56"/>
      <c r="U182" s="56" t="str">
        <f>IF(U181=AB181,IF(X19&lt;&gt;0,AA182,IF(AB19&lt;Preisliste!G176,AB182,IF(AND(AB17=2,AJ206&lt;Preisliste!G171),AC182,IF(AB16=2,AD182,0)))),"")</f>
        <v>Rabatt -10 %</v>
      </c>
      <c r="V182" s="355">
        <f>IF(U182=AA182,V181/100*X19,IF(U182=AB182,Preisliste!G175,IF(U182=AC182,Preisliste!G170,IF(U182=AD182,V181/100*Haftungsausschluß!M43,""))))</f>
        <v>0</v>
      </c>
      <c r="AA182" s="55" t="str">
        <f>VLOOKUP(1790,Sprachindex!$A:$Z,Erhebungsbogen!$Y$20,FALSE) &amp; " " &amp; X19 &amp;" %"</f>
        <v>Rabatt -10 %</v>
      </c>
      <c r="AB182" s="55" t="str">
        <f>VLOOKUP(1713,Sprachindex!$A:$Z,Erhebungsbogen!$Y$20,FALSE)</f>
        <v>Frachtkosten</v>
      </c>
      <c r="AC182" s="55" t="str">
        <f>VLOOKUP(2150,Sprachindex!$A:$Z,Erhebungsbogen!$Y$20,FALSE)</f>
        <v>Beschichtungspauschale</v>
      </c>
      <c r="AD182" s="55" t="str">
        <f>"+ " &amp;Haftungsausschluß!M43&amp; " % " &amp; VLOOKUP(2116,Sprachindex!$A:$Z,Erhebungsbogen!$Y$20,FALSE)</f>
        <v>+ 8.1 % MwSt.</v>
      </c>
    </row>
    <row r="183" spans="2:53">
      <c r="B183" s="91">
        <v>1</v>
      </c>
      <c r="R183" s="56"/>
      <c r="U183" s="144" t="str">
        <f>IF(AND(AB16=1,AND(AB17=2,AB18&lt;Preisliste!G171),U182&lt;&gt;AC182),AC183,IF(AND(AB16=1,AB19&lt;Preisliste!G176,U182&lt;&gt;AB182),AB183,IF(AND(AB16=1,OR(U182=AA182,U182=AB182,U182=AC182)),AA183,IF(AND(U182=AD182,AB16=2),AF183,IF(OR(AND(AB19&lt;Preisliste!G176,X19=0,OR(AB17=1,AND(AB17=2,AB18&gt;Preisliste!G171)))),AE183,IF(OR(AND(AB19&gt;=Preisliste!G176,X19&lt;&gt;0,OR(AB17=1,AND(AB17=2,AB18&gt;Preisliste!G171)))),AE183,IF(OR(AND(AB19&gt;=Preisliste!G176,X19=0,AND(AB17=2,AB18&lt;Preisliste!G171))),AE183,IF(OR(AND(AB19&gt;=Preisliste!G176,X19&lt;&gt;0,AND(AB17=2,AB18&lt;Preisliste!G171))),AC183,IF(OR(AND(AB18&lt;Preisliste!G176,X19&lt;&gt;0,OR(AB17=1,AND(AB17=2,AB18&gt;Preisliste!G171)))),AB183,IF(OR(AND(AB19&lt;Preisliste!G176,X19&lt;&gt;0,AND(AB17=2,AB18&lt;Preisliste!G171))),AC183,IF(OR(AND(AB19&lt;Preisliste!G176,X19=0,AND(AB17=2,AB18&lt;Preisliste!G171))),AC183,"")))))))))))</f>
        <v>Frachtkosten</v>
      </c>
      <c r="V183" s="355">
        <f>IF(U183=AA183,V181+V182,IF(U183=AC183,Preisliste!G170,IF(U183=AB183,Preisliste!G175,IF(U183=AD183,(V181+V182)/100*Haftungsausschluß!M43,IF(U183=AF183,V181+V182,IF(U183=AE183,V181+V182,""))))))</f>
        <v>200</v>
      </c>
      <c r="AA183" s="55" t="str">
        <f>VLOOKUP(1700,Sprachindex!$A:$Z,Erhebungsbogen!$Y$20,FALSE)</f>
        <v>Endsumme exkl. MwSt.</v>
      </c>
      <c r="AB183" s="55" t="str">
        <f>VLOOKUP(1713,Sprachindex!$A:$Z,Erhebungsbogen!$Y$20,FALSE)</f>
        <v>Frachtkosten</v>
      </c>
      <c r="AC183" s="55" t="str">
        <f>VLOOKUP(2150,Sprachindex!$A:$Z,Erhebungsbogen!$Y$20,FALSE)</f>
        <v>Beschichtungspauschale</v>
      </c>
      <c r="AD183" s="55" t="str">
        <f>"+ " &amp;Haftungsausschluß!M43&amp; " % " &amp; VLOOKUP(2116,Sprachindex!$A:$Z,Erhebungsbogen!$Y$20,FALSE)</f>
        <v>+ 8.1 % MwSt.</v>
      </c>
      <c r="AE183" s="55" t="str">
        <f>VLOOKUP(1873,Sprachindex!$A:$Z,Erhebungsbogen!$Y$20,FALSE)</f>
        <v>Zwischensumme</v>
      </c>
      <c r="AF183" s="55" t="str">
        <f>VLOOKUP(1701,Sprachindex!$A:$Z,Erhebungsbogen!$Y$20,FALSE)</f>
        <v>Endsumme inkl. MwSt.</v>
      </c>
    </row>
    <row r="184" spans="2:53">
      <c r="B184" s="91">
        <v>1</v>
      </c>
      <c r="R184" s="56"/>
      <c r="U184" s="56" t="str">
        <f>IF(AND(X19&lt;&gt;0,AND(AB17=2,AB18&lt;Preisliste!G171),AB19&lt;Preisliste!G176),AB184,IF(AND(AB16=1,OR(U183=AC183,U183=AB183)),AA184,IF(U183=AD183,AE184,IF(AND(U183=AC183,AB19&gt;=Preisliste!G176),AC184,IF(OR(AND(AB19&lt;Preisliste!G176,X19&lt;&gt;0,OR(AB17=1,AND(AB17=2,AB18&gt;Preisliste!G171)))),AE183,IF(OR(AND(AB19&lt;Preisliste!G176,X19=0,AND(AB17=2,AB18&lt;Preisliste!G171))),AE183,IF(U183=AE183,AC184,IF(AND(U182=AA182,U183=AC183),AD184,""))))))))</f>
        <v>Endsumme exkl. MwSt.</v>
      </c>
      <c r="V184" s="355">
        <f>IF(U184=AA184,V181+V182+V183,IF(U184=AB184,Preisliste!G175,IF(U184=AE184,V181+V182+V183,IF(AND(U184=AC184,U183=AC183),(V181+V182+V183)/100*Haftungsausschluß!M43,IF(U184=AD184,V181+V182+V183,IF(AND(U184=AC184,U183=AE183),V183/100*Haftungsausschluß!M43,""))))))</f>
        <v>200</v>
      </c>
      <c r="AA184" s="55" t="str">
        <f>VLOOKUP(1700,Sprachindex!$A:$Z,Erhebungsbogen!$Y$20,FALSE)</f>
        <v>Endsumme exkl. MwSt.</v>
      </c>
      <c r="AB184" s="55" t="str">
        <f>VLOOKUP(1713,Sprachindex!$A:$Z,Erhebungsbogen!$Y$20,FALSE)</f>
        <v>Frachtkosten</v>
      </c>
      <c r="AC184" s="55" t="str">
        <f>"+ " &amp;Haftungsausschluß!M43&amp; " % " &amp; VLOOKUP(2116,Sprachindex!$A:$Z,Erhebungsbogen!$Y$20,FALSE)</f>
        <v>+ 8.1 % MwSt.</v>
      </c>
      <c r="AD184" s="55" t="str">
        <f>VLOOKUP(1873,Sprachindex!$A:$Z,Erhebungsbogen!$Y$20,FALSE)</f>
        <v>Zwischensumme</v>
      </c>
      <c r="AE184" s="55" t="str">
        <f>VLOOKUP(1701,Sprachindex!$A:$Z,Erhebungsbogen!$Y$20,FALSE)</f>
        <v>Endsumme inkl. MwSt.</v>
      </c>
    </row>
    <row r="185" spans="2:53">
      <c r="B185" s="91">
        <v>1</v>
      </c>
      <c r="R185" s="56"/>
      <c r="U185" s="56" t="str">
        <f>IF(AND(AB16=1,U184=AB183),AA184,IF(U184=AC184,AD185,IF(OR(AND(AB19&lt;Preisliste!G176,X19&lt;&gt;0,AND(AB17=2,AB18&lt;Preisliste!G171))),AC185,IF(U184=AD184,AB185,""))))</f>
        <v/>
      </c>
      <c r="V185" s="355" t="str">
        <f>IF(U185=AA185,V181+V182+V183+V184,IF(AND(U185=AD185,U183=AC183),V181+V182+V183+V184,IF(U185=AB185,V184/100*Haftungsausschluß!M43,IF(U185=AC185,V181+V182+V183+V184,IF(AND(U185=AD185,U183=AE183),V183+V184,"")))))</f>
        <v/>
      </c>
      <c r="AA185" s="55" t="str">
        <f>VLOOKUP(1700,Sprachindex!$A:$Z,Erhebungsbogen!$Y$20,FALSE)</f>
        <v>Endsumme exkl. MwSt.</v>
      </c>
      <c r="AB185" s="55" t="str">
        <f>"+ " &amp;Haftungsausschluß!M43&amp; " % " &amp; VLOOKUP(2116,Sprachindex!$A:$Z,Erhebungsbogen!$Y$20,FALSE)</f>
        <v>+ 8.1 % MwSt.</v>
      </c>
      <c r="AC185" s="55" t="str">
        <f>VLOOKUP(1873,Sprachindex!$A:$Z,Erhebungsbogen!$Y$20,FALSE)</f>
        <v>Zwischensumme</v>
      </c>
      <c r="AD185" s="55" t="str">
        <f>VLOOKUP(1701,Sprachindex!$A:$Z,Erhebungsbogen!$Y$20,FALSE)</f>
        <v>Endsumme inkl. MwSt.</v>
      </c>
    </row>
    <row r="186" spans="2:53">
      <c r="B186" s="91">
        <v>1</v>
      </c>
      <c r="R186" s="56"/>
      <c r="U186" s="56" t="str">
        <f>IF(U185=AC185,AA186,IF(U185=AC185,AC186,IF(U185=AB185,AB186,"")))</f>
        <v/>
      </c>
      <c r="V186" s="355" t="str">
        <f>IF(U186=AB186,V184+V185,IF(U186=AA186,V185/100*Haftungsausschluß!M43,""))</f>
        <v/>
      </c>
      <c r="AA186" s="55" t="str">
        <f>"+ " &amp;Haftungsausschluß!M43&amp; " % " &amp; VLOOKUP(2116,Sprachindex!$A:$Z,Erhebungsbogen!$Y$20,FALSE)</f>
        <v>+ 8.1 % MwSt.</v>
      </c>
      <c r="AB186" s="55" t="str">
        <f>VLOOKUP(1701,Sprachindex!$A:$Z,Erhebungsbogen!$Y$20,FALSE)</f>
        <v>Endsumme inkl. MwSt.</v>
      </c>
    </row>
    <row r="187" spans="2:53">
      <c r="B187" s="91">
        <v>1</v>
      </c>
      <c r="R187" s="56"/>
      <c r="U187" s="56" t="str">
        <f>IF(U186=AA186,AA187,"")</f>
        <v/>
      </c>
      <c r="V187" s="355" t="str">
        <f>IF(U187=AA187,V185+V186,"")</f>
        <v/>
      </c>
      <c r="AA187" s="55" t="str">
        <f>VLOOKUP(1701,Sprachindex!$A:$Z,Erhebungsbogen!$Y$20,FALSE)</f>
        <v>Endsumme inkl. MwSt.</v>
      </c>
    </row>
    <row r="188" spans="2:53">
      <c r="B188" s="91">
        <v>1</v>
      </c>
      <c r="U188" s="56"/>
      <c r="V188" s="356"/>
    </row>
    <row r="189" spans="2:53">
      <c r="B189" s="91">
        <v>1</v>
      </c>
      <c r="C189" s="512"/>
      <c r="D189" s="512"/>
      <c r="E189" s="512"/>
      <c r="F189" s="512"/>
      <c r="G189" s="512"/>
      <c r="H189" s="512"/>
      <c r="I189" s="512"/>
      <c r="J189" s="512"/>
      <c r="K189" s="512"/>
      <c r="L189" s="512"/>
      <c r="M189" s="512"/>
      <c r="N189" s="512"/>
      <c r="O189" s="512"/>
      <c r="P189" s="512"/>
      <c r="Q189" s="512"/>
      <c r="R189" s="512"/>
      <c r="S189" s="512"/>
      <c r="T189" s="512"/>
      <c r="U189" s="512"/>
    </row>
    <row r="190" spans="2:53">
      <c r="B190" s="91">
        <v>1</v>
      </c>
      <c r="C190" s="512" t="str">
        <f>VLOOKUP(2234,Sprachindex!$A:$Z,Erhebungsbogen!$Y$20,FALSE)</f>
        <v>Hinweis: Angebotsgültigkeit 1 Monat; Lieferzeit auf Anfrage; kein Montagematerial enthalten</v>
      </c>
      <c r="D190" s="512"/>
      <c r="E190" s="512"/>
      <c r="F190" s="512"/>
      <c r="G190" s="512"/>
      <c r="H190" s="512"/>
      <c r="I190" s="512"/>
      <c r="J190" s="512"/>
      <c r="K190" s="512"/>
      <c r="L190" s="512"/>
      <c r="M190" s="512"/>
      <c r="N190" s="512"/>
      <c r="O190" s="512"/>
      <c r="P190" s="512"/>
      <c r="Q190" s="512"/>
      <c r="R190" s="512"/>
      <c r="S190" s="512"/>
      <c r="T190" s="512"/>
      <c r="U190" s="512"/>
    </row>
    <row r="191" spans="2:53"/>
  </sheetData>
  <sheetProtection sheet="1" objects="1" selectLockedCells="1" autoFilter="0"/>
  <autoFilter ref="B20:B190" xr:uid="{22C6CA63-9127-4190-B9A3-0A61B6276C03}"/>
  <mergeCells count="174">
    <mergeCell ref="G180:T180"/>
    <mergeCell ref="G174:T174"/>
    <mergeCell ref="G175:T175"/>
    <mergeCell ref="G176:T176"/>
    <mergeCell ref="G177:T177"/>
    <mergeCell ref="G178:T178"/>
    <mergeCell ref="G179:T179"/>
    <mergeCell ref="G168:T168"/>
    <mergeCell ref="G169:T169"/>
    <mergeCell ref="G170:T170"/>
    <mergeCell ref="G171:T171"/>
    <mergeCell ref="G172:T172"/>
    <mergeCell ref="G173:T173"/>
    <mergeCell ref="G162:T162"/>
    <mergeCell ref="G163:T163"/>
    <mergeCell ref="G164:T164"/>
    <mergeCell ref="G165:T165"/>
    <mergeCell ref="G166:T166"/>
    <mergeCell ref="G167:T167"/>
    <mergeCell ref="G156:T156"/>
    <mergeCell ref="G157:T157"/>
    <mergeCell ref="G158:T158"/>
    <mergeCell ref="G159:T159"/>
    <mergeCell ref="G160:T160"/>
    <mergeCell ref="G161:T161"/>
    <mergeCell ref="G150:T150"/>
    <mergeCell ref="G151:T151"/>
    <mergeCell ref="G152:T152"/>
    <mergeCell ref="G153:T153"/>
    <mergeCell ref="G154:T154"/>
    <mergeCell ref="G155:T155"/>
    <mergeCell ref="G144:T144"/>
    <mergeCell ref="G145:T145"/>
    <mergeCell ref="G146:T146"/>
    <mergeCell ref="G147:T147"/>
    <mergeCell ref="G148:T148"/>
    <mergeCell ref="G149:T149"/>
    <mergeCell ref="G138:T138"/>
    <mergeCell ref="G139:T139"/>
    <mergeCell ref="G140:T140"/>
    <mergeCell ref="G141:T141"/>
    <mergeCell ref="G142:T142"/>
    <mergeCell ref="G143:T143"/>
    <mergeCell ref="G132:T132"/>
    <mergeCell ref="G133:T133"/>
    <mergeCell ref="G134:T134"/>
    <mergeCell ref="G135:T135"/>
    <mergeCell ref="G136:T136"/>
    <mergeCell ref="G137:T137"/>
    <mergeCell ref="G126:T126"/>
    <mergeCell ref="G127:T127"/>
    <mergeCell ref="G128:T128"/>
    <mergeCell ref="G129:T129"/>
    <mergeCell ref="G130:T130"/>
    <mergeCell ref="G131:T131"/>
    <mergeCell ref="G120:T120"/>
    <mergeCell ref="G121:T121"/>
    <mergeCell ref="G122:T122"/>
    <mergeCell ref="G123:T123"/>
    <mergeCell ref="G124:T124"/>
    <mergeCell ref="G125:T125"/>
    <mergeCell ref="G114:T114"/>
    <mergeCell ref="G115:T115"/>
    <mergeCell ref="G116:T116"/>
    <mergeCell ref="G117:T117"/>
    <mergeCell ref="G118:T118"/>
    <mergeCell ref="G119:T119"/>
    <mergeCell ref="G108:T108"/>
    <mergeCell ref="G109:T109"/>
    <mergeCell ref="G110:T110"/>
    <mergeCell ref="G111:T111"/>
    <mergeCell ref="G112:T112"/>
    <mergeCell ref="G113:T113"/>
    <mergeCell ref="G102:T102"/>
    <mergeCell ref="G103:T103"/>
    <mergeCell ref="G104:T104"/>
    <mergeCell ref="G105:T105"/>
    <mergeCell ref="G106:T106"/>
    <mergeCell ref="G107:T107"/>
    <mergeCell ref="G96:T96"/>
    <mergeCell ref="G97:T97"/>
    <mergeCell ref="G98:T98"/>
    <mergeCell ref="G99:T99"/>
    <mergeCell ref="G100:T100"/>
    <mergeCell ref="G101:T101"/>
    <mergeCell ref="G90:T90"/>
    <mergeCell ref="G91:T91"/>
    <mergeCell ref="G92:T92"/>
    <mergeCell ref="G93:T93"/>
    <mergeCell ref="G94:T94"/>
    <mergeCell ref="G95:T95"/>
    <mergeCell ref="G84:T84"/>
    <mergeCell ref="G85:T85"/>
    <mergeCell ref="G86:T86"/>
    <mergeCell ref="G87:T87"/>
    <mergeCell ref="G88:T88"/>
    <mergeCell ref="G89:T89"/>
    <mergeCell ref="G78:T78"/>
    <mergeCell ref="G79:T79"/>
    <mergeCell ref="G80:T80"/>
    <mergeCell ref="G81:T81"/>
    <mergeCell ref="G82:T82"/>
    <mergeCell ref="G83:T83"/>
    <mergeCell ref="G72:T72"/>
    <mergeCell ref="G73:T73"/>
    <mergeCell ref="G74:T74"/>
    <mergeCell ref="G75:T75"/>
    <mergeCell ref="G76:T76"/>
    <mergeCell ref="G77:T77"/>
    <mergeCell ref="G66:T66"/>
    <mergeCell ref="G67:T67"/>
    <mergeCell ref="G68:T68"/>
    <mergeCell ref="G69:T69"/>
    <mergeCell ref="G70:T70"/>
    <mergeCell ref="G71:T71"/>
    <mergeCell ref="G60:T60"/>
    <mergeCell ref="G61:T61"/>
    <mergeCell ref="G62:T62"/>
    <mergeCell ref="G63:T63"/>
    <mergeCell ref="G64:T64"/>
    <mergeCell ref="G65:T65"/>
    <mergeCell ref="G40:T40"/>
    <mergeCell ref="G54:T54"/>
    <mergeCell ref="G55:T55"/>
    <mergeCell ref="G56:T56"/>
    <mergeCell ref="G57:T57"/>
    <mergeCell ref="G58:T58"/>
    <mergeCell ref="G59:T59"/>
    <mergeCell ref="G47:T47"/>
    <mergeCell ref="G49:T49"/>
    <mergeCell ref="G50:T50"/>
    <mergeCell ref="G51:T51"/>
    <mergeCell ref="G52:T52"/>
    <mergeCell ref="G53:T53"/>
    <mergeCell ref="J1:V3"/>
    <mergeCell ref="D6:I6"/>
    <mergeCell ref="S6:V6"/>
    <mergeCell ref="D8:I8"/>
    <mergeCell ref="U8:V8"/>
    <mergeCell ref="D10:I10"/>
    <mergeCell ref="D17:I17"/>
    <mergeCell ref="G29:T29"/>
    <mergeCell ref="G30:T30"/>
    <mergeCell ref="G23:T23"/>
    <mergeCell ref="G24:T24"/>
    <mergeCell ref="G25:T25"/>
    <mergeCell ref="G26:T26"/>
    <mergeCell ref="G27:T27"/>
    <mergeCell ref="G28:T28"/>
    <mergeCell ref="U5:V5"/>
    <mergeCell ref="C189:U189"/>
    <mergeCell ref="C190:U190"/>
    <mergeCell ref="D12:I12"/>
    <mergeCell ref="D14:I14"/>
    <mergeCell ref="D16:I16"/>
    <mergeCell ref="G20:T20"/>
    <mergeCell ref="G21:T21"/>
    <mergeCell ref="G22:T22"/>
    <mergeCell ref="G31:T31"/>
    <mergeCell ref="G32:T32"/>
    <mergeCell ref="G33:T33"/>
    <mergeCell ref="G34:T34"/>
    <mergeCell ref="G41:T41"/>
    <mergeCell ref="G42:T42"/>
    <mergeCell ref="G43:T43"/>
    <mergeCell ref="G44:T44"/>
    <mergeCell ref="G45:T45"/>
    <mergeCell ref="G46:T46"/>
    <mergeCell ref="G35:T35"/>
    <mergeCell ref="G36:T36"/>
    <mergeCell ref="G37:T37"/>
    <mergeCell ref="G38:T38"/>
    <mergeCell ref="G39:T39"/>
    <mergeCell ref="G48:T48"/>
  </mergeCells>
  <conditionalFormatting sqref="D6:I6">
    <cfRule type="cellIs" dxfId="350" priority="37" operator="equal">
      <formula>0</formula>
    </cfRule>
  </conditionalFormatting>
  <conditionalFormatting sqref="D8:I8">
    <cfRule type="cellIs" dxfId="349" priority="36" operator="equal">
      <formula>0</formula>
    </cfRule>
  </conditionalFormatting>
  <conditionalFormatting sqref="D10:I10">
    <cfRule type="cellIs" dxfId="348" priority="35" operator="equal">
      <formula>0</formula>
    </cfRule>
  </conditionalFormatting>
  <conditionalFormatting sqref="D12:I12">
    <cfRule type="cellIs" dxfId="347" priority="34" operator="equal">
      <formula>0</formula>
    </cfRule>
  </conditionalFormatting>
  <conditionalFormatting sqref="D14:I14">
    <cfRule type="cellIs" dxfId="346" priority="33" operator="equal">
      <formula>0</formula>
    </cfRule>
  </conditionalFormatting>
  <conditionalFormatting sqref="D16:I17">
    <cfRule type="cellIs" dxfId="345" priority="17" operator="equal">
      <formula>0</formula>
    </cfRule>
  </conditionalFormatting>
  <conditionalFormatting sqref="S6 W6:X6 S7:X7 S8:U8 W8:X8 S9:X16">
    <cfRule type="expression" dxfId="344" priority="31">
      <formula>$AB$17=1</formula>
    </cfRule>
  </conditionalFormatting>
  <conditionalFormatting sqref="S183:V183">
    <cfRule type="expression" dxfId="343" priority="8">
      <formula>$U$183=$AE$183</formula>
    </cfRule>
    <cfRule type="expression" dxfId="342" priority="9">
      <formula>$U$183=$AF$183</formula>
    </cfRule>
    <cfRule type="expression" dxfId="341" priority="11">
      <formula>$U$183=$AA$183</formula>
    </cfRule>
  </conditionalFormatting>
  <conditionalFormatting sqref="S184:V184">
    <cfRule type="expression" dxfId="340" priority="6">
      <formula>$U$184=$AD$184</formula>
    </cfRule>
    <cfRule type="expression" dxfId="339" priority="7">
      <formula>$U$184=$AA$184</formula>
    </cfRule>
  </conditionalFormatting>
  <conditionalFormatting sqref="S185:V185">
    <cfRule type="expression" dxfId="338" priority="3">
      <formula>$U$185=$AC$185</formula>
    </cfRule>
    <cfRule type="expression" dxfId="337" priority="4">
      <formula>$U$185=$AD$185</formula>
    </cfRule>
    <cfRule type="expression" dxfId="336" priority="5">
      <formula>$U$185=$AA$185</formula>
    </cfRule>
  </conditionalFormatting>
  <conditionalFormatting sqref="S186:V186">
    <cfRule type="expression" dxfId="335" priority="2">
      <formula>$U$186=$AB$186</formula>
    </cfRule>
  </conditionalFormatting>
  <conditionalFormatting sqref="S187:V187">
    <cfRule type="expression" dxfId="334" priority="1">
      <formula>$U$187=$AA$187</formula>
    </cfRule>
  </conditionalFormatting>
  <pageMargins left="0.11811023622047245" right="0.19685039370078741" top="0.11811023622047245" bottom="0.11811023622047245" header="0.31496062992125984" footer="7.874015748031496E-2"/>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Option Button 1">
              <controlPr defaultSize="0" autoFill="0" autoLine="0" autoPict="0">
                <anchor moveWithCells="1">
                  <from>
                    <xdr:col>23</xdr:col>
                    <xdr:colOff>114300</xdr:colOff>
                    <xdr:row>15</xdr:row>
                    <xdr:rowOff>19050</xdr:rowOff>
                  </from>
                  <to>
                    <xdr:col>24</xdr:col>
                    <xdr:colOff>571500</xdr:colOff>
                    <xdr:row>15</xdr:row>
                    <xdr:rowOff>152400</xdr:rowOff>
                  </to>
                </anchor>
              </controlPr>
            </control>
          </mc:Choice>
        </mc:AlternateContent>
        <mc:AlternateContent xmlns:mc="http://schemas.openxmlformats.org/markup-compatibility/2006">
          <mc:Choice Requires="x14">
            <control shapeId="49154" r:id="rId5" name="Option Button 2">
              <controlPr defaultSize="0" autoFill="0" autoLine="0" autoPict="0">
                <anchor moveWithCells="1">
                  <from>
                    <xdr:col>23</xdr:col>
                    <xdr:colOff>114300</xdr:colOff>
                    <xdr:row>16</xdr:row>
                    <xdr:rowOff>19050</xdr:rowOff>
                  </from>
                  <to>
                    <xdr:col>24</xdr:col>
                    <xdr:colOff>571500</xdr:colOff>
                    <xdr:row>16</xdr:row>
                    <xdr:rowOff>152400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4CEE49CD-C43B-4004-80AC-E291EB075929}">
            <xm:f>Erhebungsbogen!$W$36=""</xm:f>
            <x14:dxf>
              <border>
                <left style="thin">
                  <color auto="1"/>
                </left>
                <vertical/>
                <horizontal/>
              </border>
            </x14:dxf>
          </x14:cfRule>
          <xm:sqref>U20:U180</xm:sqref>
        </x14:conditionalFormatting>
        <x14:conditionalFormatting xmlns:xm="http://schemas.microsoft.com/office/excel/2006/main">
          <x14:cfRule type="expression" priority="13" id="{1D4A0E29-3EF0-4F72-9C6A-45535785D249}">
            <xm:f>Erhebungsbogen!$W$36=""</xm:f>
            <x14:dxf>
              <font>
                <color theme="0"/>
              </font>
              <fill>
                <patternFill>
                  <bgColor theme="0"/>
                </patternFill>
              </fill>
              <border>
                <left/>
                <right/>
                <top/>
                <bottom/>
              </border>
            </x14:dxf>
          </x14:cfRule>
          <xm:sqref>U20:V180</xm:sqref>
        </x14:conditionalFormatting>
        <x14:conditionalFormatting xmlns:xm="http://schemas.microsoft.com/office/excel/2006/main">
          <x14:cfRule type="expression" priority="10" id="{8A47EE32-B5E7-435C-8DBF-CB760619E8AC}">
            <xm:f>Erhebungsbogen!$W$36=""</xm:f>
            <x14:dxf>
              <font>
                <color theme="0"/>
              </font>
              <fill>
                <patternFill>
                  <bgColor theme="0"/>
                </patternFill>
              </fill>
              <border>
                <left/>
                <right/>
                <top/>
                <bottom/>
              </border>
            </x14:dxf>
          </x14:cfRule>
          <xm:sqref>U181:V187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6767A-93BA-41AD-828E-7C5D5CCAA570}">
  <sheetPr codeName="Tabelle39">
    <pageSetUpPr fitToPage="1"/>
  </sheetPr>
  <dimension ref="A1:CF191"/>
  <sheetViews>
    <sheetView showGridLines="0" workbookViewId="0">
      <selection activeCell="V18" sqref="V18"/>
    </sheetView>
  </sheetViews>
  <sheetFormatPr baseColWidth="10" defaultColWidth="0" defaultRowHeight="12.75" zeroHeight="1"/>
  <cols>
    <col min="1" max="1" width="1.7109375" style="55" customWidth="1"/>
    <col min="2" max="5" width="7.7109375" style="55" customWidth="1"/>
    <col min="6" max="6" width="9.7109375" style="55" customWidth="1"/>
    <col min="7" max="13" width="5.7109375" style="55" customWidth="1"/>
    <col min="14" max="17" width="5.5703125" style="55" customWidth="1"/>
    <col min="18" max="20" width="5.7109375" style="55" customWidth="1"/>
    <col min="21" max="21" width="14.7109375" style="55" customWidth="1"/>
    <col min="22" max="22" width="16.28515625" style="55" customWidth="1"/>
    <col min="23" max="24" width="5.7109375" style="55" customWidth="1"/>
    <col min="25" max="25" width="9.7109375" style="55" bestFit="1" customWidth="1"/>
    <col min="26" max="26" width="7.42578125" style="55" hidden="1" customWidth="1"/>
    <col min="27" max="27" width="18.7109375" style="55" hidden="1" customWidth="1"/>
    <col min="28" max="28" width="18.5703125" style="55" hidden="1" customWidth="1"/>
    <col min="29" max="29" width="38.7109375" style="55" hidden="1" customWidth="1"/>
    <col min="30" max="32" width="18.5703125" style="55" hidden="1" customWidth="1"/>
    <col min="33" max="34" width="5.7109375" style="55" hidden="1" customWidth="1"/>
    <col min="35" max="35" width="13.28515625" style="55" hidden="1" customWidth="1"/>
    <col min="36" max="78" width="5.7109375" style="55" hidden="1" customWidth="1"/>
    <col min="79" max="16384" width="11.42578125" style="55" hidden="1"/>
  </cols>
  <sheetData>
    <row r="1" spans="3:43" s="21" customFormat="1" ht="14.25" customHeight="1">
      <c r="J1" s="519" t="str">
        <f>VLOOKUP(2121,Sprachindex!$A:$Z,Erhebungsbogen!$Y$20,FALSE)</f>
        <v>Stückliste</v>
      </c>
      <c r="K1" s="519"/>
      <c r="L1" s="519"/>
      <c r="M1" s="519"/>
      <c r="N1" s="519"/>
      <c r="O1" s="519"/>
      <c r="P1" s="519"/>
      <c r="Q1" s="519"/>
      <c r="R1" s="519"/>
      <c r="S1" s="519"/>
      <c r="T1" s="519"/>
      <c r="U1" s="519"/>
      <c r="V1" s="519"/>
    </row>
    <row r="2" spans="3:43" s="21" customFormat="1" ht="14.25" customHeight="1">
      <c r="J2" s="519"/>
      <c r="K2" s="519"/>
      <c r="L2" s="519"/>
      <c r="M2" s="519"/>
      <c r="N2" s="519"/>
      <c r="O2" s="519"/>
      <c r="P2" s="519"/>
      <c r="Q2" s="519"/>
      <c r="R2" s="519"/>
      <c r="S2" s="519"/>
      <c r="T2" s="519"/>
      <c r="U2" s="519"/>
      <c r="V2" s="519"/>
    </row>
    <row r="3" spans="3:43" s="21" customFormat="1" ht="14.25" customHeight="1">
      <c r="J3" s="519"/>
      <c r="K3" s="519"/>
      <c r="L3" s="519"/>
      <c r="M3" s="519"/>
      <c r="N3" s="519"/>
      <c r="O3" s="519"/>
      <c r="P3" s="519"/>
      <c r="Q3" s="519"/>
      <c r="R3" s="519"/>
      <c r="S3" s="519"/>
      <c r="T3" s="519"/>
      <c r="U3" s="519"/>
      <c r="V3" s="519"/>
    </row>
    <row r="4" spans="3:43" s="21" customFormat="1" ht="14.25" customHeight="1">
      <c r="V4" s="53" t="str">
        <f>VLOOKUP(1741,Sprachindex!$A:$Z,Erhebungsbogen!$Y$20,FALSE) &amp; " 5"</f>
        <v>KALKULATION 5</v>
      </c>
      <c r="Y4" s="53"/>
      <c r="Z4" s="53"/>
      <c r="AA4" s="53"/>
      <c r="AB4" s="53"/>
      <c r="AC4" s="53">
        <f>IF(V181&lt;1000,10,14)</f>
        <v>10</v>
      </c>
      <c r="AD4" s="53"/>
      <c r="AE4" s="53"/>
      <c r="AF4" s="53"/>
      <c r="AH4" s="53"/>
      <c r="AI4" s="54"/>
      <c r="AJ4" s="54"/>
      <c r="AK4" s="54"/>
      <c r="AL4" s="54"/>
      <c r="AM4" s="54"/>
      <c r="AN4" s="54"/>
      <c r="AO4" s="54"/>
      <c r="AP4" s="54"/>
      <c r="AQ4" s="54"/>
    </row>
    <row r="5" spans="3:43">
      <c r="C5" s="21"/>
      <c r="D5" s="48" t="str">
        <f>VLOOKUP(393,Sprachindex!$A:$Z,Erhebungsbogen!$Y$20,FALSE)</f>
        <v>Firma / Besteller:</v>
      </c>
      <c r="E5" s="21"/>
      <c r="F5" s="21"/>
      <c r="G5" s="21"/>
      <c r="H5" s="21"/>
      <c r="I5" s="21"/>
      <c r="T5" s="56" t="str">
        <f>VLOOKUP(1429,Sprachindex!$A:$Z,Erhebungsbogen!$Y$20,FALSE)</f>
        <v>Bearbeiter:</v>
      </c>
      <c r="U5" s="521">
        <f>Kalk1!U43</f>
        <v>0</v>
      </c>
      <c r="V5" s="521"/>
      <c r="AC5" s="55">
        <f>IF('HWS Partner'!C79&gt;=1,4,0)</f>
        <v>0</v>
      </c>
      <c r="AG5" s="21"/>
    </row>
    <row r="6" spans="3:43">
      <c r="C6" s="40" t="str">
        <f>VLOOKUP(622,Sprachindex!$A:$Z,Erhebungsbogen!$Y$20,FALSE)</f>
        <v>Name:</v>
      </c>
      <c r="D6" s="513">
        <f>Kalk5!D5</f>
        <v>0</v>
      </c>
      <c r="E6" s="513"/>
      <c r="F6" s="513"/>
      <c r="G6" s="513"/>
      <c r="H6" s="513"/>
      <c r="I6" s="513"/>
      <c r="S6" s="520" t="s">
        <v>18593</v>
      </c>
      <c r="T6" s="520"/>
      <c r="U6" s="520"/>
      <c r="V6" s="520"/>
      <c r="Y6" s="77"/>
      <c r="Z6" s="77"/>
      <c r="AA6" s="77"/>
      <c r="AB6" s="77"/>
      <c r="AC6" s="77"/>
      <c r="AD6" s="77"/>
      <c r="AE6" s="77"/>
      <c r="AF6" s="77"/>
      <c r="AG6" s="21"/>
      <c r="AH6" s="77"/>
    </row>
    <row r="7" spans="3:43" ht="1.5" customHeight="1">
      <c r="C7" s="40"/>
      <c r="D7" s="21"/>
      <c r="E7" s="21"/>
      <c r="F7" s="21"/>
      <c r="G7" s="21"/>
      <c r="H7" s="21"/>
      <c r="I7" s="21"/>
    </row>
    <row r="8" spans="3:43">
      <c r="C8" s="40" t="str">
        <f>VLOOKUP(884,Sprachindex!$A:$Z,Erhebungsbogen!$Y$20,FALSE)</f>
        <v>Straße:</v>
      </c>
      <c r="D8" s="513">
        <f>Kalk5!D7</f>
        <v>0</v>
      </c>
      <c r="E8" s="513"/>
      <c r="F8" s="513"/>
      <c r="G8" s="513"/>
      <c r="H8" s="513"/>
      <c r="I8" s="513"/>
      <c r="T8" s="57" t="s">
        <v>4485</v>
      </c>
      <c r="U8" s="520" t="str">
        <f>IF(Kalk5!K9&gt;"",Kalk5!K9,"")</f>
        <v/>
      </c>
      <c r="V8" s="520"/>
      <c r="Y8" s="57"/>
      <c r="Z8" s="57"/>
      <c r="AA8" s="57"/>
      <c r="AB8" s="57"/>
      <c r="AC8" s="57"/>
      <c r="AD8" s="57"/>
      <c r="AE8" s="57"/>
      <c r="AF8" s="57"/>
      <c r="AG8" s="57"/>
      <c r="AH8" s="57"/>
    </row>
    <row r="9" spans="3:43" ht="1.5" customHeight="1">
      <c r="C9" s="40"/>
      <c r="D9" s="21"/>
      <c r="E9" s="21"/>
      <c r="F9" s="21"/>
      <c r="G9" s="21"/>
      <c r="H9" s="21"/>
      <c r="I9" s="21"/>
      <c r="S9" s="56"/>
    </row>
    <row r="10" spans="3:43">
      <c r="C10" s="40" t="str">
        <f>VLOOKUP(641,Sprachindex!$A:$Z,Erhebungsbogen!$Y$20,FALSE)</f>
        <v>Ort:</v>
      </c>
      <c r="D10" s="513">
        <f>Kalk5!D9</f>
        <v>0</v>
      </c>
      <c r="E10" s="513"/>
      <c r="F10" s="513"/>
      <c r="G10" s="513"/>
      <c r="H10" s="513"/>
      <c r="I10" s="513"/>
      <c r="S10" s="56" t="str">
        <f>IF(Kalk5!AA11,"x","")</f>
        <v/>
      </c>
      <c r="T10" s="55" t="s">
        <v>18111</v>
      </c>
    </row>
    <row r="11" spans="3:43" ht="1.5" customHeight="1">
      <c r="C11" s="40"/>
      <c r="D11" s="21"/>
      <c r="E11" s="21"/>
      <c r="F11" s="21"/>
      <c r="G11" s="21"/>
      <c r="H11" s="21"/>
      <c r="I11" s="21"/>
      <c r="S11" s="56"/>
    </row>
    <row r="12" spans="3:43">
      <c r="C12" s="40" t="str">
        <f>VLOOKUP(901,Sprachindex!$A:$Z,Erhebungsbogen!$Y$20,FALSE)</f>
        <v>Telefon:</v>
      </c>
      <c r="D12" s="513">
        <f>Kalk5!D11</f>
        <v>0</v>
      </c>
      <c r="E12" s="513"/>
      <c r="F12" s="513"/>
      <c r="G12" s="513"/>
      <c r="H12" s="513"/>
      <c r="I12" s="513"/>
      <c r="S12" s="56" t="str">
        <f>IF(Kalk5!AA13,"x","")</f>
        <v/>
      </c>
      <c r="T12" s="55" t="s">
        <v>21823</v>
      </c>
    </row>
    <row r="13" spans="3:43" ht="1.5" customHeight="1">
      <c r="C13" s="40"/>
      <c r="D13" s="21"/>
      <c r="E13" s="21"/>
      <c r="F13" s="21"/>
      <c r="G13" s="21"/>
      <c r="H13" s="21"/>
      <c r="I13" s="21"/>
      <c r="S13" s="56"/>
    </row>
    <row r="14" spans="3:43">
      <c r="C14" s="40" t="str">
        <f>VLOOKUP(1698,Sprachindex!$A:$Z,Erhebungsbogen!$Y$20,FALSE)</f>
        <v>eMail:</v>
      </c>
      <c r="D14" s="513">
        <f>Kalk5!D13</f>
        <v>0</v>
      </c>
      <c r="E14" s="513"/>
      <c r="F14" s="513"/>
      <c r="G14" s="513"/>
      <c r="H14" s="513"/>
      <c r="I14" s="513"/>
      <c r="S14" s="56" t="str">
        <f>IF(Kalk5!AA15,"x","")</f>
        <v/>
      </c>
      <c r="T14" s="55" t="s">
        <v>18752</v>
      </c>
      <c r="X14" s="90" t="s">
        <v>20247</v>
      </c>
    </row>
    <row r="15" spans="3:43" ht="1.5" customHeight="1">
      <c r="C15" s="40"/>
      <c r="D15" s="21"/>
      <c r="E15" s="21"/>
      <c r="F15" s="21"/>
      <c r="G15" s="21"/>
      <c r="H15" s="21"/>
      <c r="I15" s="21"/>
      <c r="S15" s="56"/>
      <c r="AJ15" s="55" t="b">
        <v>1</v>
      </c>
    </row>
    <row r="16" spans="3:43">
      <c r="C16" s="40" t="str">
        <f>VLOOKUP(203,Sprachindex!$A:$Z,Erhebungsbogen!$Y$20,FALSE)</f>
        <v>Bauvorhaben:</v>
      </c>
      <c r="D16" s="513">
        <f>Kalk5!D15</f>
        <v>0</v>
      </c>
      <c r="E16" s="513"/>
      <c r="F16" s="513"/>
      <c r="G16" s="513"/>
      <c r="H16" s="513"/>
      <c r="I16" s="513"/>
      <c r="S16" s="56" t="str">
        <f>IF(Kalk5!AA16,"x","")</f>
        <v/>
      </c>
      <c r="T16" s="55" t="s">
        <v>19831</v>
      </c>
      <c r="Y16" s="55" t="str">
        <f>VLOOKUP(1705,Sprachindex!$A:$Z,Erhebungsbogen!$Y$20,FALSE)</f>
        <v>exkl. MwSt.</v>
      </c>
      <c r="AB16" s="262">
        <v>1</v>
      </c>
      <c r="AC16" s="55" t="s">
        <v>20247</v>
      </c>
    </row>
    <row r="17" spans="2:43">
      <c r="C17" s="40" t="str">
        <f>VLOOKUP(660,Sprachindex!$A:$Z,Erhebungsbogen!$Y$20,FALSE)</f>
        <v>Pos.</v>
      </c>
      <c r="D17" s="513">
        <f>Kalk5!D16</f>
        <v>0</v>
      </c>
      <c r="E17" s="513"/>
      <c r="F17" s="513"/>
      <c r="G17" s="513"/>
      <c r="H17" s="513"/>
      <c r="I17" s="513"/>
      <c r="Y17" s="55" t="str">
        <f>VLOOKUP(1740,Sprachindex!$A:$Z,Erhebungsbogen!$Y$20,FALSE)</f>
        <v>inkl. MwSt.</v>
      </c>
      <c r="AB17" s="262">
        <f>IF(AND(Kalk5!AA5=2,OR(Kalk5!AA11,Kalk5!AA13,Kalk5!AA15,Kalk5!AA16)),2,1)</f>
        <v>1</v>
      </c>
      <c r="AC17" s="55" t="s">
        <v>18593</v>
      </c>
    </row>
    <row r="18" spans="2:43">
      <c r="U18" s="56" t="str">
        <f>VLOOKUP(286,Sprachindex!$A:$Z,Erhebungsbogen!$Y$20,FALSE)</f>
        <v>Datum:</v>
      </c>
      <c r="V18" s="264">
        <f ca="1">TODAY()</f>
        <v>45408</v>
      </c>
      <c r="X18" s="265">
        <f>SUM(AC4:AC5)</f>
        <v>10</v>
      </c>
      <c r="Y18" s="55" t="str">
        <f>VLOOKUP(1790,Sprachindex!$A:$Z,Erhebungsbogen!$Y$20,FALSE)</f>
        <v>Rabatt</v>
      </c>
      <c r="AB18" s="263">
        <f>SUM(Z21:Z180)</f>
        <v>0</v>
      </c>
      <c r="AC18" s="55" t="s">
        <v>22191</v>
      </c>
    </row>
    <row r="19" spans="2:43" ht="13.5" thickBot="1">
      <c r="X19" s="314">
        <f>IF(X18&gt;0,X18*-1,X18)</f>
        <v>-10</v>
      </c>
      <c r="AB19" s="262">
        <f>SUM(V21:V180)</f>
        <v>0</v>
      </c>
      <c r="AC19" s="55" t="s">
        <v>22192</v>
      </c>
    </row>
    <row r="20" spans="2:43" ht="38.25" customHeight="1" thickBot="1">
      <c r="B20" s="61" t="str">
        <f>VLOOKUP(1839,Sprachindex!$A:$Z,Erhebungsbogen!$Y$20,FALSE)</f>
        <v>Stück</v>
      </c>
      <c r="C20" s="58" t="str">
        <f>VLOOKUP(552,Sprachindex!$A:$Z,Erhebungsbogen!$Y$20,FALSE)</f>
        <v>Länge</v>
      </c>
      <c r="D20" s="58" t="str">
        <f>VLOOKUP(1716,Sprachindex!$A:$Z,Erhebungsbogen!$Y$20,FALSE)</f>
        <v>Gesamt Länge</v>
      </c>
      <c r="E20" s="58" t="str">
        <f>VLOOKUP(332,Sprachindex!$A:$Z,Erhebungsbogen!$Y$20,FALSE)</f>
        <v>Einheit</v>
      </c>
      <c r="F20" s="59" t="str">
        <f>VLOOKUP(177,Sprachindex!$A:$Z,Erhebungsbogen!$Y$20,FALSE)</f>
        <v>Artikel-Nr.</v>
      </c>
      <c r="G20" s="518" t="str">
        <f>VLOOKUP(234,Sprachindex!$A:$Z,Erhebungsbogen!$Y$20,FALSE)</f>
        <v>Bezeichnung</v>
      </c>
      <c r="H20" s="518"/>
      <c r="I20" s="518"/>
      <c r="J20" s="518"/>
      <c r="K20" s="518"/>
      <c r="L20" s="518"/>
      <c r="M20" s="518"/>
      <c r="N20" s="518"/>
      <c r="O20" s="518"/>
      <c r="P20" s="518"/>
      <c r="Q20" s="518"/>
      <c r="R20" s="518"/>
      <c r="S20" s="518"/>
      <c r="T20" s="518"/>
      <c r="U20" s="58" t="str">
        <f>VLOOKUP(1788,Sprachindex!$A:$Z,Erhebungsbogen!$Y$20,FALSE)</f>
        <v>Preis pro lfm od. Stk</v>
      </c>
      <c r="V20" s="58" t="str">
        <f>VLOOKUP(1787,Sprachindex!$A:$Z,Erhebungsbogen!$Y$20,FALSE)</f>
        <v>Preis exkl.MwSt</v>
      </c>
      <c r="W20" s="85"/>
      <c r="X20" s="85"/>
      <c r="Y20" s="85"/>
      <c r="Z20" s="85"/>
      <c r="AA20" s="85"/>
      <c r="AB20" s="85"/>
      <c r="AC20" s="85"/>
      <c r="AD20" s="85"/>
      <c r="AE20" s="85"/>
      <c r="AF20" s="85"/>
      <c r="AG20" s="65" t="s">
        <v>22078</v>
      </c>
    </row>
    <row r="21" spans="2:43" ht="24.95" customHeight="1">
      <c r="B21" s="92">
        <f>IF(AG21=1,AL21,0)*Kalk5!$H$37</f>
        <v>0</v>
      </c>
      <c r="C21" s="60">
        <v>750</v>
      </c>
      <c r="D21" s="60"/>
      <c r="E21" s="60" t="str">
        <f>VLOOKUP(1600,Sprachindex!$A:$Z,Erhebungsbogen!$Y$20,FALSE)</f>
        <v>[Stk]</v>
      </c>
      <c r="F21" s="60" t="s">
        <v>21961</v>
      </c>
      <c r="G21" s="514" t="str">
        <f>VLOOKUP(1592,Sprachindex!$A:$Z,Erhebungsbogen!$Y$20,FALSE) &amp; IF(AND(Kalk5!$AA$5=2,Kalk5!AA11),", " &amp; VLOOKUP(1645,Sprachindex!$A:$Z,Erhebungsbogen!$Y$20,FALSE) &amp; " " &amp; $U$8,", "&amp; VLOOKUP(1648,Sprachindex!$A:$Z,Erhebungsbogen!$Y$20,FALSE))</f>
        <v>Abdeckung V 25, entgratet, blank</v>
      </c>
      <c r="H21" s="514"/>
      <c r="I21" s="514"/>
      <c r="J21" s="514"/>
      <c r="K21" s="514"/>
      <c r="L21" s="514"/>
      <c r="M21" s="514"/>
      <c r="N21" s="514"/>
      <c r="O21" s="514"/>
      <c r="P21" s="514"/>
      <c r="Q21" s="514"/>
      <c r="R21" s="514"/>
      <c r="S21" s="514"/>
      <c r="T21" s="514"/>
      <c r="U21" s="353">
        <f>IF(AND(Kalk5!$AA$5=2,Kalk5!AA11),VLOOKUP(F21,Preisliste!C:G,5,FALSE),VLOOKUP(F21,Preisliste!C:G,4,FALSE))</f>
        <v>28.9</v>
      </c>
      <c r="V21" s="353">
        <f>U21*B21</f>
        <v>0</v>
      </c>
      <c r="W21" s="86"/>
      <c r="X21" s="86"/>
      <c r="Y21" s="86"/>
      <c r="Z21" s="143">
        <f>IF(AND(Kalk5!$AA$5=2,Kalk5!$AA$11),(VLOOKUP(F21,Preisliste!C:G,5,FALSE)-VLOOKUP(F21,Preisliste!C:G,4,FALSE))*B21,0)</f>
        <v>0</v>
      </c>
      <c r="AB21" s="86"/>
      <c r="AC21" s="86"/>
      <c r="AD21" s="86"/>
      <c r="AE21" s="86"/>
      <c r="AF21" s="86"/>
      <c r="AG21" s="55">
        <f>IF(AND(AH21&gt;0,AL21&gt;0,AP21&gt;0,AND(Kalk5!$H$28&gt;0,Kalk5!$H$29&gt;Kalk5!$B$1)),1,0)</f>
        <v>0</v>
      </c>
      <c r="AH21" s="66">
        <f>IF(Kalk5!$AA$19=1,1,0)</f>
        <v>0</v>
      </c>
      <c r="AI21" s="55">
        <v>25</v>
      </c>
      <c r="AK21" s="55" t="s">
        <v>22079</v>
      </c>
      <c r="AL21" s="66">
        <f>IF(AND(Kalk5!$AA$18=2,Kalk5!$AF$18=2),2,IF(OR(Kalk5!$AA$18=2,Kalk5!$AF$18=2),1,0))</f>
        <v>0</v>
      </c>
      <c r="AM21" s="55" t="s">
        <v>22094</v>
      </c>
      <c r="AO21" s="55" t="s">
        <v>22079</v>
      </c>
      <c r="AP21" s="66">
        <f>IF(Kalk5!$AI$51=AQ21,1,0)</f>
        <v>1</v>
      </c>
      <c r="AQ21" s="55">
        <v>750</v>
      </c>
    </row>
    <row r="22" spans="2:43" ht="24.95" customHeight="1">
      <c r="B22" s="93">
        <f>IF(AG22=1,AL22,0)*Kalk5!$H$37</f>
        <v>0</v>
      </c>
      <c r="C22" s="60">
        <v>1350</v>
      </c>
      <c r="D22" s="60"/>
      <c r="E22" s="60" t="str">
        <f>VLOOKUP(1600,Sprachindex!$A:$Z,Erhebungsbogen!$Y$20,FALSE)</f>
        <v>[Stk]</v>
      </c>
      <c r="F22" s="60" t="s">
        <v>21962</v>
      </c>
      <c r="G22" s="514" t="str">
        <f>VLOOKUP(1592,Sprachindex!$A:$Z,Erhebungsbogen!$Y$20,FALSE) &amp; IF(AND(Kalk5!$AA$5=2,Kalk5!AA11),", " &amp; VLOOKUP(1645,Sprachindex!$A:$Z,Erhebungsbogen!$Y$20,FALSE) &amp; " " &amp; $U$8,", "&amp; VLOOKUP(1648,Sprachindex!$A:$Z,Erhebungsbogen!$Y$20,FALSE))</f>
        <v>Abdeckung V 25, entgratet, blank</v>
      </c>
      <c r="H22" s="514"/>
      <c r="I22" s="514"/>
      <c r="J22" s="514"/>
      <c r="K22" s="514"/>
      <c r="L22" s="514"/>
      <c r="M22" s="514"/>
      <c r="N22" s="514"/>
      <c r="O22" s="514"/>
      <c r="P22" s="514"/>
      <c r="Q22" s="514"/>
      <c r="R22" s="514"/>
      <c r="S22" s="514"/>
      <c r="T22" s="514"/>
      <c r="U22" s="352">
        <f>IF(AND(Kalk5!$AA$5=2,Kalk5!$AA$11),VLOOKUP(F22,Preisliste!C:G,5,FALSE),VLOOKUP(F22,Preisliste!C:G,4,FALSE))</f>
        <v>33.799999999999997</v>
      </c>
      <c r="V22" s="352">
        <f>U22*B22</f>
        <v>0</v>
      </c>
      <c r="W22" s="86"/>
      <c r="X22" s="86"/>
      <c r="Y22" s="86"/>
      <c r="Z22" s="143">
        <f>IF(AND(Kalk5!$AA$5=2,Kalk5!$AA$11),(VLOOKUP(F22,Preisliste!C:G,5,FALSE)-VLOOKUP(F22,Preisliste!C:G,4,FALSE))*B22,0)</f>
        <v>0</v>
      </c>
      <c r="AB22" s="86"/>
      <c r="AC22" s="86"/>
      <c r="AD22" s="86"/>
      <c r="AE22" s="86"/>
      <c r="AF22" s="86"/>
      <c r="AG22" s="55">
        <f>IF(AND(AH22&gt;0,AL22&gt;0,AP22=1),1,0)</f>
        <v>0</v>
      </c>
      <c r="AH22" s="66">
        <f>IF(Kalk5!$AA$19=1,1,0)</f>
        <v>0</v>
      </c>
      <c r="AI22" s="55">
        <v>25</v>
      </c>
      <c r="AK22" s="55" t="s">
        <v>22079</v>
      </c>
      <c r="AL22" s="66">
        <f>IF(AND(Kalk5!$AA$18=2,Kalk5!$AF$18=2),2,IF(OR(Kalk5!$AA$18=2,Kalk5!$AF$18=2),1,0))</f>
        <v>0</v>
      </c>
      <c r="AM22" s="55" t="s">
        <v>22094</v>
      </c>
      <c r="AO22" s="55" t="s">
        <v>22079</v>
      </c>
      <c r="AP22" s="66">
        <f>IF(Kalk5!$AI$51=AQ22,1,0)</f>
        <v>0</v>
      </c>
      <c r="AQ22" s="55">
        <v>1350</v>
      </c>
    </row>
    <row r="23" spans="2:43" ht="24.95" customHeight="1">
      <c r="B23" s="93">
        <f>IF(AG23=1,AL23,0)*Kalk5!$H$37</f>
        <v>0</v>
      </c>
      <c r="C23" s="60">
        <v>1750</v>
      </c>
      <c r="D23" s="60"/>
      <c r="E23" s="60" t="str">
        <f>VLOOKUP(1600,Sprachindex!$A:$Z,Erhebungsbogen!$Y$20,FALSE)</f>
        <v>[Stk]</v>
      </c>
      <c r="F23" s="60" t="s">
        <v>21986</v>
      </c>
      <c r="G23" s="514" t="str">
        <f>VLOOKUP(1592,Sprachindex!$A:$Z,Erhebungsbogen!$Y$20,FALSE) &amp; IF(AND(Kalk5!$AA$5=2,Kalk5!AA11),", " &amp; VLOOKUP(1645,Sprachindex!$A:$Z,Erhebungsbogen!$Y$20,FALSE) &amp; " " &amp; $U$8,", "&amp; VLOOKUP(1648,Sprachindex!$A:$Z,Erhebungsbogen!$Y$20,FALSE))</f>
        <v>Abdeckung V 25, entgratet, blank</v>
      </c>
      <c r="H23" s="514"/>
      <c r="I23" s="514"/>
      <c r="J23" s="514"/>
      <c r="K23" s="514"/>
      <c r="L23" s="514"/>
      <c r="M23" s="514"/>
      <c r="N23" s="514"/>
      <c r="O23" s="514"/>
      <c r="P23" s="514"/>
      <c r="Q23" s="514"/>
      <c r="R23" s="514"/>
      <c r="S23" s="514"/>
      <c r="T23" s="514"/>
      <c r="U23" s="352">
        <f>IF(AND(Kalk5!$AA$5=2,Kalk5!$AA$11),VLOOKUP(F23,Preisliste!C:G,5,FALSE),VLOOKUP(F23,Preisliste!C:G,4,FALSE))</f>
        <v>45.4</v>
      </c>
      <c r="V23" s="352">
        <f t="shared" ref="V23:V48" si="0">U23*B23</f>
        <v>0</v>
      </c>
      <c r="W23" s="86"/>
      <c r="X23" s="86"/>
      <c r="Y23" s="86"/>
      <c r="Z23" s="143">
        <f>IF(AND(Kalk5!$AA$5=2,Kalk5!$AA$11),(VLOOKUP(F23,Preisliste!C:G,5,FALSE)-VLOOKUP(F23,Preisliste!C:G,4,FALSE))*B23,0)</f>
        <v>0</v>
      </c>
      <c r="AB23" s="86"/>
      <c r="AC23" s="86"/>
      <c r="AD23" s="86"/>
      <c r="AE23" s="86"/>
      <c r="AF23" s="86"/>
      <c r="AG23" s="55">
        <f t="shared" ref="AG23:AG44" si="1">IF(AND(AH23&gt;0,AL23&gt;0,AP23=1),1,0)</f>
        <v>0</v>
      </c>
      <c r="AH23" s="66">
        <f>IF(Kalk5!$AA$19=1,1,0)</f>
        <v>0</v>
      </c>
      <c r="AI23" s="55">
        <v>25</v>
      </c>
      <c r="AK23" s="55" t="s">
        <v>22079</v>
      </c>
      <c r="AL23" s="66">
        <f>IF(AND(Kalk5!$AA$18=2,Kalk5!$AF$18=2),2,IF(OR(Kalk5!$AA$18=2,Kalk5!$AF$18=2),1,0))</f>
        <v>0</v>
      </c>
      <c r="AM23" s="55" t="s">
        <v>22094</v>
      </c>
      <c r="AO23" s="55" t="s">
        <v>22079</v>
      </c>
      <c r="AP23" s="66">
        <f>IF(Kalk5!$AI$51=AQ23,1,0)</f>
        <v>0</v>
      </c>
      <c r="AQ23" s="55">
        <v>1750</v>
      </c>
    </row>
    <row r="24" spans="2:43" ht="24.95" customHeight="1">
      <c r="B24" s="93">
        <f>IF(AG24=1,AL24,0)*Kalk5!$H$37</f>
        <v>0</v>
      </c>
      <c r="C24" s="60">
        <v>2150</v>
      </c>
      <c r="D24" s="60"/>
      <c r="E24" s="60" t="str">
        <f>VLOOKUP(1600,Sprachindex!$A:$Z,Erhebungsbogen!$Y$20,FALSE)</f>
        <v>[Stk]</v>
      </c>
      <c r="F24" s="60" t="s">
        <v>21987</v>
      </c>
      <c r="G24" s="514" t="str">
        <f>VLOOKUP(1592,Sprachindex!$A:$Z,Erhebungsbogen!$Y$20,FALSE) &amp; IF(AND(Kalk5!$AA$5=2,Kalk5!AA11),", " &amp; VLOOKUP(1645,Sprachindex!$A:$Z,Erhebungsbogen!$Y$20,FALSE) &amp; " " &amp; $U$8,", "&amp; VLOOKUP(1648,Sprachindex!$A:$Z,Erhebungsbogen!$Y$20,FALSE))</f>
        <v>Abdeckung V 25, entgratet, blank</v>
      </c>
      <c r="H24" s="514"/>
      <c r="I24" s="514"/>
      <c r="J24" s="514"/>
      <c r="K24" s="514"/>
      <c r="L24" s="514"/>
      <c r="M24" s="514"/>
      <c r="N24" s="514"/>
      <c r="O24" s="514"/>
      <c r="P24" s="514"/>
      <c r="Q24" s="514"/>
      <c r="R24" s="514"/>
      <c r="S24" s="514"/>
      <c r="T24" s="514"/>
      <c r="U24" s="352">
        <f>IF(AND(Kalk5!$AA$5=2,Kalk5!$AA$11),VLOOKUP(F24,Preisliste!C:G,5,FALSE),VLOOKUP(F24,Preisliste!C:G,4,FALSE))</f>
        <v>57.9</v>
      </c>
      <c r="V24" s="352">
        <f t="shared" si="0"/>
        <v>0</v>
      </c>
      <c r="W24" s="86"/>
      <c r="Y24" s="86"/>
      <c r="Z24" s="143">
        <f>IF(AND(Kalk5!$AA$5=2,Kalk5!$AA$11),(VLOOKUP(F24,Preisliste!C:G,5,FALSE)-VLOOKUP(F24,Preisliste!C:G,4,FALSE))*B24,0)</f>
        <v>0</v>
      </c>
      <c r="AB24" s="86"/>
      <c r="AC24" s="86"/>
      <c r="AD24" s="86"/>
      <c r="AE24" s="86"/>
      <c r="AF24" s="86"/>
      <c r="AG24" s="55">
        <f t="shared" si="1"/>
        <v>0</v>
      </c>
      <c r="AH24" s="66">
        <f>IF(Kalk5!$AA$19=1,1,0)</f>
        <v>0</v>
      </c>
      <c r="AI24" s="55">
        <v>25</v>
      </c>
      <c r="AK24" s="55" t="s">
        <v>22079</v>
      </c>
      <c r="AL24" s="66">
        <f>IF(AND(Kalk5!$AA$18=2,Kalk5!$AF$18=2),2,IF(OR(Kalk5!$AA$18=2,Kalk5!$AF$18=2),1,0))</f>
        <v>0</v>
      </c>
      <c r="AM24" s="55" t="s">
        <v>22094</v>
      </c>
      <c r="AO24" s="55" t="s">
        <v>22079</v>
      </c>
      <c r="AP24" s="66">
        <f>IF(Kalk5!$AI$51=AQ24,1,0)</f>
        <v>0</v>
      </c>
      <c r="AQ24" s="55">
        <v>2150</v>
      </c>
    </row>
    <row r="25" spans="2:43" ht="24.95" customHeight="1">
      <c r="B25" s="93">
        <f>IF(AG25=1,AL25,0)*Kalk5!$H$37</f>
        <v>0</v>
      </c>
      <c r="C25" s="60">
        <v>750</v>
      </c>
      <c r="D25" s="60"/>
      <c r="E25" s="60" t="str">
        <f>VLOOKUP(1600,Sprachindex!$A:$Z,Erhebungsbogen!$Y$20,FALSE)</f>
        <v>[Stk]</v>
      </c>
      <c r="F25" s="60" t="s">
        <v>21963</v>
      </c>
      <c r="G25" s="514" t="str">
        <f>VLOOKUP(1610,Sprachindex!$A:$Z,Erhebungsbogen!$Y$20,FALSE) &amp; IF(AND(Kalk5!$AA$5=2,Kalk5!AA11),", " &amp; VLOOKUP(1645,Sprachindex!$A:$Z,Erhebungsbogen!$Y$20,FALSE) &amp; " " &amp; $U$8,", "&amp; VLOOKUP(1648,Sprachindex!$A:$Z,Erhebungsbogen!$Y$20,FALSE))</f>
        <v>Abdeckung V 50, gebohrt und entgratet, blank</v>
      </c>
      <c r="H25" s="514"/>
      <c r="I25" s="514"/>
      <c r="J25" s="514"/>
      <c r="K25" s="514"/>
      <c r="L25" s="514"/>
      <c r="M25" s="514"/>
      <c r="N25" s="514"/>
      <c r="O25" s="514"/>
      <c r="P25" s="514"/>
      <c r="Q25" s="514"/>
      <c r="R25" s="514"/>
      <c r="S25" s="514"/>
      <c r="T25" s="514"/>
      <c r="U25" s="352">
        <f>IF(AND(Kalk5!$AA$5=2,Kalk5!$AA$11),VLOOKUP(F25,Preisliste!C:G,5,FALSE),VLOOKUP(F25,Preisliste!C:G,4,FALSE))</f>
        <v>27.8</v>
      </c>
      <c r="V25" s="352">
        <f t="shared" si="0"/>
        <v>0</v>
      </c>
      <c r="W25" s="86"/>
      <c r="X25" s="86"/>
      <c r="Y25" s="86"/>
      <c r="Z25" s="143">
        <f>IF(AND(Kalk5!$AA$5=2,Kalk5!$AA$11),(VLOOKUP(F25,Preisliste!C:G,5,FALSE)-VLOOKUP(F25,Preisliste!C:G,4,FALSE))*B25,0)</f>
        <v>0</v>
      </c>
      <c r="AB25" s="86"/>
      <c r="AC25" s="86"/>
      <c r="AD25" s="86"/>
      <c r="AE25" s="86"/>
      <c r="AF25" s="86"/>
      <c r="AG25" s="55">
        <f t="shared" si="1"/>
        <v>0</v>
      </c>
      <c r="AH25" s="66">
        <f>IF(OR(Kalk5!$AA$19=2,Kalk5!$AA$19=3),1,0)</f>
        <v>1</v>
      </c>
      <c r="AI25" s="55">
        <v>50</v>
      </c>
      <c r="AK25" s="55" t="s">
        <v>22079</v>
      </c>
      <c r="AL25" s="66">
        <f>IF(AND(Kalk5!$AA$18=2,Kalk5!$AF$18=2),2,IF(OR(Kalk5!$AA$18=2,Kalk5!$AF$18=2),1,0))</f>
        <v>0</v>
      </c>
      <c r="AM25" s="55" t="s">
        <v>22094</v>
      </c>
      <c r="AO25" s="55" t="s">
        <v>22079</v>
      </c>
      <c r="AP25" s="66">
        <f>IF(Kalk5!$AI$51=AQ25,1,0)</f>
        <v>1</v>
      </c>
      <c r="AQ25" s="55">
        <v>750</v>
      </c>
    </row>
    <row r="26" spans="2:43" ht="24.95" customHeight="1">
      <c r="B26" s="93">
        <f>IF(AG26=1,AL26,0)*Kalk5!$H$37</f>
        <v>0</v>
      </c>
      <c r="C26" s="60">
        <v>1350</v>
      </c>
      <c r="D26" s="60"/>
      <c r="E26" s="60" t="str">
        <f>VLOOKUP(1600,Sprachindex!$A:$Z,Erhebungsbogen!$Y$20,FALSE)</f>
        <v>[Stk]</v>
      </c>
      <c r="F26" s="60" t="s">
        <v>21964</v>
      </c>
      <c r="G26" s="514" t="str">
        <f>VLOOKUP(1610,Sprachindex!$A:$Z,Erhebungsbogen!$Y$20,FALSE) &amp; IF(AND(Kalk5!$AA$5=2,Kalk5!AA11),", " &amp; VLOOKUP(1645,Sprachindex!$A:$Z,Erhebungsbogen!$Y$20,FALSE) &amp; " " &amp; $U$8,", "&amp; VLOOKUP(1648,Sprachindex!$A:$Z,Erhebungsbogen!$Y$20,FALSE))</f>
        <v>Abdeckung V 50, gebohrt und entgratet, blank</v>
      </c>
      <c r="H26" s="514"/>
      <c r="I26" s="514"/>
      <c r="J26" s="514"/>
      <c r="K26" s="514"/>
      <c r="L26" s="514"/>
      <c r="M26" s="514"/>
      <c r="N26" s="514"/>
      <c r="O26" s="514"/>
      <c r="P26" s="514"/>
      <c r="Q26" s="514"/>
      <c r="R26" s="514"/>
      <c r="S26" s="514"/>
      <c r="T26" s="514"/>
      <c r="U26" s="352">
        <f>IF(AND(Kalk5!$AA$5=2,Kalk5!$AA$11),VLOOKUP(F26,Preisliste!C:G,5,FALSE),VLOOKUP(F26,Preisliste!C:G,4,FALSE))</f>
        <v>33.65</v>
      </c>
      <c r="V26" s="352">
        <f t="shared" si="0"/>
        <v>0</v>
      </c>
      <c r="W26" s="86"/>
      <c r="X26" s="86"/>
      <c r="Y26" s="86"/>
      <c r="Z26" s="143">
        <f>IF(AND(Kalk5!$AA$5=2,Kalk5!$AA$11),(VLOOKUP(F26,Preisliste!C:G,5,FALSE)-VLOOKUP(F26,Preisliste!C:G,4,FALSE))*B26,0)</f>
        <v>0</v>
      </c>
      <c r="AB26" s="86"/>
      <c r="AC26" s="86"/>
      <c r="AD26" s="86"/>
      <c r="AE26" s="86"/>
      <c r="AF26" s="86"/>
      <c r="AG26" s="55">
        <f t="shared" si="1"/>
        <v>0</v>
      </c>
      <c r="AH26" s="66">
        <f>IF(OR(Kalk5!$AA$19=2,Kalk5!$AA$19=3),1,0)</f>
        <v>1</v>
      </c>
      <c r="AI26" s="55">
        <v>50</v>
      </c>
      <c r="AK26" s="55" t="s">
        <v>22079</v>
      </c>
      <c r="AL26" s="66">
        <f>IF(AND(Kalk5!$AA$18=2,Kalk5!$AF$18=2),2,IF(OR(Kalk5!$AA$18=2,Kalk5!$AF$18=2),1,0))</f>
        <v>0</v>
      </c>
      <c r="AM26" s="55" t="s">
        <v>22094</v>
      </c>
      <c r="AO26" s="55" t="s">
        <v>22079</v>
      </c>
      <c r="AP26" s="66">
        <f>IF(Kalk5!$AI$51=AQ26,1,0)</f>
        <v>0</v>
      </c>
      <c r="AQ26" s="55">
        <v>1350</v>
      </c>
    </row>
    <row r="27" spans="2:43" ht="24.95" customHeight="1">
      <c r="B27" s="93">
        <f>IF(AG27=1,AL27,0)*Kalk5!$H$37</f>
        <v>0</v>
      </c>
      <c r="C27" s="60">
        <v>1750</v>
      </c>
      <c r="D27" s="60"/>
      <c r="E27" s="60" t="str">
        <f>VLOOKUP(1600,Sprachindex!$A:$Z,Erhebungsbogen!$Y$20,FALSE)</f>
        <v>[Stk]</v>
      </c>
      <c r="F27" s="60" t="s">
        <v>21965</v>
      </c>
      <c r="G27" s="514" t="str">
        <f>VLOOKUP(1610,Sprachindex!$A:$Z,Erhebungsbogen!$Y$20,FALSE) &amp; IF(AND(Kalk5!$AA$5=2,Kalk5!AA11),", " &amp; VLOOKUP(1645,Sprachindex!$A:$Z,Erhebungsbogen!$Y$20,FALSE) &amp; " " &amp; $U$8,", "&amp; VLOOKUP(1648,Sprachindex!$A:$Z,Erhebungsbogen!$Y$20,FALSE))</f>
        <v>Abdeckung V 50, gebohrt und entgratet, blank</v>
      </c>
      <c r="H27" s="514"/>
      <c r="I27" s="514"/>
      <c r="J27" s="514"/>
      <c r="K27" s="514"/>
      <c r="L27" s="514"/>
      <c r="M27" s="514"/>
      <c r="N27" s="514"/>
      <c r="O27" s="514"/>
      <c r="P27" s="514"/>
      <c r="Q27" s="514"/>
      <c r="R27" s="514"/>
      <c r="S27" s="514"/>
      <c r="T27" s="514"/>
      <c r="U27" s="352">
        <f>IF(AND(Kalk5!$AA$5=2,Kalk5!$AA$11),VLOOKUP(F27,Preisliste!C:G,5,FALSE),VLOOKUP(F27,Preisliste!C:G,4,FALSE))</f>
        <v>37.5</v>
      </c>
      <c r="V27" s="352">
        <f t="shared" si="0"/>
        <v>0</v>
      </c>
      <c r="W27" s="86"/>
      <c r="X27" s="86"/>
      <c r="Y27" s="86"/>
      <c r="Z27" s="143">
        <f>IF(AND(Kalk5!$AA$5=2,Kalk5!$AA$11),(VLOOKUP(F27,Preisliste!C:G,5,FALSE)-VLOOKUP(F27,Preisliste!C:G,4,FALSE))*B27,0)</f>
        <v>0</v>
      </c>
      <c r="AB27" s="86"/>
      <c r="AC27" s="86"/>
      <c r="AD27" s="86"/>
      <c r="AE27" s="86"/>
      <c r="AF27" s="86"/>
      <c r="AG27" s="55">
        <f t="shared" si="1"/>
        <v>0</v>
      </c>
      <c r="AH27" s="66">
        <f>IF(OR(Kalk5!$AA$19=2,Kalk5!$AA$19=3),1,0)</f>
        <v>1</v>
      </c>
      <c r="AI27" s="55">
        <v>50</v>
      </c>
      <c r="AK27" s="55" t="s">
        <v>22079</v>
      </c>
      <c r="AL27" s="66">
        <f>IF(AND(Kalk5!$AA$18=2,Kalk5!$AF$18=2),2,IF(OR(Kalk5!$AA$18=2,Kalk5!$AF$18=2),1,0))</f>
        <v>0</v>
      </c>
      <c r="AM27" s="55" t="s">
        <v>22094</v>
      </c>
      <c r="AO27" s="55" t="s">
        <v>22079</v>
      </c>
      <c r="AP27" s="66">
        <f>IF(Kalk5!$AI$51=AQ27,1,0)</f>
        <v>0</v>
      </c>
      <c r="AQ27" s="55">
        <v>1750</v>
      </c>
    </row>
    <row r="28" spans="2:43" ht="24.95" customHeight="1">
      <c r="B28" s="93">
        <f>IF(AG28=1,AL28,0)*Kalk5!$H$37</f>
        <v>0</v>
      </c>
      <c r="C28" s="60">
        <v>2150</v>
      </c>
      <c r="D28" s="60"/>
      <c r="E28" s="60" t="str">
        <f>VLOOKUP(1600,Sprachindex!$A:$Z,Erhebungsbogen!$Y$20,FALSE)</f>
        <v>[Stk]</v>
      </c>
      <c r="F28" s="60" t="s">
        <v>21966</v>
      </c>
      <c r="G28" s="514" t="str">
        <f>VLOOKUP(1610,Sprachindex!$A:$Z,Erhebungsbogen!$Y$20,FALSE) &amp; IF(AND(Kalk5!$AA$5=2,Kalk5!AA11),", " &amp; VLOOKUP(1645,Sprachindex!$A:$Z,Erhebungsbogen!$Y$20,FALSE) &amp; " " &amp; $U$8,", "&amp; VLOOKUP(1648,Sprachindex!$A:$Z,Erhebungsbogen!$Y$20,FALSE))</f>
        <v>Abdeckung V 50, gebohrt und entgratet, blank</v>
      </c>
      <c r="H28" s="514"/>
      <c r="I28" s="514"/>
      <c r="J28" s="514"/>
      <c r="K28" s="514"/>
      <c r="L28" s="514"/>
      <c r="M28" s="514"/>
      <c r="N28" s="514"/>
      <c r="O28" s="514"/>
      <c r="P28" s="514"/>
      <c r="Q28" s="514"/>
      <c r="R28" s="514"/>
      <c r="S28" s="514"/>
      <c r="T28" s="514"/>
      <c r="U28" s="352">
        <f>IF(AND(Kalk5!$AA$5=2,Kalk5!$AA$11),VLOOKUP(F28,Preisliste!C:G,5,FALSE),VLOOKUP(F28,Preisliste!C:G,4,FALSE))</f>
        <v>41.4</v>
      </c>
      <c r="V28" s="352">
        <f t="shared" si="0"/>
        <v>0</v>
      </c>
      <c r="W28" s="86"/>
      <c r="X28" s="86"/>
      <c r="Y28" s="86"/>
      <c r="Z28" s="143">
        <f>IF(AND(Kalk5!$AA$5=2,Kalk5!$AA$11),(VLOOKUP(F28,Preisliste!C:G,5,FALSE)-VLOOKUP(F28,Preisliste!C:G,4,FALSE))*B28,0)</f>
        <v>0</v>
      </c>
      <c r="AB28" s="86"/>
      <c r="AC28" s="86"/>
      <c r="AD28" s="86"/>
      <c r="AE28" s="86"/>
      <c r="AF28" s="86"/>
      <c r="AG28" s="55">
        <f t="shared" si="1"/>
        <v>0</v>
      </c>
      <c r="AH28" s="66">
        <f>IF(OR(Kalk5!$AA$19=2,Kalk5!$AA$19=3),1,0)</f>
        <v>1</v>
      </c>
      <c r="AI28" s="55">
        <v>50</v>
      </c>
      <c r="AK28" s="55" t="s">
        <v>22079</v>
      </c>
      <c r="AL28" s="66">
        <f>IF(AND(Kalk5!$AA$18=2,Kalk5!$AF$18=2),2,IF(OR(Kalk5!$AA$18=2,Kalk5!$AF$18=2),1,0))</f>
        <v>0</v>
      </c>
      <c r="AM28" s="55" t="s">
        <v>22094</v>
      </c>
      <c r="AO28" s="55" t="s">
        <v>22079</v>
      </c>
      <c r="AP28" s="66">
        <f>IF(Kalk5!$AI$51=AQ28,1,0)</f>
        <v>0</v>
      </c>
      <c r="AQ28" s="55">
        <v>2150</v>
      </c>
    </row>
    <row r="29" spans="2:43" ht="24.95" customHeight="1">
      <c r="B29" s="93">
        <f>IF(AG29=1,AL29,0)*Kalk5!$H$37</f>
        <v>0</v>
      </c>
      <c r="C29" s="60">
        <v>750</v>
      </c>
      <c r="D29" s="60"/>
      <c r="E29" s="60" t="str">
        <f>VLOOKUP(1600,Sprachindex!$A:$Z,Erhebungsbogen!$Y$20,FALSE)</f>
        <v>[Stk]</v>
      </c>
      <c r="F29" s="60" t="s">
        <v>21967</v>
      </c>
      <c r="G29" s="514" t="str">
        <f>VLOOKUP(1611,Sprachindex!$A:$Z,Erhebungsbogen!$Y$20,FALSE) &amp; IF(AND(Kalk5!$AA$5=2,Kalk5!AA11),", " &amp; VLOOKUP(1645,Sprachindex!$A:$Z,Erhebungsbogen!$Y$20,FALSE) &amp; " " &amp; $U$8,", "&amp; VLOOKUP(1648,Sprachindex!$A:$Z,Erhebungsbogen!$Y$20,FALSE))</f>
        <v>Abdeckung V 80, gebohrt und entgratet, blank</v>
      </c>
      <c r="H29" s="514"/>
      <c r="I29" s="514"/>
      <c r="J29" s="514"/>
      <c r="K29" s="514"/>
      <c r="L29" s="514"/>
      <c r="M29" s="514"/>
      <c r="N29" s="514"/>
      <c r="O29" s="514"/>
      <c r="P29" s="514"/>
      <c r="Q29" s="514"/>
      <c r="R29" s="514"/>
      <c r="S29" s="514"/>
      <c r="T29" s="514"/>
      <c r="U29" s="352">
        <f>IF(AND(Kalk5!$AA$5=2,Kalk5!$AA$11),VLOOKUP(F29,Preisliste!C:G,5,FALSE),VLOOKUP(F29,Preisliste!C:G,4,FALSE))</f>
        <v>34.950000000000003</v>
      </c>
      <c r="V29" s="352">
        <f t="shared" si="0"/>
        <v>0</v>
      </c>
      <c r="W29" s="86"/>
      <c r="X29" s="86"/>
      <c r="Y29" s="86"/>
      <c r="Z29" s="143">
        <f>IF(AND(Kalk5!$AA$5=2,Kalk5!$AA$11),(VLOOKUP(F29,Preisliste!C:G,5,FALSE)-VLOOKUP(F29,Preisliste!C:G,4,FALSE))*B29,0)</f>
        <v>0</v>
      </c>
      <c r="AB29" s="86"/>
      <c r="AC29" s="86"/>
      <c r="AD29" s="86"/>
      <c r="AE29" s="86"/>
      <c r="AF29" s="86"/>
      <c r="AG29" s="55">
        <f t="shared" si="1"/>
        <v>0</v>
      </c>
      <c r="AH29" s="66">
        <f>IF(Kalk5!$AA$19=4,1,0)</f>
        <v>0</v>
      </c>
      <c r="AI29" s="55">
        <v>80</v>
      </c>
      <c r="AK29" s="55" t="s">
        <v>22079</v>
      </c>
      <c r="AL29" s="66">
        <f>IF(AND(Kalk5!$AA$18=2,Kalk5!$AF$18=2),2,IF(OR(Kalk5!$AA$18=2,Kalk5!$AF$18=2),1,0))</f>
        <v>0</v>
      </c>
      <c r="AM29" s="55" t="s">
        <v>22094</v>
      </c>
      <c r="AO29" s="55" t="s">
        <v>22079</v>
      </c>
      <c r="AP29" s="66">
        <f>IF(Kalk5!$AI$51=AQ29,1,0)</f>
        <v>1</v>
      </c>
      <c r="AQ29" s="55">
        <v>750</v>
      </c>
    </row>
    <row r="30" spans="2:43" ht="24.95" customHeight="1">
      <c r="B30" s="93">
        <f>IF(AG30=1,AL30,0)*Kalk5!$H$37</f>
        <v>0</v>
      </c>
      <c r="C30" s="60">
        <v>1350</v>
      </c>
      <c r="D30" s="60"/>
      <c r="E30" s="60" t="str">
        <f>VLOOKUP(1600,Sprachindex!$A:$Z,Erhebungsbogen!$Y$20,FALSE)</f>
        <v>[Stk]</v>
      </c>
      <c r="F30" s="60" t="s">
        <v>21968</v>
      </c>
      <c r="G30" s="514" t="str">
        <f>VLOOKUP(1611,Sprachindex!$A:$Z,Erhebungsbogen!$Y$20,FALSE) &amp; IF(AND(Kalk5!$AA$5=2,Kalk5!AA11),", " &amp; VLOOKUP(1645,Sprachindex!$A:$Z,Erhebungsbogen!$Y$20,FALSE) &amp; " " &amp; $U$8,", "&amp; VLOOKUP(1648,Sprachindex!$A:$Z,Erhebungsbogen!$Y$20,FALSE))</f>
        <v>Abdeckung V 80, gebohrt und entgratet, blank</v>
      </c>
      <c r="H30" s="514"/>
      <c r="I30" s="514"/>
      <c r="J30" s="514"/>
      <c r="K30" s="514"/>
      <c r="L30" s="514"/>
      <c r="M30" s="514"/>
      <c r="N30" s="514"/>
      <c r="O30" s="514"/>
      <c r="P30" s="514"/>
      <c r="Q30" s="514"/>
      <c r="R30" s="514"/>
      <c r="S30" s="514"/>
      <c r="T30" s="514"/>
      <c r="U30" s="352">
        <f>IF(AND(Kalk5!$AA$5=2,Kalk5!$AA$11),VLOOKUP(F30,Preisliste!C:G,5,FALSE),VLOOKUP(F30,Preisliste!C:G,4,FALSE))</f>
        <v>46.4</v>
      </c>
      <c r="V30" s="352">
        <f t="shared" si="0"/>
        <v>0</v>
      </c>
      <c r="W30" s="86"/>
      <c r="X30" s="86"/>
      <c r="Y30" s="86"/>
      <c r="Z30" s="143">
        <f>IF(AND(Kalk5!$AA$5=2,Kalk5!$AA$11),(VLOOKUP(F30,Preisliste!C:G,5,FALSE)-VLOOKUP(F30,Preisliste!C:G,4,FALSE))*B30,0)</f>
        <v>0</v>
      </c>
      <c r="AB30" s="86"/>
      <c r="AC30" s="86"/>
      <c r="AD30" s="86"/>
      <c r="AE30" s="86"/>
      <c r="AF30" s="86"/>
      <c r="AG30" s="55">
        <f t="shared" si="1"/>
        <v>0</v>
      </c>
      <c r="AH30" s="66">
        <f>IF(Kalk5!$AA$19=4,1,0)</f>
        <v>0</v>
      </c>
      <c r="AI30" s="55">
        <v>80</v>
      </c>
      <c r="AK30" s="55" t="s">
        <v>22079</v>
      </c>
      <c r="AL30" s="66">
        <f>IF(AND(Kalk5!$AA$18=2,Kalk5!$AF$18=2),2,IF(OR(Kalk5!$AA$18=2,Kalk5!$AF$18=2),1,0))</f>
        <v>0</v>
      </c>
      <c r="AM30" s="55" t="s">
        <v>22094</v>
      </c>
      <c r="AO30" s="55" t="s">
        <v>22079</v>
      </c>
      <c r="AP30" s="66">
        <f>IF(Kalk5!$AI$51=AQ30,1,0)</f>
        <v>0</v>
      </c>
      <c r="AQ30" s="55">
        <v>1350</v>
      </c>
    </row>
    <row r="31" spans="2:43" ht="24.95" customHeight="1">
      <c r="B31" s="93">
        <f>IF(AG31=1,AL31,0)*Kalk5!$H$37</f>
        <v>0</v>
      </c>
      <c r="C31" s="60">
        <v>1750</v>
      </c>
      <c r="D31" s="60"/>
      <c r="E31" s="60" t="str">
        <f>VLOOKUP(1600,Sprachindex!$A:$Z,Erhebungsbogen!$Y$20,FALSE)</f>
        <v>[Stk]</v>
      </c>
      <c r="F31" s="60" t="s">
        <v>21969</v>
      </c>
      <c r="G31" s="514" t="str">
        <f>VLOOKUP(1611,Sprachindex!$A:$Z,Erhebungsbogen!$Y$20,FALSE) &amp; IF(AND(Kalk5!$AA$5=2,Kalk5!AA11),", " &amp; VLOOKUP(1645,Sprachindex!$A:$Z,Erhebungsbogen!$Y$20,FALSE) &amp; " " &amp; $U$8,", "&amp; VLOOKUP(1648,Sprachindex!$A:$Z,Erhebungsbogen!$Y$20,FALSE))</f>
        <v>Abdeckung V 80, gebohrt und entgratet, blank</v>
      </c>
      <c r="H31" s="514"/>
      <c r="I31" s="514"/>
      <c r="J31" s="514"/>
      <c r="K31" s="514"/>
      <c r="L31" s="514"/>
      <c r="M31" s="514"/>
      <c r="N31" s="514"/>
      <c r="O31" s="514"/>
      <c r="P31" s="514"/>
      <c r="Q31" s="514"/>
      <c r="R31" s="514"/>
      <c r="S31" s="514"/>
      <c r="T31" s="514"/>
      <c r="U31" s="352">
        <f>IF(AND(Kalk5!$AA$5=2,Kalk5!$AA$11),VLOOKUP(F31,Preisliste!C:G,5,FALSE),VLOOKUP(F31,Preisliste!C:G,4,FALSE))</f>
        <v>54.05</v>
      </c>
      <c r="V31" s="352">
        <f t="shared" si="0"/>
        <v>0</v>
      </c>
      <c r="W31" s="86"/>
      <c r="X31" s="86"/>
      <c r="Y31" s="86"/>
      <c r="Z31" s="143">
        <f>IF(AND(Kalk5!$AA$5=2,Kalk5!$AA$11),(VLOOKUP(F31,Preisliste!C:G,5,FALSE)-VLOOKUP(F31,Preisliste!C:G,4,FALSE))*B31,0)</f>
        <v>0</v>
      </c>
      <c r="AB31" s="86"/>
      <c r="AC31" s="86"/>
      <c r="AD31" s="86"/>
      <c r="AE31" s="86"/>
      <c r="AF31" s="86"/>
      <c r="AG31" s="55">
        <f t="shared" si="1"/>
        <v>0</v>
      </c>
      <c r="AH31" s="66">
        <f>IF(Kalk5!$AA$19=4,1,0)</f>
        <v>0</v>
      </c>
      <c r="AI31" s="55">
        <v>80</v>
      </c>
      <c r="AK31" s="55" t="s">
        <v>22079</v>
      </c>
      <c r="AL31" s="66">
        <f>IF(AND(Kalk5!$AA$18=2,Kalk5!$AF$18=2),2,IF(OR(Kalk5!$AA$18=2,Kalk5!$AF$18=2),1,0))</f>
        <v>0</v>
      </c>
      <c r="AM31" s="55" t="s">
        <v>22094</v>
      </c>
      <c r="AO31" s="55" t="s">
        <v>22079</v>
      </c>
      <c r="AP31" s="66">
        <f>IF(Kalk5!$AI$51=AQ31,1,0)</f>
        <v>0</v>
      </c>
      <c r="AQ31" s="55">
        <v>1750</v>
      </c>
    </row>
    <row r="32" spans="2:43" ht="24.95" customHeight="1">
      <c r="B32" s="93">
        <f>IF(AG32=1,AL32,0)*Kalk5!$H$37</f>
        <v>0</v>
      </c>
      <c r="C32" s="60">
        <v>2150</v>
      </c>
      <c r="D32" s="60"/>
      <c r="E32" s="60" t="str">
        <f>VLOOKUP(1600,Sprachindex!$A:$Z,Erhebungsbogen!$Y$20,FALSE)</f>
        <v>[Stk]</v>
      </c>
      <c r="F32" s="60" t="s">
        <v>21970</v>
      </c>
      <c r="G32" s="514" t="str">
        <f>VLOOKUP(1611,Sprachindex!$A:$Z,Erhebungsbogen!$Y$20,FALSE) &amp; IF(AND(Kalk5!$AA$5=2,Kalk5!AA11),", " &amp; VLOOKUP(1645,Sprachindex!$A:$Z,Erhebungsbogen!$Y$20,FALSE) &amp; " " &amp; $U$8,", "&amp; VLOOKUP(1648,Sprachindex!$A:$Z,Erhebungsbogen!$Y$20,FALSE))</f>
        <v>Abdeckung V 80, gebohrt und entgratet, blank</v>
      </c>
      <c r="H32" s="514"/>
      <c r="I32" s="514"/>
      <c r="J32" s="514"/>
      <c r="K32" s="514"/>
      <c r="L32" s="514"/>
      <c r="M32" s="514"/>
      <c r="N32" s="514"/>
      <c r="O32" s="514"/>
      <c r="P32" s="514"/>
      <c r="Q32" s="514"/>
      <c r="R32" s="514"/>
      <c r="S32" s="514"/>
      <c r="T32" s="514"/>
      <c r="U32" s="352">
        <f>IF(AND(Kalk5!$AA$5=2,Kalk5!$AA$11),VLOOKUP(F32,Preisliste!C:G,5,FALSE),VLOOKUP(F32,Preisliste!C:G,4,FALSE))</f>
        <v>61.65</v>
      </c>
      <c r="V32" s="352">
        <f t="shared" si="0"/>
        <v>0</v>
      </c>
      <c r="W32" s="86"/>
      <c r="X32" s="86"/>
      <c r="Y32" s="86"/>
      <c r="Z32" s="143">
        <f>IF(AND(Kalk5!$AA$5=2,Kalk5!$AA$11),(VLOOKUP(F32,Preisliste!C:G,5,FALSE)-VLOOKUP(F32,Preisliste!C:G,4,FALSE))*B32,0)</f>
        <v>0</v>
      </c>
      <c r="AB32" s="86"/>
      <c r="AC32" s="86"/>
      <c r="AD32" s="86"/>
      <c r="AE32" s="86"/>
      <c r="AF32" s="86"/>
      <c r="AG32" s="55">
        <f t="shared" si="1"/>
        <v>0</v>
      </c>
      <c r="AH32" s="66">
        <f>IF(Kalk5!$AA$19=4,1,0)</f>
        <v>0</v>
      </c>
      <c r="AI32" s="55">
        <v>80</v>
      </c>
      <c r="AK32" s="55" t="s">
        <v>22079</v>
      </c>
      <c r="AL32" s="66">
        <f>IF(AND(Kalk5!$AA$18=2,Kalk5!$AF$18=2),2,IF(OR(Kalk5!$AA$18=2,Kalk5!$AF$18=2),1,0))</f>
        <v>0</v>
      </c>
      <c r="AM32" s="55" t="s">
        <v>22094</v>
      </c>
      <c r="AO32" s="55" t="s">
        <v>22079</v>
      </c>
      <c r="AP32" s="66">
        <f>IF(Kalk5!$AI$51=AQ32,1,0)</f>
        <v>0</v>
      </c>
      <c r="AQ32" s="55">
        <v>2150</v>
      </c>
    </row>
    <row r="33" spans="2:54" ht="24.95" customHeight="1">
      <c r="B33" s="93">
        <f>IF(AG33=1,AL33,0)*Kalk5!$H$37</f>
        <v>0</v>
      </c>
      <c r="C33" s="60">
        <v>750</v>
      </c>
      <c r="D33" s="60"/>
      <c r="E33" s="60" t="str">
        <f>VLOOKUP(1600,Sprachindex!$A:$Z,Erhebungsbogen!$Y$20,FALSE)</f>
        <v>[Stk]</v>
      </c>
      <c r="F33" s="60" t="s">
        <v>21951</v>
      </c>
      <c r="G33" s="514" t="str">
        <f>VLOOKUP(1593,Sprachindex!$A:$Z,Erhebungsbogen!$Y$20,FALSE) &amp; IF(AND(Kalk5!$AA$5=2,Kalk5!AA11),", " &amp; VLOOKUP(1645,Sprachindex!$A:$Z,Erhebungsbogen!$Y$20,FALSE) &amp; " " &amp; $U$8,", "&amp; VLOOKUP(1648,Sprachindex!$A:$Z,Erhebungsbogen!$Y$20,FALSE))</f>
        <v>Abdeckung VO 25, entgratet, blank</v>
      </c>
      <c r="H33" s="514"/>
      <c r="I33" s="514"/>
      <c r="J33" s="514"/>
      <c r="K33" s="514"/>
      <c r="L33" s="514"/>
      <c r="M33" s="514"/>
      <c r="N33" s="514"/>
      <c r="O33" s="514"/>
      <c r="P33" s="514"/>
      <c r="Q33" s="514"/>
      <c r="R33" s="514"/>
      <c r="S33" s="514"/>
      <c r="T33" s="514"/>
      <c r="U33" s="352">
        <f>IF(AND(Kalk5!$AA$5=2,Kalk5!$AA$11),VLOOKUP(F33,Preisliste!C:G,5,FALSE),VLOOKUP(F33,Preisliste!C:G,4,FALSE))</f>
        <v>103.1</v>
      </c>
      <c r="V33" s="352">
        <f t="shared" si="0"/>
        <v>0</v>
      </c>
      <c r="W33" s="86"/>
      <c r="X33" s="86"/>
      <c r="Y33" s="86"/>
      <c r="Z33" s="143">
        <f>IF(AND(Kalk5!$AA$5=2,Kalk5!$AA$11),(VLOOKUP(F33,Preisliste!C:G,5,FALSE)-VLOOKUP(F33,Preisliste!C:G,4,FALSE))*B33,0)</f>
        <v>0</v>
      </c>
      <c r="AB33" s="86"/>
      <c r="AC33" s="86"/>
      <c r="AD33" s="86"/>
      <c r="AE33" s="86"/>
      <c r="AF33" s="86"/>
      <c r="AG33" s="55">
        <f t="shared" si="1"/>
        <v>0</v>
      </c>
      <c r="AH33" s="66">
        <f>IF(Kalk5!$AA$19=1,1,0)</f>
        <v>0</v>
      </c>
      <c r="AI33" s="55">
        <v>25</v>
      </c>
      <c r="AK33" s="55" t="s">
        <v>22079</v>
      </c>
      <c r="AL33" s="66">
        <f>IF(AND(Kalk5!$AA$18=3,Kalk5!$AF$18=3),2,IF(OR(Kalk5!$AA$18=3,Kalk5!$AF$18=3),1,0))</f>
        <v>0</v>
      </c>
      <c r="AM33" s="55" t="s">
        <v>22095</v>
      </c>
      <c r="AO33" s="55" t="s">
        <v>22079</v>
      </c>
      <c r="AP33" s="66">
        <f>IF(Kalk5!$AI$51=AQ33,1,0)</f>
        <v>1</v>
      </c>
      <c r="AQ33" s="55">
        <v>750</v>
      </c>
    </row>
    <row r="34" spans="2:54" ht="24.95" customHeight="1">
      <c r="B34" s="93">
        <f>IF(AG34=1,AL34,0)*Kalk5!$H$37</f>
        <v>0</v>
      </c>
      <c r="C34" s="60">
        <v>1350</v>
      </c>
      <c r="D34" s="60"/>
      <c r="E34" s="60" t="str">
        <f>VLOOKUP(1600,Sprachindex!$A:$Z,Erhebungsbogen!$Y$20,FALSE)</f>
        <v>[Stk]</v>
      </c>
      <c r="F34" s="60" t="s">
        <v>21952</v>
      </c>
      <c r="G34" s="514" t="str">
        <f>VLOOKUP(1593,Sprachindex!$A:$Z,Erhebungsbogen!$Y$20,FALSE) &amp; IF(AND(Kalk5!$AA$5=2,Kalk5!AA11),", " &amp; VLOOKUP(1645,Sprachindex!$A:$Z,Erhebungsbogen!$Y$20,FALSE) &amp; " " &amp; $U$8,", "&amp; VLOOKUP(1648,Sprachindex!$A:$Z,Erhebungsbogen!$Y$20,FALSE))</f>
        <v>Abdeckung VO 25, entgratet, blank</v>
      </c>
      <c r="H34" s="514"/>
      <c r="I34" s="514"/>
      <c r="J34" s="514"/>
      <c r="K34" s="514"/>
      <c r="L34" s="514"/>
      <c r="M34" s="514"/>
      <c r="N34" s="514"/>
      <c r="O34" s="514"/>
      <c r="P34" s="514"/>
      <c r="Q34" s="514"/>
      <c r="R34" s="514"/>
      <c r="S34" s="514"/>
      <c r="T34" s="514"/>
      <c r="U34" s="352">
        <f>IF(AND(Kalk5!$AA$5=2,Kalk5!$AA$11),VLOOKUP(F34,Preisliste!C:G,5,FALSE),VLOOKUP(F34,Preisliste!C:G,4,FALSE))</f>
        <v>108</v>
      </c>
      <c r="V34" s="352">
        <f t="shared" si="0"/>
        <v>0</v>
      </c>
      <c r="W34" s="86"/>
      <c r="X34" s="86"/>
      <c r="Y34" s="86"/>
      <c r="Z34" s="143">
        <f>IF(AND(Kalk5!$AA$5=2,Kalk5!$AA$11),(VLOOKUP(F34,Preisliste!C:G,5,FALSE)-VLOOKUP(F34,Preisliste!C:G,4,FALSE))*B34,0)</f>
        <v>0</v>
      </c>
      <c r="AB34" s="86"/>
      <c r="AC34" s="86"/>
      <c r="AD34" s="86"/>
      <c r="AE34" s="86"/>
      <c r="AF34" s="86"/>
      <c r="AG34" s="55">
        <f t="shared" si="1"/>
        <v>0</v>
      </c>
      <c r="AH34" s="66">
        <f>IF(Kalk5!$AA$19=1,1,0)</f>
        <v>0</v>
      </c>
      <c r="AI34" s="55">
        <v>25</v>
      </c>
      <c r="AK34" s="55" t="s">
        <v>22079</v>
      </c>
      <c r="AL34" s="66">
        <f>IF(AND(Kalk5!$AA$18=3,Kalk5!$AF$18=3),2,IF(OR(Kalk5!$AA$18=3,Kalk5!$AF$18=3),1,0))</f>
        <v>0</v>
      </c>
      <c r="AM34" s="55" t="s">
        <v>22095</v>
      </c>
      <c r="AO34" s="55" t="s">
        <v>22079</v>
      </c>
      <c r="AP34" s="66">
        <f>IF(Kalk5!$AI$51=AQ34,1,0)</f>
        <v>0</v>
      </c>
      <c r="AQ34" s="55">
        <v>1350</v>
      </c>
    </row>
    <row r="35" spans="2:54" ht="24.95" customHeight="1">
      <c r="B35" s="93">
        <f>IF(AG35=1,AL35,0)*Kalk5!$H$37</f>
        <v>0</v>
      </c>
      <c r="C35" s="60">
        <v>1750</v>
      </c>
      <c r="D35" s="60"/>
      <c r="E35" s="60" t="str">
        <f>VLOOKUP(1600,Sprachindex!$A:$Z,Erhebungsbogen!$Y$20,FALSE)</f>
        <v>[Stk]</v>
      </c>
      <c r="F35" s="60" t="s">
        <v>21988</v>
      </c>
      <c r="G35" s="514" t="str">
        <f>VLOOKUP(1593,Sprachindex!$A:$Z,Erhebungsbogen!$Y$20,FALSE) &amp; IF(AND(Kalk5!$AA$5=2,Kalk5!AA11),", " &amp; VLOOKUP(1645,Sprachindex!$A:$Z,Erhebungsbogen!$Y$20,FALSE) &amp; " " &amp; $U$8,", "&amp; VLOOKUP(1648,Sprachindex!$A:$Z,Erhebungsbogen!$Y$20,FALSE))</f>
        <v>Abdeckung VO 25, entgratet, blank</v>
      </c>
      <c r="H35" s="514"/>
      <c r="I35" s="514"/>
      <c r="J35" s="514"/>
      <c r="K35" s="514"/>
      <c r="L35" s="514"/>
      <c r="M35" s="514"/>
      <c r="N35" s="514"/>
      <c r="O35" s="514"/>
      <c r="P35" s="514"/>
      <c r="Q35" s="514"/>
      <c r="R35" s="514"/>
      <c r="S35" s="514"/>
      <c r="T35" s="514"/>
      <c r="U35" s="352">
        <f>IF(AND(Kalk5!$AA$5=2,Kalk5!$AA$11),VLOOKUP(F35,Preisliste!C:G,5,FALSE),VLOOKUP(F35,Preisliste!C:G,4,FALSE))</f>
        <v>113.85</v>
      </c>
      <c r="V35" s="352">
        <f t="shared" si="0"/>
        <v>0</v>
      </c>
      <c r="W35" s="86"/>
      <c r="X35" s="86"/>
      <c r="Y35" s="86"/>
      <c r="Z35" s="143">
        <f>IF(AND(Kalk5!$AA$5=2,Kalk5!$AA$11),(VLOOKUP(F35,Preisliste!C:G,5,FALSE)-VLOOKUP(F35,Preisliste!C:G,4,FALSE))*B35,0)</f>
        <v>0</v>
      </c>
      <c r="AB35" s="86"/>
      <c r="AC35" s="86"/>
      <c r="AD35" s="86"/>
      <c r="AE35" s="86"/>
      <c r="AF35" s="86"/>
      <c r="AG35" s="55">
        <f t="shared" si="1"/>
        <v>0</v>
      </c>
      <c r="AH35" s="66">
        <f>IF(Kalk5!$AA$19=1,1,0)</f>
        <v>0</v>
      </c>
      <c r="AI35" s="55">
        <v>25</v>
      </c>
      <c r="AK35" s="55" t="s">
        <v>22079</v>
      </c>
      <c r="AL35" s="66">
        <f>IF(AND(Kalk5!$AA$18=3,Kalk5!$AF$18=3),2,IF(OR(Kalk5!$AA$18=3,Kalk5!$AF$18=3),1,0))</f>
        <v>0</v>
      </c>
      <c r="AM35" s="55" t="s">
        <v>22095</v>
      </c>
      <c r="AO35" s="55" t="s">
        <v>22079</v>
      </c>
      <c r="AP35" s="66">
        <f>IF(Kalk5!$AI$51=AQ35,1,0)</f>
        <v>0</v>
      </c>
      <c r="AQ35" s="55">
        <v>1750</v>
      </c>
    </row>
    <row r="36" spans="2:54" ht="24.95" customHeight="1">
      <c r="B36" s="93">
        <f>IF(AG36=1,AL36,0)*Kalk5!$H$37</f>
        <v>0</v>
      </c>
      <c r="C36" s="60">
        <v>2150</v>
      </c>
      <c r="D36" s="60"/>
      <c r="E36" s="60" t="str">
        <f>VLOOKUP(1600,Sprachindex!$A:$Z,Erhebungsbogen!$Y$20,FALSE)</f>
        <v>[Stk]</v>
      </c>
      <c r="F36" s="60" t="s">
        <v>22642</v>
      </c>
      <c r="G36" s="514" t="str">
        <f>VLOOKUP(1593,Sprachindex!$A:$Z,Erhebungsbogen!$Y$20,FALSE) &amp; IF(AND(Kalk5!$AA$5=2,Kalk5!AA11),", " &amp; VLOOKUP(1645,Sprachindex!$A:$Z,Erhebungsbogen!$Y$20,FALSE) &amp; " " &amp; $U$8,", "&amp; VLOOKUP(1648,Sprachindex!$A:$Z,Erhebungsbogen!$Y$20,FALSE))</f>
        <v>Abdeckung VO 25, entgratet, blank</v>
      </c>
      <c r="H36" s="514"/>
      <c r="I36" s="514"/>
      <c r="J36" s="514"/>
      <c r="K36" s="514"/>
      <c r="L36" s="514"/>
      <c r="M36" s="514"/>
      <c r="N36" s="514"/>
      <c r="O36" s="514"/>
      <c r="P36" s="514"/>
      <c r="Q36" s="514"/>
      <c r="R36" s="514"/>
      <c r="S36" s="514"/>
      <c r="T36" s="514"/>
      <c r="U36" s="352">
        <f>IF(AND(Kalk5!$AA$5=2,Kalk5!$AA$11),VLOOKUP(F36,Preisliste!C:G,5,FALSE),VLOOKUP(F36,Preisliste!C:G,4,FALSE))</f>
        <v>119.8</v>
      </c>
      <c r="V36" s="352">
        <f t="shared" si="0"/>
        <v>0</v>
      </c>
      <c r="W36" s="86"/>
      <c r="X36" s="86"/>
      <c r="Y36" s="86"/>
      <c r="Z36" s="143">
        <f>IF(AND(Kalk5!$AA$5=2,Kalk5!$AA$11),(VLOOKUP(F36,Preisliste!C:G,5,FALSE)-VLOOKUP(F36,Preisliste!C:G,4,FALSE))*B36,0)</f>
        <v>0</v>
      </c>
      <c r="AB36" s="86"/>
      <c r="AC36" s="86"/>
      <c r="AD36" s="86"/>
      <c r="AE36" s="86"/>
      <c r="AF36" s="86"/>
      <c r="AG36" s="55">
        <f t="shared" si="1"/>
        <v>0</v>
      </c>
      <c r="AH36" s="66">
        <f>IF(Kalk5!$AA$19=1,1,0)</f>
        <v>0</v>
      </c>
      <c r="AI36" s="55">
        <v>25</v>
      </c>
      <c r="AK36" s="55" t="s">
        <v>22079</v>
      </c>
      <c r="AL36" s="66">
        <f>IF(AND(Kalk5!$AA$18=3,Kalk5!$AF$18=3),2,IF(OR(Kalk5!$AA$18=3,Kalk5!$AF$18=3),1,0))</f>
        <v>0</v>
      </c>
      <c r="AM36" s="55" t="s">
        <v>22095</v>
      </c>
      <c r="AO36" s="55" t="s">
        <v>22079</v>
      </c>
      <c r="AP36" s="66">
        <f>IF(Kalk5!$AI$51=AQ36,1,0)</f>
        <v>0</v>
      </c>
      <c r="AQ36" s="55">
        <v>2150</v>
      </c>
    </row>
    <row r="37" spans="2:54" ht="24.95" customHeight="1">
      <c r="B37" s="93">
        <f>IF(AG37=1,AL37,0)*Kalk5!$H$37</f>
        <v>0</v>
      </c>
      <c r="C37" s="60">
        <v>750</v>
      </c>
      <c r="D37" s="60"/>
      <c r="E37" s="60" t="str">
        <f>VLOOKUP(1600,Sprachindex!$A:$Z,Erhebungsbogen!$Y$20,FALSE)</f>
        <v>[Stk]</v>
      </c>
      <c r="F37" s="60" t="s">
        <v>21953</v>
      </c>
      <c r="G37" s="514" t="str">
        <f>VLOOKUP(1613,Sprachindex!$A:$Z,Erhebungsbogen!$Y$20,FALSE) &amp; IF(AND(Kalk5!$AA$5=2,Kalk5!AA11),", " &amp; VLOOKUP(1645,Sprachindex!$A:$Z,Erhebungsbogen!$Y$20,FALSE) &amp; " " &amp; $U$8,", "&amp; VLOOKUP(1648,Sprachindex!$A:$Z,Erhebungsbogen!$Y$20,FALSE))</f>
        <v>Abdeckung VO 50, gebohrt und entgratet, blank</v>
      </c>
      <c r="H37" s="514"/>
      <c r="I37" s="514"/>
      <c r="J37" s="514"/>
      <c r="K37" s="514"/>
      <c r="L37" s="514"/>
      <c r="M37" s="514"/>
      <c r="N37" s="514"/>
      <c r="O37" s="514"/>
      <c r="P37" s="514"/>
      <c r="Q37" s="514"/>
      <c r="R37" s="514"/>
      <c r="S37" s="514"/>
      <c r="T37" s="514"/>
      <c r="U37" s="352">
        <f>IF(AND(Kalk5!$AA$5=2,Kalk5!$AA$11),VLOOKUP(F37,Preisliste!C:G,5,FALSE),VLOOKUP(F37,Preisliste!C:G,4,FALSE))</f>
        <v>109.25</v>
      </c>
      <c r="V37" s="352">
        <f t="shared" si="0"/>
        <v>0</v>
      </c>
      <c r="W37" s="86"/>
      <c r="X37" s="86"/>
      <c r="Y37" s="86"/>
      <c r="Z37" s="143">
        <f>IF(AND(Kalk5!$AA$5=2,Kalk5!$AA$11),(VLOOKUP(F37,Preisliste!C:G,5,FALSE)-VLOOKUP(F37,Preisliste!C:G,4,FALSE))*B37,0)</f>
        <v>0</v>
      </c>
      <c r="AB37" s="86"/>
      <c r="AC37" s="86"/>
      <c r="AD37" s="86"/>
      <c r="AE37" s="86"/>
      <c r="AF37" s="86"/>
      <c r="AG37" s="55">
        <f t="shared" si="1"/>
        <v>0</v>
      </c>
      <c r="AH37" s="66">
        <f>IF(OR(Kalk5!$AA$19=2,Kalk5!$AA$19=3),1,0)</f>
        <v>1</v>
      </c>
      <c r="AI37" s="55">
        <v>50</v>
      </c>
      <c r="AK37" s="55" t="s">
        <v>22079</v>
      </c>
      <c r="AL37" s="66">
        <f>IF(AND(Kalk5!$AA$18=3,Kalk5!$AF$18=3),2,IF(OR(Kalk5!$AA$18=3,Kalk5!$AF$18=3),1,0))</f>
        <v>0</v>
      </c>
      <c r="AM37" s="55" t="s">
        <v>22095</v>
      </c>
      <c r="AO37" s="55" t="s">
        <v>22079</v>
      </c>
      <c r="AP37" s="66">
        <f>IF(Kalk5!$AI$51=AQ37,1,0)</f>
        <v>1</v>
      </c>
      <c r="AQ37" s="55">
        <v>750</v>
      </c>
    </row>
    <row r="38" spans="2:54" ht="24.95" customHeight="1">
      <c r="B38" s="93">
        <f>IF(AG38=1,AL38,0)*Kalk5!$H$37</f>
        <v>0</v>
      </c>
      <c r="C38" s="60">
        <v>1350</v>
      </c>
      <c r="D38" s="60"/>
      <c r="E38" s="60" t="str">
        <f>VLOOKUP(1600,Sprachindex!$A:$Z,Erhebungsbogen!$Y$20,FALSE)</f>
        <v>[Stk]</v>
      </c>
      <c r="F38" s="60" t="s">
        <v>21954</v>
      </c>
      <c r="G38" s="514" t="str">
        <f>VLOOKUP(1613,Sprachindex!$A:$Z,Erhebungsbogen!$Y$20,FALSE) &amp; IF(AND(Kalk5!$AA$5=2,Kalk5!AA11),", " &amp; VLOOKUP(1645,Sprachindex!$A:$Z,Erhebungsbogen!$Y$20,FALSE) &amp; " " &amp; $U$8,", "&amp; VLOOKUP(1648,Sprachindex!$A:$Z,Erhebungsbogen!$Y$20,FALSE))</f>
        <v>Abdeckung VO 50, gebohrt und entgratet, blank</v>
      </c>
      <c r="H38" s="514"/>
      <c r="I38" s="514"/>
      <c r="J38" s="514"/>
      <c r="K38" s="514"/>
      <c r="L38" s="514"/>
      <c r="M38" s="514"/>
      <c r="N38" s="514"/>
      <c r="O38" s="514"/>
      <c r="P38" s="514"/>
      <c r="Q38" s="514"/>
      <c r="R38" s="514"/>
      <c r="S38" s="514"/>
      <c r="T38" s="514"/>
      <c r="U38" s="352">
        <f>IF(AND(Kalk5!$AA$5=2,Kalk5!$AA$11),VLOOKUP(F38,Preisliste!C:G,5,FALSE),VLOOKUP(F38,Preisliste!C:G,4,FALSE))</f>
        <v>115.25</v>
      </c>
      <c r="V38" s="352">
        <f t="shared" si="0"/>
        <v>0</v>
      </c>
      <c r="W38" s="86"/>
      <c r="X38" s="86"/>
      <c r="Y38" s="86"/>
      <c r="Z38" s="143">
        <f>IF(AND(Kalk5!$AA$5=2,Kalk5!$AA$11),(VLOOKUP(F38,Preisliste!C:G,5,FALSE)-VLOOKUP(F38,Preisliste!C:G,4,FALSE))*B38,0)</f>
        <v>0</v>
      </c>
      <c r="AB38" s="86"/>
      <c r="AC38" s="86"/>
      <c r="AD38" s="86"/>
      <c r="AE38" s="86"/>
      <c r="AF38" s="86"/>
      <c r="AG38" s="55">
        <f t="shared" si="1"/>
        <v>0</v>
      </c>
      <c r="AH38" s="66">
        <f>IF(OR(Kalk5!$AA$19=2,Kalk5!$AA$19=3),1,0)</f>
        <v>1</v>
      </c>
      <c r="AI38" s="55">
        <v>50</v>
      </c>
      <c r="AK38" s="55" t="s">
        <v>22079</v>
      </c>
      <c r="AL38" s="66">
        <f>IF(AND(Kalk5!$AA$18=3,Kalk5!$AF$18=3),2,IF(OR(Kalk5!$AA$18=3,Kalk5!$AF$18=3),1,0))</f>
        <v>0</v>
      </c>
      <c r="AM38" s="55" t="s">
        <v>22095</v>
      </c>
      <c r="AO38" s="55" t="s">
        <v>22079</v>
      </c>
      <c r="AP38" s="66">
        <f>IF(Kalk5!$AI$51=AQ38,1,0)</f>
        <v>0</v>
      </c>
      <c r="AQ38" s="55">
        <v>1350</v>
      </c>
    </row>
    <row r="39" spans="2:54" ht="24.95" customHeight="1">
      <c r="B39" s="93">
        <f>IF(AG39=1,AL39,0)*Kalk5!$H$37</f>
        <v>0</v>
      </c>
      <c r="C39" s="60">
        <v>1750</v>
      </c>
      <c r="D39" s="60"/>
      <c r="E39" s="60" t="str">
        <f>VLOOKUP(1600,Sprachindex!$A:$Z,Erhebungsbogen!$Y$20,FALSE)</f>
        <v>[Stk]</v>
      </c>
      <c r="F39" s="60" t="s">
        <v>21955</v>
      </c>
      <c r="G39" s="514" t="str">
        <f>VLOOKUP(1613,Sprachindex!$A:$Z,Erhebungsbogen!$Y$20,FALSE) &amp; IF(AND(Kalk5!$AA$5=2,Kalk5!AA11),", " &amp; VLOOKUP(1645,Sprachindex!$A:$Z,Erhebungsbogen!$Y$20,FALSE) &amp; " " &amp; $U$8,", "&amp; VLOOKUP(1648,Sprachindex!$A:$Z,Erhebungsbogen!$Y$20,FALSE))</f>
        <v>Abdeckung VO 50, gebohrt und entgratet, blank</v>
      </c>
      <c r="H39" s="514"/>
      <c r="I39" s="514"/>
      <c r="J39" s="514"/>
      <c r="K39" s="514"/>
      <c r="L39" s="514"/>
      <c r="M39" s="514"/>
      <c r="N39" s="514"/>
      <c r="O39" s="514"/>
      <c r="P39" s="514"/>
      <c r="Q39" s="514"/>
      <c r="R39" s="514"/>
      <c r="S39" s="514"/>
      <c r="T39" s="514"/>
      <c r="U39" s="352">
        <f>IF(AND(Kalk5!$AA$5=2,Kalk5!$AA$11),VLOOKUP(F39,Preisliste!C:G,5,FALSE),VLOOKUP(F39,Preisliste!C:G,4,FALSE))</f>
        <v>118.9</v>
      </c>
      <c r="V39" s="352">
        <f t="shared" si="0"/>
        <v>0</v>
      </c>
      <c r="W39" s="86"/>
      <c r="X39" s="86"/>
      <c r="Y39" s="86"/>
      <c r="Z39" s="143">
        <f>IF(AND(Kalk5!$AA$5=2,Kalk5!$AA$11),(VLOOKUP(F39,Preisliste!C:G,5,FALSE)-VLOOKUP(F39,Preisliste!C:G,4,FALSE))*B39,0)</f>
        <v>0</v>
      </c>
      <c r="AB39" s="86"/>
      <c r="AC39" s="86"/>
      <c r="AD39" s="86"/>
      <c r="AE39" s="86"/>
      <c r="AF39" s="86"/>
      <c r="AG39" s="55">
        <f t="shared" si="1"/>
        <v>0</v>
      </c>
      <c r="AH39" s="66">
        <f>IF(OR(Kalk5!$AA$19=2,Kalk5!$AA$19=3),1,0)</f>
        <v>1</v>
      </c>
      <c r="AI39" s="55">
        <v>50</v>
      </c>
      <c r="AK39" s="55" t="s">
        <v>22079</v>
      </c>
      <c r="AL39" s="66">
        <f>IF(AND(Kalk5!$AA$18=3,Kalk5!$AF$18=3),2,IF(OR(Kalk5!$AA$18=3,Kalk5!$AF$18=3),1,0))</f>
        <v>0</v>
      </c>
      <c r="AM39" s="55" t="s">
        <v>22095</v>
      </c>
      <c r="AO39" s="55" t="s">
        <v>22079</v>
      </c>
      <c r="AP39" s="66">
        <f>IF(Kalk5!$AI$51=AQ39,1,0)</f>
        <v>0</v>
      </c>
      <c r="AQ39" s="55">
        <v>1750</v>
      </c>
    </row>
    <row r="40" spans="2:54" ht="24.95" customHeight="1">
      <c r="B40" s="93">
        <f>IF(AG40=1,AL40,0)*Kalk5!$H$37</f>
        <v>0</v>
      </c>
      <c r="C40" s="60">
        <v>2150</v>
      </c>
      <c r="D40" s="60"/>
      <c r="E40" s="60" t="str">
        <f>VLOOKUP(1600,Sprachindex!$A:$Z,Erhebungsbogen!$Y$20,FALSE)</f>
        <v>[Stk]</v>
      </c>
      <c r="F40" s="60" t="s">
        <v>21956</v>
      </c>
      <c r="G40" s="514" t="str">
        <f>VLOOKUP(1613,Sprachindex!$A:$Z,Erhebungsbogen!$Y$20,FALSE) &amp; IF(AND(Kalk5!$AA$5=2,Kalk5!AA11),", " &amp; VLOOKUP(1645,Sprachindex!$A:$Z,Erhebungsbogen!$Y$20,FALSE) &amp; " " &amp; $U$8,", "&amp; VLOOKUP(1648,Sprachindex!$A:$Z,Erhebungsbogen!$Y$20,FALSE))</f>
        <v>Abdeckung VO 50, gebohrt und entgratet, blank</v>
      </c>
      <c r="H40" s="514"/>
      <c r="I40" s="514"/>
      <c r="J40" s="514"/>
      <c r="K40" s="514"/>
      <c r="L40" s="514"/>
      <c r="M40" s="514"/>
      <c r="N40" s="514"/>
      <c r="O40" s="514"/>
      <c r="P40" s="514"/>
      <c r="Q40" s="514"/>
      <c r="R40" s="514"/>
      <c r="S40" s="514"/>
      <c r="T40" s="514"/>
      <c r="U40" s="352">
        <f>IF(AND(Kalk5!$AA$5=2,Kalk5!$AA$11),VLOOKUP(F40,Preisliste!C:G,5,FALSE),VLOOKUP(F40,Preisliste!C:G,4,FALSE))</f>
        <v>122.75</v>
      </c>
      <c r="V40" s="352">
        <f t="shared" si="0"/>
        <v>0</v>
      </c>
      <c r="W40" s="86"/>
      <c r="X40" s="86"/>
      <c r="Y40" s="86"/>
      <c r="Z40" s="143">
        <f>IF(AND(Kalk5!$AA$5=2,Kalk5!$AA$11),(VLOOKUP(F40,Preisliste!C:G,5,FALSE)-VLOOKUP(F40,Preisliste!C:G,4,FALSE))*B40,0)</f>
        <v>0</v>
      </c>
      <c r="AB40" s="86"/>
      <c r="AC40" s="86"/>
      <c r="AD40" s="86"/>
      <c r="AE40" s="86"/>
      <c r="AF40" s="86"/>
      <c r="AG40" s="55">
        <f t="shared" si="1"/>
        <v>0</v>
      </c>
      <c r="AH40" s="66">
        <f>IF(OR(Kalk5!$AA$19=2,Kalk5!$AA$19=3),1,0)</f>
        <v>1</v>
      </c>
      <c r="AI40" s="55">
        <v>50</v>
      </c>
      <c r="AK40" s="55" t="s">
        <v>22079</v>
      </c>
      <c r="AL40" s="66">
        <f>IF(AND(Kalk5!$AA$18=3,Kalk5!$AF$18=3),2,IF(OR(Kalk5!$AA$18=3,Kalk5!$AF$18=3),1,0))</f>
        <v>0</v>
      </c>
      <c r="AM40" s="55" t="s">
        <v>22095</v>
      </c>
      <c r="AO40" s="55" t="s">
        <v>22079</v>
      </c>
      <c r="AP40" s="66">
        <f>IF(Kalk5!$AI$51=AQ40,1,0)</f>
        <v>0</v>
      </c>
      <c r="AQ40" s="55">
        <v>2150</v>
      </c>
    </row>
    <row r="41" spans="2:54" ht="24.95" customHeight="1">
      <c r="B41" s="93">
        <f>IF(AG41=1,AL41,0)*Kalk5!$H$37</f>
        <v>0</v>
      </c>
      <c r="C41" s="60">
        <v>750</v>
      </c>
      <c r="D41" s="60"/>
      <c r="E41" s="60" t="str">
        <f>VLOOKUP(1600,Sprachindex!$A:$Z,Erhebungsbogen!$Y$20,FALSE)</f>
        <v>[Stk]</v>
      </c>
      <c r="F41" s="60" t="s">
        <v>21957</v>
      </c>
      <c r="G41" s="514" t="str">
        <f>VLOOKUP(1614,Sprachindex!$A:$Z,Erhebungsbogen!$Y$20,FALSE) &amp; IF(AND(Kalk5!$AA$5=2,Kalk5!AA11),", " &amp; VLOOKUP(1645,Sprachindex!$A:$Z,Erhebungsbogen!$Y$20,FALSE) &amp; " " &amp; $U$8,", "&amp; VLOOKUP(1648,Sprachindex!$A:$Z,Erhebungsbogen!$Y$20,FALSE))</f>
        <v>Abdeckung VO 80, gebohrt und entgratet, blank</v>
      </c>
      <c r="H41" s="514"/>
      <c r="I41" s="514"/>
      <c r="J41" s="514"/>
      <c r="K41" s="514"/>
      <c r="L41" s="514"/>
      <c r="M41" s="514"/>
      <c r="N41" s="514"/>
      <c r="O41" s="514"/>
      <c r="P41" s="514"/>
      <c r="Q41" s="514"/>
      <c r="R41" s="514"/>
      <c r="S41" s="514"/>
      <c r="T41" s="514"/>
      <c r="U41" s="352">
        <f>IF(AND(Kalk5!$AA$5=2,Kalk5!$AA$11),VLOOKUP(F41,Preisliste!C:G,5,FALSE),VLOOKUP(F41,Preisliste!C:G,4,FALSE))</f>
        <v>116.35</v>
      </c>
      <c r="V41" s="352">
        <f t="shared" si="0"/>
        <v>0</v>
      </c>
      <c r="W41" s="86"/>
      <c r="X41" s="86"/>
      <c r="Y41" s="86"/>
      <c r="Z41" s="143">
        <f>IF(AND(Kalk5!$AA$5=2,Kalk5!$AA$11),(VLOOKUP(F41,Preisliste!C:G,5,FALSE)-VLOOKUP(F41,Preisliste!C:G,4,FALSE))*B41,0)</f>
        <v>0</v>
      </c>
      <c r="AB41" s="86"/>
      <c r="AC41" s="86"/>
      <c r="AD41" s="86"/>
      <c r="AE41" s="86"/>
      <c r="AF41" s="86"/>
      <c r="AG41" s="55">
        <f t="shared" si="1"/>
        <v>0</v>
      </c>
      <c r="AH41" s="66">
        <f>IF(Kalk5!$AA$19=4,1,0)</f>
        <v>0</v>
      </c>
      <c r="AI41" s="55">
        <v>80</v>
      </c>
      <c r="AK41" s="55" t="s">
        <v>22079</v>
      </c>
      <c r="AL41" s="66">
        <f>IF(AND(Kalk5!$AA$18=3,Kalk5!$AF$18=3),2,IF(OR(Kalk5!$AA$18=3,Kalk5!$AF$18=3),1,0))</f>
        <v>0</v>
      </c>
      <c r="AM41" s="55" t="s">
        <v>22095</v>
      </c>
      <c r="AO41" s="55" t="s">
        <v>22079</v>
      </c>
      <c r="AP41" s="66">
        <f>IF(Kalk5!$AI$51=AQ41,1,0)</f>
        <v>1</v>
      </c>
      <c r="AQ41" s="55">
        <v>750</v>
      </c>
    </row>
    <row r="42" spans="2:54" ht="24.95" customHeight="1">
      <c r="B42" s="93">
        <f>IF(AG42=1,AL42,0)*Kalk5!$H$37</f>
        <v>0</v>
      </c>
      <c r="C42" s="60">
        <v>1350</v>
      </c>
      <c r="D42" s="60"/>
      <c r="E42" s="60" t="str">
        <f>VLOOKUP(1600,Sprachindex!$A:$Z,Erhebungsbogen!$Y$20,FALSE)</f>
        <v>[Stk]</v>
      </c>
      <c r="F42" s="60" t="s">
        <v>21958</v>
      </c>
      <c r="G42" s="514" t="str">
        <f>VLOOKUP(1614,Sprachindex!$A:$Z,Erhebungsbogen!$Y$20,FALSE) &amp; IF(AND(Kalk5!$AA$5=2,Kalk5!AA11),", " &amp; VLOOKUP(1645,Sprachindex!$A:$Z,Erhebungsbogen!$Y$20,FALSE) &amp; " " &amp; $U$8,", "&amp; VLOOKUP(1648,Sprachindex!$A:$Z,Erhebungsbogen!$Y$20,FALSE))</f>
        <v>Abdeckung VO 80, gebohrt und entgratet, blank</v>
      </c>
      <c r="H42" s="514"/>
      <c r="I42" s="514"/>
      <c r="J42" s="514"/>
      <c r="K42" s="514"/>
      <c r="L42" s="514"/>
      <c r="M42" s="514"/>
      <c r="N42" s="514"/>
      <c r="O42" s="514"/>
      <c r="P42" s="514"/>
      <c r="Q42" s="514"/>
      <c r="R42" s="514"/>
      <c r="S42" s="514"/>
      <c r="T42" s="514"/>
      <c r="U42" s="352">
        <f>IF(AND(Kalk5!$AA$5=2,Kalk5!$AA$11),VLOOKUP(F42,Preisliste!C:G,5,FALSE),VLOOKUP(F42,Preisliste!C:G,4,FALSE))</f>
        <v>127.7</v>
      </c>
      <c r="V42" s="352">
        <f t="shared" si="0"/>
        <v>0</v>
      </c>
      <c r="W42" s="86"/>
      <c r="X42" s="86"/>
      <c r="Y42" s="86"/>
      <c r="Z42" s="143">
        <f>IF(AND(Kalk5!$AA$5=2,Kalk5!$AA$11),(VLOOKUP(F42,Preisliste!C:G,5,FALSE)-VLOOKUP(F42,Preisliste!C:G,4,FALSE))*B42,0)</f>
        <v>0</v>
      </c>
      <c r="AB42" s="86"/>
      <c r="AC42" s="86"/>
      <c r="AD42" s="86"/>
      <c r="AE42" s="86"/>
      <c r="AF42" s="86"/>
      <c r="AG42" s="55">
        <f t="shared" si="1"/>
        <v>0</v>
      </c>
      <c r="AH42" s="66">
        <f>IF(Kalk5!$AA$19=4,1,0)</f>
        <v>0</v>
      </c>
      <c r="AI42" s="55">
        <v>80</v>
      </c>
      <c r="AK42" s="55" t="s">
        <v>22079</v>
      </c>
      <c r="AL42" s="66">
        <f>IF(AND(Kalk5!$AA$18=3,Kalk5!$AF$18=3),2,IF(OR(Kalk5!$AA$18=3,Kalk5!$AF$18=3),1,0))</f>
        <v>0</v>
      </c>
      <c r="AM42" s="55" t="s">
        <v>22095</v>
      </c>
      <c r="AO42" s="55" t="s">
        <v>22079</v>
      </c>
      <c r="AP42" s="66">
        <f>IF(Kalk5!$AI$51=AQ42,1,0)</f>
        <v>0</v>
      </c>
      <c r="AQ42" s="55">
        <v>1350</v>
      </c>
    </row>
    <row r="43" spans="2:54" ht="24.95" customHeight="1">
      <c r="B43" s="93">
        <f>IF(AG43=1,AL43,0)*Kalk5!$H$37</f>
        <v>0</v>
      </c>
      <c r="C43" s="60">
        <v>1750</v>
      </c>
      <c r="D43" s="60"/>
      <c r="E43" s="60" t="str">
        <f>VLOOKUP(1600,Sprachindex!$A:$Z,Erhebungsbogen!$Y$20,FALSE)</f>
        <v>[Stk]</v>
      </c>
      <c r="F43" s="60" t="s">
        <v>21959</v>
      </c>
      <c r="G43" s="514" t="str">
        <f>VLOOKUP(1614,Sprachindex!$A:$Z,Erhebungsbogen!$Y$20,FALSE) &amp; IF(AND(Kalk5!$AA$5=2,Kalk5!AA11),", " &amp; VLOOKUP(1645,Sprachindex!$A:$Z,Erhebungsbogen!$Y$20,FALSE) &amp; " " &amp; $U$8,", "&amp; VLOOKUP(1648,Sprachindex!$A:$Z,Erhebungsbogen!$Y$20,FALSE))</f>
        <v>Abdeckung VO 80, gebohrt und entgratet, blank</v>
      </c>
      <c r="H43" s="514"/>
      <c r="I43" s="514"/>
      <c r="J43" s="514"/>
      <c r="K43" s="514"/>
      <c r="L43" s="514"/>
      <c r="M43" s="514"/>
      <c r="N43" s="514"/>
      <c r="O43" s="514"/>
      <c r="P43" s="514"/>
      <c r="Q43" s="514"/>
      <c r="R43" s="514"/>
      <c r="S43" s="514"/>
      <c r="T43" s="514"/>
      <c r="U43" s="352">
        <f>IF(AND(Kalk5!$AA$5=2,Kalk5!$AA$11),VLOOKUP(F43,Preisliste!C:G,5,FALSE),VLOOKUP(F43,Preisliste!C:G,4,FALSE))</f>
        <v>135.44999999999999</v>
      </c>
      <c r="V43" s="352">
        <f t="shared" si="0"/>
        <v>0</v>
      </c>
      <c r="W43" s="86"/>
      <c r="X43" s="86"/>
      <c r="Y43" s="86"/>
      <c r="Z43" s="143">
        <f>IF(AND(Kalk5!$AA$5=2,Kalk5!$AA$11),(VLOOKUP(F43,Preisliste!C:G,5,FALSE)-VLOOKUP(F43,Preisliste!C:G,4,FALSE))*B43,0)</f>
        <v>0</v>
      </c>
      <c r="AB43" s="86"/>
      <c r="AC43" s="86"/>
      <c r="AD43" s="86"/>
      <c r="AE43" s="86"/>
      <c r="AF43" s="86"/>
      <c r="AG43" s="55">
        <f t="shared" si="1"/>
        <v>0</v>
      </c>
      <c r="AH43" s="66">
        <f>IF(Kalk5!$AA$19=4,1,0)</f>
        <v>0</v>
      </c>
      <c r="AI43" s="55">
        <v>80</v>
      </c>
      <c r="AK43" s="55" t="s">
        <v>22079</v>
      </c>
      <c r="AL43" s="66">
        <f>IF(AND(Kalk5!$AA$18=3,Kalk5!$AF$18=3),2,IF(OR(Kalk5!$AA$18=3,Kalk5!$AF$18=3),1,0))</f>
        <v>0</v>
      </c>
      <c r="AM43" s="55" t="s">
        <v>22095</v>
      </c>
      <c r="AO43" s="55" t="s">
        <v>22079</v>
      </c>
      <c r="AP43" s="66">
        <f>IF(Kalk5!$AI$51=AQ43,1,0)</f>
        <v>0</v>
      </c>
      <c r="AQ43" s="55">
        <v>1750</v>
      </c>
    </row>
    <row r="44" spans="2:54" ht="24.95" customHeight="1">
      <c r="B44" s="93">
        <f>IF(AG44=1,AL44,0)*Kalk5!$H$37</f>
        <v>0</v>
      </c>
      <c r="C44" s="60">
        <v>2150</v>
      </c>
      <c r="D44" s="60"/>
      <c r="E44" s="60" t="str">
        <f>VLOOKUP(1600,Sprachindex!$A:$Z,Erhebungsbogen!$Y$20,FALSE)</f>
        <v>[Stk]</v>
      </c>
      <c r="F44" s="60" t="s">
        <v>21960</v>
      </c>
      <c r="G44" s="514" t="str">
        <f>VLOOKUP(1614,Sprachindex!$A:$Z,Erhebungsbogen!$Y$20,FALSE) &amp; IF(AND(Kalk5!$AA$5=2,Kalk5!AA11),", " &amp; VLOOKUP(1645,Sprachindex!$A:$Z,Erhebungsbogen!$Y$20,FALSE) &amp; " " &amp; $U$8,", "&amp; VLOOKUP(1648,Sprachindex!$A:$Z,Erhebungsbogen!$Y$20,FALSE))</f>
        <v>Abdeckung VO 80, gebohrt und entgratet, blank</v>
      </c>
      <c r="H44" s="514"/>
      <c r="I44" s="514"/>
      <c r="J44" s="514"/>
      <c r="K44" s="514"/>
      <c r="L44" s="514"/>
      <c r="M44" s="514"/>
      <c r="N44" s="514"/>
      <c r="O44" s="514"/>
      <c r="P44" s="514"/>
      <c r="Q44" s="514"/>
      <c r="R44" s="514"/>
      <c r="S44" s="514"/>
      <c r="T44" s="514"/>
      <c r="U44" s="352">
        <f>IF(AND(Kalk5!$AA$5=2,Kalk5!$AA$11),VLOOKUP(F44,Preisliste!C:G,5,FALSE),VLOOKUP(F44,Preisliste!C:G,4,FALSE))</f>
        <v>143.05000000000001</v>
      </c>
      <c r="V44" s="352">
        <f t="shared" si="0"/>
        <v>0</v>
      </c>
      <c r="W44" s="86"/>
      <c r="X44" s="86"/>
      <c r="Y44" s="86"/>
      <c r="Z44" s="143">
        <f>IF(AND(Kalk5!$AA$5=2,Kalk5!$AA$11),(VLOOKUP(F44,Preisliste!C:G,5,FALSE)-VLOOKUP(F44,Preisliste!C:G,4,FALSE))*B44,0)</f>
        <v>0</v>
      </c>
      <c r="AB44" s="86"/>
      <c r="AC44" s="86"/>
      <c r="AD44" s="86"/>
      <c r="AE44" s="86"/>
      <c r="AF44" s="86"/>
      <c r="AG44" s="55">
        <f t="shared" si="1"/>
        <v>0</v>
      </c>
      <c r="AH44" s="66">
        <f>IF(Kalk5!$AA$19=4,1,0)</f>
        <v>0</v>
      </c>
      <c r="AI44" s="55">
        <v>80</v>
      </c>
      <c r="AK44" s="55" t="s">
        <v>22079</v>
      </c>
      <c r="AL44" s="66">
        <f>IF(AND(Kalk5!$AA$18=3,Kalk5!$AF$18=3),2,IF(OR(Kalk5!$AA$18=3,Kalk5!$AF$18=3),1,0))</f>
        <v>0</v>
      </c>
      <c r="AM44" s="55" t="s">
        <v>22095</v>
      </c>
      <c r="AO44" s="55" t="s">
        <v>22079</v>
      </c>
      <c r="AP44" s="66">
        <f>IF(Kalk5!$AI$51=AQ44,1,0)</f>
        <v>0</v>
      </c>
      <c r="AQ44" s="55">
        <v>2150</v>
      </c>
    </row>
    <row r="45" spans="2:54" ht="24.95" customHeight="1">
      <c r="B45" s="93">
        <f>IF(AG45=1,AL45,0)</f>
        <v>0</v>
      </c>
      <c r="C45" s="60"/>
      <c r="D45" s="60"/>
      <c r="E45" s="60" t="str">
        <f>VLOOKUP(1600,Sprachindex!$A:$Z,Erhebungsbogen!$Y$20,FALSE)</f>
        <v>[Stk]</v>
      </c>
      <c r="F45" s="60" t="s">
        <v>25459</v>
      </c>
      <c r="G45" s="514" t="str">
        <f>VLOOKUP(1625,Sprachindex!$A:$Z,Erhebungsbogen!$Y$20,FALSE) &amp; " (2 " &amp; VLOOKUP(1837,Sprachindex!$A:$Z,Erhebungsbogen!$Y$20,FALSE) &amp; ")"</f>
        <v>Aufpreis Ausfräsung Seitenteile für Dammbalken (2 Stk)</v>
      </c>
      <c r="H45" s="514"/>
      <c r="I45" s="514"/>
      <c r="J45" s="514"/>
      <c r="K45" s="514"/>
      <c r="L45" s="514"/>
      <c r="M45" s="514"/>
      <c r="N45" s="514"/>
      <c r="O45" s="514"/>
      <c r="P45" s="514"/>
      <c r="Q45" s="514"/>
      <c r="R45" s="514"/>
      <c r="S45" s="514"/>
      <c r="T45" s="514"/>
      <c r="U45" s="352">
        <f>Preisliste!F26</f>
        <v>0</v>
      </c>
      <c r="V45" s="352">
        <f t="shared" si="0"/>
        <v>0</v>
      </c>
      <c r="W45" s="86"/>
      <c r="X45" s="86"/>
      <c r="Y45" s="86"/>
      <c r="Z45" s="86"/>
      <c r="AA45" s="86"/>
      <c r="AB45" s="86"/>
      <c r="AC45" s="86"/>
      <c r="AD45" s="86"/>
      <c r="AE45" s="86"/>
      <c r="AF45" s="86"/>
      <c r="AG45" s="55">
        <f>IF(Kalk5!$AA$23,1,0)</f>
        <v>0</v>
      </c>
      <c r="AK45" s="55" t="s">
        <v>22100</v>
      </c>
      <c r="AL45" s="66">
        <f>Kalk5!$X$24*Kalk5!$H$37</f>
        <v>0</v>
      </c>
      <c r="AM45" s="55" t="s">
        <v>20872</v>
      </c>
    </row>
    <row r="46" spans="2:54" ht="24.95" customHeight="1">
      <c r="B46" s="93">
        <f t="shared" ref="B46:B48" si="2">IF(AG46=1,AL46,0)</f>
        <v>0</v>
      </c>
      <c r="C46" s="60"/>
      <c r="D46" s="60"/>
      <c r="E46" s="60" t="str">
        <f>VLOOKUP(1600,Sprachindex!$A:$Z,Erhebungsbogen!$Y$20,FALSE)</f>
        <v>[Stk]</v>
      </c>
      <c r="F46" s="60" t="s">
        <v>25460</v>
      </c>
      <c r="G46" s="514" t="str">
        <f>VLOOKUP(1626,Sprachindex!$A:$Z,Erhebungsbogen!$Y$20,FALSE) &amp; " + " &amp; VLOOKUP(1608,Sprachindex!$A:$Z,Erhebungsbogen!$Y$20,FALSE) &amp; " (2 " &amp; VLOOKUP(1837,Sprachindex!$A:$Z,Erhebungsbogen!$Y$20,FALSE) &amp; ")"</f>
        <v>Aufpreis Längenänderung Seitenteile + Abdeckung (2 Stk)</v>
      </c>
      <c r="H46" s="515"/>
      <c r="I46" s="515"/>
      <c r="J46" s="515"/>
      <c r="K46" s="515"/>
      <c r="L46" s="515"/>
      <c r="M46" s="515"/>
      <c r="N46" s="515"/>
      <c r="O46" s="515"/>
      <c r="P46" s="515"/>
      <c r="Q46" s="515"/>
      <c r="R46" s="515"/>
      <c r="S46" s="515"/>
      <c r="T46" s="516"/>
      <c r="U46" s="352">
        <f>Preisliste!F27</f>
        <v>0</v>
      </c>
      <c r="V46" s="352">
        <f t="shared" si="0"/>
        <v>0</v>
      </c>
      <c r="W46" s="86"/>
      <c r="X46" s="86"/>
      <c r="Y46" s="86"/>
      <c r="Z46" s="86"/>
      <c r="AA46" s="86"/>
      <c r="AB46" s="86"/>
      <c r="AC46" s="86"/>
      <c r="AD46" s="86"/>
      <c r="AE46" s="86"/>
      <c r="AF46" s="86"/>
      <c r="AG46" s="55">
        <f>IF(Kalk5!$AA$22,1,0)</f>
        <v>0</v>
      </c>
      <c r="AK46" s="55" t="s">
        <v>22100</v>
      </c>
      <c r="AL46" s="66">
        <f>Kalk5!$Q$25*Kalk5!$H$37</f>
        <v>0</v>
      </c>
      <c r="AM46" s="55" t="s">
        <v>20872</v>
      </c>
    </row>
    <row r="47" spans="2:54" ht="24.95" customHeight="1">
      <c r="B47" s="93">
        <f t="shared" si="2"/>
        <v>0</v>
      </c>
      <c r="C47" s="60"/>
      <c r="D47" s="60"/>
      <c r="E47" s="60" t="str">
        <f>VLOOKUP(1594,Sprachindex!$A:$Z,Erhebungsbogen!$Y$20,FALSE)</f>
        <v>[EH]</v>
      </c>
      <c r="F47" s="60" t="s">
        <v>25458</v>
      </c>
      <c r="G47" s="514" t="str">
        <f>VLOOKUP(1627,Sprachindex!$A:$Z,Erhebungsbogen!$Y$20,FALSE)</f>
        <v>Aufpreis Planungsstunde</v>
      </c>
      <c r="H47" s="514"/>
      <c r="I47" s="514"/>
      <c r="J47" s="514"/>
      <c r="K47" s="514"/>
      <c r="L47" s="514"/>
      <c r="M47" s="514"/>
      <c r="N47" s="514"/>
      <c r="O47" s="514"/>
      <c r="P47" s="514"/>
      <c r="Q47" s="514"/>
      <c r="R47" s="514"/>
      <c r="S47" s="514"/>
      <c r="T47" s="514"/>
      <c r="U47" s="352">
        <f>Preisliste!F28</f>
        <v>0</v>
      </c>
      <c r="V47" s="352">
        <f t="shared" si="0"/>
        <v>0</v>
      </c>
      <c r="W47" s="86"/>
      <c r="X47" s="86"/>
      <c r="Y47" s="86"/>
      <c r="Z47" s="86"/>
      <c r="AA47" s="86"/>
      <c r="AB47" s="86"/>
      <c r="AC47" s="86"/>
      <c r="AD47" s="86"/>
      <c r="AE47" s="86"/>
      <c r="AF47" s="86"/>
      <c r="AG47" s="55">
        <f>IF(Kalk5!$AA$24,1,0)</f>
        <v>0</v>
      </c>
      <c r="AK47" s="55" t="s">
        <v>22100</v>
      </c>
      <c r="AL47" s="66">
        <f>Kalk5!$X$25*Kalk5!$H$37</f>
        <v>0</v>
      </c>
      <c r="AM47" s="55" t="s">
        <v>22102</v>
      </c>
      <c r="BA47" s="56" t="s">
        <v>7662</v>
      </c>
      <c r="BB47" s="55" t="s">
        <v>22113</v>
      </c>
    </row>
    <row r="48" spans="2:54" ht="24.95" customHeight="1">
      <c r="B48" s="93">
        <f t="shared" si="2"/>
        <v>0</v>
      </c>
      <c r="C48" s="60"/>
      <c r="D48" s="60"/>
      <c r="E48" s="60" t="str">
        <f>VLOOKUP(1594,Sprachindex!$A:$Z,Erhebungsbogen!$Y$20,FALSE)</f>
        <v>[EH]</v>
      </c>
      <c r="F48" s="60" t="s">
        <v>25461</v>
      </c>
      <c r="G48" s="514" t="str">
        <f>VLOOKUP(2259,Sprachindex!$A:$Z,Erhebungsbogen!$Y$20,FALSE)</f>
        <v>Ausfräsungen Dammbalken</v>
      </c>
      <c r="H48" s="514"/>
      <c r="I48" s="514"/>
      <c r="J48" s="514"/>
      <c r="K48" s="514"/>
      <c r="L48" s="514"/>
      <c r="M48" s="514"/>
      <c r="N48" s="514"/>
      <c r="O48" s="514"/>
      <c r="P48" s="514"/>
      <c r="Q48" s="514"/>
      <c r="R48" s="514"/>
      <c r="S48" s="514"/>
      <c r="T48" s="514"/>
      <c r="U48" s="352">
        <f>Preisliste!F161</f>
        <v>80</v>
      </c>
      <c r="V48" s="352">
        <f t="shared" si="0"/>
        <v>0</v>
      </c>
      <c r="W48" s="86"/>
      <c r="X48" s="86"/>
      <c r="Y48" s="86"/>
      <c r="Z48" s="86"/>
      <c r="AA48" s="86"/>
      <c r="AB48" s="86"/>
      <c r="AC48" s="86"/>
      <c r="AD48" s="86"/>
      <c r="AE48" s="86"/>
      <c r="AF48" s="86"/>
      <c r="AG48" s="55">
        <f>IF(Kalk5!$AA$21,1,0)</f>
        <v>0</v>
      </c>
      <c r="AK48" s="55" t="s">
        <v>22100</v>
      </c>
      <c r="AL48" s="66">
        <f>Kalk5!$Q$24*Kalk5!$H$37</f>
        <v>0</v>
      </c>
      <c r="AM48" s="55" t="s">
        <v>22102</v>
      </c>
      <c r="BA48" s="56"/>
    </row>
    <row r="49" spans="2:84" ht="24.95" customHeight="1">
      <c r="B49" s="94">
        <f t="shared" ref="B49:B51" si="3">IF(AG49=1,AL49,0)</f>
        <v>0</v>
      </c>
      <c r="C49" s="60"/>
      <c r="D49" s="60">
        <f t="shared" ref="D49:D50" si="4">B49</f>
        <v>0</v>
      </c>
      <c r="E49" s="60" t="str">
        <f>VLOOKUP(1596,Sprachindex!$A:$Z,Erhebungsbogen!$Y$20,FALSE)</f>
        <v>[lfm]</v>
      </c>
      <c r="F49" s="60" t="s">
        <v>21943</v>
      </c>
      <c r="G49" s="514" t="str">
        <f>VLOOKUP(1649,Sprachindex!$A:$Z,Erhebungsbogen!$Y$20,FALSE) &amp; " [" &amp; VLOOKUP(992,Sprachindex!$A:$Z,Erhebungsbogen!$Y$20,FALSE) &amp; " =1 "&amp; VLOOKUP(1512,Sprachindex!$A:$Z,Erhebungsbogen!$Y$20,FALSE) &amp; "]"</f>
        <v>Bodendichtung 25 [VPE =1 lfm]</v>
      </c>
      <c r="H49" s="514"/>
      <c r="I49" s="514"/>
      <c r="J49" s="514"/>
      <c r="K49" s="514"/>
      <c r="L49" s="514"/>
      <c r="M49" s="514"/>
      <c r="N49" s="514"/>
      <c r="O49" s="514"/>
      <c r="P49" s="514"/>
      <c r="Q49" s="514"/>
      <c r="R49" s="514"/>
      <c r="S49" s="514"/>
      <c r="T49" s="514"/>
      <c r="U49" s="352">
        <f>VLOOKUP(F49,Preisliste!C:F,4,FALSE)</f>
        <v>29.7</v>
      </c>
      <c r="V49" s="352">
        <f>U49*D49</f>
        <v>0</v>
      </c>
      <c r="W49" s="86"/>
      <c r="X49" s="86"/>
      <c r="Y49" s="86"/>
      <c r="Z49" s="86"/>
      <c r="AA49" s="86"/>
      <c r="AB49" s="86"/>
      <c r="AC49" s="86"/>
      <c r="AD49" s="86"/>
      <c r="AE49" s="86"/>
      <c r="AF49" s="86"/>
      <c r="AG49" s="55">
        <f>IF(AND(Kalk5!$AA$19=1,Kalk5!$AA$29=FALSE,AND(Kalk5!H28&gt;0,Kalk5!H29&gt;Kalk5!B1)),1,0)</f>
        <v>0</v>
      </c>
      <c r="AK49" s="55" t="s">
        <v>22100</v>
      </c>
      <c r="AL49" s="66">
        <f>Kalk5!$AH$45</f>
        <v>0</v>
      </c>
      <c r="AM49" s="55" t="s">
        <v>17115</v>
      </c>
      <c r="BA49" s="56" t="s">
        <v>22111</v>
      </c>
      <c r="BB49" s="55" t="s">
        <v>22112</v>
      </c>
    </row>
    <row r="50" spans="2:84" ht="24.95" customHeight="1">
      <c r="B50" s="94">
        <f t="shared" si="3"/>
        <v>0</v>
      </c>
      <c r="C50" s="60"/>
      <c r="D50" s="60">
        <f t="shared" si="4"/>
        <v>0</v>
      </c>
      <c r="E50" s="60" t="str">
        <f>VLOOKUP(1596,Sprachindex!$A:$Z,Erhebungsbogen!$Y$20,FALSE)</f>
        <v>[lfm]</v>
      </c>
      <c r="F50" s="60" t="s">
        <v>21944</v>
      </c>
      <c r="G50" s="514" t="str">
        <f>VLOOKUP(1650,Sprachindex!$A:$Z,Erhebungsbogen!$Y$20,FALSE) &amp; " [" &amp; VLOOKUP(992,Sprachindex!$A:$Z,Erhebungsbogen!$Y$20,FALSE) &amp; " =1 "&amp; VLOOKUP(1512,Sprachindex!$A:$Z,Erhebungsbogen!$Y$20,FALSE) &amp; "]"</f>
        <v>Bodendichtung 50 [VPE =1 lfm]</v>
      </c>
      <c r="H50" s="514"/>
      <c r="I50" s="514"/>
      <c r="J50" s="514"/>
      <c r="K50" s="514"/>
      <c r="L50" s="514"/>
      <c r="M50" s="514"/>
      <c r="N50" s="514"/>
      <c r="O50" s="514"/>
      <c r="P50" s="514"/>
      <c r="Q50" s="514"/>
      <c r="R50" s="514"/>
      <c r="S50" s="514"/>
      <c r="T50" s="514"/>
      <c r="U50" s="352">
        <f>VLOOKUP(F50,Preisliste!C:F,4,FALSE)</f>
        <v>29.7</v>
      </c>
      <c r="V50" s="352">
        <f t="shared" ref="V50:V51" si="5">U50*D50</f>
        <v>0</v>
      </c>
      <c r="W50" s="86"/>
      <c r="X50" s="86"/>
      <c r="Y50" s="86"/>
      <c r="Z50" s="86"/>
      <c r="AA50" s="86"/>
      <c r="AB50" s="86"/>
      <c r="AC50" s="86"/>
      <c r="AD50" s="86"/>
      <c r="AE50" s="86"/>
      <c r="AF50" s="86"/>
      <c r="AG50" s="244">
        <f>IF(AND(OR(Kalk5!$AA$19=2,Kalk5!$AA$19=3),Kalk5!$AA$29=FALSE,AND(Kalk5!H28&gt;0,Kalk5!H29&gt;0)),1,0)</f>
        <v>0</v>
      </c>
      <c r="AK50" s="55" t="s">
        <v>22100</v>
      </c>
      <c r="AL50" s="66">
        <f>Kalk5!$AH$45</f>
        <v>0</v>
      </c>
      <c r="AM50" s="55" t="s">
        <v>17115</v>
      </c>
    </row>
    <row r="51" spans="2:84" ht="24.95" customHeight="1">
      <c r="B51" s="94">
        <f t="shared" si="3"/>
        <v>0</v>
      </c>
      <c r="C51" s="60"/>
      <c r="D51" s="60">
        <f>B51</f>
        <v>0</v>
      </c>
      <c r="E51" s="60" t="str">
        <f>VLOOKUP(1596,Sprachindex!$A:$Z,Erhebungsbogen!$Y$20,FALSE)</f>
        <v>[lfm]</v>
      </c>
      <c r="F51" s="60" t="s">
        <v>21945</v>
      </c>
      <c r="G51" s="514" t="str">
        <f>VLOOKUP(1651,Sprachindex!$A:$Z,Erhebungsbogen!$Y$20,FALSE) &amp; " [" &amp; VLOOKUP(992,Sprachindex!$A:$Z,Erhebungsbogen!$Y$20,FALSE) &amp; " =1 "&amp; VLOOKUP(1512,Sprachindex!$A:$Z,Erhebungsbogen!$Y$20,FALSE) &amp; "]"</f>
        <v>Bodendichtung 80 [VPE =1 lfm]</v>
      </c>
      <c r="H51" s="514"/>
      <c r="I51" s="514"/>
      <c r="J51" s="514"/>
      <c r="K51" s="514"/>
      <c r="L51" s="514"/>
      <c r="M51" s="514"/>
      <c r="N51" s="514"/>
      <c r="O51" s="514"/>
      <c r="P51" s="514"/>
      <c r="Q51" s="514"/>
      <c r="R51" s="514"/>
      <c r="S51" s="514"/>
      <c r="T51" s="514"/>
      <c r="U51" s="352">
        <f>VLOOKUP(F51,Preisliste!C:F,4,FALSE)</f>
        <v>47.9</v>
      </c>
      <c r="V51" s="352">
        <f t="shared" si="5"/>
        <v>0</v>
      </c>
      <c r="W51" s="86"/>
      <c r="X51" s="86"/>
      <c r="Y51" s="86"/>
      <c r="Z51" s="86"/>
      <c r="AA51" s="86"/>
      <c r="AB51" s="86"/>
      <c r="AC51" s="86"/>
      <c r="AD51" s="86"/>
      <c r="AE51" s="86"/>
      <c r="AF51" s="86"/>
      <c r="AG51" s="55">
        <f>IF(AND(Kalk5!$AA$19=4,Kalk5!$AA$29=FALSE,AND(Kalk5!H28&gt;0,Kalk5!H29&gt;Kalk5!B1)),1,0)</f>
        <v>0</v>
      </c>
      <c r="AK51" s="55" t="s">
        <v>22100</v>
      </c>
      <c r="AL51" s="66">
        <f>Kalk5!$AH$45</f>
        <v>0</v>
      </c>
      <c r="AM51" s="55" t="s">
        <v>17115</v>
      </c>
    </row>
    <row r="52" spans="2:84" ht="24.95" customHeight="1">
      <c r="B52" s="93">
        <f>IF(AG52=1,CE52,0)</f>
        <v>0</v>
      </c>
      <c r="C52" s="60"/>
      <c r="D52" s="60"/>
      <c r="E52" s="60" t="str">
        <f>VLOOKUP(1600,Sprachindex!$A:$Z,Erhebungsbogen!$Y$20,FALSE)</f>
        <v>[Stk]</v>
      </c>
      <c r="F52" s="60" t="s">
        <v>21934</v>
      </c>
      <c r="G52" s="514" t="str">
        <f>VLOOKUP(1653,Sprachindex!$A:$Z,Erhebungsbogen!$Y$20,FALSE)</f>
        <v>Bodenhülse 50/80 Aluminium beschichtet inkl. Deckel mit Dichtung</v>
      </c>
      <c r="H52" s="514"/>
      <c r="I52" s="514"/>
      <c r="J52" s="514"/>
      <c r="K52" s="514"/>
      <c r="L52" s="514"/>
      <c r="M52" s="514"/>
      <c r="N52" s="514"/>
      <c r="O52" s="514"/>
      <c r="P52" s="514"/>
      <c r="Q52" s="514"/>
      <c r="R52" s="514"/>
      <c r="S52" s="514"/>
      <c r="T52" s="514"/>
      <c r="U52" s="352">
        <f>VLOOKUP(F52,Preisliste!C:F,4,FALSE)</f>
        <v>439.95</v>
      </c>
      <c r="V52" s="352">
        <f t="shared" ref="V52:V55" si="6">U52*B52</f>
        <v>0</v>
      </c>
      <c r="W52" s="86"/>
      <c r="X52" s="86"/>
      <c r="Y52" s="86"/>
      <c r="Z52" s="86"/>
      <c r="AA52" s="86"/>
      <c r="AB52" s="86"/>
      <c r="AC52" s="86"/>
      <c r="AD52" s="86"/>
      <c r="AE52" s="86"/>
      <c r="AF52" s="86"/>
      <c r="AG52" s="55">
        <f>IF(AND(BS52=1,CE52&gt;0),1,0)</f>
        <v>0</v>
      </c>
      <c r="AH52" s="55">
        <f>(Kalk5!$H$33-1)*Kalk5!$H$37</f>
        <v>0</v>
      </c>
      <c r="AI52" s="55" t="s">
        <v>22103</v>
      </c>
      <c r="AL52" s="55">
        <f>(Kalk5!$H$33-1)*Kalk5!$H$37</f>
        <v>0</v>
      </c>
      <c r="AM52" s="55" t="s">
        <v>22114</v>
      </c>
      <c r="AP52" s="55">
        <f>IF(OR(Kalk5!$AA$19=2,Kalk5!$AA$19=3),1,0)</f>
        <v>1</v>
      </c>
      <c r="AQ52" s="55">
        <v>50</v>
      </c>
      <c r="AT52" s="55">
        <f>IF(Kalk5!$AA$19=4,1,0)</f>
        <v>0</v>
      </c>
      <c r="AU52" s="55">
        <v>80</v>
      </c>
      <c r="AX52" s="55">
        <f>IF(AND(AP52=1,Kalk5!$O$20&gt;0),Kalk5!$O$20,0)</f>
        <v>0</v>
      </c>
      <c r="AY52" s="55" t="s">
        <v>22110</v>
      </c>
      <c r="BB52" s="55">
        <f>IF(AND(AP52=1,Kalk5!$O$21&gt;0),Kalk5!$O$21,0)</f>
        <v>0</v>
      </c>
      <c r="BC52" s="55" t="s">
        <v>22080</v>
      </c>
      <c r="BG52" s="55">
        <f>IF(AND(AT52=1,Kalk5!$AA$20=2),'STK5'!AL52,0)</f>
        <v>0</v>
      </c>
      <c r="BH52" s="55" t="s">
        <v>22105</v>
      </c>
      <c r="BK52" s="55">
        <f>IF(AND(AT52=1,BG52=0,Kalk5!$O$20&gt;0),Kalk5!$O$20,0)</f>
        <v>0</v>
      </c>
      <c r="BL52" s="55" t="s">
        <v>22109</v>
      </c>
      <c r="BO52" s="55">
        <f>IF(AND(AT52=1,BG52=0,Kalk5!$O$21&gt;0),Kalk5!$O$21,0)</f>
        <v>0</v>
      </c>
      <c r="BP52" s="55" t="s">
        <v>22108</v>
      </c>
      <c r="BS52" s="55">
        <f>IF(Kalk5!$AA$17=1,1,0)</f>
        <v>1</v>
      </c>
      <c r="BT52" s="55" t="s">
        <v>22082</v>
      </c>
      <c r="BX52" s="55">
        <f>IF(AP52=1,AH52-BB52,0)</f>
        <v>0</v>
      </c>
      <c r="BY52" s="55" t="s">
        <v>22106</v>
      </c>
      <c r="CA52" s="55">
        <f>IF(AND(AT52=1,BG52=0),AL52-BK52-BO52,0)</f>
        <v>0</v>
      </c>
      <c r="CB52" s="55" t="s">
        <v>22107</v>
      </c>
      <c r="CD52" s="55" t="s">
        <v>22100</v>
      </c>
      <c r="CE52" s="55">
        <f>IF(CA52&lt;0,0,BX52+CA52)</f>
        <v>0</v>
      </c>
      <c r="CF52" s="55" t="s">
        <v>20872</v>
      </c>
    </row>
    <row r="53" spans="2:84" ht="24.95" customHeight="1">
      <c r="B53" s="93">
        <f>IF(AG53=1,CE53,0)</f>
        <v>0</v>
      </c>
      <c r="C53" s="60"/>
      <c r="D53" s="60"/>
      <c r="E53" s="60" t="str">
        <f>VLOOKUP(1600,Sprachindex!$A:$Z,Erhebungsbogen!$Y$20,FALSE)</f>
        <v>[Stk]</v>
      </c>
      <c r="F53" s="60" t="s">
        <v>21935</v>
      </c>
      <c r="G53" s="514" t="str">
        <f>VLOOKUP(1654,Sprachindex!$A:$Z,Erhebungsbogen!$Y$20,FALSE)</f>
        <v>Bodenhülse 50/80 Edelstahl beschichtet inkl. Deckel mit Dichtung</v>
      </c>
      <c r="H53" s="514"/>
      <c r="I53" s="514"/>
      <c r="J53" s="514"/>
      <c r="K53" s="514"/>
      <c r="L53" s="514"/>
      <c r="M53" s="514"/>
      <c r="N53" s="514"/>
      <c r="O53" s="514"/>
      <c r="P53" s="514"/>
      <c r="Q53" s="514"/>
      <c r="R53" s="514"/>
      <c r="S53" s="514"/>
      <c r="T53" s="514"/>
      <c r="U53" s="352">
        <f>VLOOKUP(F53,Preisliste!C:F,4,FALSE)</f>
        <v>767.55</v>
      </c>
      <c r="V53" s="352">
        <f t="shared" si="6"/>
        <v>0</v>
      </c>
      <c r="W53" s="86"/>
      <c r="X53" s="86"/>
      <c r="Y53" s="86"/>
      <c r="Z53" s="86"/>
      <c r="AA53" s="86"/>
      <c r="AB53" s="86"/>
      <c r="AC53" s="86"/>
      <c r="AD53" s="86"/>
      <c r="AE53" s="86"/>
      <c r="AF53" s="86"/>
      <c r="AG53" s="55">
        <f t="shared" ref="AG53:AG55" si="7">IF(AND(BS53=1,CE53&gt;0),1,0)</f>
        <v>0</v>
      </c>
      <c r="AH53" s="55">
        <f>(Kalk5!$H$33-1)*Kalk5!$H$37</f>
        <v>0</v>
      </c>
      <c r="AI53" s="55" t="s">
        <v>22103</v>
      </c>
      <c r="AL53" s="55">
        <f>(Kalk5!$H$33-1)*Kalk5!$H$37</f>
        <v>0</v>
      </c>
      <c r="AM53" s="55" t="s">
        <v>22114</v>
      </c>
      <c r="AP53" s="55">
        <f>IF(OR(Kalk5!$AA$19=2,Kalk5!$AA$19=3),1,0)</f>
        <v>1</v>
      </c>
      <c r="AQ53" s="55">
        <v>50</v>
      </c>
      <c r="AT53" s="55">
        <f>IF(Kalk5!$AA$19=4,1,0)</f>
        <v>0</v>
      </c>
      <c r="AU53" s="55">
        <v>80</v>
      </c>
      <c r="AX53" s="55">
        <f>IF(AND(AP53=1,Kalk5!$O$20&gt;0),Kalk5!$O$20,0)</f>
        <v>0</v>
      </c>
      <c r="AY53" s="55" t="s">
        <v>22110</v>
      </c>
      <c r="BB53" s="55">
        <f>IF(AND(AP53=1,Kalk5!$O$21&gt;0),Kalk5!$O$21,0)</f>
        <v>0</v>
      </c>
      <c r="BC53" s="55" t="s">
        <v>22080</v>
      </c>
      <c r="BG53" s="55">
        <f>IF(AND(AT53=1,Kalk5!$AA$20=2),'STK5'!AL53,0)</f>
        <v>0</v>
      </c>
      <c r="BH53" s="55" t="s">
        <v>22105</v>
      </c>
      <c r="BK53" s="55">
        <f>IF(AND(AT53=1,BG53=0,Kalk5!$O$20&gt;0),Kalk5!$O$20,0)</f>
        <v>0</v>
      </c>
      <c r="BL53" s="55" t="s">
        <v>22109</v>
      </c>
      <c r="BO53" s="55">
        <f>IF(AND(AT53=1,BG53=0,Kalk5!$O$21&gt;0),Kalk5!$O$21,0)</f>
        <v>0</v>
      </c>
      <c r="BP53" s="55" t="s">
        <v>22108</v>
      </c>
      <c r="BS53" s="55">
        <f>IF(Kalk5!$AA$17=2,1,0)</f>
        <v>0</v>
      </c>
      <c r="BT53" s="55" t="s">
        <v>22104</v>
      </c>
      <c r="BX53" s="55">
        <f>IF(AP53=1,AH53-AX53-BB53,0)</f>
        <v>0</v>
      </c>
      <c r="BY53" s="55" t="s">
        <v>22106</v>
      </c>
      <c r="CA53" s="55">
        <f>IF(AND(AT53=1,BG53=0),AL53-BK53-BO53,0)</f>
        <v>0</v>
      </c>
      <c r="CB53" s="55" t="s">
        <v>22107</v>
      </c>
      <c r="CD53" s="55" t="s">
        <v>22100</v>
      </c>
      <c r="CE53" s="55">
        <f>IF(CA53&lt;0,0,BX53+CA53)</f>
        <v>0</v>
      </c>
      <c r="CF53" s="55" t="s">
        <v>20872</v>
      </c>
    </row>
    <row r="54" spans="2:84" ht="24.95" customHeight="1">
      <c r="B54" s="93">
        <f>IF(AG54=1,CE54,0)</f>
        <v>0</v>
      </c>
      <c r="C54" s="60"/>
      <c r="D54" s="60"/>
      <c r="E54" s="60" t="str">
        <f>VLOOKUP(1600,Sprachindex!$A:$Z,Erhebungsbogen!$Y$20,FALSE)</f>
        <v>[Stk]</v>
      </c>
      <c r="F54" s="60" t="s">
        <v>21936</v>
      </c>
      <c r="G54" s="514" t="str">
        <f>VLOOKUP(2122,Sprachindex!$A:$Z,Erhebungsbogen!$Y$20,FALSE)</f>
        <v>Bodenhülse (GROSS) 50 Vario und 80 beschichtet inkl. Aluminiumdeckel und Dichtung</v>
      </c>
      <c r="H54" s="514"/>
      <c r="I54" s="514"/>
      <c r="J54" s="514"/>
      <c r="K54" s="514"/>
      <c r="L54" s="514"/>
      <c r="M54" s="514"/>
      <c r="N54" s="514"/>
      <c r="O54" s="514"/>
      <c r="P54" s="514"/>
      <c r="Q54" s="514"/>
      <c r="R54" s="514"/>
      <c r="S54" s="514"/>
      <c r="T54" s="514"/>
      <c r="U54" s="352">
        <f>VLOOKUP(F54,Preisliste!C:F,4,FALSE)</f>
        <v>850.8</v>
      </c>
      <c r="V54" s="352">
        <f t="shared" si="6"/>
        <v>0</v>
      </c>
      <c r="W54" s="86"/>
      <c r="X54" s="86"/>
      <c r="Y54" s="86"/>
      <c r="Z54" s="86"/>
      <c r="AA54" s="86"/>
      <c r="AB54" s="86"/>
      <c r="AC54" s="86"/>
      <c r="AD54" s="86"/>
      <c r="AE54" s="86"/>
      <c r="AF54" s="86"/>
      <c r="AG54" s="55">
        <f t="shared" si="7"/>
        <v>0</v>
      </c>
      <c r="AH54" s="55">
        <f>(Kalk5!$H$33-1)*Kalk5!$H$37</f>
        <v>0</v>
      </c>
      <c r="AI54" s="55" t="s">
        <v>22103</v>
      </c>
      <c r="AL54" s="55">
        <f>(Kalk5!$H$33-1)*Kalk5!$H$37</f>
        <v>0</v>
      </c>
      <c r="AM54" s="55" t="s">
        <v>22114</v>
      </c>
      <c r="AP54" s="55">
        <f>IF(OR(Kalk5!$AA$19=2,Kalk5!$AA$19=3),1,0)</f>
        <v>1</v>
      </c>
      <c r="AQ54" s="55">
        <v>50</v>
      </c>
      <c r="AT54" s="55">
        <f>IF(Kalk5!$AA$19=4,1,0)</f>
        <v>0</v>
      </c>
      <c r="AU54" s="55">
        <v>80</v>
      </c>
      <c r="BB54" s="55">
        <f>IF(AND(AP54=1,Kalk5!$O$21&gt;0),Kalk5!$O$21,0)</f>
        <v>0</v>
      </c>
      <c r="BC54" s="55" t="s">
        <v>22080</v>
      </c>
      <c r="BG54" s="55">
        <f>IF(AND(AT54=1,Kalk5!$AA$20=2),'STK5'!AL54,0)</f>
        <v>0</v>
      </c>
      <c r="BH54" s="55" t="s">
        <v>22105</v>
      </c>
      <c r="BK54" s="55">
        <f>IF(AND(AT54=1,BG54=0,Kalk5!$O$20&gt;0),Kalk5!$O$20,0)</f>
        <v>0</v>
      </c>
      <c r="BL54" s="55" t="s">
        <v>22109</v>
      </c>
      <c r="BO54" s="55">
        <f>IF(AND(AT54=1,BG54=0,Kalk5!$O$21&gt;0),Kalk5!$O$21,0)</f>
        <v>0</v>
      </c>
      <c r="BP54" s="55" t="s">
        <v>22108</v>
      </c>
      <c r="BS54" s="55">
        <f>IF(Kalk5!$AA$17=1,1,0)</f>
        <v>1</v>
      </c>
      <c r="BT54" s="55" t="s">
        <v>22082</v>
      </c>
      <c r="BX54" s="55">
        <f>AX54+BB54</f>
        <v>0</v>
      </c>
      <c r="BY54" s="55" t="s">
        <v>22106</v>
      </c>
      <c r="CA54" s="55">
        <f>BG54+BK54+BO54</f>
        <v>0</v>
      </c>
      <c r="CB54" s="55" t="s">
        <v>22107</v>
      </c>
      <c r="CD54" s="55" t="s">
        <v>22100</v>
      </c>
      <c r="CE54" s="55">
        <f>BX54+CA54</f>
        <v>0</v>
      </c>
      <c r="CF54" s="55" t="s">
        <v>20872</v>
      </c>
    </row>
    <row r="55" spans="2:84" ht="24.95" customHeight="1">
      <c r="B55" s="93">
        <f>IF(AG55=1,CE55,0)</f>
        <v>0</v>
      </c>
      <c r="C55" s="60"/>
      <c r="D55" s="60"/>
      <c r="E55" s="60" t="str">
        <f>VLOOKUP(1600,Sprachindex!$A:$Z,Erhebungsbogen!$Y$20,FALSE)</f>
        <v>[Stk]</v>
      </c>
      <c r="F55" s="60" t="s">
        <v>21937</v>
      </c>
      <c r="G55" s="514" t="str">
        <f>VLOOKUP(2123,Sprachindex!$A:$Z,Erhebungsbogen!$Y$20,FALSE)</f>
        <v>Bodenhülse (GROSS) 50 Vario und 80 beschichtet inkl. Edelstahldeckel und Dichtung</v>
      </c>
      <c r="H55" s="514"/>
      <c r="I55" s="514"/>
      <c r="J55" s="514"/>
      <c r="K55" s="514"/>
      <c r="L55" s="514"/>
      <c r="M55" s="514"/>
      <c r="N55" s="514"/>
      <c r="O55" s="514"/>
      <c r="P55" s="514"/>
      <c r="Q55" s="514"/>
      <c r="R55" s="514"/>
      <c r="S55" s="514"/>
      <c r="T55" s="514"/>
      <c r="U55" s="352">
        <f>VLOOKUP(F55,Preisliste!C:F,4,FALSE)</f>
        <v>1090.3</v>
      </c>
      <c r="V55" s="352">
        <f t="shared" si="6"/>
        <v>0</v>
      </c>
      <c r="W55" s="86"/>
      <c r="X55" s="86"/>
      <c r="Y55" s="86"/>
      <c r="Z55" s="86"/>
      <c r="AA55" s="86"/>
      <c r="AB55" s="86"/>
      <c r="AC55" s="86"/>
      <c r="AD55" s="86"/>
      <c r="AE55" s="86"/>
      <c r="AF55" s="86"/>
      <c r="AG55" s="55">
        <f t="shared" si="7"/>
        <v>0</v>
      </c>
      <c r="AH55" s="55">
        <f>(Kalk5!$H$33-1)*Kalk5!$H$37</f>
        <v>0</v>
      </c>
      <c r="AI55" s="55" t="s">
        <v>22103</v>
      </c>
      <c r="AL55" s="55">
        <f>(Kalk5!$H$33-1)*Kalk5!$H$37</f>
        <v>0</v>
      </c>
      <c r="AM55" s="55" t="s">
        <v>22114</v>
      </c>
      <c r="AP55" s="55">
        <f>IF(OR(Kalk5!$AA$19=2,Kalk5!$AA$19=3),1,0)</f>
        <v>1</v>
      </c>
      <c r="AQ55" s="55">
        <v>50</v>
      </c>
      <c r="AT55" s="55">
        <f>IF(Kalk5!$AA$19=4,1,0)</f>
        <v>0</v>
      </c>
      <c r="AU55" s="55">
        <v>80</v>
      </c>
      <c r="AX55" s="55">
        <f>IF(AND(AP55=1,Kalk5!$O$20&gt;0),Kalk5!$O$20,0)</f>
        <v>0</v>
      </c>
      <c r="AY55" s="55" t="s">
        <v>22110</v>
      </c>
      <c r="BB55" s="55">
        <f>IF(AND(AP55=1,Kalk5!$O$21&gt;0),Kalk5!$O$21,0)</f>
        <v>0</v>
      </c>
      <c r="BC55" s="55" t="s">
        <v>22080</v>
      </c>
      <c r="BG55" s="55">
        <f>IF(AND(AT55=1,Kalk5!$AA$20=2),'STK5'!AL55,0)</f>
        <v>0</v>
      </c>
      <c r="BH55" s="55" t="s">
        <v>22105</v>
      </c>
      <c r="BK55" s="55">
        <f>IF(AND(AT55=1,BG55=0,Kalk5!$O$20&gt;0),Kalk5!$O$20,0)</f>
        <v>0</v>
      </c>
      <c r="BL55" s="55" t="s">
        <v>22109</v>
      </c>
      <c r="BO55" s="55">
        <f>IF(AND(AT55=1,BG55=0,Kalk5!$O$21&gt;0),Kalk5!$O$21,0)</f>
        <v>0</v>
      </c>
      <c r="BP55" s="55" t="s">
        <v>22108</v>
      </c>
      <c r="BS55" s="55">
        <f>IF(Kalk5!$AA$17=2,1,0)</f>
        <v>0</v>
      </c>
      <c r="BT55" s="55" t="s">
        <v>22104</v>
      </c>
      <c r="BX55" s="55">
        <f>AX55+BB55</f>
        <v>0</v>
      </c>
      <c r="BY55" s="55" t="s">
        <v>22106</v>
      </c>
      <c r="CA55" s="55">
        <f>BG55+BK55+BO55</f>
        <v>0</v>
      </c>
      <c r="CB55" s="55" t="s">
        <v>22107</v>
      </c>
      <c r="CD55" s="55" t="s">
        <v>22100</v>
      </c>
      <c r="CE55" s="55">
        <f>BX55+CA55</f>
        <v>0</v>
      </c>
      <c r="CF55" s="55" t="s">
        <v>20872</v>
      </c>
    </row>
    <row r="56" spans="2:84" ht="24.95" customHeight="1">
      <c r="B56" s="93">
        <f>IF(AG56=1,AH56*AL56,0)</f>
        <v>0</v>
      </c>
      <c r="C56" s="138">
        <f>IF(AG56=1,AT56,0)</f>
        <v>0</v>
      </c>
      <c r="D56" s="60">
        <f>B56*C56/1000</f>
        <v>0</v>
      </c>
      <c r="E56" s="60" t="str">
        <f>VLOOKUP(1598,Sprachindex!$A:$Z,Erhebungsbogen!$Y$20,FALSE)</f>
        <v>[mm]</v>
      </c>
      <c r="F56" s="60" t="s">
        <v>21877</v>
      </c>
      <c r="G56" s="514" t="str">
        <f>VLOOKUP(1660,Sprachindex!$A:$Z,Erhebungsbogen!$Y$20,FALSE) &amp; IF(AND(Kalk5!$AA$5=2,Kalk5!$AA$15),", " &amp; VLOOKUP(1645,Sprachindex!$A:$Z,Erhebungsbogen!$Y$20,FALSE) &amp; " " &amp; $U$8,", "&amp; VLOOKUP(1648,Sprachindex!$A:$Z,Erhebungsbogen!$Y$20,FALSE)) &amp; " (" &amp; ROUNDUP(C56/1000*Preisliste!I36,2) &amp; " " &amp; VLOOKUP(1744,Sprachindex!$A:$Z,Erhebungsbogen!$Y$20,FALSE) &amp; ")"</f>
        <v>Dammbalken 25/200 exkl. Dichtung, gesägt und entgratet, blank (0 kg/Stk)</v>
      </c>
      <c r="H56" s="514"/>
      <c r="I56" s="514"/>
      <c r="J56" s="514"/>
      <c r="K56" s="514"/>
      <c r="L56" s="514"/>
      <c r="M56" s="514"/>
      <c r="N56" s="514"/>
      <c r="O56" s="514"/>
      <c r="P56" s="514"/>
      <c r="Q56" s="514"/>
      <c r="R56" s="514"/>
      <c r="S56" s="514"/>
      <c r="T56" s="514"/>
      <c r="U56" s="352">
        <f>IF(AND(Kalk5!$AA$5=2,Kalk5!$AA$15),VLOOKUP(F56,Preisliste!C:G,5,FALSE),VLOOKUP(F56,Preisliste!C:G,4,FALSE))</f>
        <v>104.55</v>
      </c>
      <c r="V56" s="352">
        <f>U56*D56</f>
        <v>0</v>
      </c>
      <c r="W56" s="86"/>
      <c r="X56" s="86"/>
      <c r="Y56" s="86"/>
      <c r="Z56" s="143">
        <f>IF(AND(Kalk5!$AA$5=2,Kalk5!$AA$15),(VLOOKUP(F56,Preisliste!C:G,5,FALSE)-VLOOKUP(F56,Preisliste!C:G,4,FALSE))*D56/1000,0)</f>
        <v>0</v>
      </c>
      <c r="AA56" s="86"/>
      <c r="AB56" s="86"/>
      <c r="AC56" s="86"/>
      <c r="AD56" s="86"/>
      <c r="AE56" s="86"/>
      <c r="AF56" s="86"/>
      <c r="AG56" s="55">
        <f>IF(Kalk5!$AA$19=1,1,0)</f>
        <v>0</v>
      </c>
      <c r="AH56" s="66">
        <f>Kalk5!$H$33*Kalk5!$H$37</f>
        <v>1</v>
      </c>
      <c r="AI56" s="55" t="s">
        <v>22081</v>
      </c>
      <c r="AK56" s="55" t="s">
        <v>22079</v>
      </c>
      <c r="AL56" s="66">
        <f>Kalk5!$AH$40</f>
        <v>0</v>
      </c>
      <c r="AM56" s="55" t="s">
        <v>22096</v>
      </c>
      <c r="AT56" s="66">
        <f>Kalk5!$AH$38</f>
        <v>0</v>
      </c>
      <c r="AU56" s="55" t="s">
        <v>21845</v>
      </c>
    </row>
    <row r="57" spans="2:84" ht="24.95" customHeight="1">
      <c r="B57" s="93">
        <f t="shared" ref="B57:B58" si="8">IF(AG57=1,AH57*AL57,0)</f>
        <v>0</v>
      </c>
      <c r="C57" s="138">
        <f>IF(AG57=1,AT57,0)</f>
        <v>0</v>
      </c>
      <c r="D57" s="60">
        <f t="shared" ref="D57:D59" si="9">B57*C57/1000</f>
        <v>0</v>
      </c>
      <c r="E57" s="60" t="str">
        <f>VLOOKUP(1598,Sprachindex!$A:$Z,Erhebungsbogen!$Y$20,FALSE)</f>
        <v>[mm]</v>
      </c>
      <c r="F57" s="60" t="s">
        <v>21878</v>
      </c>
      <c r="G57" s="514" t="str">
        <f>VLOOKUP(1661,Sprachindex!$A:$Z,Erhebungsbogen!$Y$20,FALSE) &amp; IF(AND(Kalk5!$AA$5=2,Kalk5!$AA$15),", " &amp; VLOOKUP(1645,Sprachindex!$A:$Z,Erhebungsbogen!$Y$20,FALSE) &amp; " " &amp; $U$8,", "&amp; VLOOKUP(1648,Sprachindex!$A:$Z,Erhebungsbogen!$Y$20,FALSE)) &amp; " (" &amp; ROUNDUP(C57/1000*Preisliste!I37,2) &amp; " " &amp; VLOOKUP(1744,Sprachindex!$A:$Z,Erhebungsbogen!$Y$20,FALSE) &amp; ")"</f>
        <v>Dammbalken 50/150 exkl. Dichtung, gesägt und entgratet, blank (0 kg/Stk)</v>
      </c>
      <c r="H57" s="514"/>
      <c r="I57" s="514"/>
      <c r="J57" s="514"/>
      <c r="K57" s="514"/>
      <c r="L57" s="514"/>
      <c r="M57" s="514"/>
      <c r="N57" s="514"/>
      <c r="O57" s="514"/>
      <c r="P57" s="514"/>
      <c r="Q57" s="514"/>
      <c r="R57" s="514"/>
      <c r="S57" s="514"/>
      <c r="T57" s="514"/>
      <c r="U57" s="352">
        <f>IF(AND(Kalk5!$AA$5=2,Kalk5!$AA$15),VLOOKUP(F57,Preisliste!C:G,5,FALSE),VLOOKUP(F57,Preisliste!C:G,4,FALSE))</f>
        <v>138.30000000000001</v>
      </c>
      <c r="V57" s="352">
        <f t="shared" ref="V57:V59" si="10">U57*D57</f>
        <v>0</v>
      </c>
      <c r="W57" s="86"/>
      <c r="X57" s="86"/>
      <c r="Y57" s="86"/>
      <c r="Z57" s="143">
        <f>IF(AND(Kalk5!$AA$5=2,Kalk5!$AA$15),(VLOOKUP(F57,Preisliste!C:G,5,FALSE)-VLOOKUP(F57,Preisliste!C:G,4,FALSE))*D57/1000,0)</f>
        <v>0</v>
      </c>
      <c r="AA57" s="86"/>
      <c r="AB57" s="86"/>
      <c r="AC57" s="86"/>
      <c r="AD57" s="86"/>
      <c r="AE57" s="86"/>
      <c r="AF57" s="86"/>
      <c r="AG57" s="244">
        <f>IF(AND(Kalk5!$AA$19=2,AND(Kalk5!H28&gt;0,Kalk5!H29&gt;0)),1,0)</f>
        <v>0</v>
      </c>
      <c r="AH57" s="66">
        <f>Kalk5!$H$33*Kalk5!$H$37</f>
        <v>1</v>
      </c>
      <c r="AI57" s="55" t="s">
        <v>22081</v>
      </c>
      <c r="AK57" s="55" t="s">
        <v>22079</v>
      </c>
      <c r="AL57" s="66">
        <f>Kalk5!$AH$40</f>
        <v>0</v>
      </c>
      <c r="AM57" s="55" t="s">
        <v>22096</v>
      </c>
      <c r="AT57" s="66">
        <f>Kalk5!$AH$38</f>
        <v>0</v>
      </c>
      <c r="AU57" s="55" t="s">
        <v>21845</v>
      </c>
    </row>
    <row r="58" spans="2:84" ht="24.95" customHeight="1">
      <c r="B58" s="93">
        <f t="shared" si="8"/>
        <v>0</v>
      </c>
      <c r="C58" s="138">
        <f>IF(AG58=1,AT58,0)</f>
        <v>0</v>
      </c>
      <c r="D58" s="60">
        <f t="shared" si="9"/>
        <v>0</v>
      </c>
      <c r="E58" s="60" t="str">
        <f>VLOOKUP(1598,Sprachindex!$A:$Z,Erhebungsbogen!$Y$20,FALSE)</f>
        <v>[mm]</v>
      </c>
      <c r="F58" s="60" t="s">
        <v>21879</v>
      </c>
      <c r="G58" s="514" t="str">
        <f>VLOOKUP(1662,Sprachindex!$A:$Z,Erhebungsbogen!$Y$20,FALSE) &amp; IF(AND(Kalk5!$AA$5=2,Kalk5!$AA$15),", " &amp; VLOOKUP(1645,Sprachindex!$A:$Z,Erhebungsbogen!$Y$20,FALSE) &amp; " " &amp; $U$8,", "&amp; VLOOKUP(1648,Sprachindex!$A:$Z,Erhebungsbogen!$Y$20,FALSE)) &amp; " (" &amp; ROUNDUP(C58/1000*Preisliste!I38,2) &amp; " " &amp; VLOOKUP(1744,Sprachindex!$A:$Z,Erhebungsbogen!$Y$20,FALSE) &amp; ")"</f>
        <v>Dammbalken 50/200 exkl. Dichtung, gesägt und entgratet, blank (0 kg/Stk)</v>
      </c>
      <c r="H58" s="514"/>
      <c r="I58" s="514"/>
      <c r="J58" s="514"/>
      <c r="K58" s="514"/>
      <c r="L58" s="514"/>
      <c r="M58" s="514"/>
      <c r="N58" s="514"/>
      <c r="O58" s="514"/>
      <c r="P58" s="514"/>
      <c r="Q58" s="514"/>
      <c r="R58" s="514"/>
      <c r="S58" s="514"/>
      <c r="T58" s="514"/>
      <c r="U58" s="352">
        <f>IF(AND(Kalk5!$AA$5=2,Kalk5!$AA$15),VLOOKUP(F58,Preisliste!C:G,5,FALSE),VLOOKUP(F58,Preisliste!C:G,4,FALSE))</f>
        <v>132.1</v>
      </c>
      <c r="V58" s="352">
        <f t="shared" si="10"/>
        <v>0</v>
      </c>
      <c r="W58" s="86"/>
      <c r="X58" s="86"/>
      <c r="Y58" s="86"/>
      <c r="Z58" s="143">
        <f>IF(AND(Kalk5!$AA$5=2,Kalk5!$AA$15),(VLOOKUP(F58,Preisliste!C:G,5,FALSE)-VLOOKUP(F58,Preisliste!C:G,4,FALSE))*D58/1000,0)</f>
        <v>0</v>
      </c>
      <c r="AA58" s="86"/>
      <c r="AB58" s="86"/>
      <c r="AC58" s="86"/>
      <c r="AD58" s="86"/>
      <c r="AE58" s="86"/>
      <c r="AF58" s="86"/>
      <c r="AG58" s="55">
        <f>IF(Kalk5!$AA$19=3,1,0)</f>
        <v>1</v>
      </c>
      <c r="AH58" s="66">
        <f>Kalk5!$H$33*Kalk5!$H$37</f>
        <v>1</v>
      </c>
      <c r="AI58" s="55" t="s">
        <v>22081</v>
      </c>
      <c r="AK58" s="55" t="s">
        <v>22079</v>
      </c>
      <c r="AL58" s="66">
        <f>Kalk5!$AH$40</f>
        <v>0</v>
      </c>
      <c r="AM58" s="55" t="s">
        <v>22096</v>
      </c>
      <c r="AT58" s="66">
        <f>Kalk5!$AH$38</f>
        <v>0</v>
      </c>
      <c r="AU58" s="55" t="s">
        <v>21845</v>
      </c>
    </row>
    <row r="59" spans="2:84" ht="24.95" customHeight="1">
      <c r="B59" s="93">
        <f>IF(AG59=1,AH59*AL59,0)</f>
        <v>0</v>
      </c>
      <c r="C59" s="138">
        <f>IF(AG59=1,AT59,0)</f>
        <v>0</v>
      </c>
      <c r="D59" s="60">
        <f t="shared" si="9"/>
        <v>0</v>
      </c>
      <c r="E59" s="60" t="str">
        <f>VLOOKUP(1598,Sprachindex!$A:$Z,Erhebungsbogen!$Y$20,FALSE)</f>
        <v>[mm]</v>
      </c>
      <c r="F59" s="60" t="s">
        <v>21880</v>
      </c>
      <c r="G59" s="514" t="str">
        <f>VLOOKUP(1663,Sprachindex!$A:$Z,Erhebungsbogen!$Y$20,FALSE) &amp; IF(AND(Kalk5!$AA$5=2,Kalk5!$AA$15),", " &amp; VLOOKUP(1645,Sprachindex!$A:$Z,Erhebungsbogen!$Y$20,FALSE) &amp; " " &amp; $U$8,", "&amp; VLOOKUP(1648,Sprachindex!$A:$Z,Erhebungsbogen!$Y$20,FALSE)) &amp; " (" &amp; ROUNDUP(C59/1000*Preisliste!I39,2) &amp; " " &amp; VLOOKUP(1744,Sprachindex!$A:$Z,Erhebungsbogen!$Y$20,FALSE) &amp; ")"</f>
        <v>Dammbalken 80/200 exkl. Dichtung, gesägt und entgratet, blank (0 kg/Stk)</v>
      </c>
      <c r="H59" s="514"/>
      <c r="I59" s="514"/>
      <c r="J59" s="514"/>
      <c r="K59" s="514"/>
      <c r="L59" s="514"/>
      <c r="M59" s="514"/>
      <c r="N59" s="514"/>
      <c r="O59" s="514"/>
      <c r="P59" s="514"/>
      <c r="Q59" s="514"/>
      <c r="R59" s="514"/>
      <c r="S59" s="514"/>
      <c r="T59" s="514"/>
      <c r="U59" s="352">
        <f>IF(AND(Kalk5!$AA$5=2,Kalk5!$AA$15),VLOOKUP(F59,Preisliste!C:G,5,FALSE),VLOOKUP(F59,Preisliste!C:G,4,FALSE))</f>
        <v>203.05</v>
      </c>
      <c r="V59" s="352">
        <f t="shared" si="10"/>
        <v>0</v>
      </c>
      <c r="W59" s="86"/>
      <c r="X59" s="86"/>
      <c r="Y59" s="86"/>
      <c r="Z59" s="143">
        <f>IF(AND(Kalk5!$AA$5=2,Kalk5!$AA$15),(VLOOKUP(F59,Preisliste!C:G,5,FALSE)-VLOOKUP(F59,Preisliste!C:G,4,FALSE))*D59/1000,0)</f>
        <v>0</v>
      </c>
      <c r="AA59" s="86"/>
      <c r="AB59" s="86"/>
      <c r="AC59" s="86"/>
      <c r="AD59" s="86"/>
      <c r="AE59" s="86"/>
      <c r="AF59" s="86"/>
      <c r="AG59" s="55">
        <f>IF(Kalk5!$AA$19=4,1,0)</f>
        <v>0</v>
      </c>
      <c r="AH59" s="66">
        <f>Kalk5!$H$33*Kalk5!$H$37</f>
        <v>1</v>
      </c>
      <c r="AI59" s="55" t="s">
        <v>22081</v>
      </c>
      <c r="AK59" s="55" t="s">
        <v>22079</v>
      </c>
      <c r="AL59" s="66">
        <f>Kalk5!$AH$40</f>
        <v>0</v>
      </c>
      <c r="AM59" s="55" t="s">
        <v>22096</v>
      </c>
      <c r="AT59" s="66">
        <f>Kalk5!$AH$38</f>
        <v>0</v>
      </c>
      <c r="AU59" s="55" t="s">
        <v>21845</v>
      </c>
    </row>
    <row r="60" spans="2:84" ht="24.95" customHeight="1">
      <c r="B60" s="94">
        <f>IF(AG60=1,AL60,0)</f>
        <v>0</v>
      </c>
      <c r="C60" s="60"/>
      <c r="D60" s="60">
        <f>B60</f>
        <v>0</v>
      </c>
      <c r="E60" s="60" t="str">
        <f>VLOOKUP(1601,Sprachindex!$A:$Z,Erhebungsbogen!$Y$20,FALSE)</f>
        <v>[VPE]</v>
      </c>
      <c r="F60" s="60" t="s">
        <v>21947</v>
      </c>
      <c r="G60" s="514" t="str">
        <f>VLOOKUP(1664,Sprachindex!$A:$Z,Erhebungsbogen!$Y$20,FALSE) &amp; " [" &amp; VLOOKUP(992,Sprachindex!$A:$Z,Erhebungsbogen!$Y$20,FALSE) &amp; " =25 "&amp; VLOOKUP(1512,Sprachindex!$A:$Z,Erhebungsbogen!$Y$20,FALSE) &amp; "]"</f>
        <v>Dammbalkendichtung (25) [VPE =25 lfm]</v>
      </c>
      <c r="H60" s="514"/>
      <c r="I60" s="514"/>
      <c r="J60" s="514"/>
      <c r="K60" s="514"/>
      <c r="L60" s="514"/>
      <c r="M60" s="514"/>
      <c r="N60" s="514"/>
      <c r="O60" s="514"/>
      <c r="P60" s="514"/>
      <c r="Q60" s="514"/>
      <c r="R60" s="514"/>
      <c r="S60" s="514"/>
      <c r="T60" s="514"/>
      <c r="U60" s="352">
        <f>VLOOKUP(F60,Preisliste!C:F,4,FALSE)</f>
        <v>72.599999999999994</v>
      </c>
      <c r="V60" s="352">
        <f t="shared" ref="V60:V61" si="11">U60*D60</f>
        <v>0</v>
      </c>
      <c r="W60" s="86"/>
      <c r="X60" s="86"/>
      <c r="Y60" s="86"/>
      <c r="Z60" s="86"/>
      <c r="AA60" s="86"/>
      <c r="AB60" s="86"/>
      <c r="AC60" s="86"/>
      <c r="AD60" s="86"/>
      <c r="AE60" s="86"/>
      <c r="AF60" s="86"/>
      <c r="AG60" s="55">
        <f>IF(Kalk5!$AA$19=1,1,0)</f>
        <v>0</v>
      </c>
      <c r="AK60" s="55" t="s">
        <v>22100</v>
      </c>
      <c r="AL60" s="66">
        <f>Kalk5!$AH$43</f>
        <v>0</v>
      </c>
      <c r="AM60" s="55" t="s">
        <v>12148</v>
      </c>
    </row>
    <row r="61" spans="2:84" ht="24.95" customHeight="1">
      <c r="B61" s="94">
        <f>IF(AG61=1,AL61,0)</f>
        <v>0</v>
      </c>
      <c r="C61" s="60"/>
      <c r="D61" s="60">
        <f>B61</f>
        <v>0</v>
      </c>
      <c r="E61" s="60" t="str">
        <f>VLOOKUP(1601,Sprachindex!$A:$Z,Erhebungsbogen!$Y$20,FALSE)</f>
        <v>[VPE]</v>
      </c>
      <c r="F61" s="60" t="s">
        <v>21946</v>
      </c>
      <c r="G61" s="514" t="str">
        <f>VLOOKUP(1665,Sprachindex!$A:$Z,Erhebungsbogen!$Y$20,FALSE) &amp; " [" &amp; VLOOKUP(992,Sprachindex!$A:$Z,Erhebungsbogen!$Y$20,FALSE) &amp; " =25 "&amp; VLOOKUP(1512,Sprachindex!$A:$Z,Erhebungsbogen!$Y$20,FALSE) &amp; "]"</f>
        <v>Dammbalkendichtung (50+80) [VPE =25 lfm]</v>
      </c>
      <c r="H61" s="514"/>
      <c r="I61" s="514"/>
      <c r="J61" s="514"/>
      <c r="K61" s="514"/>
      <c r="L61" s="514"/>
      <c r="M61" s="514"/>
      <c r="N61" s="514"/>
      <c r="O61" s="514"/>
      <c r="P61" s="514"/>
      <c r="Q61" s="514"/>
      <c r="R61" s="514"/>
      <c r="S61" s="514"/>
      <c r="T61" s="514"/>
      <c r="U61" s="352">
        <f>VLOOKUP(F61,Preisliste!C:F,4,FALSE)</f>
        <v>73.45</v>
      </c>
      <c r="V61" s="352">
        <f t="shared" si="11"/>
        <v>0</v>
      </c>
      <c r="W61" s="86"/>
      <c r="X61" s="86"/>
      <c r="Y61" s="86"/>
      <c r="Z61" s="86"/>
      <c r="AA61" s="86"/>
      <c r="AB61" s="86"/>
      <c r="AC61" s="86"/>
      <c r="AD61" s="86"/>
      <c r="AE61" s="86"/>
      <c r="AF61" s="86"/>
      <c r="AG61" s="55">
        <f>IF(AND(OR(Kalk5!$AA$19=2,Kalk5!$AA$19=3,Kalk5!$AA$19=4),AND(Kalk5!H28&gt;0,Kalk5!H29&gt;0)),1,0)</f>
        <v>0</v>
      </c>
      <c r="AK61" s="55" t="s">
        <v>22100</v>
      </c>
      <c r="AL61" s="66">
        <f>Kalk5!$AH$43</f>
        <v>0</v>
      </c>
      <c r="AM61" s="55" t="s">
        <v>12148</v>
      </c>
    </row>
    <row r="62" spans="2:84" ht="24.95" customHeight="1">
      <c r="B62" s="93">
        <v>1</v>
      </c>
      <c r="C62" s="60"/>
      <c r="D62" s="60"/>
      <c r="E62" s="60" t="str">
        <f>VLOOKUP(1600,Sprachindex!$A:$Z,Erhebungsbogen!$Y$20,FALSE)</f>
        <v>[Stk]</v>
      </c>
      <c r="F62" s="60" t="s">
        <v>21977</v>
      </c>
      <c r="G62" s="514" t="str">
        <f>VLOOKUP(1666,Sprachindex!$A:$Z,Erhebungsbogen!$Y$20,FALSE)</f>
        <v>Dammbalkenhaken</v>
      </c>
      <c r="H62" s="514"/>
      <c r="I62" s="514"/>
      <c r="J62" s="514"/>
      <c r="K62" s="514"/>
      <c r="L62" s="514"/>
      <c r="M62" s="514"/>
      <c r="N62" s="514"/>
      <c r="O62" s="514"/>
      <c r="P62" s="514"/>
      <c r="Q62" s="514"/>
      <c r="R62" s="514"/>
      <c r="S62" s="514"/>
      <c r="T62" s="514"/>
      <c r="U62" s="352">
        <f>VLOOKUP(F62,Preisliste!C:F,4,FALSE)</f>
        <v>0</v>
      </c>
      <c r="V62" s="352">
        <f t="shared" ref="V62" si="12">U62*B62</f>
        <v>0</v>
      </c>
      <c r="W62" s="86"/>
      <c r="X62" s="86"/>
      <c r="Y62" s="86"/>
      <c r="Z62" s="86"/>
      <c r="AA62" s="86"/>
      <c r="AB62" s="86"/>
      <c r="AC62" s="86"/>
      <c r="AD62" s="86"/>
      <c r="AE62" s="86"/>
      <c r="AF62" s="86"/>
    </row>
    <row r="63" spans="2:84" ht="24.95" customHeight="1">
      <c r="B63" s="94">
        <f t="shared" ref="B63:B65" si="13">IF(AG63=1,AL63,0)</f>
        <v>0</v>
      </c>
      <c r="C63" s="60"/>
      <c r="D63" s="60">
        <f t="shared" ref="D63:D67" si="14">B63</f>
        <v>0</v>
      </c>
      <c r="E63" s="60" t="str">
        <f>VLOOKUP(1596,Sprachindex!$A:$Z,Erhebungsbogen!$Y$20,FALSE)</f>
        <v>[lfm]</v>
      </c>
      <c r="F63" s="60" t="s">
        <v>21974</v>
      </c>
      <c r="G63" s="514" t="str">
        <f>VLOOKUP(1672,Sprachindex!$A:$Z,Erhebungsbogen!$Y$20,FALSE) &amp; " [" &amp; VLOOKUP(992,Sprachindex!$A:$Z,Erhebungsbogen!$Y$20,FALSE) &amp; " =1 "&amp; VLOOKUP(1512,Sprachindex!$A:$Z,Erhebungsbogen!$Y$20,FALSE) &amp; "]"</f>
        <v>Dauerbodendichtung 25 [VPE =1 lfm]</v>
      </c>
      <c r="H63" s="514"/>
      <c r="I63" s="514"/>
      <c r="J63" s="514"/>
      <c r="K63" s="514"/>
      <c r="L63" s="514"/>
      <c r="M63" s="514"/>
      <c r="N63" s="514"/>
      <c r="O63" s="514"/>
      <c r="P63" s="514"/>
      <c r="Q63" s="514"/>
      <c r="R63" s="514"/>
      <c r="S63" s="514"/>
      <c r="T63" s="514"/>
      <c r="U63" s="352">
        <f>VLOOKUP(F63,Preisliste!C:F,4,FALSE)</f>
        <v>38.1</v>
      </c>
      <c r="V63" s="352">
        <f t="shared" ref="V63:V65" si="15">U63*D63</f>
        <v>0</v>
      </c>
      <c r="W63" s="86"/>
      <c r="X63" s="86"/>
      <c r="Y63" s="86"/>
      <c r="Z63" s="86"/>
      <c r="AA63" s="86"/>
      <c r="AB63" s="86"/>
      <c r="AC63" s="86"/>
      <c r="AD63" s="86"/>
      <c r="AE63" s="86"/>
      <c r="AF63" s="86"/>
      <c r="AG63" s="55">
        <f>IF(AND(Kalk5!$AA$19=1,Kalk5!$AA$29),1,0)</f>
        <v>0</v>
      </c>
      <c r="AK63" s="55" t="s">
        <v>22100</v>
      </c>
      <c r="AL63" s="66">
        <f>Kalk5!$AH$45</f>
        <v>0</v>
      </c>
      <c r="AM63" s="55" t="s">
        <v>17115</v>
      </c>
    </row>
    <row r="64" spans="2:84" ht="24.95" customHeight="1">
      <c r="B64" s="94">
        <f t="shared" si="13"/>
        <v>0</v>
      </c>
      <c r="C64" s="60"/>
      <c r="D64" s="60">
        <f t="shared" si="14"/>
        <v>0</v>
      </c>
      <c r="E64" s="60" t="str">
        <f>VLOOKUP(1596,Sprachindex!$A:$Z,Erhebungsbogen!$Y$20,FALSE)</f>
        <v>[lfm]</v>
      </c>
      <c r="F64" s="60" t="s">
        <v>21949</v>
      </c>
      <c r="G64" s="514" t="str">
        <f>VLOOKUP(1673,Sprachindex!$A:$Z,Erhebungsbogen!$Y$20,FALSE) &amp; " [" &amp; VLOOKUP(992,Sprachindex!$A:$Z,Erhebungsbogen!$Y$20,FALSE) &amp; " =1 "&amp; VLOOKUP(1512,Sprachindex!$A:$Z,Erhebungsbogen!$Y$20,FALSE) &amp; "]"</f>
        <v>Dauerbodendichtung 50 [VPE =1 lfm]</v>
      </c>
      <c r="H64" s="514"/>
      <c r="I64" s="514"/>
      <c r="J64" s="514"/>
      <c r="K64" s="514"/>
      <c r="L64" s="514"/>
      <c r="M64" s="514"/>
      <c r="N64" s="514"/>
      <c r="O64" s="514"/>
      <c r="P64" s="514"/>
      <c r="Q64" s="514"/>
      <c r="R64" s="514"/>
      <c r="S64" s="514"/>
      <c r="T64" s="514"/>
      <c r="U64" s="352">
        <f>VLOOKUP(F64,Preisliste!C:F,4,FALSE)</f>
        <v>58.65</v>
      </c>
      <c r="V64" s="352">
        <f t="shared" si="15"/>
        <v>0</v>
      </c>
      <c r="W64" s="86"/>
      <c r="X64" s="86"/>
      <c r="Y64" s="86"/>
      <c r="Z64" s="86"/>
      <c r="AA64" s="86"/>
      <c r="AB64" s="86"/>
      <c r="AC64" s="86"/>
      <c r="AD64" s="86"/>
      <c r="AE64" s="86"/>
      <c r="AF64" s="86"/>
      <c r="AG64" s="55">
        <f>IF(AND(OR(Kalk5!$AA$19=2,Kalk5!$AA$19=3),Kalk5!$AA$29),1,0)</f>
        <v>0</v>
      </c>
      <c r="AK64" s="55" t="s">
        <v>22100</v>
      </c>
      <c r="AL64" s="66">
        <f>Kalk5!$AH$45</f>
        <v>0</v>
      </c>
      <c r="AM64" s="55" t="s">
        <v>17115</v>
      </c>
    </row>
    <row r="65" spans="2:53" ht="24.95" customHeight="1">
      <c r="B65" s="94">
        <f t="shared" si="13"/>
        <v>0</v>
      </c>
      <c r="C65" s="60"/>
      <c r="D65" s="60">
        <f t="shared" si="14"/>
        <v>0</v>
      </c>
      <c r="E65" s="60" t="str">
        <f>VLOOKUP(1596,Sprachindex!$A:$Z,Erhebungsbogen!$Y$20,FALSE)</f>
        <v>[lfm]</v>
      </c>
      <c r="F65" s="60" t="s">
        <v>21950</v>
      </c>
      <c r="G65" s="514" t="str">
        <f>VLOOKUP(1674,Sprachindex!$A:$Z,Erhebungsbogen!$Y$20,FALSE) &amp; " [" &amp; VLOOKUP(992,Sprachindex!$A:$Z,Erhebungsbogen!$Y$20,FALSE) &amp; " =1 "&amp; VLOOKUP(1512,Sprachindex!$A:$Z,Erhebungsbogen!$Y$20,FALSE) &amp; "]"</f>
        <v>Dauerbodendichtung 80 [VPE =1 lfm]</v>
      </c>
      <c r="H65" s="514"/>
      <c r="I65" s="514"/>
      <c r="J65" s="514"/>
      <c r="K65" s="514"/>
      <c r="L65" s="514"/>
      <c r="M65" s="514"/>
      <c r="N65" s="514"/>
      <c r="O65" s="514"/>
      <c r="P65" s="514"/>
      <c r="Q65" s="514"/>
      <c r="R65" s="514"/>
      <c r="S65" s="514"/>
      <c r="T65" s="514"/>
      <c r="U65" s="352">
        <f>VLOOKUP(F65,Preisliste!C:F,4,FALSE)</f>
        <v>99.05</v>
      </c>
      <c r="V65" s="352">
        <f t="shared" si="15"/>
        <v>0</v>
      </c>
      <c r="W65" s="86"/>
      <c r="X65" s="86"/>
      <c r="Y65" s="86"/>
      <c r="Z65" s="86"/>
      <c r="AA65" s="86"/>
      <c r="AB65" s="86"/>
      <c r="AC65" s="86"/>
      <c r="AD65" s="86"/>
      <c r="AE65" s="86"/>
      <c r="AF65" s="86"/>
      <c r="AG65" s="55">
        <f>IF(AND(Kalk5!$AA$19=4,Kalk5!$AA$29),1,0)</f>
        <v>0</v>
      </c>
      <c r="AK65" s="55" t="s">
        <v>22100</v>
      </c>
      <c r="AL65" s="66">
        <f>Kalk5!$AH$45</f>
        <v>0</v>
      </c>
      <c r="AM65" s="55" t="s">
        <v>17115</v>
      </c>
    </row>
    <row r="66" spans="2:53" ht="24.95" customHeight="1">
      <c r="B66" s="93">
        <f>IF(AND(AG66&gt;0,AL66&gt;0),AL66,0)</f>
        <v>0</v>
      </c>
      <c r="C66" s="60"/>
      <c r="D66" s="60">
        <f t="shared" si="14"/>
        <v>0</v>
      </c>
      <c r="E66" s="60" t="str">
        <f>VLOOKUP(1600,Sprachindex!$A:$Z,Erhebungsbogen!$Y$20,FALSE)</f>
        <v>[Stk]</v>
      </c>
      <c r="F66" s="60" t="s">
        <v>21978</v>
      </c>
      <c r="G66" s="514" t="str">
        <f>VLOOKUP(1681,Sprachindex!$A:$Z,Erhebungsbogen!$Y$20,FALSE)</f>
        <v>Dichtungsroller 25/50</v>
      </c>
      <c r="H66" s="515"/>
      <c r="I66" s="515"/>
      <c r="J66" s="515"/>
      <c r="K66" s="515"/>
      <c r="L66" s="515"/>
      <c r="M66" s="515"/>
      <c r="N66" s="515"/>
      <c r="O66" s="515"/>
      <c r="P66" s="515"/>
      <c r="Q66" s="515"/>
      <c r="R66" s="515"/>
      <c r="S66" s="515"/>
      <c r="T66" s="516"/>
      <c r="U66" s="352">
        <f>VLOOKUP(F66,Preisliste!C:F,4,FALSE)</f>
        <v>49.75</v>
      </c>
      <c r="V66" s="352">
        <f t="shared" ref="V66:V129" si="16">U66*B66</f>
        <v>0</v>
      </c>
      <c r="W66" s="86"/>
      <c r="X66" s="86"/>
      <c r="Y66" s="86"/>
      <c r="Z66" s="86"/>
      <c r="AA66" s="86"/>
      <c r="AB66" s="86"/>
      <c r="AC66" s="86"/>
      <c r="AD66" s="86"/>
      <c r="AE66" s="86"/>
      <c r="AF66" s="86"/>
      <c r="AG66" s="55">
        <f>IF(AND(Kalk5!$AA$33,Kalk5!$Q$36&gt;0),1,0)</f>
        <v>0</v>
      </c>
      <c r="AK66" s="55" t="s">
        <v>22100</v>
      </c>
      <c r="AL66" s="66">
        <f>Kalk5!Q36*Kalk5!$H$37</f>
        <v>0</v>
      </c>
      <c r="AM66" s="55" t="s">
        <v>20872</v>
      </c>
    </row>
    <row r="67" spans="2:53" ht="24.95" customHeight="1">
      <c r="B67" s="93">
        <f>IF(AND(AG67&gt;0,AL67&gt;0),AL67,0)</f>
        <v>0</v>
      </c>
      <c r="C67" s="60"/>
      <c r="D67" s="60">
        <f t="shared" si="14"/>
        <v>0</v>
      </c>
      <c r="E67" s="60" t="str">
        <f>VLOOKUP(1600,Sprachindex!$A:$Z,Erhebungsbogen!$Y$20,FALSE)</f>
        <v>[Stk]</v>
      </c>
      <c r="F67" s="60" t="s">
        <v>21979</v>
      </c>
      <c r="G67" s="514" t="str">
        <f>VLOOKUP(1682,Sprachindex!$A:$Z,Erhebungsbogen!$Y$20,FALSE)</f>
        <v>Dichtungsroller 80</v>
      </c>
      <c r="H67" s="515"/>
      <c r="I67" s="515"/>
      <c r="J67" s="515"/>
      <c r="K67" s="515"/>
      <c r="L67" s="515"/>
      <c r="M67" s="515"/>
      <c r="N67" s="515"/>
      <c r="O67" s="515"/>
      <c r="P67" s="515"/>
      <c r="Q67" s="515"/>
      <c r="R67" s="515"/>
      <c r="S67" s="515"/>
      <c r="T67" s="516"/>
      <c r="U67" s="352">
        <f>VLOOKUP(F67,Preisliste!C:F,4,FALSE)</f>
        <v>49.75</v>
      </c>
      <c r="V67" s="352">
        <f t="shared" si="16"/>
        <v>0</v>
      </c>
      <c r="W67" s="86"/>
      <c r="X67" s="86"/>
      <c r="Y67" s="86"/>
      <c r="Z67" s="86"/>
      <c r="AA67" s="86"/>
      <c r="AB67" s="86"/>
      <c r="AC67" s="86"/>
      <c r="AD67" s="86"/>
      <c r="AE67" s="86"/>
      <c r="AF67" s="86"/>
      <c r="AG67" s="55">
        <f>IF(AND(Kalk5!$AA$34,Kalk5!$Q$37&gt;0),1,0)</f>
        <v>0</v>
      </c>
      <c r="AK67" s="55" t="s">
        <v>22100</v>
      </c>
      <c r="AL67" s="66">
        <f>Kalk5!Q37*Kalk5!$H$37</f>
        <v>0</v>
      </c>
      <c r="AM67" s="55" t="s">
        <v>20872</v>
      </c>
    </row>
    <row r="68" spans="2:53" ht="24.95" customHeight="1">
      <c r="B68" s="93">
        <f>IF(AG68=1,AZ68,0)</f>
        <v>0</v>
      </c>
      <c r="C68" s="60">
        <v>750</v>
      </c>
      <c r="D68" s="60"/>
      <c r="E68" s="60" t="str">
        <f>VLOOKUP(1600,Sprachindex!$A:$Z,Erhebungsbogen!$Y$20,FALSE)</f>
        <v>[Stk]</v>
      </c>
      <c r="F68" s="60" t="s">
        <v>21884</v>
      </c>
      <c r="G68" s="514" t="str">
        <f>VLOOKUP(2124,Sprachindex!$A:$Z,Erhebungsbogen!$Y$20,FALSE) &amp; IF(AND(Kalk5!$AA$5=2,Kalk5!$AA$13),", " &amp; VLOOKUP(1645,Sprachindex!$A:$Z,Erhebungsbogen!$Y$20,FALSE) &amp; " " &amp; $U$8,", "&amp; VLOOKUP(1648,Sprachindex!$A:$Z,Erhebungsbogen!$Y$20,FALSE))</f>
        <v>Grundprofil 25 (H-Profil v.d.L.) exkl. Dichtung, gebohrt und entgratet, blank</v>
      </c>
      <c r="H68" s="514"/>
      <c r="I68" s="514"/>
      <c r="J68" s="514"/>
      <c r="K68" s="514"/>
      <c r="L68" s="514"/>
      <c r="M68" s="514"/>
      <c r="N68" s="514"/>
      <c r="O68" s="514"/>
      <c r="P68" s="514"/>
      <c r="Q68" s="514"/>
      <c r="R68" s="514"/>
      <c r="S68" s="514"/>
      <c r="T68" s="514"/>
      <c r="U68" s="352">
        <f>IF(AND(Kalk5!$AA$5=2,Kalk5!$AA$13),VLOOKUP(F68,Preisliste!C:G,5,FALSE),VLOOKUP(F68,Preisliste!C:G,4,FALSE))</f>
        <v>95</v>
      </c>
      <c r="V68" s="352">
        <f t="shared" si="16"/>
        <v>0</v>
      </c>
      <c r="W68" s="86"/>
      <c r="X68" s="86"/>
      <c r="Y68" s="86"/>
      <c r="Z68" s="143">
        <f>IF(AND(Kalk5!$AA$5=2,Kalk5!$AA$13),(VLOOKUP(F68,Preisliste!C:G,5,FALSE)-VLOOKUP(F68,Preisliste!C:G,4,FALSE))*B68,0)</f>
        <v>0</v>
      </c>
      <c r="AA68" s="86"/>
      <c r="AB68" s="86"/>
      <c r="AC68" s="86"/>
      <c r="AD68" s="86"/>
      <c r="AE68" s="86"/>
      <c r="AF68" s="86"/>
      <c r="AG68" s="55">
        <f>IF(AND(AH68=1,AL68=1,AP68=1,AND(Kalk5!H28&gt;0,Kalk5!H29&gt;Kalk5!B1)),1,0)</f>
        <v>0</v>
      </c>
      <c r="AH68" s="66">
        <f>IF(Kalk5!$AA$19=1,1,0)</f>
        <v>0</v>
      </c>
      <c r="AI68" s="55">
        <v>25</v>
      </c>
      <c r="AK68" s="55" t="s">
        <v>22079</v>
      </c>
      <c r="AL68" s="66">
        <f>IF(OR(Kalk5!$AA$7=1,Kalk5!$AA$9=1),1,0)</f>
        <v>1</v>
      </c>
      <c r="AM68" s="55" t="s">
        <v>22083</v>
      </c>
      <c r="AO68" s="55" t="s">
        <v>22079</v>
      </c>
      <c r="AP68" s="66">
        <f>IF(Kalk5!$AI$51=AQ68,1,0)</f>
        <v>1</v>
      </c>
      <c r="AQ68" s="55">
        <v>750</v>
      </c>
      <c r="AU68" s="66">
        <f>IF(Kalk5!$AA$7=1,1,0)</f>
        <v>1</v>
      </c>
      <c r="AV68" s="55" t="s">
        <v>19882</v>
      </c>
      <c r="AW68" s="66">
        <f>IF(Kalk5!$AA$9=1,1,0)</f>
        <v>1</v>
      </c>
      <c r="AX68" s="55" t="s">
        <v>20310</v>
      </c>
      <c r="AY68" s="55" t="s">
        <v>22100</v>
      </c>
      <c r="AZ68" s="66">
        <f>(AU68+AW68)*Kalk5!$H$37</f>
        <v>2</v>
      </c>
      <c r="BA68" s="55" t="s">
        <v>22101</v>
      </c>
    </row>
    <row r="69" spans="2:53" ht="24.95" customHeight="1">
      <c r="B69" s="93">
        <f t="shared" ref="B69:B82" si="17">IF(AG69=1,AZ69,0)</f>
        <v>0</v>
      </c>
      <c r="C69" s="60">
        <v>1350</v>
      </c>
      <c r="D69" s="60"/>
      <c r="E69" s="60" t="str">
        <f>VLOOKUP(1600,Sprachindex!$A:$Z,Erhebungsbogen!$Y$20,FALSE)</f>
        <v>[Stk]</v>
      </c>
      <c r="F69" s="60" t="s">
        <v>21885</v>
      </c>
      <c r="G69" s="514" t="str">
        <f>VLOOKUP(2124,Sprachindex!$A:$Z,Erhebungsbogen!$Y$20,FALSE) &amp; IF(AND(Kalk5!$AA$5=2,Kalk5!$AA$13),", " &amp; VLOOKUP(1645,Sprachindex!$A:$Z,Erhebungsbogen!$Y$20,FALSE) &amp; " " &amp; $U$8,", "&amp; VLOOKUP(1648,Sprachindex!$A:$Z,Erhebungsbogen!$Y$20,FALSE))</f>
        <v>Grundprofil 25 (H-Profil v.d.L.) exkl. Dichtung, gebohrt und entgratet, blank</v>
      </c>
      <c r="H69" s="514"/>
      <c r="I69" s="514"/>
      <c r="J69" s="514"/>
      <c r="K69" s="514"/>
      <c r="L69" s="514"/>
      <c r="M69" s="514"/>
      <c r="N69" s="514"/>
      <c r="O69" s="514"/>
      <c r="P69" s="514"/>
      <c r="Q69" s="514"/>
      <c r="R69" s="514"/>
      <c r="S69" s="514"/>
      <c r="T69" s="514"/>
      <c r="U69" s="352">
        <f>IF(AND(Kalk5!$AA$5=2,Kalk5!$AA$13),VLOOKUP(F69,Preisliste!C:G,5,FALSE),VLOOKUP(F69,Preisliste!C:G,4,FALSE))</f>
        <v>149.85</v>
      </c>
      <c r="V69" s="352">
        <f t="shared" si="16"/>
        <v>0</v>
      </c>
      <c r="W69" s="86"/>
      <c r="X69" s="86"/>
      <c r="Y69" s="86"/>
      <c r="Z69" s="143">
        <f>IF(AND(Kalk5!$AA$5=2,Kalk5!$AA$13),(VLOOKUP(F69,Preisliste!C:G,5,FALSE)-VLOOKUP(F69,Preisliste!C:G,4,FALSE))*B69,0)</f>
        <v>0</v>
      </c>
      <c r="AA69" s="86"/>
      <c r="AB69" s="86"/>
      <c r="AC69" s="86"/>
      <c r="AD69" s="86"/>
      <c r="AE69" s="86"/>
      <c r="AF69" s="86"/>
      <c r="AG69" s="55">
        <f t="shared" ref="AG69:AG72" si="18">IF(AND(AH69=1,AL69=1,AP69=1),1,0)</f>
        <v>0</v>
      </c>
      <c r="AH69" s="66">
        <f>IF(Kalk5!$AA$19=1,1,0)</f>
        <v>0</v>
      </c>
      <c r="AI69" s="55">
        <v>25</v>
      </c>
      <c r="AK69" s="55" t="s">
        <v>22079</v>
      </c>
      <c r="AL69" s="66">
        <f>IF(OR(Kalk5!$AA$7=1,Kalk5!$AA$9=1),1,0)</f>
        <v>1</v>
      </c>
      <c r="AM69" s="55" t="s">
        <v>22083</v>
      </c>
      <c r="AO69" s="55" t="s">
        <v>22079</v>
      </c>
      <c r="AP69" s="66">
        <f>IF(Kalk5!$AI$51=AQ69,1,0)</f>
        <v>0</v>
      </c>
      <c r="AQ69" s="55">
        <v>1350</v>
      </c>
      <c r="AU69" s="66">
        <f>IF(Kalk5!$AA$7=1,1,0)</f>
        <v>1</v>
      </c>
      <c r="AV69" s="55" t="s">
        <v>19882</v>
      </c>
      <c r="AW69" s="66">
        <f>IF(Kalk5!$AA$9=1,1,0)</f>
        <v>1</v>
      </c>
      <c r="AX69" s="55" t="s">
        <v>20310</v>
      </c>
      <c r="AY69" s="55" t="s">
        <v>22100</v>
      </c>
      <c r="AZ69" s="66">
        <f>(AU69+AW69)*Kalk5!$H$37</f>
        <v>2</v>
      </c>
      <c r="BA69" s="55" t="s">
        <v>22101</v>
      </c>
    </row>
    <row r="70" spans="2:53" ht="24.95" customHeight="1">
      <c r="B70" s="93">
        <f t="shared" si="17"/>
        <v>0</v>
      </c>
      <c r="C70" s="60">
        <v>1750</v>
      </c>
      <c r="D70" s="60"/>
      <c r="E70" s="60" t="str">
        <f>VLOOKUP(1600,Sprachindex!$A:$Z,Erhebungsbogen!$Y$20,FALSE)</f>
        <v>[Stk]</v>
      </c>
      <c r="F70" s="60" t="s">
        <v>21984</v>
      </c>
      <c r="G70" s="514" t="str">
        <f>VLOOKUP(2124,Sprachindex!$A:$Z,Erhebungsbogen!$Y$20,FALSE) &amp; IF(AND(Kalk5!$AA$5=2,Kalk5!$AA$13),", " &amp; VLOOKUP(1645,Sprachindex!$A:$Z,Erhebungsbogen!$Y$20,FALSE) &amp; " " &amp; $U$8,", "&amp; VLOOKUP(1648,Sprachindex!$A:$Z,Erhebungsbogen!$Y$20,FALSE))</f>
        <v>Grundprofil 25 (H-Profil v.d.L.) exkl. Dichtung, gebohrt und entgratet, blank</v>
      </c>
      <c r="H70" s="514"/>
      <c r="I70" s="514"/>
      <c r="J70" s="514"/>
      <c r="K70" s="514"/>
      <c r="L70" s="514"/>
      <c r="M70" s="514"/>
      <c r="N70" s="514"/>
      <c r="O70" s="514"/>
      <c r="P70" s="514"/>
      <c r="Q70" s="514"/>
      <c r="R70" s="514"/>
      <c r="S70" s="514"/>
      <c r="T70" s="514"/>
      <c r="U70" s="352">
        <f>IF(AND(Kalk5!$AA$5=2,Kalk5!$AA$13),VLOOKUP(F70,Preisliste!C:G,5,FALSE),VLOOKUP(F70,Preisliste!C:G,4,FALSE))</f>
        <v>186.4</v>
      </c>
      <c r="V70" s="352">
        <f t="shared" si="16"/>
        <v>0</v>
      </c>
      <c r="W70" s="86"/>
      <c r="X70" s="86"/>
      <c r="Y70" s="86"/>
      <c r="Z70" s="143">
        <f>IF(AND(Kalk5!$AA$5=2,Kalk5!$AA$13),(VLOOKUP(F70,Preisliste!C:G,5,FALSE)-VLOOKUP(F70,Preisliste!C:G,4,FALSE))*B70,0)</f>
        <v>0</v>
      </c>
      <c r="AA70" s="86"/>
      <c r="AB70" s="86"/>
      <c r="AC70" s="86"/>
      <c r="AD70" s="86"/>
      <c r="AE70" s="86"/>
      <c r="AF70" s="86"/>
      <c r="AG70" s="55">
        <f t="shared" si="18"/>
        <v>0</v>
      </c>
      <c r="AH70" s="66">
        <f>IF(Kalk5!$AA$19=1,1,0)</f>
        <v>0</v>
      </c>
      <c r="AI70" s="55">
        <v>25</v>
      </c>
      <c r="AK70" s="55" t="s">
        <v>22079</v>
      </c>
      <c r="AL70" s="66">
        <f>IF(OR(Kalk5!$AA$7=1,Kalk5!$AA$9=1),1,0)</f>
        <v>1</v>
      </c>
      <c r="AM70" s="55" t="s">
        <v>22083</v>
      </c>
      <c r="AO70" s="55" t="s">
        <v>22079</v>
      </c>
      <c r="AP70" s="66">
        <f>IF(Kalk5!$AI$51=AQ70,1,0)</f>
        <v>0</v>
      </c>
      <c r="AQ70" s="55">
        <v>1750</v>
      </c>
      <c r="AU70" s="66">
        <f>IF(Kalk5!$AA$7=1,1,0)</f>
        <v>1</v>
      </c>
      <c r="AV70" s="55" t="s">
        <v>19882</v>
      </c>
      <c r="AW70" s="66">
        <f>IF(Kalk5!$AA$9=1,1,0)</f>
        <v>1</v>
      </c>
      <c r="AX70" s="55" t="s">
        <v>20310</v>
      </c>
      <c r="AY70" s="55" t="s">
        <v>22100</v>
      </c>
      <c r="AZ70" s="66">
        <f>(AU70+AW70)*Kalk5!$H$37</f>
        <v>2</v>
      </c>
      <c r="BA70" s="55" t="s">
        <v>22101</v>
      </c>
    </row>
    <row r="71" spans="2:53" ht="24.95" customHeight="1">
      <c r="B71" s="93">
        <f t="shared" si="17"/>
        <v>0</v>
      </c>
      <c r="C71" s="60">
        <v>2150</v>
      </c>
      <c r="D71" s="60"/>
      <c r="E71" s="60" t="str">
        <f>VLOOKUP(1600,Sprachindex!$A:$Z,Erhebungsbogen!$Y$20,FALSE)</f>
        <v>[Stk]</v>
      </c>
      <c r="F71" s="60" t="s">
        <v>21985</v>
      </c>
      <c r="G71" s="514" t="str">
        <f>VLOOKUP(2124,Sprachindex!$A:$Z,Erhebungsbogen!$Y$20,FALSE) &amp; IF(AND(Kalk5!$AA$5=2,Kalk5!$AA$13),", " &amp; VLOOKUP(1645,Sprachindex!$A:$Z,Erhebungsbogen!$Y$20,FALSE) &amp; " " &amp; $U$8,", "&amp; VLOOKUP(1648,Sprachindex!$A:$Z,Erhebungsbogen!$Y$20,FALSE))</f>
        <v>Grundprofil 25 (H-Profil v.d.L.) exkl. Dichtung, gebohrt und entgratet, blank</v>
      </c>
      <c r="H71" s="514"/>
      <c r="I71" s="514"/>
      <c r="J71" s="514"/>
      <c r="K71" s="514"/>
      <c r="L71" s="514"/>
      <c r="M71" s="514"/>
      <c r="N71" s="514"/>
      <c r="O71" s="514"/>
      <c r="P71" s="514"/>
      <c r="Q71" s="514"/>
      <c r="R71" s="514"/>
      <c r="S71" s="514"/>
      <c r="T71" s="514"/>
      <c r="U71" s="352">
        <f>IF(AND(Kalk5!$AA$5=2,Kalk5!$AA$13),VLOOKUP(F71,Preisliste!C:G,5,FALSE),VLOOKUP(F71,Preisliste!C:G,4,FALSE))</f>
        <v>222.9</v>
      </c>
      <c r="V71" s="352">
        <f t="shared" si="16"/>
        <v>0</v>
      </c>
      <c r="W71" s="86"/>
      <c r="X71" s="86"/>
      <c r="Y71" s="86"/>
      <c r="Z71" s="143">
        <f>IF(AND(Kalk5!$AA$5=2,Kalk5!$AA$13),(VLOOKUP(F71,Preisliste!C:G,5,FALSE)-VLOOKUP(F71,Preisliste!C:G,4,FALSE))*B71,0)</f>
        <v>0</v>
      </c>
      <c r="AA71" s="86"/>
      <c r="AB71" s="86"/>
      <c r="AC71" s="86"/>
      <c r="AD71" s="86"/>
      <c r="AE71" s="86"/>
      <c r="AF71" s="86"/>
      <c r="AG71" s="55">
        <f t="shared" si="18"/>
        <v>0</v>
      </c>
      <c r="AH71" s="66">
        <f>IF(Kalk5!$AA$19=1,1,0)</f>
        <v>0</v>
      </c>
      <c r="AI71" s="55">
        <v>25</v>
      </c>
      <c r="AK71" s="55" t="s">
        <v>22079</v>
      </c>
      <c r="AL71" s="66">
        <f>IF(OR(Kalk5!$AA$7=1,Kalk5!$AA$9=1),1,0)</f>
        <v>1</v>
      </c>
      <c r="AM71" s="55" t="s">
        <v>22083</v>
      </c>
      <c r="AO71" s="55" t="s">
        <v>22079</v>
      </c>
      <c r="AP71" s="66">
        <f>IF(Kalk5!$AI$51=AQ71,1,0)</f>
        <v>0</v>
      </c>
      <c r="AQ71" s="55">
        <v>2150</v>
      </c>
      <c r="AU71" s="66">
        <f>IF(Kalk5!$AA$7=1,1,0)</f>
        <v>1</v>
      </c>
      <c r="AV71" s="55" t="s">
        <v>19882</v>
      </c>
      <c r="AW71" s="66">
        <f>IF(Kalk5!$AA$9=1,1,0)</f>
        <v>1</v>
      </c>
      <c r="AX71" s="55" t="s">
        <v>20310</v>
      </c>
      <c r="AY71" s="55" t="s">
        <v>22100</v>
      </c>
      <c r="AZ71" s="66">
        <f>(AU71+AW71)*Kalk5!$H$37</f>
        <v>2</v>
      </c>
      <c r="BA71" s="55" t="s">
        <v>22101</v>
      </c>
    </row>
    <row r="72" spans="2:53" ht="24.95" customHeight="1">
      <c r="B72" s="93">
        <f t="shared" si="17"/>
        <v>0</v>
      </c>
      <c r="C72" s="60">
        <f>IF(AG72=1,AS72,0)</f>
        <v>0</v>
      </c>
      <c r="D72" s="60"/>
      <c r="E72" s="60" t="str">
        <f>VLOOKUP(1600,Sprachindex!$A:$Z,Erhebungsbogen!$Y$20,FALSE)</f>
        <v>[Stk]</v>
      </c>
      <c r="F72" s="60" t="s">
        <v>21883</v>
      </c>
      <c r="G72" s="514" t="str">
        <f>VLOOKUP(2125,Sprachindex!$A:$Z,Erhebungsbogen!$Y$20,FALSE)</f>
        <v>Grundprofil 25 (H-Profil v.d.L.) Sonderlänge exkl. Dichtung, (Stangenware)</v>
      </c>
      <c r="H72" s="514"/>
      <c r="I72" s="514"/>
      <c r="J72" s="514"/>
      <c r="K72" s="514"/>
      <c r="L72" s="514"/>
      <c r="M72" s="514"/>
      <c r="N72" s="514"/>
      <c r="O72" s="514"/>
      <c r="P72" s="514"/>
      <c r="Q72" s="514"/>
      <c r="R72" s="514"/>
      <c r="S72" s="514"/>
      <c r="T72" s="514"/>
      <c r="U72" s="352">
        <f>IF(AND(Kalk5!$AA$5=2,Kalk5!$AA$13),VLOOKUP(F72,Preisliste!C:G,5,FALSE),VLOOKUP(F72,Preisliste!C:G,4,FALSE))</f>
        <v>72</v>
      </c>
      <c r="V72" s="352">
        <f t="shared" si="16"/>
        <v>0</v>
      </c>
      <c r="W72" s="86"/>
      <c r="X72" s="86"/>
      <c r="Y72" s="86"/>
      <c r="Z72" s="143">
        <f>IF(AND(Kalk5!$AA$5=2,Kalk5!$AA$13),(VLOOKUP(F72,Preisliste!C:G,5,FALSE)-VLOOKUP(F72,Preisliste!C:G,4,FALSE))*B72,0)</f>
        <v>0</v>
      </c>
      <c r="AA72" s="86"/>
      <c r="AB72" s="86"/>
      <c r="AC72" s="86"/>
      <c r="AD72" s="86"/>
      <c r="AE72" s="86"/>
      <c r="AF72" s="86"/>
      <c r="AG72" s="55">
        <f t="shared" si="18"/>
        <v>0</v>
      </c>
      <c r="AH72" s="66">
        <f>IF(Kalk5!$AA$19=1,1,0)</f>
        <v>0</v>
      </c>
      <c r="AI72" s="55">
        <v>25</v>
      </c>
      <c r="AK72" s="55" t="s">
        <v>22079</v>
      </c>
      <c r="AL72" s="66">
        <f>IF(OR(Kalk5!$AA$7=1,Kalk5!$AA$9=1),1,0)</f>
        <v>1</v>
      </c>
      <c r="AM72" s="55" t="s">
        <v>22083</v>
      </c>
      <c r="AO72" s="55" t="s">
        <v>22079</v>
      </c>
      <c r="AP72" s="66">
        <f>IF(Kalk5!$AH$52&gt;AQ72,1,0)</f>
        <v>0</v>
      </c>
      <c r="AQ72" s="55">
        <v>2150</v>
      </c>
      <c r="AR72" s="55" t="s">
        <v>22084</v>
      </c>
      <c r="AS72" s="66">
        <f>Kalk5!$AH$52</f>
        <v>0</v>
      </c>
      <c r="AU72" s="66">
        <f>IF(Kalk5!$AA$7=1,1,0)</f>
        <v>1</v>
      </c>
      <c r="AV72" s="55" t="s">
        <v>19882</v>
      </c>
      <c r="AW72" s="66">
        <f>IF(Kalk5!$AA$9=1,1,0)</f>
        <v>1</v>
      </c>
      <c r="AX72" s="55" t="s">
        <v>20310</v>
      </c>
      <c r="AY72" s="55" t="s">
        <v>22100</v>
      </c>
      <c r="AZ72" s="66">
        <f>(AU72+AW72)*Kalk5!$H$37</f>
        <v>2</v>
      </c>
      <c r="BA72" s="55" t="s">
        <v>22101</v>
      </c>
    </row>
    <row r="73" spans="2:53" ht="24.95" customHeight="1">
      <c r="B73" s="93">
        <f t="shared" si="17"/>
        <v>0</v>
      </c>
      <c r="C73" s="60">
        <v>750</v>
      </c>
      <c r="D73" s="60"/>
      <c r="E73" s="60" t="str">
        <f>VLOOKUP(1600,Sprachindex!$A:$Z,Erhebungsbogen!$Y$20,FALSE)</f>
        <v>[Stk]</v>
      </c>
      <c r="F73" s="60" t="s">
        <v>21896</v>
      </c>
      <c r="G73" s="514" t="str">
        <f>VLOOKUP(1717,Sprachindex!$A:$Z,Erhebungsbogen!$Y$20,FALSE) &amp; IF(AND(Kalk5!$AA$5=2,Kalk5!$AA$13),", " &amp; VLOOKUP(1645,Sprachindex!$A:$Z,Erhebungsbogen!$Y$20,FALSE) &amp; " " &amp; $U$8,", "&amp; VLOOKUP(1648,Sprachindex!$A:$Z,Erhebungsbogen!$Y$20,FALSE))</f>
        <v>Grundprofil 50 (H-Profil v.d.L.) exkl. Dichtung, gebohrt und entgratet, blank</v>
      </c>
      <c r="H73" s="514"/>
      <c r="I73" s="514"/>
      <c r="J73" s="514"/>
      <c r="K73" s="514"/>
      <c r="L73" s="514"/>
      <c r="M73" s="514"/>
      <c r="N73" s="514"/>
      <c r="O73" s="514"/>
      <c r="P73" s="514"/>
      <c r="Q73" s="514"/>
      <c r="R73" s="514"/>
      <c r="S73" s="514"/>
      <c r="T73" s="514"/>
      <c r="U73" s="352">
        <f>IF(AND(Kalk5!$AA$5=2,Kalk5!$AA$13),VLOOKUP(F73,Preisliste!C:G,5,FALSE),VLOOKUP(F73,Preisliste!C:G,4,FALSE))</f>
        <v>144.85</v>
      </c>
      <c r="V73" s="352">
        <f t="shared" si="16"/>
        <v>0</v>
      </c>
      <c r="W73" s="86"/>
      <c r="X73" s="86"/>
      <c r="Y73" s="86"/>
      <c r="Z73" s="143">
        <f>IF(AND(Kalk5!$AA$5=2,Kalk5!$AA$13),(VLOOKUP(F73,Preisliste!C:G,5,FALSE)-VLOOKUP(F73,Preisliste!C:G,4,FALSE))*B73,0)</f>
        <v>0</v>
      </c>
      <c r="AA73" s="86"/>
      <c r="AB73" s="86"/>
      <c r="AC73" s="86"/>
      <c r="AD73" s="86"/>
      <c r="AE73" s="86"/>
      <c r="AF73" s="86"/>
      <c r="AG73" s="250">
        <f>IF(AND(AH73=1,AL73=1,AP73=1,AND(Kalk5!H28&gt;0,Kalk5!H29&gt;0)),1,0)</f>
        <v>0</v>
      </c>
      <c r="AH73" s="66">
        <f>IF(OR(Kalk5!$AA$19=2,Kalk5!$AA$19=3),1,0)</f>
        <v>1</v>
      </c>
      <c r="AI73" s="55">
        <v>50</v>
      </c>
      <c r="AK73" s="55" t="s">
        <v>22079</v>
      </c>
      <c r="AL73" s="66">
        <f>IF(OR(Kalk5!$AA$7=1,Kalk5!$AA$9=1),1,0)</f>
        <v>1</v>
      </c>
      <c r="AM73" s="55" t="s">
        <v>22083</v>
      </c>
      <c r="AO73" s="55" t="s">
        <v>22079</v>
      </c>
      <c r="AP73" s="250">
        <f>IF(Kalk5!$AI$51=AQ73,1,0)</f>
        <v>1</v>
      </c>
      <c r="AQ73" s="55">
        <v>750</v>
      </c>
      <c r="AU73" s="66">
        <f>IF(Kalk5!$AA$7=1,1,0)</f>
        <v>1</v>
      </c>
      <c r="AV73" s="55" t="s">
        <v>19882</v>
      </c>
      <c r="AW73" s="66">
        <f>IF(Kalk5!$AA$9=1,1,0)</f>
        <v>1</v>
      </c>
      <c r="AX73" s="55" t="s">
        <v>20310</v>
      </c>
      <c r="AY73" s="55" t="s">
        <v>22100</v>
      </c>
      <c r="AZ73" s="66">
        <f>(AU73+AW73)*Kalk5!$H$37</f>
        <v>2</v>
      </c>
      <c r="BA73" s="55" t="s">
        <v>22101</v>
      </c>
    </row>
    <row r="74" spans="2:53" ht="24.95" customHeight="1">
      <c r="B74" s="93">
        <f t="shared" si="17"/>
        <v>0</v>
      </c>
      <c r="C74" s="60">
        <v>1350</v>
      </c>
      <c r="D74" s="60"/>
      <c r="E74" s="60" t="str">
        <f>VLOOKUP(1600,Sprachindex!$A:$Z,Erhebungsbogen!$Y$20,FALSE)</f>
        <v>[Stk]</v>
      </c>
      <c r="F74" s="60" t="s">
        <v>21897</v>
      </c>
      <c r="G74" s="514" t="str">
        <f>VLOOKUP(1717,Sprachindex!$A:$Z,Erhebungsbogen!$Y$20,FALSE) &amp; IF(AND(Kalk5!$AA$5=2,Kalk5!$AA$13),", " &amp; VLOOKUP(1645,Sprachindex!$A:$Z,Erhebungsbogen!$Y$20,FALSE) &amp; " " &amp; $U$8,", "&amp; VLOOKUP(1648,Sprachindex!$A:$Z,Erhebungsbogen!$Y$20,FALSE))</f>
        <v>Grundprofil 50 (H-Profil v.d.L.) exkl. Dichtung, gebohrt und entgratet, blank</v>
      </c>
      <c r="H74" s="514"/>
      <c r="I74" s="514"/>
      <c r="J74" s="514"/>
      <c r="K74" s="514"/>
      <c r="L74" s="514"/>
      <c r="M74" s="514"/>
      <c r="N74" s="514"/>
      <c r="O74" s="514"/>
      <c r="P74" s="514"/>
      <c r="Q74" s="514"/>
      <c r="R74" s="514"/>
      <c r="S74" s="514"/>
      <c r="T74" s="514"/>
      <c r="U74" s="352">
        <f>IF(AND(Kalk5!$AA$5=2,Kalk5!$AA$13),VLOOKUP(F74,Preisliste!C:G,5,FALSE),VLOOKUP(F74,Preisliste!C:G,4,FALSE))</f>
        <v>228.1</v>
      </c>
      <c r="V74" s="352">
        <f t="shared" si="16"/>
        <v>0</v>
      </c>
      <c r="W74" s="86"/>
      <c r="X74" s="86"/>
      <c r="Y74" s="86"/>
      <c r="Z74" s="143">
        <f>IF(AND(Kalk5!$AA$5=2,Kalk5!$AA$13),(VLOOKUP(F74,Preisliste!C:G,5,FALSE)-VLOOKUP(F74,Preisliste!C:G,4,FALSE))*B74,0)</f>
        <v>0</v>
      </c>
      <c r="AA74" s="86"/>
      <c r="AB74" s="86"/>
      <c r="AC74" s="86"/>
      <c r="AD74" s="86"/>
      <c r="AE74" s="86"/>
      <c r="AF74" s="86"/>
      <c r="AG74" s="244">
        <f>IF(AND(AH74=1,AL74=1,AP74=1,AND(Kalk5!H28&gt;0,Kalk5!H29&gt;0)),1,0)</f>
        <v>0</v>
      </c>
      <c r="AH74" s="66">
        <f>IF(OR(Kalk5!$AA$19=2,Kalk5!$AA$19=3),1,0)</f>
        <v>1</v>
      </c>
      <c r="AI74" s="55">
        <v>50</v>
      </c>
      <c r="AK74" s="55" t="s">
        <v>22079</v>
      </c>
      <c r="AL74" s="66">
        <f>IF(OR(Kalk5!$AA$7=1,Kalk5!$AA$9=1),1,0)</f>
        <v>1</v>
      </c>
      <c r="AM74" s="55" t="s">
        <v>22083</v>
      </c>
      <c r="AO74" s="55" t="s">
        <v>22079</v>
      </c>
      <c r="AP74" s="66">
        <f>IF(Kalk5!$AI$51=AQ74,1,0)</f>
        <v>0</v>
      </c>
      <c r="AQ74" s="55">
        <v>1350</v>
      </c>
      <c r="AU74" s="66">
        <f>IF(Kalk5!$AA$7=1,1,0)</f>
        <v>1</v>
      </c>
      <c r="AV74" s="55" t="s">
        <v>19882</v>
      </c>
      <c r="AW74" s="66">
        <f>IF(Kalk5!$AA$9=1,1,0)</f>
        <v>1</v>
      </c>
      <c r="AX74" s="55" t="s">
        <v>20310</v>
      </c>
      <c r="AY74" s="55" t="s">
        <v>22100</v>
      </c>
      <c r="AZ74" s="66">
        <f>(AU74+AW74)*Kalk5!$H$37</f>
        <v>2</v>
      </c>
      <c r="BA74" s="55" t="s">
        <v>22101</v>
      </c>
    </row>
    <row r="75" spans="2:53" ht="24.95" customHeight="1">
      <c r="B75" s="93">
        <f t="shared" si="17"/>
        <v>0</v>
      </c>
      <c r="C75" s="60">
        <v>1750</v>
      </c>
      <c r="D75" s="60"/>
      <c r="E75" s="60" t="str">
        <f>VLOOKUP(1600,Sprachindex!$A:$Z,Erhebungsbogen!$Y$20,FALSE)</f>
        <v>[Stk]</v>
      </c>
      <c r="F75" s="60" t="s">
        <v>21898</v>
      </c>
      <c r="G75" s="514" t="str">
        <f>VLOOKUP(1717,Sprachindex!$A:$Z,Erhebungsbogen!$Y$20,FALSE) &amp; IF(AND(Kalk5!$AA$5=2,Kalk5!$AA$13),", " &amp; VLOOKUP(1645,Sprachindex!$A:$Z,Erhebungsbogen!$Y$20,FALSE) &amp; " " &amp; $U$8,", "&amp; VLOOKUP(1648,Sprachindex!$A:$Z,Erhebungsbogen!$Y$20,FALSE))</f>
        <v>Grundprofil 50 (H-Profil v.d.L.) exkl. Dichtung, gebohrt und entgratet, blank</v>
      </c>
      <c r="H75" s="514"/>
      <c r="I75" s="514"/>
      <c r="J75" s="514"/>
      <c r="K75" s="514"/>
      <c r="L75" s="514"/>
      <c r="M75" s="514"/>
      <c r="N75" s="514"/>
      <c r="O75" s="514"/>
      <c r="P75" s="514"/>
      <c r="Q75" s="514"/>
      <c r="R75" s="514"/>
      <c r="S75" s="514"/>
      <c r="T75" s="514"/>
      <c r="U75" s="352">
        <f>IF(AND(Kalk5!$AA$5=2,Kalk5!$AA$13),VLOOKUP(F75,Preisliste!C:G,5,FALSE),VLOOKUP(F75,Preisliste!C:G,4,FALSE))</f>
        <v>284.14999999999998</v>
      </c>
      <c r="V75" s="352">
        <f t="shared" si="16"/>
        <v>0</v>
      </c>
      <c r="W75" s="86"/>
      <c r="X75" s="86"/>
      <c r="Y75" s="86"/>
      <c r="Z75" s="143">
        <f>IF(AND(Kalk5!$AA$5=2,Kalk5!$AA$13),(VLOOKUP(F75,Preisliste!C:G,5,FALSE)-VLOOKUP(F75,Preisliste!C:G,4,FALSE))*B75,0)</f>
        <v>0</v>
      </c>
      <c r="AA75" s="86"/>
      <c r="AB75" s="86"/>
      <c r="AC75" s="86"/>
      <c r="AD75" s="86"/>
      <c r="AE75" s="86"/>
      <c r="AF75" s="86"/>
      <c r="AG75" s="55">
        <f t="shared" ref="AG75:AG77" si="19">IF(AND(AH75=1,AL75=1,AP75=1),1,0)</f>
        <v>0</v>
      </c>
      <c r="AH75" s="66">
        <f>IF(OR(Kalk5!$AA$19=2,Kalk5!$AA$19=3),1,0)</f>
        <v>1</v>
      </c>
      <c r="AI75" s="55">
        <v>50</v>
      </c>
      <c r="AK75" s="55" t="s">
        <v>22079</v>
      </c>
      <c r="AL75" s="66">
        <f>IF(OR(Kalk5!$AA$7=1,Kalk5!$AA$9=1),1,0)</f>
        <v>1</v>
      </c>
      <c r="AM75" s="55" t="s">
        <v>22083</v>
      </c>
      <c r="AO75" s="55" t="s">
        <v>22079</v>
      </c>
      <c r="AP75" s="66">
        <f>IF(Kalk5!$AI$51=AQ75,1,0)</f>
        <v>0</v>
      </c>
      <c r="AQ75" s="55">
        <v>1750</v>
      </c>
      <c r="AU75" s="66">
        <f>IF(Kalk5!$AA$7=1,1,0)</f>
        <v>1</v>
      </c>
      <c r="AV75" s="55" t="s">
        <v>19882</v>
      </c>
      <c r="AW75" s="66">
        <f>IF(Kalk5!$AA$9=1,1,0)</f>
        <v>1</v>
      </c>
      <c r="AX75" s="55" t="s">
        <v>20310</v>
      </c>
      <c r="AY75" s="55" t="s">
        <v>22100</v>
      </c>
      <c r="AZ75" s="66">
        <f>(AU75+AW75)*Kalk5!$H$37</f>
        <v>2</v>
      </c>
      <c r="BA75" s="55" t="s">
        <v>22101</v>
      </c>
    </row>
    <row r="76" spans="2:53" ht="24.95" customHeight="1">
      <c r="B76" s="93">
        <f t="shared" si="17"/>
        <v>0</v>
      </c>
      <c r="C76" s="60">
        <v>2150</v>
      </c>
      <c r="D76" s="60"/>
      <c r="E76" s="60" t="str">
        <f>VLOOKUP(1600,Sprachindex!$A:$Z,Erhebungsbogen!$Y$20,FALSE)</f>
        <v>[Stk]</v>
      </c>
      <c r="F76" s="60" t="s">
        <v>21899</v>
      </c>
      <c r="G76" s="514" t="str">
        <f>VLOOKUP(1717,Sprachindex!$A:$Z,Erhebungsbogen!$Y$20,FALSE) &amp; IF(AND(Kalk5!$AA$5=2,Kalk5!$AA$13),", " &amp; VLOOKUP(1645,Sprachindex!$A:$Z,Erhebungsbogen!$Y$20,FALSE) &amp; " " &amp; $U$8,", "&amp; VLOOKUP(1648,Sprachindex!$A:$Z,Erhebungsbogen!$Y$20,FALSE))</f>
        <v>Grundprofil 50 (H-Profil v.d.L.) exkl. Dichtung, gebohrt und entgratet, blank</v>
      </c>
      <c r="H76" s="514"/>
      <c r="I76" s="514"/>
      <c r="J76" s="514"/>
      <c r="K76" s="514"/>
      <c r="L76" s="514"/>
      <c r="M76" s="514"/>
      <c r="N76" s="514"/>
      <c r="O76" s="514"/>
      <c r="P76" s="514"/>
      <c r="Q76" s="514"/>
      <c r="R76" s="514"/>
      <c r="S76" s="514"/>
      <c r="T76" s="514"/>
      <c r="U76" s="352">
        <f>IF(AND(Kalk5!$AA$5=2,Kalk5!$AA$13),VLOOKUP(F76,Preisliste!C:G,5,FALSE),VLOOKUP(F76,Preisliste!C:G,4,FALSE))</f>
        <v>340.25</v>
      </c>
      <c r="V76" s="352">
        <f t="shared" si="16"/>
        <v>0</v>
      </c>
      <c r="W76" s="86"/>
      <c r="X76" s="86"/>
      <c r="Y76" s="86"/>
      <c r="Z76" s="143">
        <f>IF(AND(Kalk5!$AA$5=2,Kalk5!$AA$13),(VLOOKUP(F76,Preisliste!C:G,5,FALSE)-VLOOKUP(F76,Preisliste!C:G,4,FALSE))*B76,0)</f>
        <v>0</v>
      </c>
      <c r="AA76" s="86"/>
      <c r="AB76" s="86"/>
      <c r="AC76" s="86"/>
      <c r="AD76" s="86"/>
      <c r="AE76" s="86"/>
      <c r="AF76" s="86"/>
      <c r="AG76" s="55">
        <f t="shared" si="19"/>
        <v>0</v>
      </c>
      <c r="AH76" s="66">
        <f>IF(OR(Kalk5!$AA$19=2,Kalk5!$AA$19=3),1,0)</f>
        <v>1</v>
      </c>
      <c r="AI76" s="55">
        <v>50</v>
      </c>
      <c r="AK76" s="55" t="s">
        <v>22079</v>
      </c>
      <c r="AL76" s="66">
        <f>IF(OR(Kalk5!$AA$7=1,Kalk5!$AA$9=1),1,0)</f>
        <v>1</v>
      </c>
      <c r="AM76" s="55" t="s">
        <v>22083</v>
      </c>
      <c r="AO76" s="55" t="s">
        <v>22079</v>
      </c>
      <c r="AP76" s="66">
        <f>IF(Kalk5!$AI$51=AQ76,1,0)</f>
        <v>0</v>
      </c>
      <c r="AQ76" s="55">
        <v>2150</v>
      </c>
      <c r="AU76" s="66">
        <f>IF(Kalk5!$AA$7=1,1,0)</f>
        <v>1</v>
      </c>
      <c r="AV76" s="55" t="s">
        <v>19882</v>
      </c>
      <c r="AW76" s="66">
        <f>IF(Kalk5!$AA$9=1,1,0)</f>
        <v>1</v>
      </c>
      <c r="AX76" s="55" t="s">
        <v>20310</v>
      </c>
      <c r="AY76" s="55" t="s">
        <v>22100</v>
      </c>
      <c r="AZ76" s="66">
        <f>(AU76+AW76)*Kalk5!$H$37</f>
        <v>2</v>
      </c>
      <c r="BA76" s="55" t="s">
        <v>22101</v>
      </c>
    </row>
    <row r="77" spans="2:53" ht="24.95" customHeight="1">
      <c r="B77" s="93">
        <f t="shared" si="17"/>
        <v>0</v>
      </c>
      <c r="C77" s="60">
        <f>IF(AG77=1,AS77,0)</f>
        <v>0</v>
      </c>
      <c r="D77" s="60"/>
      <c r="E77" s="60" t="str">
        <f>VLOOKUP(1600,Sprachindex!$A:$Z,Erhebungsbogen!$Y$20,FALSE)</f>
        <v>[Stk]</v>
      </c>
      <c r="F77" s="60" t="s">
        <v>21900</v>
      </c>
      <c r="G77" s="514" t="str">
        <f>VLOOKUP(1718,Sprachindex!$A:$Z,Erhebungsbogen!$Y$20,FALSE)</f>
        <v>Grundprofil 50 (H-Profil v.d.L.) Sonderlänge exkl. Dichtung, (Stangenware)</v>
      </c>
      <c r="H77" s="514"/>
      <c r="I77" s="514"/>
      <c r="J77" s="514"/>
      <c r="K77" s="514"/>
      <c r="L77" s="514"/>
      <c r="M77" s="514"/>
      <c r="N77" s="514"/>
      <c r="O77" s="514"/>
      <c r="P77" s="514"/>
      <c r="Q77" s="514"/>
      <c r="R77" s="514"/>
      <c r="S77" s="514"/>
      <c r="T77" s="514"/>
      <c r="U77" s="352">
        <f>IF(AND(Kalk5!$AA$5=2,Kalk5!$AA$13),VLOOKUP(F77,Preisliste!C:G,5,FALSE),VLOOKUP(F77,Preisliste!C:G,4,FALSE))</f>
        <v>148.5</v>
      </c>
      <c r="V77" s="352">
        <f t="shared" si="16"/>
        <v>0</v>
      </c>
      <c r="W77" s="86"/>
      <c r="X77" s="86"/>
      <c r="Y77" s="86"/>
      <c r="Z77" s="143">
        <f>IF(AND(Kalk5!$AA$5=2,Kalk5!$AA$13),(VLOOKUP(F77,Preisliste!C:G,5,FALSE)-VLOOKUP(F77,Preisliste!C:G,4,FALSE))*B77,0)</f>
        <v>0</v>
      </c>
      <c r="AA77" s="86"/>
      <c r="AB77" s="86"/>
      <c r="AC77" s="86"/>
      <c r="AD77" s="86"/>
      <c r="AE77" s="86"/>
      <c r="AF77" s="86"/>
      <c r="AG77" s="55">
        <f t="shared" si="19"/>
        <v>0</v>
      </c>
      <c r="AH77" s="66">
        <f>IF(OR(Kalk5!$AA$19=2,Kalk5!$AA$19=3),1,0)</f>
        <v>1</v>
      </c>
      <c r="AI77" s="55">
        <v>50</v>
      </c>
      <c r="AK77" s="55" t="s">
        <v>22079</v>
      </c>
      <c r="AL77" s="66">
        <f>IF(OR(Kalk5!$AA$7=1,Kalk5!$AA$9=1),1,0)</f>
        <v>1</v>
      </c>
      <c r="AM77" s="55" t="s">
        <v>22083</v>
      </c>
      <c r="AO77" s="55" t="s">
        <v>22079</v>
      </c>
      <c r="AP77" s="66">
        <f>IF(Kalk5!$AH$52&gt;AQ77,1,0)</f>
        <v>0</v>
      </c>
      <c r="AQ77" s="55">
        <v>2150</v>
      </c>
      <c r="AR77" s="55" t="s">
        <v>22084</v>
      </c>
      <c r="AS77" s="66">
        <f>Kalk5!$AH$52</f>
        <v>0</v>
      </c>
      <c r="AU77" s="66">
        <f>IF(Kalk5!$AA$7=1,1,0)</f>
        <v>1</v>
      </c>
      <c r="AV77" s="55" t="s">
        <v>19882</v>
      </c>
      <c r="AW77" s="66">
        <f>IF(Kalk5!$AA$9=1,1,0)</f>
        <v>1</v>
      </c>
      <c r="AX77" s="55" t="s">
        <v>20310</v>
      </c>
      <c r="AY77" s="55" t="s">
        <v>22100</v>
      </c>
      <c r="AZ77" s="66">
        <f>(AU77+AW77)*Kalk5!$H$37</f>
        <v>2</v>
      </c>
      <c r="BA77" s="55" t="s">
        <v>22101</v>
      </c>
    </row>
    <row r="78" spans="2:53" ht="24.95" customHeight="1">
      <c r="B78" s="93">
        <f t="shared" si="17"/>
        <v>0</v>
      </c>
      <c r="C78" s="60">
        <v>750</v>
      </c>
      <c r="D78" s="60"/>
      <c r="E78" s="60" t="str">
        <f>VLOOKUP(1600,Sprachindex!$A:$Z,Erhebungsbogen!$Y$20,FALSE)</f>
        <v>[Stk]</v>
      </c>
      <c r="F78" s="60" t="s">
        <v>21901</v>
      </c>
      <c r="G78" s="514" t="str">
        <f>VLOOKUP(1720,Sprachindex!$A:$Z,Erhebungsbogen!$Y$20,FALSE) &amp; IF(AND(Kalk5!$AA$5=2,Kalk5!$AA$13),", " &amp; VLOOKUP(1645,Sprachindex!$A:$Z,Erhebungsbogen!$Y$20,FALSE) &amp; " " &amp; $U$8,", "&amp; VLOOKUP(1648,Sprachindex!$A:$Z,Erhebungsbogen!$Y$20,FALSE))</f>
        <v>Grundprofil 80 (H-Profil v.d.L.) exkl. Dichtung, gebohrt und entgratet, blank</v>
      </c>
      <c r="H78" s="514"/>
      <c r="I78" s="514"/>
      <c r="J78" s="514"/>
      <c r="K78" s="514"/>
      <c r="L78" s="514"/>
      <c r="M78" s="514"/>
      <c r="N78" s="514"/>
      <c r="O78" s="514"/>
      <c r="P78" s="514"/>
      <c r="Q78" s="514"/>
      <c r="R78" s="514"/>
      <c r="S78" s="514"/>
      <c r="T78" s="514"/>
      <c r="U78" s="352">
        <f>IF(AND(Kalk5!$AA$5=2,Kalk5!$AA$13),VLOOKUP(F78,Preisliste!C:G,5,FALSE),VLOOKUP(F78,Preisliste!C:G,4,FALSE))</f>
        <v>160.5</v>
      </c>
      <c r="V78" s="352">
        <f t="shared" si="16"/>
        <v>0</v>
      </c>
      <c r="W78" s="86"/>
      <c r="X78" s="86"/>
      <c r="Y78" s="86"/>
      <c r="Z78" s="143">
        <f>IF(AND(Kalk5!$AA$5=2,Kalk5!$AA$13),(VLOOKUP(F78,Preisliste!C:G,5,FALSE)-VLOOKUP(F78,Preisliste!C:G,4,FALSE))*B78,0)</f>
        <v>0</v>
      </c>
      <c r="AA78" s="86"/>
      <c r="AB78" s="86"/>
      <c r="AC78" s="86"/>
      <c r="AD78" s="86"/>
      <c r="AE78" s="86"/>
      <c r="AF78" s="86"/>
      <c r="AG78" s="55">
        <f>IF(AND(AH78=1,AL78=1,AP78=1,AND(Kalk5!H28&gt;0,Kalk5!H29&gt;Kalk5!B1)),1,0)</f>
        <v>0</v>
      </c>
      <c r="AH78" s="66">
        <f>IF(Kalk5!$AA$19=4,1,0)</f>
        <v>0</v>
      </c>
      <c r="AI78" s="55">
        <v>80</v>
      </c>
      <c r="AK78" s="55" t="s">
        <v>22079</v>
      </c>
      <c r="AL78" s="66">
        <f>IF(OR(Kalk5!$AA$7=1,Kalk5!$AA$9=1),1,0)</f>
        <v>1</v>
      </c>
      <c r="AM78" s="55" t="s">
        <v>22083</v>
      </c>
      <c r="AO78" s="55" t="s">
        <v>22079</v>
      </c>
      <c r="AP78" s="66">
        <f>IF(Kalk5!$AI$51=AQ78,1,0)</f>
        <v>1</v>
      </c>
      <c r="AQ78" s="55">
        <v>750</v>
      </c>
      <c r="AU78" s="66">
        <f>IF(Kalk5!$AA$7=1,1,0)</f>
        <v>1</v>
      </c>
      <c r="AV78" s="55" t="s">
        <v>19882</v>
      </c>
      <c r="AW78" s="66">
        <f>IF(Kalk5!$AA$9=1,1,0)</f>
        <v>1</v>
      </c>
      <c r="AX78" s="55" t="s">
        <v>20310</v>
      </c>
      <c r="AY78" s="55" t="s">
        <v>22100</v>
      </c>
      <c r="AZ78" s="66">
        <f>(AU78+AW78)*Kalk5!$H$37</f>
        <v>2</v>
      </c>
      <c r="BA78" s="55" t="s">
        <v>22101</v>
      </c>
    </row>
    <row r="79" spans="2:53" ht="24.95" customHeight="1">
      <c r="B79" s="93">
        <f t="shared" si="17"/>
        <v>0</v>
      </c>
      <c r="C79" s="60">
        <v>1350</v>
      </c>
      <c r="D79" s="60"/>
      <c r="E79" s="60" t="str">
        <f>VLOOKUP(1600,Sprachindex!$A:$Z,Erhebungsbogen!$Y$20,FALSE)</f>
        <v>[Stk]</v>
      </c>
      <c r="F79" s="60" t="s">
        <v>21902</v>
      </c>
      <c r="G79" s="514" t="str">
        <f>VLOOKUP(1720,Sprachindex!$A:$Z,Erhebungsbogen!$Y$20,FALSE) &amp; IF(AND(Kalk5!$AA$5=2,Kalk5!$AA$13),", " &amp; VLOOKUP(1645,Sprachindex!$A:$Z,Erhebungsbogen!$Y$20,FALSE) &amp; " " &amp; $U$8,", "&amp; VLOOKUP(1648,Sprachindex!$A:$Z,Erhebungsbogen!$Y$20,FALSE))</f>
        <v>Grundprofil 80 (H-Profil v.d.L.) exkl. Dichtung, gebohrt und entgratet, blank</v>
      </c>
      <c r="H79" s="514"/>
      <c r="I79" s="514"/>
      <c r="J79" s="514"/>
      <c r="K79" s="514"/>
      <c r="L79" s="514"/>
      <c r="M79" s="514"/>
      <c r="N79" s="514"/>
      <c r="O79" s="514"/>
      <c r="P79" s="514"/>
      <c r="Q79" s="514"/>
      <c r="R79" s="514"/>
      <c r="S79" s="514"/>
      <c r="T79" s="514"/>
      <c r="U79" s="352">
        <f>IF(AND(Kalk5!$AA$5=2,Kalk5!$AA$13),VLOOKUP(F79,Preisliste!C:G,5,FALSE),VLOOKUP(F79,Preisliste!C:G,4,FALSE))</f>
        <v>256.5</v>
      </c>
      <c r="V79" s="352">
        <f t="shared" si="16"/>
        <v>0</v>
      </c>
      <c r="W79" s="86"/>
      <c r="X79" s="86"/>
      <c r="Y79" s="86"/>
      <c r="Z79" s="143">
        <f>IF(AND(Kalk5!$AA$5=2,Kalk5!$AA$13),(VLOOKUP(F79,Preisliste!C:G,5,FALSE)-VLOOKUP(F79,Preisliste!C:G,4,FALSE))*B79,0)</f>
        <v>0</v>
      </c>
      <c r="AA79" s="86"/>
      <c r="AB79" s="86"/>
      <c r="AC79" s="86"/>
      <c r="AD79" s="86"/>
      <c r="AE79" s="86"/>
      <c r="AF79" s="86"/>
      <c r="AG79" s="55">
        <f t="shared" ref="AG79:AG82" si="20">IF(AND(AH79=1,AL79=1,AP79=1),1,0)</f>
        <v>0</v>
      </c>
      <c r="AH79" s="66">
        <f>IF(Kalk5!$AA$19=4,1,0)</f>
        <v>0</v>
      </c>
      <c r="AI79" s="55">
        <v>80</v>
      </c>
      <c r="AK79" s="55" t="s">
        <v>22079</v>
      </c>
      <c r="AL79" s="66">
        <f>IF(OR(Kalk5!$AA$7=1,Kalk5!$AA$9=1),1,0)</f>
        <v>1</v>
      </c>
      <c r="AM79" s="55" t="s">
        <v>22083</v>
      </c>
      <c r="AO79" s="55" t="s">
        <v>22079</v>
      </c>
      <c r="AP79" s="66">
        <f>IF(Kalk5!$AI$51=AQ79,1,0)</f>
        <v>0</v>
      </c>
      <c r="AQ79" s="55">
        <v>1350</v>
      </c>
      <c r="AU79" s="66">
        <f>IF(Kalk5!$AA$7=1,1,0)</f>
        <v>1</v>
      </c>
      <c r="AV79" s="55" t="s">
        <v>19882</v>
      </c>
      <c r="AW79" s="66">
        <f>IF(Kalk5!$AA$9=1,1,0)</f>
        <v>1</v>
      </c>
      <c r="AX79" s="55" t="s">
        <v>20310</v>
      </c>
      <c r="AY79" s="55" t="s">
        <v>22100</v>
      </c>
      <c r="AZ79" s="66">
        <f>(AU79+AW79)*Kalk5!$H$37</f>
        <v>2</v>
      </c>
      <c r="BA79" s="55" t="s">
        <v>22101</v>
      </c>
    </row>
    <row r="80" spans="2:53" ht="24.95" customHeight="1">
      <c r="B80" s="93">
        <f t="shared" si="17"/>
        <v>0</v>
      </c>
      <c r="C80" s="60">
        <v>1750</v>
      </c>
      <c r="D80" s="60"/>
      <c r="E80" s="60" t="str">
        <f>VLOOKUP(1600,Sprachindex!$A:$Z,Erhebungsbogen!$Y$20,FALSE)</f>
        <v>[Stk]</v>
      </c>
      <c r="F80" s="60" t="s">
        <v>21903</v>
      </c>
      <c r="G80" s="514" t="str">
        <f>VLOOKUP(1720,Sprachindex!$A:$Z,Erhebungsbogen!$Y$20,FALSE) &amp; IF(AND(Kalk5!$AA$5=2,Kalk5!$AA$13),", " &amp; VLOOKUP(1645,Sprachindex!$A:$Z,Erhebungsbogen!$Y$20,FALSE) &amp; " " &amp; $U$8,", "&amp; VLOOKUP(1648,Sprachindex!$A:$Z,Erhebungsbogen!$Y$20,FALSE))</f>
        <v>Grundprofil 80 (H-Profil v.d.L.) exkl. Dichtung, gebohrt und entgratet, blank</v>
      </c>
      <c r="H80" s="514"/>
      <c r="I80" s="514"/>
      <c r="J80" s="514"/>
      <c r="K80" s="514"/>
      <c r="L80" s="514"/>
      <c r="M80" s="514"/>
      <c r="N80" s="514"/>
      <c r="O80" s="514"/>
      <c r="P80" s="514"/>
      <c r="Q80" s="514"/>
      <c r="R80" s="514"/>
      <c r="S80" s="514"/>
      <c r="T80" s="514"/>
      <c r="U80" s="352">
        <f>IF(AND(Kalk5!$AA$5=2,Kalk5!$AA$13),VLOOKUP(F80,Preisliste!C:G,5,FALSE),VLOOKUP(F80,Preisliste!C:G,4,FALSE))</f>
        <v>320.85000000000002</v>
      </c>
      <c r="V80" s="352">
        <f t="shared" si="16"/>
        <v>0</v>
      </c>
      <c r="W80" s="86"/>
      <c r="X80" s="86"/>
      <c r="Y80" s="86"/>
      <c r="Z80" s="143">
        <f>IF(AND(Kalk5!$AA$5=2,Kalk5!$AA$13),(VLOOKUP(F80,Preisliste!C:G,5,FALSE)-VLOOKUP(F80,Preisliste!C:G,4,FALSE))*B80,0)</f>
        <v>0</v>
      </c>
      <c r="AA80" s="86"/>
      <c r="AB80" s="86"/>
      <c r="AC80" s="86"/>
      <c r="AD80" s="86"/>
      <c r="AE80" s="86"/>
      <c r="AF80" s="86"/>
      <c r="AG80" s="55">
        <f t="shared" si="20"/>
        <v>0</v>
      </c>
      <c r="AH80" s="66">
        <f>IF(Kalk5!$AA$19=4,1,0)</f>
        <v>0</v>
      </c>
      <c r="AI80" s="55">
        <v>80</v>
      </c>
      <c r="AK80" s="55" t="s">
        <v>22079</v>
      </c>
      <c r="AL80" s="66">
        <f>IF(OR(Kalk5!$AA$7=1,Kalk5!$AA$9=1),1,0)</f>
        <v>1</v>
      </c>
      <c r="AM80" s="55" t="s">
        <v>22083</v>
      </c>
      <c r="AO80" s="55" t="s">
        <v>22079</v>
      </c>
      <c r="AP80" s="66">
        <f>IF(Kalk5!$AI$51=AQ80,1,0)</f>
        <v>0</v>
      </c>
      <c r="AQ80" s="55">
        <v>1750</v>
      </c>
      <c r="AU80" s="66">
        <f>IF(Kalk5!$AA$7=1,1,0)</f>
        <v>1</v>
      </c>
      <c r="AV80" s="55" t="s">
        <v>19882</v>
      </c>
      <c r="AW80" s="66">
        <f>IF(Kalk5!$AA$9=1,1,0)</f>
        <v>1</v>
      </c>
      <c r="AX80" s="55" t="s">
        <v>20310</v>
      </c>
      <c r="AY80" s="55" t="s">
        <v>22100</v>
      </c>
      <c r="AZ80" s="66">
        <f>(AU80+AW80)*Kalk5!$H$37</f>
        <v>2</v>
      </c>
      <c r="BA80" s="55" t="s">
        <v>22101</v>
      </c>
    </row>
    <row r="81" spans="2:53" ht="24.95" customHeight="1">
      <c r="B81" s="93">
        <f t="shared" si="17"/>
        <v>0</v>
      </c>
      <c r="C81" s="60">
        <v>2150</v>
      </c>
      <c r="D81" s="60"/>
      <c r="E81" s="60" t="str">
        <f>VLOOKUP(1600,Sprachindex!$A:$Z,Erhebungsbogen!$Y$20,FALSE)</f>
        <v>[Stk]</v>
      </c>
      <c r="F81" s="60" t="s">
        <v>21904</v>
      </c>
      <c r="G81" s="514" t="str">
        <f>VLOOKUP(1720,Sprachindex!$A:$Z,Erhebungsbogen!$Y$20,FALSE) &amp; IF(AND(Kalk5!$AA$5=2,Kalk5!$AA$13),", " &amp; VLOOKUP(1645,Sprachindex!$A:$Z,Erhebungsbogen!$Y$20,FALSE) &amp; " " &amp; $U$8,", "&amp; VLOOKUP(1648,Sprachindex!$A:$Z,Erhebungsbogen!$Y$20,FALSE))</f>
        <v>Grundprofil 80 (H-Profil v.d.L.) exkl. Dichtung, gebohrt und entgratet, blank</v>
      </c>
      <c r="H81" s="514"/>
      <c r="I81" s="514"/>
      <c r="J81" s="514"/>
      <c r="K81" s="514"/>
      <c r="L81" s="514"/>
      <c r="M81" s="514"/>
      <c r="N81" s="514"/>
      <c r="O81" s="514"/>
      <c r="P81" s="514"/>
      <c r="Q81" s="514"/>
      <c r="R81" s="514"/>
      <c r="S81" s="514"/>
      <c r="T81" s="514"/>
      <c r="U81" s="352">
        <f>IF(AND(Kalk5!$AA$5=2,Kalk5!$AA$13),VLOOKUP(F81,Preisliste!C:G,5,FALSE),VLOOKUP(F81,Preisliste!C:G,4,FALSE))</f>
        <v>385.4</v>
      </c>
      <c r="V81" s="352">
        <f t="shared" si="16"/>
        <v>0</v>
      </c>
      <c r="W81" s="86"/>
      <c r="X81" s="86"/>
      <c r="Y81" s="86"/>
      <c r="Z81" s="143">
        <f>IF(AND(Kalk5!$AA$5=2,Kalk5!$AA$13),(VLOOKUP(F81,Preisliste!C:G,5,FALSE)-VLOOKUP(F81,Preisliste!C:G,4,FALSE))*B81,0)</f>
        <v>0</v>
      </c>
      <c r="AA81" s="86"/>
      <c r="AB81" s="86"/>
      <c r="AC81" s="86"/>
      <c r="AD81" s="86"/>
      <c r="AE81" s="86"/>
      <c r="AF81" s="86"/>
      <c r="AG81" s="55">
        <f t="shared" si="20"/>
        <v>0</v>
      </c>
      <c r="AH81" s="66">
        <f>IF(Kalk5!$AA$19=4,1,0)</f>
        <v>0</v>
      </c>
      <c r="AI81" s="55">
        <v>80</v>
      </c>
      <c r="AK81" s="55" t="s">
        <v>22079</v>
      </c>
      <c r="AL81" s="66">
        <f>IF(OR(Kalk5!$AA$7=1,Kalk5!$AA$9=1),1,0)</f>
        <v>1</v>
      </c>
      <c r="AM81" s="55" t="s">
        <v>22083</v>
      </c>
      <c r="AO81" s="55" t="s">
        <v>22079</v>
      </c>
      <c r="AP81" s="66">
        <f>IF(Kalk5!$AI$51=AQ81,1,0)</f>
        <v>0</v>
      </c>
      <c r="AQ81" s="55">
        <v>2150</v>
      </c>
      <c r="AU81" s="66">
        <f>IF(Kalk5!$AA$7=1,1,0)</f>
        <v>1</v>
      </c>
      <c r="AV81" s="55" t="s">
        <v>19882</v>
      </c>
      <c r="AW81" s="66">
        <f>IF(Kalk5!$AA$9=1,1,0)</f>
        <v>1</v>
      </c>
      <c r="AX81" s="55" t="s">
        <v>20310</v>
      </c>
      <c r="AY81" s="55" t="s">
        <v>22100</v>
      </c>
      <c r="AZ81" s="66">
        <f>(AU81+AW81)*Kalk5!$H$37</f>
        <v>2</v>
      </c>
      <c r="BA81" s="55" t="s">
        <v>22101</v>
      </c>
    </row>
    <row r="82" spans="2:53" ht="24.95" customHeight="1">
      <c r="B82" s="93">
        <f t="shared" si="17"/>
        <v>0</v>
      </c>
      <c r="C82" s="60">
        <f>IF(AG82=1,AS82,0)</f>
        <v>0</v>
      </c>
      <c r="D82" s="60"/>
      <c r="E82" s="60" t="str">
        <f>VLOOKUP(1600,Sprachindex!$A:$Z,Erhebungsbogen!$Y$20,FALSE)</f>
        <v>[Stk]</v>
      </c>
      <c r="F82" s="60" t="s">
        <v>21905</v>
      </c>
      <c r="G82" s="514" t="str">
        <f>VLOOKUP(1721,Sprachindex!$A:$Z,Erhebungsbogen!$Y$20,FALSE)</f>
        <v>Grundprofil 80 (H-Profil v.d.L.) Sonderlänge exkl. Dichtung, (Stangenware)</v>
      </c>
      <c r="H82" s="514"/>
      <c r="I82" s="514"/>
      <c r="J82" s="514"/>
      <c r="K82" s="514"/>
      <c r="L82" s="514"/>
      <c r="M82" s="514"/>
      <c r="N82" s="514"/>
      <c r="O82" s="514"/>
      <c r="P82" s="514"/>
      <c r="Q82" s="514"/>
      <c r="R82" s="514"/>
      <c r="S82" s="514"/>
      <c r="T82" s="514"/>
      <c r="U82" s="352">
        <f>IF(AND(Kalk5!$AA$5=2,Kalk5!$AA$13),VLOOKUP(F82,Preisliste!C:G,5,FALSE),VLOOKUP(F82,Preisliste!C:G,4,FALSE))</f>
        <v>162.25</v>
      </c>
      <c r="V82" s="352">
        <f t="shared" si="16"/>
        <v>0</v>
      </c>
      <c r="W82" s="86"/>
      <c r="X82" s="86"/>
      <c r="Y82" s="86"/>
      <c r="Z82" s="143">
        <f>IF(AND(Kalk5!$AA$5=2,Kalk5!$AA$13),(VLOOKUP(F82,Preisliste!C:G,5,FALSE)-VLOOKUP(F82,Preisliste!C:G,4,FALSE))*B82,0)</f>
        <v>0</v>
      </c>
      <c r="AA82" s="86"/>
      <c r="AB82" s="86"/>
      <c r="AC82" s="86"/>
      <c r="AD82" s="86"/>
      <c r="AE82" s="86"/>
      <c r="AF82" s="86"/>
      <c r="AG82" s="55">
        <f t="shared" si="20"/>
        <v>0</v>
      </c>
      <c r="AH82" s="66">
        <f>IF(Kalk5!$AA$19=4,1,0)</f>
        <v>0</v>
      </c>
      <c r="AI82" s="55">
        <v>80</v>
      </c>
      <c r="AK82" s="55" t="s">
        <v>22079</v>
      </c>
      <c r="AL82" s="66">
        <f>IF(OR(Kalk5!$AA$7=1,Kalk5!$AA$9=1),1,0)</f>
        <v>1</v>
      </c>
      <c r="AM82" s="55" t="s">
        <v>22083</v>
      </c>
      <c r="AO82" s="55" t="s">
        <v>22079</v>
      </c>
      <c r="AP82" s="66">
        <f>IF(Kalk5!$AH$52&gt;AQ82,1,0)</f>
        <v>0</v>
      </c>
      <c r="AQ82" s="55">
        <v>2150</v>
      </c>
      <c r="AR82" s="55" t="s">
        <v>22084</v>
      </c>
      <c r="AS82" s="66">
        <f>Kalk5!$AH$52</f>
        <v>0</v>
      </c>
      <c r="AU82" s="66">
        <f>IF(Kalk5!$AA$7=1,1,0)</f>
        <v>1</v>
      </c>
      <c r="AV82" s="55" t="s">
        <v>19882</v>
      </c>
      <c r="AW82" s="66">
        <f>IF(Kalk5!$AA$9=1,1,0)</f>
        <v>1</v>
      </c>
      <c r="AX82" s="55" t="s">
        <v>20310</v>
      </c>
      <c r="AY82" s="55" t="s">
        <v>22100</v>
      </c>
      <c r="AZ82" s="66">
        <f>(AU82+AW82)*Kalk5!$H$37</f>
        <v>2</v>
      </c>
      <c r="BA82" s="55" t="s">
        <v>22101</v>
      </c>
    </row>
    <row r="83" spans="2:53" ht="24.95" customHeight="1">
      <c r="B83" s="94">
        <f>IF(AG83=1,AL83,0)</f>
        <v>0</v>
      </c>
      <c r="C83" s="60"/>
      <c r="D83" s="60">
        <f>B83</f>
        <v>0</v>
      </c>
      <c r="E83" s="60" t="str">
        <f>VLOOKUP(1601,Sprachindex!$A:$Z,Erhebungsbogen!$Y$20,FALSE)</f>
        <v>[VPE]</v>
      </c>
      <c r="F83" s="60" t="s">
        <v>21948</v>
      </c>
      <c r="G83" s="514" t="str">
        <f>VLOOKUP(1723,Sprachindex!$A:$Z,Erhebungsbogen!$Y$20,FALSE) &amp; " [" &amp; VLOOKUP(992,Sprachindex!$A:$Z,Erhebungsbogen!$Y$20,FALSE) &amp; " =10 "&amp; VLOOKUP(1512,Sprachindex!$A:$Z,Erhebungsbogen!$Y$20,FALSE) &amp; "]"</f>
        <v>Grundprofildichtung [VPE =10 lfm]</v>
      </c>
      <c r="H83" s="514"/>
      <c r="I83" s="514"/>
      <c r="J83" s="514"/>
      <c r="K83" s="514"/>
      <c r="L83" s="514"/>
      <c r="M83" s="514"/>
      <c r="N83" s="514"/>
      <c r="O83" s="514"/>
      <c r="P83" s="514"/>
      <c r="Q83" s="514"/>
      <c r="R83" s="514"/>
      <c r="S83" s="514"/>
      <c r="T83" s="514"/>
      <c r="U83" s="352">
        <f>VLOOKUP(F83,Preisliste!C:F,4,FALSE)</f>
        <v>67.05</v>
      </c>
      <c r="V83" s="352">
        <f t="shared" ref="V83" si="21">U83*D83</f>
        <v>0</v>
      </c>
      <c r="W83" s="86"/>
      <c r="X83" s="86"/>
      <c r="Y83" s="86"/>
      <c r="Z83" s="86"/>
      <c r="AA83" s="86"/>
      <c r="AB83" s="86"/>
      <c r="AC83" s="86"/>
      <c r="AD83" s="86"/>
      <c r="AE83" s="86"/>
      <c r="AF83" s="86"/>
      <c r="AG83" s="244">
        <f>IF(AND(Kalk5!H28&gt;0,Kalk5!H29&gt;0),1,0)</f>
        <v>0</v>
      </c>
      <c r="AK83" s="55" t="s">
        <v>22100</v>
      </c>
      <c r="AL83" s="66">
        <f>Kalk5!AH54</f>
        <v>0</v>
      </c>
      <c r="AM83" s="55" t="s">
        <v>12148</v>
      </c>
    </row>
    <row r="84" spans="2:53" ht="24.95" customHeight="1">
      <c r="B84" s="93">
        <f>IF(AG84=1,AU84,0)</f>
        <v>0</v>
      </c>
      <c r="C84" s="60"/>
      <c r="D84" s="60"/>
      <c r="E84" s="60" t="str">
        <f>VLOOKUP(1599,Sprachindex!$A:$Z,Erhebungsbogen!$Y$20,FALSE)</f>
        <v>[Paar]</v>
      </c>
      <c r="F84" s="60" t="s">
        <v>21972</v>
      </c>
      <c r="G84" s="514" t="str">
        <f>VLOOKUP(1724,Sprachindex!$A:$Z,Erhebungsbogen!$Y$20,FALSE)</f>
        <v>Halterung für Dammbalken</v>
      </c>
      <c r="H84" s="514"/>
      <c r="I84" s="514"/>
      <c r="J84" s="514"/>
      <c r="K84" s="514"/>
      <c r="L84" s="514"/>
      <c r="M84" s="514"/>
      <c r="N84" s="514"/>
      <c r="O84" s="514"/>
      <c r="P84" s="514"/>
      <c r="Q84" s="514"/>
      <c r="R84" s="514"/>
      <c r="S84" s="514"/>
      <c r="T84" s="514"/>
      <c r="U84" s="352">
        <f>VLOOKUP(F84,Preisliste!C:F,4,FALSE)</f>
        <v>215.75</v>
      </c>
      <c r="V84" s="352">
        <f t="shared" si="16"/>
        <v>0</v>
      </c>
      <c r="W84" s="86"/>
      <c r="X84" s="86"/>
      <c r="Y84" s="86"/>
      <c r="Z84" s="86"/>
      <c r="AA84" s="86"/>
      <c r="AB84" s="86"/>
      <c r="AC84" s="86"/>
      <c r="AD84" s="86"/>
      <c r="AE84" s="86"/>
      <c r="AF84" s="86"/>
      <c r="AG84" s="55">
        <f>IF(Kalk5!$AA$30,1,0)</f>
        <v>0</v>
      </c>
      <c r="AL84" s="66">
        <f>IF(Kalk5!AA19=1,12,IF(Kalk5!AA19=2,7,IF(Kalk5!AA19=3,6,IF(Kalk5!AA19=4,4,0))))</f>
        <v>6</v>
      </c>
      <c r="AM84" s="55" t="s">
        <v>22116</v>
      </c>
      <c r="AP84" s="66">
        <f>Kalk5!AH41</f>
        <v>0</v>
      </c>
      <c r="AQ84" s="55" t="s">
        <v>22117</v>
      </c>
      <c r="AU84" s="66">
        <f>ROUNDUP(AP84/AL84,0)</f>
        <v>0</v>
      </c>
      <c r="AV84" s="55" t="s">
        <v>22118</v>
      </c>
      <c r="AX84" s="21"/>
    </row>
    <row r="85" spans="2:53" ht="24.95" customHeight="1">
      <c r="B85" s="93">
        <f>IF(AND(AG85&gt;0,AL85&gt;0),AL85,0)</f>
        <v>0</v>
      </c>
      <c r="C85" s="60"/>
      <c r="D85" s="60"/>
      <c r="E85" s="60" t="str">
        <f>VLOOKUP(1600,Sprachindex!$A:$Z,Erhebungsbogen!$Y$20,FALSE)</f>
        <v>[Stk]</v>
      </c>
      <c r="F85" s="60" t="s">
        <v>21976</v>
      </c>
      <c r="G85" s="514" t="str">
        <f>VLOOKUP(2126,Sprachindex!$A:$Z,Erhebungsbogen!$Y$20,FALSE)</f>
        <v>Hebehilfe für Bodenhülsendeckel</v>
      </c>
      <c r="H85" s="514"/>
      <c r="I85" s="514"/>
      <c r="J85" s="514"/>
      <c r="K85" s="514"/>
      <c r="L85" s="514"/>
      <c r="M85" s="514"/>
      <c r="N85" s="514"/>
      <c r="O85" s="514"/>
      <c r="P85" s="514"/>
      <c r="Q85" s="514"/>
      <c r="R85" s="514"/>
      <c r="S85" s="514"/>
      <c r="T85" s="514"/>
      <c r="U85" s="352">
        <f>VLOOKUP(F85,Preisliste!C:F,4,FALSE)</f>
        <v>131.5</v>
      </c>
      <c r="V85" s="352">
        <f t="shared" si="16"/>
        <v>0</v>
      </c>
      <c r="W85" s="86"/>
      <c r="X85" s="86"/>
      <c r="Y85" s="86"/>
      <c r="Z85" s="86"/>
      <c r="AA85" s="86"/>
      <c r="AB85" s="86"/>
      <c r="AC85" s="86"/>
      <c r="AD85" s="86"/>
      <c r="AE85" s="86"/>
      <c r="AF85" s="86"/>
      <c r="AG85" s="55">
        <f>IF(AND(Kalk5!$AA$32,Kalk5!Q35&gt;0),1,0)</f>
        <v>0</v>
      </c>
      <c r="AK85" s="55" t="s">
        <v>22100</v>
      </c>
      <c r="AL85" s="66">
        <f>Kalk5!Q35*Kalk5!$H$37</f>
        <v>1</v>
      </c>
      <c r="AM85" s="55" t="s">
        <v>20872</v>
      </c>
      <c r="AX85" s="21"/>
    </row>
    <row r="86" spans="2:53" ht="24.95" customHeight="1">
      <c r="B86" s="93">
        <f>IF(AG86=1,AL86,0)</f>
        <v>0</v>
      </c>
      <c r="C86" s="60"/>
      <c r="D86" s="60"/>
      <c r="E86" s="60" t="str">
        <f>VLOOKUP(1600,Sprachindex!$A:$Z,Erhebungsbogen!$Y$20,FALSE)</f>
        <v>[Stk]</v>
      </c>
      <c r="F86" s="60" t="s">
        <v>21973</v>
      </c>
      <c r="G86" s="514" t="str">
        <f>VLOOKUP(2127,Sprachindex!$A:$Z,Erhebungsbogen!$Y$20,FALSE) &amp; IF(AND(Kalk5!$AA$5=2,Kalk5!$AA$16),", " &amp; VLOOKUP(1645,Sprachindex!$A:$Z,Erhebungsbogen!$Y$20,FALSE) &amp; " " &amp; $U$8,"")</f>
        <v>Lagerabdeckung (Mittelteil)</v>
      </c>
      <c r="H86" s="514"/>
      <c r="I86" s="514"/>
      <c r="J86" s="514"/>
      <c r="K86" s="514"/>
      <c r="L86" s="514"/>
      <c r="M86" s="514"/>
      <c r="N86" s="514"/>
      <c r="O86" s="514"/>
      <c r="P86" s="514"/>
      <c r="Q86" s="514"/>
      <c r="R86" s="514"/>
      <c r="S86" s="514"/>
      <c r="T86" s="514"/>
      <c r="U86" s="352">
        <f>IF(AND(Kalk5!$AA$5=2,Kalk5!$AA$16),VLOOKUP(F86,Preisliste!C:G,5,FALSE),VLOOKUP(F86,Preisliste!C:G,4,FALSE))</f>
        <v>125.7</v>
      </c>
      <c r="V86" s="352">
        <f t="shared" si="16"/>
        <v>0</v>
      </c>
      <c r="W86" s="86"/>
      <c r="X86" s="86"/>
      <c r="Y86" s="86"/>
      <c r="Z86" s="143">
        <f>IF(AND(Kalk5!$AA$5=2,Kalk5!$AA$16),(VLOOKUP(F86,Preisliste!C:G,5,FALSE)-VLOOKUP(F86,Preisliste!C:G,4,FALSE))*B86,0)</f>
        <v>0</v>
      </c>
      <c r="AA86" s="86"/>
      <c r="AB86" s="86"/>
      <c r="AC86" s="86"/>
      <c r="AD86" s="86"/>
      <c r="AE86" s="86"/>
      <c r="AF86" s="86"/>
      <c r="AG86" s="55">
        <f>IF(Kalk5!$AA$31,1,0)</f>
        <v>0</v>
      </c>
      <c r="AK86" s="55" t="s">
        <v>22100</v>
      </c>
      <c r="AL86" s="55">
        <f>ROUNDUP(((Kalk5!AH38+50)/445),0)*Kalk5!AH55</f>
        <v>0</v>
      </c>
      <c r="AM86" s="55" t="s">
        <v>20872</v>
      </c>
      <c r="AX86" s="21"/>
    </row>
    <row r="87" spans="2:53" ht="24.95" customHeight="1">
      <c r="B87" s="93">
        <f>IF(AG87=1,AL87,0)</f>
        <v>0</v>
      </c>
      <c r="C87" s="60"/>
      <c r="D87" s="60"/>
      <c r="E87" s="60" t="str">
        <f>VLOOKUP(1600,Sprachindex!$A:$Z,Erhebungsbogen!$Y$20,FALSE)</f>
        <v>[Stk]</v>
      </c>
      <c r="F87" s="60" t="s">
        <v>21975</v>
      </c>
      <c r="G87" s="514" t="str">
        <f>VLOOKUP(2128,Sprachindex!$A:$Z,Erhebungsbogen!$Y$20,FALSE) &amp; IF(AND(Kalk5!$AA$5=2,Kalk5!$AA$16),", " &amp; VLOOKUP(1645,Sprachindex!$A:$Z,Erhebungsbogen!$Y$20,FALSE) &amp; " " &amp; $U$8,"")</f>
        <v>Lagerabdeckung (Seitenteil)</v>
      </c>
      <c r="H87" s="514"/>
      <c r="I87" s="514"/>
      <c r="J87" s="514"/>
      <c r="K87" s="514"/>
      <c r="L87" s="514"/>
      <c r="M87" s="514"/>
      <c r="N87" s="514"/>
      <c r="O87" s="514"/>
      <c r="P87" s="514"/>
      <c r="Q87" s="514"/>
      <c r="R87" s="514"/>
      <c r="S87" s="514"/>
      <c r="T87" s="514"/>
      <c r="U87" s="352">
        <f>IF(AND(Kalk5!$AA$5=2,Kalk5!$AA$16),VLOOKUP(F87,Preisliste!C:G,5,FALSE),VLOOKUP(F87,Preisliste!C:G,4,FALSE))</f>
        <v>49.35</v>
      </c>
      <c r="V87" s="352">
        <f t="shared" si="16"/>
        <v>0</v>
      </c>
      <c r="W87" s="86"/>
      <c r="X87" s="86"/>
      <c r="Y87" s="86"/>
      <c r="Z87" s="143">
        <f>IF(AND(Kalk5!$AA$5=2,Kalk5!$AA$16),(VLOOKUP(F87,Preisliste!C:G,5,FALSE)-VLOOKUP(F87,Preisliste!C:G,4,FALSE))*B87,0)</f>
        <v>0</v>
      </c>
      <c r="AA87" s="86"/>
      <c r="AB87" s="86"/>
      <c r="AC87" s="86"/>
      <c r="AD87" s="86"/>
      <c r="AE87" s="86"/>
      <c r="AF87" s="86"/>
      <c r="AG87" s="55">
        <f>IF(Kalk5!$AA$31,1,0)</f>
        <v>0</v>
      </c>
      <c r="AK87" s="55" t="s">
        <v>22100</v>
      </c>
      <c r="AL87" s="55">
        <f>2*Kalk5!AH55</f>
        <v>0</v>
      </c>
      <c r="AM87" s="55" t="s">
        <v>20872</v>
      </c>
      <c r="AX87" s="21"/>
    </row>
    <row r="88" spans="2:53" ht="24.95" customHeight="1">
      <c r="B88" s="93">
        <f>IF(AND(AG88=1,AU88=1),AL88,0)</f>
        <v>0</v>
      </c>
      <c r="C88" s="60">
        <v>750</v>
      </c>
      <c r="D88" s="60"/>
      <c r="E88" s="60" t="str">
        <f>VLOOKUP(1600,Sprachindex!$A:$Z,Erhebungsbogen!$Y$20,FALSE)</f>
        <v>[Stk]</v>
      </c>
      <c r="F88" s="60" t="s">
        <v>21938</v>
      </c>
      <c r="G88" s="514" t="str">
        <f>VLOOKUP(1774,Sprachindex!$A:$Z,Erhebungsbogen!$Y$20,FALSE)</f>
        <v>Niederhalter inkl. Spannstück, Verbundanker und Gewindestange</v>
      </c>
      <c r="H88" s="514"/>
      <c r="I88" s="514"/>
      <c r="J88" s="514"/>
      <c r="K88" s="514"/>
      <c r="L88" s="514"/>
      <c r="M88" s="514"/>
      <c r="N88" s="514"/>
      <c r="O88" s="514"/>
      <c r="P88" s="514"/>
      <c r="Q88" s="514"/>
      <c r="R88" s="514"/>
      <c r="S88" s="514"/>
      <c r="T88" s="514"/>
      <c r="U88" s="352">
        <f>VLOOKUP(F88,Preisliste!C:F,4,FALSE)</f>
        <v>458.8</v>
      </c>
      <c r="V88" s="352">
        <f t="shared" si="16"/>
        <v>0</v>
      </c>
      <c r="W88" s="86"/>
      <c r="X88" s="86"/>
      <c r="Y88" s="86"/>
      <c r="Z88" s="86"/>
      <c r="AA88" s="86"/>
      <c r="AB88" s="86"/>
      <c r="AC88" s="86"/>
      <c r="AD88" s="86"/>
      <c r="AE88" s="86"/>
      <c r="AF88" s="86"/>
      <c r="AG88" s="55">
        <f>IF(AND(AL88&gt;0,AU88=1),1,0)</f>
        <v>0</v>
      </c>
      <c r="AL88" s="66">
        <f>IF(AND(Kalk5!$AA$26,Kalk5!$Q$29&gt;0),Kalk5!$Q$29,0)*Kalk5!$H$37</f>
        <v>0</v>
      </c>
      <c r="AM88" s="55" t="s">
        <v>20872</v>
      </c>
      <c r="AT88" s="55" t="s">
        <v>22079</v>
      </c>
      <c r="AU88" s="66">
        <f>IF(Kalk5!$AI$51=AV88,1,0)</f>
        <v>1</v>
      </c>
      <c r="AV88" s="55">
        <v>750</v>
      </c>
      <c r="AX88" s="21"/>
    </row>
    <row r="89" spans="2:53" ht="24.95" customHeight="1">
      <c r="B89" s="93">
        <f>IF(AND(AG89=1,AU89=1),AL89,0)</f>
        <v>0</v>
      </c>
      <c r="C89" s="60">
        <v>1350</v>
      </c>
      <c r="D89" s="60"/>
      <c r="E89" s="60" t="str">
        <f>VLOOKUP(1600,Sprachindex!$A:$Z,Erhebungsbogen!$Y$20,FALSE)</f>
        <v>[Stk]</v>
      </c>
      <c r="F89" s="60" t="s">
        <v>21939</v>
      </c>
      <c r="G89" s="514" t="str">
        <f>VLOOKUP(1774,Sprachindex!$A:$Z,Erhebungsbogen!$Y$20,FALSE)</f>
        <v>Niederhalter inkl. Spannstück, Verbundanker und Gewindestange</v>
      </c>
      <c r="H89" s="514"/>
      <c r="I89" s="514"/>
      <c r="J89" s="514"/>
      <c r="K89" s="514"/>
      <c r="L89" s="514"/>
      <c r="M89" s="514"/>
      <c r="N89" s="514"/>
      <c r="O89" s="514"/>
      <c r="P89" s="514"/>
      <c r="Q89" s="514"/>
      <c r="R89" s="514"/>
      <c r="S89" s="514"/>
      <c r="T89" s="514"/>
      <c r="U89" s="352">
        <f>VLOOKUP(F89,Preisliste!C:F,4,FALSE)</f>
        <v>498.35</v>
      </c>
      <c r="V89" s="352">
        <f t="shared" si="16"/>
        <v>0</v>
      </c>
      <c r="W89" s="86"/>
      <c r="X89" s="86"/>
      <c r="Y89" s="86"/>
      <c r="Z89" s="86"/>
      <c r="AA89" s="86"/>
      <c r="AB89" s="86"/>
      <c r="AC89" s="86"/>
      <c r="AD89" s="86"/>
      <c r="AE89" s="86"/>
      <c r="AF89" s="86"/>
      <c r="AG89" s="55">
        <f>IF(AND(AL89&gt;0,AU89=1),1,0)</f>
        <v>0</v>
      </c>
      <c r="AL89" s="66">
        <f>IF(AND(Kalk5!$AA$26,Kalk5!$Q$29&gt;0),Kalk5!$Q$29,0)*Kalk5!$H$37</f>
        <v>0</v>
      </c>
      <c r="AM89" s="55" t="s">
        <v>20872</v>
      </c>
      <c r="AT89" s="55" t="s">
        <v>22079</v>
      </c>
      <c r="AU89" s="66">
        <f>IF(Kalk5!$AI$51=AV89,1,0)</f>
        <v>0</v>
      </c>
      <c r="AV89" s="55">
        <v>1350</v>
      </c>
    </row>
    <row r="90" spans="2:53" ht="24.95" customHeight="1">
      <c r="B90" s="93">
        <f>IF(AND(AG90=1,AU90=1),AL90,0)</f>
        <v>0</v>
      </c>
      <c r="C90" s="60">
        <v>1750</v>
      </c>
      <c r="D90" s="60"/>
      <c r="E90" s="60" t="str">
        <f>VLOOKUP(1600,Sprachindex!$A:$Z,Erhebungsbogen!$Y$20,FALSE)</f>
        <v>[Stk]</v>
      </c>
      <c r="F90" s="60" t="s">
        <v>21940</v>
      </c>
      <c r="G90" s="514" t="str">
        <f>VLOOKUP(1774,Sprachindex!$A:$Z,Erhebungsbogen!$Y$20,FALSE)</f>
        <v>Niederhalter inkl. Spannstück, Verbundanker und Gewindestange</v>
      </c>
      <c r="H90" s="514"/>
      <c r="I90" s="514"/>
      <c r="J90" s="514"/>
      <c r="K90" s="514"/>
      <c r="L90" s="514"/>
      <c r="M90" s="514"/>
      <c r="N90" s="514"/>
      <c r="O90" s="514"/>
      <c r="P90" s="514"/>
      <c r="Q90" s="514"/>
      <c r="R90" s="514"/>
      <c r="S90" s="514"/>
      <c r="T90" s="514"/>
      <c r="U90" s="352">
        <f>VLOOKUP(F90,Preisliste!C:F,4,FALSE)</f>
        <v>555.6</v>
      </c>
      <c r="V90" s="352">
        <f t="shared" si="16"/>
        <v>0</v>
      </c>
      <c r="W90" s="86"/>
      <c r="X90" s="86"/>
      <c r="Y90" s="86"/>
      <c r="Z90" s="86"/>
      <c r="AA90" s="86"/>
      <c r="AB90" s="86"/>
      <c r="AC90" s="86"/>
      <c r="AD90" s="86"/>
      <c r="AE90" s="86"/>
      <c r="AF90" s="86"/>
      <c r="AG90" s="55">
        <f>IF(AND(AL90&gt;0,AU90=1),1,0)</f>
        <v>0</v>
      </c>
      <c r="AL90" s="66">
        <f>IF(AND(Kalk5!$AA$26,Kalk5!$Q$29&gt;0),Kalk5!$Q$29,0)*Kalk5!$H$37</f>
        <v>0</v>
      </c>
      <c r="AM90" s="55" t="s">
        <v>20872</v>
      </c>
      <c r="AT90" s="55" t="s">
        <v>22079</v>
      </c>
      <c r="AU90" s="66">
        <f>IF(Kalk5!$AI$51=AV90,1,0)</f>
        <v>0</v>
      </c>
      <c r="AV90" s="55">
        <v>1750</v>
      </c>
    </row>
    <row r="91" spans="2:53" ht="24.95" customHeight="1">
      <c r="B91" s="93">
        <f>IF(AG91=1,AY91,0)</f>
        <v>0</v>
      </c>
      <c r="C91" s="60">
        <v>750</v>
      </c>
      <c r="D91" s="60"/>
      <c r="E91" s="60" t="str">
        <f>VLOOKUP(1600,Sprachindex!$A:$Z,Erhebungsbogen!$Y$20,FALSE)</f>
        <v>[Stk]</v>
      </c>
      <c r="F91" s="60" t="s">
        <v>21906</v>
      </c>
      <c r="G91" s="514" t="str">
        <f>VLOOKUP(1794,Sprachindex!$A:$Z,Erhebungsbogen!$Y$20,FALSE) &amp; " ( " &amp;Preisliste!H71 &amp; " " &amp; VLOOKUP(1744,Sprachindex!$A:$Z,Erhebungsbogen!$Y$20,FALSE) &amp; ")"</f>
        <v>Rundprofil 50 exkl. Dichtung, gebohrt und entgratet ( 7,801 kg/Stk)</v>
      </c>
      <c r="H91" s="514"/>
      <c r="I91" s="514"/>
      <c r="J91" s="514"/>
      <c r="K91" s="514"/>
      <c r="L91" s="514"/>
      <c r="M91" s="514"/>
      <c r="N91" s="514"/>
      <c r="O91" s="514"/>
      <c r="P91" s="514"/>
      <c r="Q91" s="514"/>
      <c r="R91" s="514"/>
      <c r="S91" s="514"/>
      <c r="T91" s="514"/>
      <c r="U91" s="352">
        <f>VLOOKUP(F91,Preisliste!C:F,4,FALSE)</f>
        <v>369.95</v>
      </c>
      <c r="V91" s="352">
        <f t="shared" si="16"/>
        <v>0</v>
      </c>
      <c r="W91" s="86"/>
      <c r="X91" s="86"/>
      <c r="Y91" s="86"/>
      <c r="Z91" s="86"/>
      <c r="AA91" s="86"/>
      <c r="AB91" s="86"/>
      <c r="AC91" s="86"/>
      <c r="AD91" s="86"/>
      <c r="AE91" s="86"/>
      <c r="AF91" s="86"/>
      <c r="AG91" s="55">
        <f>IF(AND(AH91=1,(AL91-AO91)&gt;0,AU91=1),1,0)</f>
        <v>0</v>
      </c>
      <c r="AH91" s="66">
        <f>IF(OR(Kalk5!$AA$19=2,Kalk5!$AA$19=3),1,0)</f>
        <v>1</v>
      </c>
      <c r="AI91" s="55">
        <v>50</v>
      </c>
      <c r="AL91" s="66">
        <f>IF(Kalk5!$AA$20=1,Kalk5!$H$33-1,0)</f>
        <v>0</v>
      </c>
      <c r="AM91" s="55" t="s">
        <v>22119</v>
      </c>
      <c r="AO91" s="66">
        <f>IF(Kalk5!$O$20&gt;0,Kalk5!$O$20,0)</f>
        <v>0</v>
      </c>
      <c r="AP91" s="55" t="s">
        <v>22121</v>
      </c>
      <c r="AQ91" s="66">
        <f>IF(Kalk5!$O$21&gt;0,Kalk5!$O$21,0)</f>
        <v>0</v>
      </c>
      <c r="AR91" s="55" t="s">
        <v>22120</v>
      </c>
      <c r="AT91" s="55" t="s">
        <v>22079</v>
      </c>
      <c r="AU91" s="66">
        <f>IF(Kalk5!$AI$51=$AV$91,1,0)</f>
        <v>1</v>
      </c>
      <c r="AV91" s="55">
        <v>750</v>
      </c>
      <c r="AX91" s="55" t="s">
        <v>22100</v>
      </c>
      <c r="AY91" s="66">
        <f>IF((AL91-AO91-AQ91)&lt;0,0,AL91-AO91-AQ91)*Kalk5!$H$37</f>
        <v>0</v>
      </c>
      <c r="AZ91" s="55" t="s">
        <v>20872</v>
      </c>
    </row>
    <row r="92" spans="2:53" ht="24.95" customHeight="1">
      <c r="B92" s="93">
        <f t="shared" ref="B92:B100" si="22">IF(AG92=1,AY92,0)</f>
        <v>0</v>
      </c>
      <c r="C92" s="60">
        <v>1350</v>
      </c>
      <c r="D92" s="60"/>
      <c r="E92" s="60" t="str">
        <f>VLOOKUP(1600,Sprachindex!$A:$Z,Erhebungsbogen!$Y$20,FALSE)</f>
        <v>[Stk]</v>
      </c>
      <c r="F92" s="60" t="s">
        <v>21907</v>
      </c>
      <c r="G92" s="514" t="str">
        <f>VLOOKUP(1794,Sprachindex!$A:$Z,Erhebungsbogen!$Y$20,FALSE) &amp; " ( " &amp;Preisliste!H72 &amp; " " &amp; VLOOKUP(1744,Sprachindex!$A:$Z,Erhebungsbogen!$Y$20,FALSE) &amp; ")"</f>
        <v>Rundprofil 50 exkl. Dichtung, gebohrt und entgratet ( 14,041 kg/Stk)</v>
      </c>
      <c r="H92" s="514"/>
      <c r="I92" s="514"/>
      <c r="J92" s="514"/>
      <c r="K92" s="514"/>
      <c r="L92" s="514"/>
      <c r="M92" s="514"/>
      <c r="N92" s="514"/>
      <c r="O92" s="514"/>
      <c r="P92" s="514"/>
      <c r="Q92" s="514"/>
      <c r="R92" s="514"/>
      <c r="S92" s="514"/>
      <c r="T92" s="514"/>
      <c r="U92" s="352">
        <f>VLOOKUP(F92,Preisliste!C:F,4,FALSE)</f>
        <v>440.6</v>
      </c>
      <c r="V92" s="352">
        <f t="shared" si="16"/>
        <v>0</v>
      </c>
      <c r="W92" s="86"/>
      <c r="X92" s="86"/>
      <c r="Y92" s="86"/>
      <c r="Z92" s="86"/>
      <c r="AA92" s="86"/>
      <c r="AB92" s="86"/>
      <c r="AC92" s="86"/>
      <c r="AD92" s="86"/>
      <c r="AE92" s="86"/>
      <c r="AF92" s="86"/>
      <c r="AG92" s="55">
        <f t="shared" ref="AG92:AG100" si="23">IF(AND(AH92=1,(AL92-AO92)&gt;0,AU92=1),1,0)</f>
        <v>0</v>
      </c>
      <c r="AH92" s="66">
        <f>IF(OR(Kalk5!$AA$19=2,Kalk5!$AA$19=3),1,0)</f>
        <v>1</v>
      </c>
      <c r="AI92" s="55">
        <v>50</v>
      </c>
      <c r="AL92" s="66">
        <f>IF(Kalk5!$AA$20=1,Kalk5!$H$33-1,0)</f>
        <v>0</v>
      </c>
      <c r="AM92" s="55" t="s">
        <v>22119</v>
      </c>
      <c r="AO92" s="66">
        <f>IF(Kalk5!$O$20&gt;0,Kalk5!$O$20,0)</f>
        <v>0</v>
      </c>
      <c r="AP92" s="55" t="s">
        <v>22121</v>
      </c>
      <c r="AQ92" s="66">
        <f>IF(Kalk5!$O$21&gt;0,Kalk5!$O$21,0)</f>
        <v>0</v>
      </c>
      <c r="AR92" s="55" t="s">
        <v>22120</v>
      </c>
      <c r="AT92" s="55" t="s">
        <v>22079</v>
      </c>
      <c r="AU92" s="66">
        <f>IF(Kalk5!$AI$51=AV92,1,0)</f>
        <v>0</v>
      </c>
      <c r="AV92" s="55">
        <v>1350</v>
      </c>
      <c r="AX92" s="55" t="s">
        <v>22100</v>
      </c>
      <c r="AY92" s="66">
        <f>IF((AL92-AO92-AQ92)&lt;0,0,AL92-AO92-AQ92)*Kalk5!$H$37</f>
        <v>0</v>
      </c>
      <c r="AZ92" s="55" t="s">
        <v>20872</v>
      </c>
    </row>
    <row r="93" spans="2:53" ht="24.95" customHeight="1">
      <c r="B93" s="93">
        <f t="shared" si="22"/>
        <v>0</v>
      </c>
      <c r="C93" s="60">
        <v>1750</v>
      </c>
      <c r="D93" s="60"/>
      <c r="E93" s="60" t="str">
        <f>VLOOKUP(1600,Sprachindex!$A:$Z,Erhebungsbogen!$Y$20,FALSE)</f>
        <v>[Stk]</v>
      </c>
      <c r="F93" s="60" t="s">
        <v>21908</v>
      </c>
      <c r="G93" s="514" t="str">
        <f>VLOOKUP(1794,Sprachindex!$A:$Z,Erhebungsbogen!$Y$20,FALSE) &amp; " ( " &amp;Preisliste!H73 &amp; " " &amp; VLOOKUP(1744,Sprachindex!$A:$Z,Erhebungsbogen!$Y$20,FALSE) &amp; ")"</f>
        <v>Rundprofil 50 exkl. Dichtung, gebohrt und entgratet ( 18,202 kg/Stk)</v>
      </c>
      <c r="H93" s="514"/>
      <c r="I93" s="514"/>
      <c r="J93" s="514"/>
      <c r="K93" s="514"/>
      <c r="L93" s="514"/>
      <c r="M93" s="514"/>
      <c r="N93" s="514"/>
      <c r="O93" s="514"/>
      <c r="P93" s="514"/>
      <c r="Q93" s="514"/>
      <c r="R93" s="514"/>
      <c r="S93" s="514"/>
      <c r="T93" s="514"/>
      <c r="U93" s="352">
        <f>VLOOKUP(F93,Preisliste!C:F,4,FALSE)</f>
        <v>509.75</v>
      </c>
      <c r="V93" s="352">
        <f t="shared" si="16"/>
        <v>0</v>
      </c>
      <c r="W93" s="86"/>
      <c r="X93" s="86"/>
      <c r="Y93" s="86"/>
      <c r="Z93" s="86"/>
      <c r="AA93" s="86"/>
      <c r="AB93" s="86"/>
      <c r="AC93" s="86"/>
      <c r="AD93" s="86"/>
      <c r="AE93" s="86"/>
      <c r="AF93" s="86"/>
      <c r="AG93" s="55">
        <f t="shared" si="23"/>
        <v>0</v>
      </c>
      <c r="AH93" s="66">
        <f>IF(OR(Kalk5!$AA$19=2,Kalk5!$AA$19=3),1,0)</f>
        <v>1</v>
      </c>
      <c r="AI93" s="55">
        <v>50</v>
      </c>
      <c r="AL93" s="66">
        <f>IF(Kalk5!$AA$20=1,Kalk5!$H$33-1,0)</f>
        <v>0</v>
      </c>
      <c r="AM93" s="55" t="s">
        <v>22119</v>
      </c>
      <c r="AO93" s="66">
        <f>IF(Kalk5!$O$20&gt;0,Kalk5!$O$20,0)</f>
        <v>0</v>
      </c>
      <c r="AP93" s="55" t="s">
        <v>22121</v>
      </c>
      <c r="AQ93" s="66">
        <f>IF(Kalk5!$O$21&gt;0,Kalk5!$O$21,0)</f>
        <v>0</v>
      </c>
      <c r="AR93" s="55" t="s">
        <v>22120</v>
      </c>
      <c r="AT93" s="55" t="s">
        <v>22079</v>
      </c>
      <c r="AU93" s="66">
        <f>IF(Kalk5!$AI$51=AV93,1,0)</f>
        <v>0</v>
      </c>
      <c r="AV93" s="55">
        <v>1750</v>
      </c>
      <c r="AX93" s="55" t="s">
        <v>22100</v>
      </c>
      <c r="AY93" s="66">
        <f>IF((AL93-AO93-AQ93)&lt;0,0,AL93-AO93-AQ93)*Kalk5!$H$37</f>
        <v>0</v>
      </c>
      <c r="AZ93" s="55" t="s">
        <v>20872</v>
      </c>
    </row>
    <row r="94" spans="2:53" ht="24.95" customHeight="1">
      <c r="B94" s="93">
        <f t="shared" si="22"/>
        <v>0</v>
      </c>
      <c r="C94" s="60">
        <v>2150</v>
      </c>
      <c r="D94" s="60"/>
      <c r="E94" s="60" t="str">
        <f>VLOOKUP(1600,Sprachindex!$A:$Z,Erhebungsbogen!$Y$20,FALSE)</f>
        <v>[Stk]</v>
      </c>
      <c r="F94" s="60" t="s">
        <v>21909</v>
      </c>
      <c r="G94" s="514" t="str">
        <f>VLOOKUP(1794,Sprachindex!$A:$Z,Erhebungsbogen!$Y$20,FALSE) &amp; " ( " &amp;Preisliste!H74 &amp; " " &amp; VLOOKUP(1744,Sprachindex!$A:$Z,Erhebungsbogen!$Y$20,FALSE) &amp; ")"</f>
        <v>Rundprofil 50 exkl. Dichtung, gebohrt und entgratet ( 22,362 kg/Stk)</v>
      </c>
      <c r="H94" s="514"/>
      <c r="I94" s="514"/>
      <c r="J94" s="514"/>
      <c r="K94" s="514"/>
      <c r="L94" s="514"/>
      <c r="M94" s="514"/>
      <c r="N94" s="514"/>
      <c r="O94" s="514"/>
      <c r="P94" s="514"/>
      <c r="Q94" s="514"/>
      <c r="R94" s="514"/>
      <c r="S94" s="514"/>
      <c r="T94" s="514"/>
      <c r="U94" s="352">
        <f>VLOOKUP(F94,Preisliste!C:F,4,FALSE)</f>
        <v>554.29999999999995</v>
      </c>
      <c r="V94" s="352">
        <f t="shared" si="16"/>
        <v>0</v>
      </c>
      <c r="W94" s="86"/>
      <c r="X94" s="86"/>
      <c r="Y94" s="86"/>
      <c r="Z94" s="86"/>
      <c r="AA94" s="86"/>
      <c r="AB94" s="86"/>
      <c r="AC94" s="86"/>
      <c r="AD94" s="86"/>
      <c r="AE94" s="86"/>
      <c r="AF94" s="86"/>
      <c r="AG94" s="55">
        <f t="shared" si="23"/>
        <v>0</v>
      </c>
      <c r="AH94" s="66">
        <f>IF(OR(Kalk5!$AA$19=2,Kalk5!$AA$19=3),1,0)</f>
        <v>1</v>
      </c>
      <c r="AI94" s="55">
        <v>50</v>
      </c>
      <c r="AL94" s="66">
        <f>IF(Kalk5!$AA$20=1,Kalk5!$H$33-1,0)</f>
        <v>0</v>
      </c>
      <c r="AM94" s="55" t="s">
        <v>22119</v>
      </c>
      <c r="AO94" s="66">
        <f>IF(Kalk5!$O$20&gt;0,Kalk5!$O$20,0)</f>
        <v>0</v>
      </c>
      <c r="AP94" s="55" t="s">
        <v>22121</v>
      </c>
      <c r="AQ94" s="66">
        <f>IF(Kalk5!$O$21&gt;0,Kalk5!$O$21,0)</f>
        <v>0</v>
      </c>
      <c r="AR94" s="55" t="s">
        <v>22120</v>
      </c>
      <c r="AT94" s="55" t="s">
        <v>22079</v>
      </c>
      <c r="AU94" s="66">
        <f>IF(Kalk5!$AI$51=AV94,1,0)</f>
        <v>0</v>
      </c>
      <c r="AV94" s="55">
        <v>2150</v>
      </c>
      <c r="AX94" s="55" t="s">
        <v>22100</v>
      </c>
      <c r="AY94" s="66">
        <f>IF((AL94-AO94-AQ94)&lt;0,0,AL94-AO94-AQ94)*Kalk5!$H$37</f>
        <v>0</v>
      </c>
      <c r="AZ94" s="55" t="s">
        <v>20872</v>
      </c>
    </row>
    <row r="95" spans="2:53" ht="24.95" customHeight="1">
      <c r="B95" s="93">
        <f t="shared" si="22"/>
        <v>0</v>
      </c>
      <c r="C95" s="60">
        <f>IF(AG95=1,AW95,0)</f>
        <v>0</v>
      </c>
      <c r="D95" s="60"/>
      <c r="E95" s="60" t="str">
        <f>VLOOKUP(1600,Sprachindex!$A:$Z,Erhebungsbogen!$Y$20,FALSE)</f>
        <v>[Stk]</v>
      </c>
      <c r="F95" s="60" t="s">
        <v>21826</v>
      </c>
      <c r="G95" s="514" t="str">
        <f>VLOOKUP(1795,Sprachindex!$A:$Z,Erhebungsbogen!$Y$20,FALSE) &amp; " (" &amp; ROUNDUP(C95/1000*Preisliste!I75,2) &amp; " " &amp; VLOOKUP(1744,Sprachindex!$A:$Z,Erhebungsbogen!$Y$20,FALSE) &amp; ")"</f>
        <v>Rundprofil 50 Sonderlänge exkl. Dichtung, (Stangenware) (0 kg/Stk)</v>
      </c>
      <c r="H95" s="514"/>
      <c r="I95" s="514"/>
      <c r="J95" s="514"/>
      <c r="K95" s="514"/>
      <c r="L95" s="514"/>
      <c r="M95" s="514"/>
      <c r="N95" s="514"/>
      <c r="O95" s="514"/>
      <c r="P95" s="514"/>
      <c r="Q95" s="514"/>
      <c r="R95" s="514"/>
      <c r="S95" s="514"/>
      <c r="T95" s="514"/>
      <c r="U95" s="354">
        <f>VLOOKUP(F95,Preisliste!C:F,4,FALSE)</f>
        <v>0</v>
      </c>
      <c r="V95" s="352">
        <f t="shared" si="16"/>
        <v>0</v>
      </c>
      <c r="W95" s="86"/>
      <c r="X95" s="86"/>
      <c r="Y95" s="86"/>
      <c r="Z95" s="86"/>
      <c r="AA95" s="86"/>
      <c r="AB95" s="86"/>
      <c r="AC95" s="86"/>
      <c r="AD95" s="86"/>
      <c r="AE95" s="86"/>
      <c r="AF95" s="86"/>
      <c r="AG95" s="55">
        <f t="shared" si="23"/>
        <v>0</v>
      </c>
      <c r="AH95" s="66">
        <f>IF(OR(Kalk5!$AA$19=2,Kalk5!$AA$19=3),1,0)</f>
        <v>1</v>
      </c>
      <c r="AI95" s="55">
        <v>50</v>
      </c>
      <c r="AL95" s="66">
        <f>IF(Kalk5!$AA$20=1,Kalk5!$H$33-1,0)</f>
        <v>0</v>
      </c>
      <c r="AM95" s="55" t="s">
        <v>22119</v>
      </c>
      <c r="AO95" s="66">
        <f>IF(Kalk5!$O$20&gt;0,Kalk5!$O$20,0)</f>
        <v>0</v>
      </c>
      <c r="AP95" s="55" t="s">
        <v>22121</v>
      </c>
      <c r="AQ95" s="66">
        <f>IF(Kalk5!$O$21&gt;0,Kalk5!$O$21,0)</f>
        <v>0</v>
      </c>
      <c r="AR95" s="55" t="s">
        <v>22120</v>
      </c>
      <c r="AT95" s="55" t="s">
        <v>22079</v>
      </c>
      <c r="AU95" s="66">
        <f>IF(Kalk5!$AH$52&gt;AV95,1,0)</f>
        <v>0</v>
      </c>
      <c r="AV95" s="55">
        <v>2150</v>
      </c>
      <c r="AW95" s="66">
        <f>Kalk5!$AH$52</f>
        <v>0</v>
      </c>
      <c r="AX95" s="55" t="s">
        <v>22100</v>
      </c>
      <c r="AY95" s="66">
        <f>IF((AL95-AO95-AQ95)&lt;0,0,AL95-AO95-AQ95)*Kalk5!$H$37</f>
        <v>0</v>
      </c>
      <c r="AZ95" s="55" t="s">
        <v>20872</v>
      </c>
    </row>
    <row r="96" spans="2:53" ht="24.95" customHeight="1">
      <c r="B96" s="93">
        <f t="shared" si="22"/>
        <v>0</v>
      </c>
      <c r="C96" s="60">
        <v>750</v>
      </c>
      <c r="D96" s="60"/>
      <c r="E96" s="60" t="str">
        <f>VLOOKUP(1600,Sprachindex!$A:$Z,Erhebungsbogen!$Y$20,FALSE)</f>
        <v>[Stk]</v>
      </c>
      <c r="F96" s="60" t="s">
        <v>21910</v>
      </c>
      <c r="G96" s="514" t="str">
        <f>VLOOKUP(1800,Sprachindex!$A:$Z,Erhebungsbogen!$Y$20,FALSE) &amp; " ( " &amp;Preisliste!H76 &amp; " " &amp; VLOOKUP(1744,Sprachindex!$A:$Z,Erhebungsbogen!$Y$20,FALSE) &amp; ")"</f>
        <v>Rundprofil 80 exkl. Dichtung, gebohrt und entgratet ( 8,444 kg/Stk)</v>
      </c>
      <c r="H96" s="514"/>
      <c r="I96" s="514"/>
      <c r="J96" s="514"/>
      <c r="K96" s="514"/>
      <c r="L96" s="514"/>
      <c r="M96" s="514"/>
      <c r="N96" s="514"/>
      <c r="O96" s="514"/>
      <c r="P96" s="514"/>
      <c r="Q96" s="514"/>
      <c r="R96" s="514"/>
      <c r="S96" s="514"/>
      <c r="T96" s="514"/>
      <c r="U96" s="352">
        <f>VLOOKUP(F96,Preisliste!C:F,4,FALSE)</f>
        <v>404.05</v>
      </c>
      <c r="V96" s="352">
        <f t="shared" si="16"/>
        <v>0</v>
      </c>
      <c r="W96" s="86"/>
      <c r="X96" s="86"/>
      <c r="Y96" s="86"/>
      <c r="Z96" s="86"/>
      <c r="AA96" s="86"/>
      <c r="AB96" s="86"/>
      <c r="AC96" s="86"/>
      <c r="AD96" s="86"/>
      <c r="AE96" s="86"/>
      <c r="AF96" s="86"/>
      <c r="AG96" s="55">
        <f t="shared" si="23"/>
        <v>0</v>
      </c>
      <c r="AH96" s="66">
        <f>IF(Kalk5!$AA$19=4,1,0)</f>
        <v>0</v>
      </c>
      <c r="AI96" s="55">
        <v>80</v>
      </c>
      <c r="AL96" s="66">
        <f>IF(Kalk5!$AA$20=1,Kalk5!$H$33-1,0)</f>
        <v>0</v>
      </c>
      <c r="AM96" s="55" t="s">
        <v>22119</v>
      </c>
      <c r="AO96" s="66">
        <f>IF(Kalk5!$O$20&gt;0,Kalk5!$O$20,0)</f>
        <v>0</v>
      </c>
      <c r="AP96" s="55" t="s">
        <v>22121</v>
      </c>
      <c r="AQ96" s="66">
        <f>IF(Kalk5!$O$21&gt;0,Kalk5!$O$21,0)</f>
        <v>0</v>
      </c>
      <c r="AR96" s="55" t="s">
        <v>22120</v>
      </c>
      <c r="AT96" s="55" t="s">
        <v>22079</v>
      </c>
      <c r="AU96" s="66">
        <f>IF(Kalk5!$AI$51=$AV$91,1,0)</f>
        <v>1</v>
      </c>
      <c r="AV96" s="55">
        <v>750</v>
      </c>
      <c r="AX96" s="55" t="s">
        <v>22100</v>
      </c>
      <c r="AY96" s="66">
        <f>IF((AL96-AO96-AQ96)&lt;0,0,AL96-AO96-AQ96)*Kalk5!$H$37</f>
        <v>0</v>
      </c>
      <c r="AZ96" s="55" t="s">
        <v>20872</v>
      </c>
    </row>
    <row r="97" spans="2:52" ht="24.95" customHeight="1">
      <c r="B97" s="93">
        <f t="shared" si="22"/>
        <v>0</v>
      </c>
      <c r="C97" s="60">
        <v>1350</v>
      </c>
      <c r="D97" s="60"/>
      <c r="E97" s="60" t="str">
        <f>VLOOKUP(1600,Sprachindex!$A:$Z,Erhebungsbogen!$Y$20,FALSE)</f>
        <v>[Stk]</v>
      </c>
      <c r="F97" s="60" t="s">
        <v>21911</v>
      </c>
      <c r="G97" s="514" t="str">
        <f>VLOOKUP(1800,Sprachindex!$A:$Z,Erhebungsbogen!$Y$20,FALSE) &amp; " ( " &amp;Preisliste!H77 &amp; " " &amp; VLOOKUP(1744,Sprachindex!$A:$Z,Erhebungsbogen!$Y$20,FALSE) &amp; ")"</f>
        <v>Rundprofil 80 exkl. Dichtung, gebohrt und entgratet ( 15,198 kg/Stk)</v>
      </c>
      <c r="H97" s="514"/>
      <c r="I97" s="514"/>
      <c r="J97" s="514"/>
      <c r="K97" s="514"/>
      <c r="L97" s="514"/>
      <c r="M97" s="514"/>
      <c r="N97" s="514"/>
      <c r="O97" s="514"/>
      <c r="P97" s="514"/>
      <c r="Q97" s="514"/>
      <c r="R97" s="514"/>
      <c r="S97" s="514"/>
      <c r="T97" s="514"/>
      <c r="U97" s="352">
        <f>VLOOKUP(F97,Preisliste!C:F,4,FALSE)</f>
        <v>507.3</v>
      </c>
      <c r="V97" s="352">
        <f t="shared" si="16"/>
        <v>0</v>
      </c>
      <c r="W97" s="86"/>
      <c r="X97" s="86"/>
      <c r="Y97" s="86"/>
      <c r="Z97" s="86"/>
      <c r="AA97" s="86"/>
      <c r="AB97" s="86"/>
      <c r="AC97" s="86"/>
      <c r="AD97" s="86"/>
      <c r="AE97" s="86"/>
      <c r="AF97" s="86"/>
      <c r="AG97" s="55">
        <f t="shared" si="23"/>
        <v>0</v>
      </c>
      <c r="AH97" s="66">
        <f>IF(Kalk5!$AA$19=4,1,0)</f>
        <v>0</v>
      </c>
      <c r="AI97" s="55">
        <v>80</v>
      </c>
      <c r="AL97" s="66">
        <f>IF(Kalk5!$AA$20=1,Kalk5!$H$33-1,0)</f>
        <v>0</v>
      </c>
      <c r="AM97" s="55" t="s">
        <v>22119</v>
      </c>
      <c r="AO97" s="66">
        <f>IF(Kalk5!$O$20&gt;0,Kalk5!$O$20,0)</f>
        <v>0</v>
      </c>
      <c r="AP97" s="55" t="s">
        <v>22121</v>
      </c>
      <c r="AQ97" s="66">
        <f>IF(Kalk5!$O$21&gt;0,Kalk5!$O$21,0)</f>
        <v>0</v>
      </c>
      <c r="AR97" s="55" t="s">
        <v>22120</v>
      </c>
      <c r="AT97" s="55" t="s">
        <v>22079</v>
      </c>
      <c r="AU97" s="66">
        <f>IF(Kalk5!$AI$51=AV97,1,0)</f>
        <v>0</v>
      </c>
      <c r="AV97" s="55">
        <v>1350</v>
      </c>
      <c r="AX97" s="55" t="s">
        <v>22100</v>
      </c>
      <c r="AY97" s="66">
        <f>IF((AL97-AO97-AQ97)&lt;0,0,AL97-AO97-AQ97)*Kalk5!$H$37</f>
        <v>0</v>
      </c>
      <c r="AZ97" s="55" t="s">
        <v>20872</v>
      </c>
    </row>
    <row r="98" spans="2:52" ht="24.95" customHeight="1">
      <c r="B98" s="93">
        <f t="shared" si="22"/>
        <v>0</v>
      </c>
      <c r="C98" s="60">
        <v>1750</v>
      </c>
      <c r="D98" s="60"/>
      <c r="E98" s="60" t="str">
        <f>VLOOKUP(1600,Sprachindex!$A:$Z,Erhebungsbogen!$Y$20,FALSE)</f>
        <v>[Stk]</v>
      </c>
      <c r="F98" s="60" t="s">
        <v>21912</v>
      </c>
      <c r="G98" s="514" t="str">
        <f>VLOOKUP(1800,Sprachindex!$A:$Z,Erhebungsbogen!$Y$20,FALSE) &amp; " ( " &amp;Preisliste!H78 &amp; " " &amp; VLOOKUP(1744,Sprachindex!$A:$Z,Erhebungsbogen!$Y$20,FALSE) &amp; ")"</f>
        <v>Rundprofil 80 exkl. Dichtung, gebohrt und entgratet ( 19,702 kg/Stk)</v>
      </c>
      <c r="H98" s="514"/>
      <c r="I98" s="514"/>
      <c r="J98" s="514"/>
      <c r="K98" s="514"/>
      <c r="L98" s="514"/>
      <c r="M98" s="514"/>
      <c r="N98" s="514"/>
      <c r="O98" s="514"/>
      <c r="P98" s="514"/>
      <c r="Q98" s="514"/>
      <c r="R98" s="514"/>
      <c r="S98" s="514"/>
      <c r="T98" s="514"/>
      <c r="U98" s="352">
        <f>VLOOKUP(F98,Preisliste!C:F,4,FALSE)</f>
        <v>576.20000000000005</v>
      </c>
      <c r="V98" s="352">
        <f t="shared" si="16"/>
        <v>0</v>
      </c>
      <c r="W98" s="86"/>
      <c r="X98" s="86"/>
      <c r="Y98" s="86"/>
      <c r="Z98" s="86"/>
      <c r="AA98" s="86"/>
      <c r="AB98" s="86"/>
      <c r="AC98" s="86"/>
      <c r="AD98" s="86"/>
      <c r="AE98" s="86"/>
      <c r="AF98" s="86"/>
      <c r="AG98" s="55">
        <f t="shared" si="23"/>
        <v>0</v>
      </c>
      <c r="AH98" s="66">
        <f>IF(Kalk5!$AA$19=4,1,0)</f>
        <v>0</v>
      </c>
      <c r="AI98" s="55">
        <v>80</v>
      </c>
      <c r="AL98" s="66">
        <f>IF(Kalk5!$AA$20=1,Kalk5!$H$33-1,0)</f>
        <v>0</v>
      </c>
      <c r="AM98" s="55" t="s">
        <v>22119</v>
      </c>
      <c r="AO98" s="66">
        <f>IF(Kalk5!$O$20&gt;0,Kalk5!$O$20,0)</f>
        <v>0</v>
      </c>
      <c r="AP98" s="55" t="s">
        <v>22121</v>
      </c>
      <c r="AQ98" s="66">
        <f>IF(Kalk5!$O$21&gt;0,Kalk5!$O$21,0)</f>
        <v>0</v>
      </c>
      <c r="AR98" s="55" t="s">
        <v>22120</v>
      </c>
      <c r="AT98" s="55" t="s">
        <v>22079</v>
      </c>
      <c r="AU98" s="66">
        <f>IF(Kalk5!$AI$51=AV98,1,0)</f>
        <v>0</v>
      </c>
      <c r="AV98" s="55">
        <v>1750</v>
      </c>
      <c r="AX98" s="55" t="s">
        <v>22100</v>
      </c>
      <c r="AY98" s="66">
        <f>IF((AL98-AO98-AQ98)&lt;0,0,AL98-AO98-AQ98)*Kalk5!$H$37</f>
        <v>0</v>
      </c>
      <c r="AZ98" s="55" t="s">
        <v>20872</v>
      </c>
    </row>
    <row r="99" spans="2:52" ht="24.95" customHeight="1">
      <c r="B99" s="93">
        <f t="shared" si="22"/>
        <v>0</v>
      </c>
      <c r="C99" s="60">
        <v>2150</v>
      </c>
      <c r="D99" s="60"/>
      <c r="E99" s="60" t="str">
        <f>VLOOKUP(1600,Sprachindex!$A:$Z,Erhebungsbogen!$Y$20,FALSE)</f>
        <v>[Stk]</v>
      </c>
      <c r="F99" s="60" t="s">
        <v>21913</v>
      </c>
      <c r="G99" s="514" t="str">
        <f>VLOOKUP(1800,Sprachindex!$A:$Z,Erhebungsbogen!$Y$20,FALSE) &amp; " ( " &amp;Preisliste!H79 &amp; " " &amp; VLOOKUP(1744,Sprachindex!$A:$Z,Erhebungsbogen!$Y$20,FALSE) &amp; ")"</f>
        <v>Rundprofil 80 exkl. Dichtung, gebohrt und entgratet ( 24,205 kg/Stk)</v>
      </c>
      <c r="H99" s="514"/>
      <c r="I99" s="514"/>
      <c r="J99" s="514"/>
      <c r="K99" s="514"/>
      <c r="L99" s="514"/>
      <c r="M99" s="514"/>
      <c r="N99" s="514"/>
      <c r="O99" s="514"/>
      <c r="P99" s="514"/>
      <c r="Q99" s="514"/>
      <c r="R99" s="514"/>
      <c r="S99" s="514"/>
      <c r="T99" s="514"/>
      <c r="U99" s="352">
        <f>VLOOKUP(F99,Preisliste!C:F,4,FALSE)</f>
        <v>644.85</v>
      </c>
      <c r="V99" s="352">
        <f t="shared" si="16"/>
        <v>0</v>
      </c>
      <c r="W99" s="86"/>
      <c r="X99" s="86"/>
      <c r="Y99" s="86"/>
      <c r="Z99" s="86"/>
      <c r="AA99" s="86"/>
      <c r="AB99" s="86"/>
      <c r="AC99" s="86"/>
      <c r="AD99" s="86"/>
      <c r="AE99" s="86"/>
      <c r="AF99" s="86"/>
      <c r="AG99" s="55">
        <f t="shared" si="23"/>
        <v>0</v>
      </c>
      <c r="AH99" s="66">
        <f>IF(Kalk5!$AA$19=4,1,0)</f>
        <v>0</v>
      </c>
      <c r="AI99" s="55">
        <v>80</v>
      </c>
      <c r="AL99" s="66">
        <f>IF(Kalk5!$AA$20=1,Kalk5!$H$33-1,0)</f>
        <v>0</v>
      </c>
      <c r="AM99" s="55" t="s">
        <v>22119</v>
      </c>
      <c r="AO99" s="66">
        <f>IF(Kalk5!$O$20&gt;0,Kalk5!$O$20,0)</f>
        <v>0</v>
      </c>
      <c r="AP99" s="55" t="s">
        <v>22121</v>
      </c>
      <c r="AQ99" s="66">
        <f>IF(Kalk5!$O$21&gt;0,Kalk5!$O$21,0)</f>
        <v>0</v>
      </c>
      <c r="AR99" s="55" t="s">
        <v>22120</v>
      </c>
      <c r="AT99" s="55" t="s">
        <v>22079</v>
      </c>
      <c r="AU99" s="66">
        <f>IF(Kalk5!$AI$51=AV99,1,0)</f>
        <v>0</v>
      </c>
      <c r="AV99" s="55">
        <v>2150</v>
      </c>
      <c r="AX99" s="55" t="s">
        <v>22100</v>
      </c>
      <c r="AY99" s="66">
        <f>IF((AL99-AO99-AQ99)&lt;0,0,AL99-AO99-AQ99)*Kalk5!$H$37</f>
        <v>0</v>
      </c>
      <c r="AZ99" s="55" t="s">
        <v>20872</v>
      </c>
    </row>
    <row r="100" spans="2:52" ht="24.95" customHeight="1">
      <c r="B100" s="93">
        <f t="shared" si="22"/>
        <v>0</v>
      </c>
      <c r="C100" s="60">
        <f>IF(AG100=1,AW100,0)</f>
        <v>0</v>
      </c>
      <c r="D100" s="60"/>
      <c r="E100" s="60" t="str">
        <f>VLOOKUP(1600,Sprachindex!$A:$Z,Erhebungsbogen!$Y$20,FALSE)</f>
        <v>[Stk]</v>
      </c>
      <c r="F100" s="60" t="s">
        <v>21826</v>
      </c>
      <c r="G100" s="514" t="str">
        <f>VLOOKUP(1803,Sprachindex!$A:$Z,Erhebungsbogen!$Y$20,FALSE) &amp; " (" &amp; ROUNDUP(C100/1000*Preisliste!I80,2) &amp; " " &amp; VLOOKUP(1744,Sprachindex!$A:$Z,Erhebungsbogen!$Y$20,FALSE) &amp; ")"</f>
        <v>Rundprofil 80 Sonderlänge exkl. Dichtung, (Stangenware) (0 kg/Stk)</v>
      </c>
      <c r="H100" s="514"/>
      <c r="I100" s="514"/>
      <c r="J100" s="514"/>
      <c r="K100" s="514"/>
      <c r="L100" s="514"/>
      <c r="M100" s="514"/>
      <c r="N100" s="514"/>
      <c r="O100" s="514"/>
      <c r="P100" s="514"/>
      <c r="Q100" s="514"/>
      <c r="R100" s="514"/>
      <c r="S100" s="514"/>
      <c r="T100" s="514"/>
      <c r="U100" s="354">
        <f>VLOOKUP(F100,Preisliste!C:F,4,FALSE)</f>
        <v>0</v>
      </c>
      <c r="V100" s="352">
        <f t="shared" si="16"/>
        <v>0</v>
      </c>
      <c r="W100" s="86"/>
      <c r="X100" s="86"/>
      <c r="Y100" s="86"/>
      <c r="Z100" s="86"/>
      <c r="AA100" s="86"/>
      <c r="AB100" s="86"/>
      <c r="AC100" s="86"/>
      <c r="AD100" s="86"/>
      <c r="AE100" s="86"/>
      <c r="AF100" s="86"/>
      <c r="AG100" s="55">
        <f t="shared" si="23"/>
        <v>0</v>
      </c>
      <c r="AH100" s="66">
        <f>IF(Kalk5!$AA$19=4,1,0)</f>
        <v>0</v>
      </c>
      <c r="AI100" s="55">
        <v>80</v>
      </c>
      <c r="AL100" s="66">
        <f>IF(Kalk5!$AA$20=1,Kalk5!$H$33-1,0)</f>
        <v>0</v>
      </c>
      <c r="AM100" s="55" t="s">
        <v>22119</v>
      </c>
      <c r="AO100" s="66">
        <f>IF(Kalk5!$O$20&gt;0,Kalk5!$O$20,0)</f>
        <v>0</v>
      </c>
      <c r="AP100" s="55" t="s">
        <v>22121</v>
      </c>
      <c r="AQ100" s="66">
        <f>IF(Kalk5!$O$21&gt;0,Kalk5!$O$21,0)</f>
        <v>0</v>
      </c>
      <c r="AR100" s="55" t="s">
        <v>22120</v>
      </c>
      <c r="AT100" s="55" t="s">
        <v>22079</v>
      </c>
      <c r="AU100" s="66">
        <f>IF(Kalk5!$AH$52&gt;AV100,1,0)</f>
        <v>0</v>
      </c>
      <c r="AV100" s="55">
        <v>2150</v>
      </c>
      <c r="AW100" s="66">
        <f>Kalk5!$AH$52</f>
        <v>0</v>
      </c>
      <c r="AX100" s="55" t="s">
        <v>22100</v>
      </c>
      <c r="AY100" s="66">
        <f>IF((AL100-AO100-AQ100)&lt;0,0,AL100-AO100-AQ100)*Kalk5!$H$37</f>
        <v>0</v>
      </c>
      <c r="AZ100" s="55" t="s">
        <v>20872</v>
      </c>
    </row>
    <row r="101" spans="2:52" ht="24.95" customHeight="1">
      <c r="B101" s="93">
        <f>IF(AG101=1,AL101,0)</f>
        <v>0</v>
      </c>
      <c r="C101" s="60">
        <v>750</v>
      </c>
      <c r="D101" s="60"/>
      <c r="E101" s="60" t="str">
        <f>VLOOKUP(1600,Sprachindex!$A:$Z,Erhebungsbogen!$Y$20,FALSE)</f>
        <v>[Stk]</v>
      </c>
      <c r="F101" s="60" t="s">
        <v>21914</v>
      </c>
      <c r="G101" s="517" t="str">
        <f>VLOOKUP(1801,Sprachindex!$A:$Z,Erhebungsbogen!$Y$20,FALSE) &amp; " ( " &amp;Preisliste!H81 &amp; " " &amp; VLOOKUP(1744,Sprachindex!$A:$Z,Erhebungsbogen!$Y$20,FALSE) &amp; ")"</f>
        <v>Rundprofil 80 gr. exkl. Dichtung, gebohrt und entgratet ( 11,012 kg/Stk)</v>
      </c>
      <c r="H101" s="515"/>
      <c r="I101" s="515"/>
      <c r="J101" s="515"/>
      <c r="K101" s="515"/>
      <c r="L101" s="515"/>
      <c r="M101" s="515"/>
      <c r="N101" s="515"/>
      <c r="O101" s="515"/>
      <c r="P101" s="515"/>
      <c r="Q101" s="515"/>
      <c r="R101" s="515"/>
      <c r="S101" s="515"/>
      <c r="T101" s="516"/>
      <c r="U101" s="352">
        <f>VLOOKUP(F101,Preisliste!C:F,4,FALSE)</f>
        <v>538.25</v>
      </c>
      <c r="V101" s="352">
        <f t="shared" si="16"/>
        <v>0</v>
      </c>
      <c r="W101" s="86"/>
      <c r="X101" s="86"/>
      <c r="Y101" s="86"/>
      <c r="Z101" s="86"/>
      <c r="AA101" s="86"/>
      <c r="AB101" s="86"/>
      <c r="AC101" s="86"/>
      <c r="AD101" s="86"/>
      <c r="AE101" s="86"/>
      <c r="AF101" s="86"/>
      <c r="AG101" s="55">
        <f>IF(AND(AH101=1,AL101&gt;0,AU101=1),1,0)</f>
        <v>0</v>
      </c>
      <c r="AH101" s="66">
        <f>IF(Kalk5!$AA$19=4,1,0)</f>
        <v>0</v>
      </c>
      <c r="AI101" s="55">
        <v>80</v>
      </c>
      <c r="AK101" s="55" t="s">
        <v>22079</v>
      </c>
      <c r="AL101" s="66">
        <f>IF(AND(Kalk5!$AA$19=4,Kalk5!$AA$20=2),Kalk5!$H$33-1-AO101-AQ101,0)</f>
        <v>0</v>
      </c>
      <c r="AM101" s="55" t="s">
        <v>22086</v>
      </c>
      <c r="AO101" s="66">
        <f>IF(Kalk5!$O$20&gt;0,Kalk5!$O$20,0)</f>
        <v>0</v>
      </c>
      <c r="AP101" s="55" t="s">
        <v>22121</v>
      </c>
      <c r="AQ101" s="66">
        <f>IF(Kalk5!$O$21&gt;0,Kalk5!$O$21,0)</f>
        <v>0</v>
      </c>
      <c r="AR101" s="55" t="s">
        <v>22120</v>
      </c>
      <c r="AT101" s="55" t="s">
        <v>22079</v>
      </c>
      <c r="AU101" s="66">
        <f>IF(Kalk5!$AI$51=$AV$91,1,0)</f>
        <v>1</v>
      </c>
      <c r="AV101" s="55">
        <v>750</v>
      </c>
      <c r="AX101" s="55" t="s">
        <v>22100</v>
      </c>
      <c r="AY101" s="66">
        <f>AL101*Kalk5!$H$37</f>
        <v>0</v>
      </c>
      <c r="AZ101" s="55" t="s">
        <v>20872</v>
      </c>
    </row>
    <row r="102" spans="2:52" ht="24.95" customHeight="1">
      <c r="B102" s="93">
        <f>IF(AG102=1,AY102,0)</f>
        <v>0</v>
      </c>
      <c r="C102" s="60">
        <v>1350</v>
      </c>
      <c r="D102" s="60"/>
      <c r="E102" s="60" t="str">
        <f>VLOOKUP(1600,Sprachindex!$A:$Z,Erhebungsbogen!$Y$20,FALSE)</f>
        <v>[Stk]</v>
      </c>
      <c r="F102" s="60" t="s">
        <v>21915</v>
      </c>
      <c r="G102" s="517" t="str">
        <f>VLOOKUP(1801,Sprachindex!$A:$Z,Erhebungsbogen!$Y$20,FALSE) &amp; " ( " &amp;Preisliste!H82 &amp; " " &amp; VLOOKUP(1744,Sprachindex!$A:$Z,Erhebungsbogen!$Y$20,FALSE) &amp; ")"</f>
        <v>Rundprofil 80 gr. exkl. Dichtung, gebohrt und entgratet ( 19,821 kg/Stk)</v>
      </c>
      <c r="H102" s="515"/>
      <c r="I102" s="515"/>
      <c r="J102" s="515"/>
      <c r="K102" s="515"/>
      <c r="L102" s="515"/>
      <c r="M102" s="515"/>
      <c r="N102" s="515"/>
      <c r="O102" s="515"/>
      <c r="P102" s="515"/>
      <c r="Q102" s="515"/>
      <c r="R102" s="515"/>
      <c r="S102" s="515"/>
      <c r="T102" s="516"/>
      <c r="U102" s="352">
        <f>VLOOKUP(F102,Preisliste!C:F,4,FALSE)</f>
        <v>672.9</v>
      </c>
      <c r="V102" s="352">
        <f t="shared" si="16"/>
        <v>0</v>
      </c>
      <c r="W102" s="86"/>
      <c r="X102" s="86"/>
      <c r="Y102" s="86"/>
      <c r="Z102" s="86"/>
      <c r="AA102" s="86"/>
      <c r="AB102" s="86"/>
      <c r="AC102" s="86"/>
      <c r="AD102" s="86"/>
      <c r="AE102" s="86"/>
      <c r="AF102" s="86"/>
      <c r="AG102" s="55">
        <f t="shared" ref="AG102:AG105" si="24">IF(AND(AH102=1,AL102&gt;0,AU102=1),1,0)</f>
        <v>0</v>
      </c>
      <c r="AH102" s="66">
        <f>IF(Kalk5!$AA$19=4,1,0)</f>
        <v>0</v>
      </c>
      <c r="AI102" s="55">
        <v>80</v>
      </c>
      <c r="AK102" s="55" t="s">
        <v>22079</v>
      </c>
      <c r="AL102" s="66">
        <f>IF(AND(Kalk5!$AA$19=4,Kalk5!$AA$20=2),Kalk5!$H$33-1-AO102-AQ102,0)</f>
        <v>0</v>
      </c>
      <c r="AM102" s="55" t="s">
        <v>22086</v>
      </c>
      <c r="AO102" s="66">
        <f>IF(Kalk5!$O$20&gt;0,Kalk5!$O$20,0)</f>
        <v>0</v>
      </c>
      <c r="AP102" s="55" t="s">
        <v>22121</v>
      </c>
      <c r="AQ102" s="66">
        <f>IF(Kalk5!$O$21&gt;0,Kalk5!$O$21,0)</f>
        <v>0</v>
      </c>
      <c r="AR102" s="55" t="s">
        <v>22120</v>
      </c>
      <c r="AT102" s="55" t="s">
        <v>22079</v>
      </c>
      <c r="AU102" s="66">
        <f>IF(Kalk5!$AI$51=AV102,1,0)</f>
        <v>0</v>
      </c>
      <c r="AV102" s="55">
        <v>1350</v>
      </c>
      <c r="AX102" s="55" t="s">
        <v>22100</v>
      </c>
      <c r="AY102" s="66">
        <f>AL102*Kalk5!$H$37</f>
        <v>0</v>
      </c>
      <c r="AZ102" s="55" t="s">
        <v>20872</v>
      </c>
    </row>
    <row r="103" spans="2:52" ht="24.95" customHeight="1">
      <c r="B103" s="93">
        <f t="shared" ref="B103:B105" si="25">IF(AG103=1,AL103,0)</f>
        <v>0</v>
      </c>
      <c r="C103" s="60">
        <v>1750</v>
      </c>
      <c r="D103" s="60"/>
      <c r="E103" s="60" t="str">
        <f>VLOOKUP(1600,Sprachindex!$A:$Z,Erhebungsbogen!$Y$20,FALSE)</f>
        <v>[Stk]</v>
      </c>
      <c r="F103" s="60" t="s">
        <v>21916</v>
      </c>
      <c r="G103" s="517" t="str">
        <f>VLOOKUP(1801,Sprachindex!$A:$Z,Erhebungsbogen!$Y$20,FALSE) &amp; " ( " &amp;Preisliste!H83 &amp; " " &amp; VLOOKUP(1744,Sprachindex!$A:$Z,Erhebungsbogen!$Y$20,FALSE) &amp; ")"</f>
        <v>Rundprofil 80 gr. exkl. Dichtung, gebohrt und entgratet ( 25,694 kg/Stk)</v>
      </c>
      <c r="H103" s="515"/>
      <c r="I103" s="515"/>
      <c r="J103" s="515"/>
      <c r="K103" s="515"/>
      <c r="L103" s="515"/>
      <c r="M103" s="515"/>
      <c r="N103" s="515"/>
      <c r="O103" s="515"/>
      <c r="P103" s="515"/>
      <c r="Q103" s="515"/>
      <c r="R103" s="515"/>
      <c r="S103" s="515"/>
      <c r="T103" s="516"/>
      <c r="U103" s="352">
        <f>VLOOKUP(F103,Preisliste!C:F,4,FALSE)</f>
        <v>762.7</v>
      </c>
      <c r="V103" s="352">
        <f t="shared" si="16"/>
        <v>0</v>
      </c>
      <c r="W103" s="86"/>
      <c r="X103" s="86"/>
      <c r="Y103" s="86"/>
      <c r="Z103" s="86"/>
      <c r="AA103" s="86"/>
      <c r="AB103" s="86"/>
      <c r="AC103" s="86"/>
      <c r="AD103" s="86"/>
      <c r="AE103" s="86"/>
      <c r="AF103" s="86"/>
      <c r="AG103" s="55">
        <f t="shared" si="24"/>
        <v>0</v>
      </c>
      <c r="AH103" s="66">
        <f>IF(Kalk5!$AA$19=4,1,0)</f>
        <v>0</v>
      </c>
      <c r="AI103" s="55">
        <v>80</v>
      </c>
      <c r="AK103" s="55" t="s">
        <v>22079</v>
      </c>
      <c r="AL103" s="66">
        <f>IF(AND(Kalk5!$AA$19=4,Kalk5!$AA$20=2),Kalk5!$H$33-1-AO103-AQ103,0)</f>
        <v>0</v>
      </c>
      <c r="AM103" s="55" t="s">
        <v>22086</v>
      </c>
      <c r="AO103" s="66">
        <f>IF(Kalk5!$O$20&gt;0,Kalk5!$O$20,0)</f>
        <v>0</v>
      </c>
      <c r="AP103" s="55" t="s">
        <v>22121</v>
      </c>
      <c r="AQ103" s="66">
        <f>IF(Kalk5!$O$21&gt;0,Kalk5!$O$21,0)</f>
        <v>0</v>
      </c>
      <c r="AR103" s="55" t="s">
        <v>22120</v>
      </c>
      <c r="AT103" s="55" t="s">
        <v>22079</v>
      </c>
      <c r="AU103" s="66">
        <f>IF(Kalk5!$AI$51=AV103,1,0)</f>
        <v>0</v>
      </c>
      <c r="AV103" s="55">
        <v>1750</v>
      </c>
      <c r="AX103" s="55" t="s">
        <v>22100</v>
      </c>
      <c r="AY103" s="66">
        <f>AL103*Kalk5!$H$37</f>
        <v>0</v>
      </c>
      <c r="AZ103" s="55" t="s">
        <v>20872</v>
      </c>
    </row>
    <row r="104" spans="2:52" ht="24.95" customHeight="1">
      <c r="B104" s="93">
        <f t="shared" si="25"/>
        <v>0</v>
      </c>
      <c r="C104" s="60">
        <v>2150</v>
      </c>
      <c r="D104" s="60"/>
      <c r="E104" s="60" t="str">
        <f>VLOOKUP(1600,Sprachindex!$A:$Z,Erhebungsbogen!$Y$20,FALSE)</f>
        <v>[Stk]</v>
      </c>
      <c r="F104" s="60" t="s">
        <v>21917</v>
      </c>
      <c r="G104" s="517" t="str">
        <f>VLOOKUP(1801,Sprachindex!$A:$Z,Erhebungsbogen!$Y$20,FALSE) &amp; " ( " &amp;Preisliste!H84 &amp; " " &amp; VLOOKUP(1744,Sprachindex!$A:$Z,Erhebungsbogen!$Y$20,FALSE) &amp; ")"</f>
        <v>Rundprofil 80 gr. exkl. Dichtung, gebohrt und entgratet ( 31,566 kg/Stk)</v>
      </c>
      <c r="H104" s="515"/>
      <c r="I104" s="515"/>
      <c r="J104" s="515"/>
      <c r="K104" s="515"/>
      <c r="L104" s="515"/>
      <c r="M104" s="515"/>
      <c r="N104" s="515"/>
      <c r="O104" s="515"/>
      <c r="P104" s="515"/>
      <c r="Q104" s="515"/>
      <c r="R104" s="515"/>
      <c r="S104" s="515"/>
      <c r="T104" s="516"/>
      <c r="U104" s="352">
        <f>VLOOKUP(F104,Preisliste!C:F,4,FALSE)</f>
        <v>852.3</v>
      </c>
      <c r="V104" s="352">
        <f t="shared" si="16"/>
        <v>0</v>
      </c>
      <c r="W104" s="86"/>
      <c r="X104" s="86"/>
      <c r="Y104" s="86"/>
      <c r="Z104" s="86"/>
      <c r="AA104" s="86"/>
      <c r="AB104" s="86"/>
      <c r="AC104" s="86"/>
      <c r="AD104" s="86"/>
      <c r="AE104" s="86"/>
      <c r="AF104" s="86"/>
      <c r="AG104" s="55">
        <f t="shared" si="24"/>
        <v>0</v>
      </c>
      <c r="AH104" s="66">
        <f>IF(Kalk5!$AA$19=4,1,0)</f>
        <v>0</v>
      </c>
      <c r="AI104" s="55">
        <v>80</v>
      </c>
      <c r="AK104" s="55" t="s">
        <v>22079</v>
      </c>
      <c r="AL104" s="66">
        <f>IF(AND(Kalk5!$AA$19=4,Kalk5!$AA$20=2),Kalk5!$H$33-1-AO104-AQ104,0)</f>
        <v>0</v>
      </c>
      <c r="AM104" s="55" t="s">
        <v>22086</v>
      </c>
      <c r="AO104" s="66">
        <f>IF(Kalk5!$O$20&gt;0,Kalk5!$O$20,0)</f>
        <v>0</v>
      </c>
      <c r="AP104" s="55" t="s">
        <v>22121</v>
      </c>
      <c r="AQ104" s="66">
        <f>IF(Kalk5!$O$21&gt;0,Kalk5!$O$21,0)</f>
        <v>0</v>
      </c>
      <c r="AR104" s="55" t="s">
        <v>22120</v>
      </c>
      <c r="AT104" s="55" t="s">
        <v>22079</v>
      </c>
      <c r="AU104" s="66">
        <f>IF(Kalk5!$AI$51=AV104,1,0)</f>
        <v>0</v>
      </c>
      <c r="AV104" s="55">
        <v>2150</v>
      </c>
      <c r="AX104" s="55" t="s">
        <v>22100</v>
      </c>
      <c r="AY104" s="66">
        <f>AL104*Kalk5!$H$37</f>
        <v>0</v>
      </c>
      <c r="AZ104" s="55" t="s">
        <v>20872</v>
      </c>
    </row>
    <row r="105" spans="2:52" ht="24.95" customHeight="1">
      <c r="B105" s="93">
        <f t="shared" si="25"/>
        <v>0</v>
      </c>
      <c r="C105" s="60">
        <f>IF(AG105=1,AW105,0)</f>
        <v>0</v>
      </c>
      <c r="D105" s="60"/>
      <c r="E105" s="60" t="str">
        <f>VLOOKUP(1600,Sprachindex!$A:$Z,Erhebungsbogen!$Y$20,FALSE)</f>
        <v>[Stk]</v>
      </c>
      <c r="F105" s="60" t="s">
        <v>21826</v>
      </c>
      <c r="G105" s="514" t="str">
        <f>VLOOKUP(1802,Sprachindex!$A:$Z,Erhebungsbogen!$Y$20,FALSE) &amp; " (" &amp; ROUNDUP(C105/1000*Preisliste!I85,2) &amp; " " &amp; VLOOKUP(1744,Sprachindex!$A:$Z,Erhebungsbogen!$Y$20,FALSE) &amp; ")"</f>
        <v>Rundprofil 80 gr. Sonderlänge exkl. Dichtung, (Stangenware) (0 kg/Stk)</v>
      </c>
      <c r="H105" s="514"/>
      <c r="I105" s="514"/>
      <c r="J105" s="514"/>
      <c r="K105" s="514"/>
      <c r="L105" s="514"/>
      <c r="M105" s="514"/>
      <c r="N105" s="514"/>
      <c r="O105" s="514"/>
      <c r="P105" s="514"/>
      <c r="Q105" s="514"/>
      <c r="R105" s="514"/>
      <c r="S105" s="514"/>
      <c r="T105" s="514"/>
      <c r="U105" s="354">
        <f>VLOOKUP(F105,Preisliste!C:F,4,FALSE)</f>
        <v>0</v>
      </c>
      <c r="V105" s="352">
        <f t="shared" si="16"/>
        <v>0</v>
      </c>
      <c r="W105" s="86"/>
      <c r="X105" s="86"/>
      <c r="Y105" s="86"/>
      <c r="Z105" s="86"/>
      <c r="AA105" s="86"/>
      <c r="AB105" s="86"/>
      <c r="AC105" s="86"/>
      <c r="AD105" s="86"/>
      <c r="AE105" s="86"/>
      <c r="AF105" s="86"/>
      <c r="AG105" s="55">
        <f t="shared" si="24"/>
        <v>0</v>
      </c>
      <c r="AH105" s="66">
        <f>IF(Kalk5!$AA$19=4,1,0)</f>
        <v>0</v>
      </c>
      <c r="AI105" s="55">
        <v>80</v>
      </c>
      <c r="AK105" s="55" t="s">
        <v>22079</v>
      </c>
      <c r="AL105" s="66">
        <f>IF(AND(Kalk5!$AA$19=4,Kalk5!$AA$20=2),Kalk5!$H$33-1-AO105-AQ105,0)</f>
        <v>0</v>
      </c>
      <c r="AM105" s="55" t="s">
        <v>22086</v>
      </c>
      <c r="AO105" s="66">
        <f>IF(Kalk5!$O$20&gt;0,Kalk5!$O$20,0)</f>
        <v>0</v>
      </c>
      <c r="AP105" s="55" t="s">
        <v>22121</v>
      </c>
      <c r="AQ105" s="66">
        <f>IF(Kalk5!$O$21&gt;0,Kalk5!$O$21,0)</f>
        <v>0</v>
      </c>
      <c r="AR105" s="55" t="s">
        <v>22120</v>
      </c>
      <c r="AT105" s="55" t="s">
        <v>22079</v>
      </c>
      <c r="AU105" s="66">
        <f>IF(Kalk5!$AH$52&gt;AV105,1,0)</f>
        <v>0</v>
      </c>
      <c r="AV105" s="55">
        <v>2150</v>
      </c>
      <c r="AW105" s="66">
        <f>Kalk5!$AH$52</f>
        <v>0</v>
      </c>
      <c r="AX105" s="55" t="s">
        <v>22100</v>
      </c>
      <c r="AY105" s="66">
        <f>AL105*Kalk5!$H$37</f>
        <v>0</v>
      </c>
      <c r="AZ105" s="55" t="s">
        <v>20872</v>
      </c>
    </row>
    <row r="106" spans="2:52" ht="24.95" customHeight="1">
      <c r="B106" s="93">
        <f>IF(AG106=1,AY106,0)</f>
        <v>0</v>
      </c>
      <c r="C106" s="60">
        <v>750</v>
      </c>
      <c r="D106" s="60"/>
      <c r="E106" s="60" t="str">
        <f>VLOOKUP(1600,Sprachindex!$A:$Z,Erhebungsbogen!$Y$20,FALSE)</f>
        <v>[Stk]</v>
      </c>
      <c r="F106" s="60" t="s">
        <v>21918</v>
      </c>
      <c r="G106" s="514" t="str">
        <f>VLOOKUP(1796,Sprachindex!$A:$Z,Erhebungsbogen!$Y$20,FALSE) &amp; " ( " &amp;Preisliste!H86 &amp; " " &amp; VLOOKUP(1744,Sprachindex!$A:$Z,Erhebungsbogen!$Y$20,FALSE) &amp; ")"</f>
        <v>Rundprofil 50-90° exkl. Dichtung, gebohrt und entgratet ( 7,383 kg/Stk)</v>
      </c>
      <c r="H106" s="514"/>
      <c r="I106" s="514"/>
      <c r="J106" s="514"/>
      <c r="K106" s="514"/>
      <c r="L106" s="514"/>
      <c r="M106" s="514"/>
      <c r="N106" s="514"/>
      <c r="O106" s="514"/>
      <c r="P106" s="514"/>
      <c r="Q106" s="514"/>
      <c r="R106" s="514"/>
      <c r="S106" s="514"/>
      <c r="T106" s="514"/>
      <c r="U106" s="352">
        <f>VLOOKUP(F106,Preisliste!C:F,4,FALSE)</f>
        <v>478.05</v>
      </c>
      <c r="V106" s="352">
        <f t="shared" si="16"/>
        <v>0</v>
      </c>
      <c r="W106" s="86"/>
      <c r="X106" s="86"/>
      <c r="Y106" s="86"/>
      <c r="Z106" s="86"/>
      <c r="AA106" s="86"/>
      <c r="AB106" s="86"/>
      <c r="AC106" s="86"/>
      <c r="AD106" s="86"/>
      <c r="AE106" s="86"/>
      <c r="AF106" s="86"/>
      <c r="AG106" s="55">
        <f>IF(AND(AH106=1,AU106=1),1,0)</f>
        <v>1</v>
      </c>
      <c r="AH106" s="66">
        <f>IF(OR(Kalk5!$AA$19=2,Kalk5!$AA$19=3),1,0)</f>
        <v>1</v>
      </c>
      <c r="AI106" s="55">
        <v>50</v>
      </c>
      <c r="AK106" s="55" t="s">
        <v>22079</v>
      </c>
      <c r="AP106" s="66">
        <f>IF(Kalk5!$O$20&gt;0,Kalk5!$O$20,0)</f>
        <v>0</v>
      </c>
      <c r="AQ106" s="55" t="s">
        <v>22121</v>
      </c>
      <c r="AT106" s="55" t="s">
        <v>22079</v>
      </c>
      <c r="AU106" s="66">
        <f>IF(Kalk5!$AI$51=$AV$91,1,0)</f>
        <v>1</v>
      </c>
      <c r="AV106" s="55">
        <v>750</v>
      </c>
      <c r="AX106" s="55" t="s">
        <v>22100</v>
      </c>
      <c r="AY106" s="66">
        <f>AP106*Kalk5!$H$37</f>
        <v>0</v>
      </c>
      <c r="AZ106" s="55" t="s">
        <v>20872</v>
      </c>
    </row>
    <row r="107" spans="2:52" ht="24.95" customHeight="1">
      <c r="B107" s="93">
        <f t="shared" ref="B107:B161" si="26">IF(AG107=1,AY107,0)</f>
        <v>0</v>
      </c>
      <c r="C107" s="60">
        <v>1350</v>
      </c>
      <c r="D107" s="60"/>
      <c r="E107" s="60" t="str">
        <f>VLOOKUP(1600,Sprachindex!$A:$Z,Erhebungsbogen!$Y$20,FALSE)</f>
        <v>[Stk]</v>
      </c>
      <c r="F107" s="60" t="s">
        <v>21919</v>
      </c>
      <c r="G107" s="514" t="str">
        <f>VLOOKUP(1796,Sprachindex!$A:$Z,Erhebungsbogen!$Y$20,FALSE) &amp; " ( " &amp;Preisliste!H87 &amp; " " &amp; VLOOKUP(1744,Sprachindex!$A:$Z,Erhebungsbogen!$Y$20,FALSE) &amp; ")"</f>
        <v>Rundprofil 50-90° exkl. Dichtung, gebohrt und entgratet ( 13,289 kg/Stk)</v>
      </c>
      <c r="H107" s="514"/>
      <c r="I107" s="514"/>
      <c r="J107" s="514"/>
      <c r="K107" s="514"/>
      <c r="L107" s="514"/>
      <c r="M107" s="514"/>
      <c r="N107" s="514"/>
      <c r="O107" s="514"/>
      <c r="P107" s="514"/>
      <c r="Q107" s="514"/>
      <c r="R107" s="514"/>
      <c r="S107" s="514"/>
      <c r="T107" s="514"/>
      <c r="U107" s="352">
        <f>VLOOKUP(F107,Preisliste!C:F,4,FALSE)</f>
        <v>557.4</v>
      </c>
      <c r="V107" s="352">
        <f t="shared" si="16"/>
        <v>0</v>
      </c>
      <c r="W107" s="86"/>
      <c r="X107" s="86"/>
      <c r="Y107" s="86"/>
      <c r="Z107" s="86"/>
      <c r="AA107" s="86"/>
      <c r="AB107" s="86"/>
      <c r="AC107" s="86"/>
      <c r="AD107" s="86"/>
      <c r="AE107" s="86"/>
      <c r="AF107" s="86"/>
      <c r="AG107" s="55">
        <f>IF(AND(AH107=1,AP107&gt;0,AU107=1),1,0)</f>
        <v>0</v>
      </c>
      <c r="AH107" s="66">
        <f>IF(OR(Kalk5!$AA$19=2,Kalk5!$AA$19=3),1,0)</f>
        <v>1</v>
      </c>
      <c r="AI107" s="55">
        <v>50</v>
      </c>
      <c r="AK107" s="55" t="s">
        <v>22079</v>
      </c>
      <c r="AP107" s="66">
        <f>IF(Kalk5!$O$20&gt;0,Kalk5!$O$20,0)</f>
        <v>0</v>
      </c>
      <c r="AQ107" s="55" t="s">
        <v>22121</v>
      </c>
      <c r="AT107" s="55" t="s">
        <v>22079</v>
      </c>
      <c r="AU107" s="66">
        <f>IF(Kalk5!$AI$51=AV107,1,0)</f>
        <v>0</v>
      </c>
      <c r="AV107" s="55">
        <v>1350</v>
      </c>
      <c r="AX107" s="55" t="s">
        <v>22100</v>
      </c>
      <c r="AY107" s="66">
        <f>AP107*Kalk5!$H$37</f>
        <v>0</v>
      </c>
      <c r="AZ107" s="55" t="s">
        <v>20872</v>
      </c>
    </row>
    <row r="108" spans="2:52" ht="24.95" customHeight="1">
      <c r="B108" s="93">
        <f t="shared" si="26"/>
        <v>0</v>
      </c>
      <c r="C108" s="60">
        <v>1750</v>
      </c>
      <c r="D108" s="60"/>
      <c r="E108" s="60" t="str">
        <f>VLOOKUP(1600,Sprachindex!$A:$Z,Erhebungsbogen!$Y$20,FALSE)</f>
        <v>[Stk]</v>
      </c>
      <c r="F108" s="60" t="s">
        <v>21920</v>
      </c>
      <c r="G108" s="514" t="str">
        <f>VLOOKUP(1796,Sprachindex!$A:$Z,Erhebungsbogen!$Y$20,FALSE) &amp; " ( " &amp;Preisliste!H88 &amp; " " &amp; VLOOKUP(1744,Sprachindex!$A:$Z,Erhebungsbogen!$Y$20,FALSE) &amp; ")"</f>
        <v>Rundprofil 50-90° exkl. Dichtung, gebohrt und entgratet ( 17,227 kg/Stk)</v>
      </c>
      <c r="H108" s="514"/>
      <c r="I108" s="514"/>
      <c r="J108" s="514"/>
      <c r="K108" s="514"/>
      <c r="L108" s="514"/>
      <c r="M108" s="514"/>
      <c r="N108" s="514"/>
      <c r="O108" s="514"/>
      <c r="P108" s="514"/>
      <c r="Q108" s="514"/>
      <c r="R108" s="514"/>
      <c r="S108" s="514"/>
      <c r="T108" s="514"/>
      <c r="U108" s="352">
        <f>VLOOKUP(F108,Preisliste!C:F,4,FALSE)</f>
        <v>610.25</v>
      </c>
      <c r="V108" s="352">
        <f t="shared" si="16"/>
        <v>0</v>
      </c>
      <c r="W108" s="86"/>
      <c r="X108" s="86"/>
      <c r="Y108" s="86"/>
      <c r="Z108" s="86"/>
      <c r="AA108" s="86"/>
      <c r="AB108" s="86"/>
      <c r="AC108" s="86"/>
      <c r="AD108" s="86"/>
      <c r="AE108" s="86"/>
      <c r="AF108" s="86"/>
      <c r="AG108" s="55">
        <f t="shared" ref="AG108:AG160" si="27">IF(AND(AH108=1,AU108=1),1,0)</f>
        <v>0</v>
      </c>
      <c r="AH108" s="66">
        <f>IF(OR(Kalk5!$AA$19=2,Kalk5!$AA$19=3),1,0)</f>
        <v>1</v>
      </c>
      <c r="AI108" s="55">
        <v>50</v>
      </c>
      <c r="AK108" s="55" t="s">
        <v>22079</v>
      </c>
      <c r="AP108" s="66">
        <f>IF(Kalk5!$O$20&gt;0,Kalk5!$O$20,0)</f>
        <v>0</v>
      </c>
      <c r="AQ108" s="55" t="s">
        <v>22121</v>
      </c>
      <c r="AT108" s="55" t="s">
        <v>22079</v>
      </c>
      <c r="AU108" s="66">
        <f>IF(Kalk5!$AI$51=AV108,1,0)</f>
        <v>0</v>
      </c>
      <c r="AV108" s="55">
        <v>1750</v>
      </c>
      <c r="AX108" s="55" t="s">
        <v>22100</v>
      </c>
      <c r="AY108" s="66">
        <f>AP108*Kalk5!$H$37</f>
        <v>0</v>
      </c>
      <c r="AZ108" s="55" t="s">
        <v>20872</v>
      </c>
    </row>
    <row r="109" spans="2:52" ht="24.95" customHeight="1">
      <c r="B109" s="93">
        <f t="shared" si="26"/>
        <v>0</v>
      </c>
      <c r="C109" s="60">
        <v>2150</v>
      </c>
      <c r="D109" s="60"/>
      <c r="E109" s="60" t="str">
        <f>VLOOKUP(1600,Sprachindex!$A:$Z,Erhebungsbogen!$Y$20,FALSE)</f>
        <v>[Stk]</v>
      </c>
      <c r="F109" s="60" t="s">
        <v>21921</v>
      </c>
      <c r="G109" s="514" t="str">
        <f>VLOOKUP(1796,Sprachindex!$A:$Z,Erhebungsbogen!$Y$20,FALSE) &amp; " ( " &amp;Preisliste!H89 &amp; " " &amp; VLOOKUP(1744,Sprachindex!$A:$Z,Erhebungsbogen!$Y$20,FALSE) &amp; ")"</f>
        <v>Rundprofil 50-90° exkl. Dichtung, gebohrt und entgratet ( 21,165 kg/Stk)</v>
      </c>
      <c r="H109" s="514"/>
      <c r="I109" s="514"/>
      <c r="J109" s="514"/>
      <c r="K109" s="514"/>
      <c r="L109" s="514"/>
      <c r="M109" s="514"/>
      <c r="N109" s="514"/>
      <c r="O109" s="514"/>
      <c r="P109" s="514"/>
      <c r="Q109" s="514"/>
      <c r="R109" s="514"/>
      <c r="S109" s="514"/>
      <c r="T109" s="514"/>
      <c r="U109" s="352">
        <f>VLOOKUP(F109,Preisliste!C:F,4,FALSE)</f>
        <v>663.3</v>
      </c>
      <c r="V109" s="352">
        <f t="shared" si="16"/>
        <v>0</v>
      </c>
      <c r="W109" s="86"/>
      <c r="X109" s="86"/>
      <c r="Y109" s="86"/>
      <c r="Z109" s="86"/>
      <c r="AA109" s="86"/>
      <c r="AB109" s="86"/>
      <c r="AC109" s="86"/>
      <c r="AD109" s="86"/>
      <c r="AE109" s="86"/>
      <c r="AF109" s="86"/>
      <c r="AG109" s="55">
        <f t="shared" si="27"/>
        <v>0</v>
      </c>
      <c r="AH109" s="66">
        <f>IF(OR(Kalk5!$AA$19=2,Kalk5!$AA$19=3),1,0)</f>
        <v>1</v>
      </c>
      <c r="AI109" s="55">
        <v>50</v>
      </c>
      <c r="AK109" s="55" t="s">
        <v>22079</v>
      </c>
      <c r="AP109" s="66">
        <f>IF(Kalk5!$O$20&gt;0,Kalk5!$O$20,0)</f>
        <v>0</v>
      </c>
      <c r="AQ109" s="55" t="s">
        <v>22121</v>
      </c>
      <c r="AT109" s="55" t="s">
        <v>22079</v>
      </c>
      <c r="AU109" s="66">
        <f>IF(Kalk5!$AI$51=AV109,1,0)</f>
        <v>0</v>
      </c>
      <c r="AV109" s="55">
        <v>2150</v>
      </c>
      <c r="AX109" s="55" t="s">
        <v>22100</v>
      </c>
      <c r="AY109" s="66">
        <f>AP109*Kalk5!$H$37</f>
        <v>0</v>
      </c>
      <c r="AZ109" s="55" t="s">
        <v>20872</v>
      </c>
    </row>
    <row r="110" spans="2:52" ht="24.95" customHeight="1">
      <c r="B110" s="93">
        <f t="shared" si="26"/>
        <v>0</v>
      </c>
      <c r="C110" s="60">
        <f>IF(AG110=1,AW110,0)</f>
        <v>0</v>
      </c>
      <c r="D110" s="60"/>
      <c r="E110" s="60" t="str">
        <f>VLOOKUP(1600,Sprachindex!$A:$Z,Erhebungsbogen!$Y$20,FALSE)</f>
        <v>[Stk]</v>
      </c>
      <c r="F110" s="60" t="s">
        <v>21826</v>
      </c>
      <c r="G110" s="514" t="str">
        <f>VLOOKUP(1797,Sprachindex!$A:$Z,Erhebungsbogen!$Y$20,FALSE) &amp; " (" &amp; ROUNDUP(C110/1000*Preisliste!I90,2) &amp; " " &amp; VLOOKUP(1744,Sprachindex!$A:$Z,Erhebungsbogen!$Y$20,FALSE) &amp; ")"</f>
        <v>Rundprofil 50-90° Sonderlänge exkl. Dichtung, (Stangenware) (0 kg/Stk)</v>
      </c>
      <c r="H110" s="514"/>
      <c r="I110" s="514"/>
      <c r="J110" s="514"/>
      <c r="K110" s="514"/>
      <c r="L110" s="514"/>
      <c r="M110" s="514"/>
      <c r="N110" s="514"/>
      <c r="O110" s="514"/>
      <c r="P110" s="514"/>
      <c r="Q110" s="514"/>
      <c r="R110" s="514"/>
      <c r="S110" s="514"/>
      <c r="T110" s="514"/>
      <c r="U110" s="354">
        <f>VLOOKUP(F110,Preisliste!C:F,4,FALSE)</f>
        <v>0</v>
      </c>
      <c r="V110" s="352">
        <f t="shared" si="16"/>
        <v>0</v>
      </c>
      <c r="W110" s="86"/>
      <c r="X110" s="86"/>
      <c r="Y110" s="86"/>
      <c r="Z110" s="86"/>
      <c r="AA110" s="86"/>
      <c r="AB110" s="86"/>
      <c r="AC110" s="86"/>
      <c r="AD110" s="86"/>
      <c r="AE110" s="86"/>
      <c r="AF110" s="86"/>
      <c r="AG110" s="55">
        <f t="shared" si="27"/>
        <v>0</v>
      </c>
      <c r="AH110" s="66">
        <f>IF(OR(Kalk5!$AA$19=2,Kalk5!$AA$19=3),1,0)</f>
        <v>1</v>
      </c>
      <c r="AI110" s="55">
        <v>50</v>
      </c>
      <c r="AK110" s="55" t="s">
        <v>22079</v>
      </c>
      <c r="AP110" s="66">
        <f>IF(Kalk5!$O$20&gt;0,Kalk5!$O$20,0)</f>
        <v>0</v>
      </c>
      <c r="AQ110" s="55" t="s">
        <v>22121</v>
      </c>
      <c r="AT110" s="55" t="s">
        <v>22079</v>
      </c>
      <c r="AU110" s="66">
        <f>IF(Kalk5!$AH$52&gt;AV110,1,0)</f>
        <v>0</v>
      </c>
      <c r="AV110" s="55">
        <v>2150</v>
      </c>
      <c r="AW110" s="66">
        <f>Kalk5!$AH$52</f>
        <v>0</v>
      </c>
      <c r="AX110" s="55" t="s">
        <v>22100</v>
      </c>
      <c r="AY110" s="66">
        <f>AP110*Kalk5!$H$37</f>
        <v>0</v>
      </c>
      <c r="AZ110" s="55" t="s">
        <v>20872</v>
      </c>
    </row>
    <row r="111" spans="2:52" ht="24.95" customHeight="1">
      <c r="B111" s="93">
        <f t="shared" si="26"/>
        <v>0</v>
      </c>
      <c r="C111" s="60">
        <v>750</v>
      </c>
      <c r="D111" s="60"/>
      <c r="E111" s="60" t="str">
        <f>VLOOKUP(1600,Sprachindex!$A:$Z,Erhebungsbogen!$Y$20,FALSE)</f>
        <v>[Stk]</v>
      </c>
      <c r="F111" s="60" t="s">
        <v>21922</v>
      </c>
      <c r="G111" s="514" t="str">
        <f>VLOOKUP(1804,Sprachindex!$A:$Z,Erhebungsbogen!$Y$20,FALSE) &amp; " ( " &amp;Preisliste!H91 &amp; " " &amp; VLOOKUP(1744,Sprachindex!$A:$Z,Erhebungsbogen!$Y$20,FALSE) &amp; ")"</f>
        <v>Rundprofil 80-90° exkl. Dichtung, gebohrt und entgratet ( 11,264 kg/Stk)</v>
      </c>
      <c r="H111" s="514"/>
      <c r="I111" s="514"/>
      <c r="J111" s="514"/>
      <c r="K111" s="514"/>
      <c r="L111" s="514"/>
      <c r="M111" s="514"/>
      <c r="N111" s="514"/>
      <c r="O111" s="514"/>
      <c r="P111" s="514"/>
      <c r="Q111" s="514"/>
      <c r="R111" s="514"/>
      <c r="S111" s="514"/>
      <c r="T111" s="514"/>
      <c r="U111" s="352">
        <f>VLOOKUP(F111,Preisliste!C:F,4,FALSE)</f>
        <v>544.6</v>
      </c>
      <c r="V111" s="352">
        <f t="shared" si="16"/>
        <v>0</v>
      </c>
      <c r="W111" s="86"/>
      <c r="X111" s="86"/>
      <c r="Y111" s="86"/>
      <c r="Z111" s="86"/>
      <c r="AA111" s="86"/>
      <c r="AB111" s="86"/>
      <c r="AC111" s="86"/>
      <c r="AD111" s="86"/>
      <c r="AE111" s="86"/>
      <c r="AF111" s="86"/>
      <c r="AG111" s="55">
        <f t="shared" si="27"/>
        <v>0</v>
      </c>
      <c r="AH111" s="66">
        <f>IF(Kalk5!$AA$19=4,1,0)</f>
        <v>0</v>
      </c>
      <c r="AI111" s="55">
        <v>80</v>
      </c>
      <c r="AK111" s="55" t="s">
        <v>22079</v>
      </c>
      <c r="AP111" s="66">
        <f>IF(Kalk5!$O$20&gt;0,Kalk5!$O$20,0)</f>
        <v>0</v>
      </c>
      <c r="AQ111" s="55" t="s">
        <v>22121</v>
      </c>
      <c r="AT111" s="55" t="s">
        <v>22079</v>
      </c>
      <c r="AU111" s="66">
        <f>IF(Kalk5!$AI$51=$AV$91,1,0)</f>
        <v>1</v>
      </c>
      <c r="AV111" s="55">
        <v>750</v>
      </c>
      <c r="AX111" s="55" t="s">
        <v>22100</v>
      </c>
      <c r="AY111" s="66">
        <f>AP111*Kalk5!$H$37</f>
        <v>0</v>
      </c>
      <c r="AZ111" s="55" t="s">
        <v>20872</v>
      </c>
    </row>
    <row r="112" spans="2:52" ht="24.95" customHeight="1">
      <c r="B112" s="93">
        <f t="shared" si="26"/>
        <v>0</v>
      </c>
      <c r="C112" s="60">
        <v>1350</v>
      </c>
      <c r="D112" s="60"/>
      <c r="E112" s="60" t="str">
        <f>VLOOKUP(1600,Sprachindex!$A:$Z,Erhebungsbogen!$Y$20,FALSE)</f>
        <v>[Stk]</v>
      </c>
      <c r="F112" s="60" t="s">
        <v>21923</v>
      </c>
      <c r="G112" s="514" t="str">
        <f>VLOOKUP(1804,Sprachindex!$A:$Z,Erhebungsbogen!$Y$20,FALSE) &amp; " ( " &amp;Preisliste!H92 &amp; " " &amp; VLOOKUP(1744,Sprachindex!$A:$Z,Erhebungsbogen!$Y$20,FALSE) &amp; ")"</f>
        <v>Rundprofil 80-90° exkl. Dichtung, gebohrt und entgratet ( 20,276 kg/Stk)</v>
      </c>
      <c r="H112" s="514"/>
      <c r="I112" s="514"/>
      <c r="J112" s="514"/>
      <c r="K112" s="514"/>
      <c r="L112" s="514"/>
      <c r="M112" s="514"/>
      <c r="N112" s="514"/>
      <c r="O112" s="514"/>
      <c r="P112" s="514"/>
      <c r="Q112" s="514"/>
      <c r="R112" s="514"/>
      <c r="S112" s="514"/>
      <c r="T112" s="514"/>
      <c r="U112" s="352">
        <f>VLOOKUP(F112,Preisliste!C:F,4,FALSE)</f>
        <v>682.6</v>
      </c>
      <c r="V112" s="352">
        <f t="shared" si="16"/>
        <v>0</v>
      </c>
      <c r="W112" s="86"/>
      <c r="X112" s="86"/>
      <c r="Y112" s="86"/>
      <c r="Z112" s="86"/>
      <c r="AA112" s="86"/>
      <c r="AB112" s="86"/>
      <c r="AC112" s="86"/>
      <c r="AD112" s="86"/>
      <c r="AE112" s="86"/>
      <c r="AF112" s="86"/>
      <c r="AG112" s="55">
        <f t="shared" si="27"/>
        <v>0</v>
      </c>
      <c r="AH112" s="66">
        <f>IF(Kalk5!$AA$19=4,1,0)</f>
        <v>0</v>
      </c>
      <c r="AI112" s="55">
        <v>80</v>
      </c>
      <c r="AK112" s="55" t="s">
        <v>22079</v>
      </c>
      <c r="AP112" s="66">
        <f>IF(Kalk5!$O$20&gt;0,Kalk5!$O$20,0)</f>
        <v>0</v>
      </c>
      <c r="AQ112" s="55" t="s">
        <v>22121</v>
      </c>
      <c r="AT112" s="55" t="s">
        <v>22079</v>
      </c>
      <c r="AU112" s="66">
        <f>IF(Kalk5!$AI$51=AV112,1,0)</f>
        <v>0</v>
      </c>
      <c r="AV112" s="55">
        <v>1350</v>
      </c>
      <c r="AX112" s="55" t="s">
        <v>22100</v>
      </c>
      <c r="AY112" s="66">
        <f>AP112*Kalk5!$H$37</f>
        <v>0</v>
      </c>
      <c r="AZ112" s="55" t="s">
        <v>20872</v>
      </c>
    </row>
    <row r="113" spans="2:52" ht="24.95" customHeight="1">
      <c r="B113" s="93">
        <f t="shared" si="26"/>
        <v>0</v>
      </c>
      <c r="C113" s="60">
        <v>1750</v>
      </c>
      <c r="D113" s="60"/>
      <c r="E113" s="60" t="str">
        <f>VLOOKUP(1600,Sprachindex!$A:$Z,Erhebungsbogen!$Y$20,FALSE)</f>
        <v>[Stk]</v>
      </c>
      <c r="F113" s="60" t="s">
        <v>21924</v>
      </c>
      <c r="G113" s="514" t="str">
        <f>VLOOKUP(1804,Sprachindex!$A:$Z,Erhebungsbogen!$Y$20,FALSE) &amp; " ( " &amp;Preisliste!H93 &amp; " " &amp; VLOOKUP(1744,Sprachindex!$A:$Z,Erhebungsbogen!$Y$20,FALSE) &amp; ")"</f>
        <v>Rundprofil 80-90° exkl. Dichtung, gebohrt und entgratet ( 26,283 kg/Stk)</v>
      </c>
      <c r="H113" s="514"/>
      <c r="I113" s="514"/>
      <c r="J113" s="514"/>
      <c r="K113" s="514"/>
      <c r="L113" s="514"/>
      <c r="M113" s="514"/>
      <c r="N113" s="514"/>
      <c r="O113" s="514"/>
      <c r="P113" s="514"/>
      <c r="Q113" s="514"/>
      <c r="R113" s="514"/>
      <c r="S113" s="514"/>
      <c r="T113" s="514"/>
      <c r="U113" s="352">
        <f>VLOOKUP(F113,Preisliste!C:F,4,FALSE)</f>
        <v>774.8</v>
      </c>
      <c r="V113" s="352">
        <f t="shared" si="16"/>
        <v>0</v>
      </c>
      <c r="W113" s="86"/>
      <c r="X113" s="86"/>
      <c r="Y113" s="86"/>
      <c r="Z113" s="86"/>
      <c r="AA113" s="86"/>
      <c r="AB113" s="86"/>
      <c r="AC113" s="86"/>
      <c r="AD113" s="86"/>
      <c r="AE113" s="86"/>
      <c r="AF113" s="86"/>
      <c r="AG113" s="55">
        <f t="shared" si="27"/>
        <v>0</v>
      </c>
      <c r="AH113" s="66">
        <f>IF(Kalk5!$AA$19=4,1,0)</f>
        <v>0</v>
      </c>
      <c r="AI113" s="55">
        <v>80</v>
      </c>
      <c r="AK113" s="55" t="s">
        <v>22079</v>
      </c>
      <c r="AP113" s="66">
        <f>IF(Kalk5!$O$20&gt;0,Kalk5!$O$20,0)</f>
        <v>0</v>
      </c>
      <c r="AQ113" s="55" t="s">
        <v>22121</v>
      </c>
      <c r="AT113" s="55" t="s">
        <v>22079</v>
      </c>
      <c r="AU113" s="66">
        <f>IF(Kalk5!$AI$51=AV113,1,0)</f>
        <v>0</v>
      </c>
      <c r="AV113" s="55">
        <v>1750</v>
      </c>
      <c r="AX113" s="55" t="s">
        <v>22100</v>
      </c>
      <c r="AY113" s="66">
        <f>AP113*Kalk5!$H$37</f>
        <v>0</v>
      </c>
      <c r="AZ113" s="55" t="s">
        <v>20872</v>
      </c>
    </row>
    <row r="114" spans="2:52" ht="24.95" customHeight="1">
      <c r="B114" s="93">
        <f t="shared" si="26"/>
        <v>0</v>
      </c>
      <c r="C114" s="60">
        <v>2150</v>
      </c>
      <c r="D114" s="60"/>
      <c r="E114" s="60" t="str">
        <f>VLOOKUP(1600,Sprachindex!$A:$Z,Erhebungsbogen!$Y$20,FALSE)</f>
        <v>[Stk]</v>
      </c>
      <c r="F114" s="60" t="s">
        <v>21925</v>
      </c>
      <c r="G114" s="514" t="str">
        <f>VLOOKUP(1804,Sprachindex!$A:$Z,Erhebungsbogen!$Y$20,FALSE) &amp; " ( " &amp;Preisliste!H94 &amp; " " &amp; VLOOKUP(1744,Sprachindex!$A:$Z,Erhebungsbogen!$Y$20,FALSE) &amp; ")"</f>
        <v>Rundprofil 80-90° exkl. Dichtung, gebohrt und entgratet ( 32,291 kg/Stk)</v>
      </c>
      <c r="H114" s="514"/>
      <c r="I114" s="514"/>
      <c r="J114" s="514"/>
      <c r="K114" s="514"/>
      <c r="L114" s="514"/>
      <c r="M114" s="514"/>
      <c r="N114" s="514"/>
      <c r="O114" s="514"/>
      <c r="P114" s="514"/>
      <c r="Q114" s="514"/>
      <c r="R114" s="514"/>
      <c r="S114" s="514"/>
      <c r="T114" s="514"/>
      <c r="U114" s="352">
        <f>VLOOKUP(F114,Preisliste!C:F,4,FALSE)</f>
        <v>866.75</v>
      </c>
      <c r="V114" s="352">
        <f t="shared" si="16"/>
        <v>0</v>
      </c>
      <c r="W114" s="86"/>
      <c r="X114" s="86"/>
      <c r="Y114" s="86"/>
      <c r="Z114" s="86"/>
      <c r="AA114" s="86"/>
      <c r="AB114" s="86"/>
      <c r="AC114" s="86"/>
      <c r="AD114" s="86"/>
      <c r="AE114" s="86"/>
      <c r="AF114" s="86"/>
      <c r="AG114" s="55">
        <f t="shared" si="27"/>
        <v>0</v>
      </c>
      <c r="AH114" s="66">
        <f>IF(Kalk5!$AA$19=4,1,0)</f>
        <v>0</v>
      </c>
      <c r="AI114" s="55">
        <v>80</v>
      </c>
      <c r="AK114" s="55" t="s">
        <v>22079</v>
      </c>
      <c r="AP114" s="66">
        <f>IF(Kalk5!$O$20&gt;0,Kalk5!$O$20,0)</f>
        <v>0</v>
      </c>
      <c r="AQ114" s="55" t="s">
        <v>22121</v>
      </c>
      <c r="AT114" s="55" t="s">
        <v>22079</v>
      </c>
      <c r="AU114" s="66">
        <f>IF(Kalk5!$AI$51=AV114,1,0)</f>
        <v>0</v>
      </c>
      <c r="AV114" s="55">
        <v>2150</v>
      </c>
      <c r="AX114" s="55" t="s">
        <v>22100</v>
      </c>
      <c r="AY114" s="66">
        <f>AP114*Kalk5!$H$37</f>
        <v>0</v>
      </c>
      <c r="AZ114" s="55" t="s">
        <v>20872</v>
      </c>
    </row>
    <row r="115" spans="2:52" ht="24.95" customHeight="1">
      <c r="B115" s="93">
        <f t="shared" si="26"/>
        <v>0</v>
      </c>
      <c r="C115" s="60">
        <f>IF(AG115=1,AW115,0)</f>
        <v>0</v>
      </c>
      <c r="D115" s="60"/>
      <c r="E115" s="60" t="str">
        <f>VLOOKUP(1600,Sprachindex!$A:$Z,Erhebungsbogen!$Y$20,FALSE)</f>
        <v>[Stk]</v>
      </c>
      <c r="F115" s="60" t="s">
        <v>21826</v>
      </c>
      <c r="G115" s="514" t="str">
        <f>VLOOKUP(1805,Sprachindex!$A:$Z,Erhebungsbogen!$Y$20,FALSE) &amp; " (" &amp; ROUNDUP(C115/1000*Preisliste!I95,2) &amp; " " &amp; VLOOKUP(1744,Sprachindex!$A:$Z,Erhebungsbogen!$Y$20,FALSE) &amp; ")"</f>
        <v>Rundprofil 80-90° Sonderlänge exkl. Dichtung, (Stangenware) (0 kg/Stk)</v>
      </c>
      <c r="H115" s="514"/>
      <c r="I115" s="514"/>
      <c r="J115" s="514"/>
      <c r="K115" s="514"/>
      <c r="L115" s="514"/>
      <c r="M115" s="514"/>
      <c r="N115" s="514"/>
      <c r="O115" s="514"/>
      <c r="P115" s="514"/>
      <c r="Q115" s="514"/>
      <c r="R115" s="514"/>
      <c r="S115" s="514"/>
      <c r="T115" s="514"/>
      <c r="U115" s="354">
        <f>VLOOKUP(F115,Preisliste!C:F,4,FALSE)</f>
        <v>0</v>
      </c>
      <c r="V115" s="352">
        <f t="shared" si="16"/>
        <v>0</v>
      </c>
      <c r="W115" s="86"/>
      <c r="X115" s="86"/>
      <c r="Y115" s="86"/>
      <c r="Z115" s="86"/>
      <c r="AA115" s="86"/>
      <c r="AB115" s="86"/>
      <c r="AC115" s="86"/>
      <c r="AD115" s="86"/>
      <c r="AE115" s="86"/>
      <c r="AF115" s="86"/>
      <c r="AG115" s="55">
        <f t="shared" si="27"/>
        <v>0</v>
      </c>
      <c r="AH115" s="66">
        <f>IF(Kalk5!$AA$19=4,1,0)</f>
        <v>0</v>
      </c>
      <c r="AI115" s="55">
        <v>80</v>
      </c>
      <c r="AK115" s="55" t="s">
        <v>22079</v>
      </c>
      <c r="AP115" s="66">
        <f>IF(Kalk5!$O$20&gt;0,Kalk5!$O$20,0)</f>
        <v>0</v>
      </c>
      <c r="AQ115" s="55" t="s">
        <v>22121</v>
      </c>
      <c r="AT115" s="55" t="s">
        <v>22079</v>
      </c>
      <c r="AU115" s="66">
        <f>IF(Kalk5!$AH$52&gt;AV115,1,0)</f>
        <v>0</v>
      </c>
      <c r="AV115" s="55">
        <v>2150</v>
      </c>
      <c r="AW115" s="66">
        <f>Kalk5!$AH$52</f>
        <v>0</v>
      </c>
      <c r="AX115" s="55" t="s">
        <v>22100</v>
      </c>
      <c r="AY115" s="66">
        <f>AP115*Kalk5!$H$37</f>
        <v>0</v>
      </c>
      <c r="AZ115" s="55" t="s">
        <v>20872</v>
      </c>
    </row>
    <row r="116" spans="2:52" ht="24.95" customHeight="1">
      <c r="B116" s="93">
        <f t="shared" si="26"/>
        <v>0</v>
      </c>
      <c r="C116" s="60">
        <v>750</v>
      </c>
      <c r="D116" s="60"/>
      <c r="E116" s="60" t="str">
        <f>VLOOKUP(1600,Sprachindex!$A:$Z,Erhebungsbogen!$Y$20,FALSE)</f>
        <v>[Stk]</v>
      </c>
      <c r="F116" s="60" t="s">
        <v>21926</v>
      </c>
      <c r="G116" s="514" t="str">
        <f>VLOOKUP(2129,Sprachindex!$A:$Z,Erhebungsbogen!$Y$20,FALSE) &amp; " ( " &amp;Preisliste!H96 &amp; " " &amp; VLOOKUP(1744,Sprachindex!$A:$Z,Erhebungsbogen!$Y$20,FALSE) &amp; ")"</f>
        <v>Rundprofil 50-Vario 15° exkl. Dichtung, gebohrt und entgratet ( 15,651 kg/Stk)</v>
      </c>
      <c r="H116" s="514"/>
      <c r="I116" s="514"/>
      <c r="J116" s="514"/>
      <c r="K116" s="514"/>
      <c r="L116" s="514"/>
      <c r="M116" s="514"/>
      <c r="N116" s="514"/>
      <c r="O116" s="514"/>
      <c r="P116" s="514"/>
      <c r="Q116" s="514"/>
      <c r="R116" s="514"/>
      <c r="S116" s="514"/>
      <c r="T116" s="514"/>
      <c r="U116" s="352">
        <f>VLOOKUP(F116,Preisliste!C:F,4,FALSE)</f>
        <v>805.1</v>
      </c>
      <c r="V116" s="352">
        <f t="shared" si="16"/>
        <v>0</v>
      </c>
      <c r="W116" s="86"/>
      <c r="X116" s="86"/>
      <c r="Y116" s="86"/>
      <c r="Z116" s="86"/>
      <c r="AA116" s="86"/>
      <c r="AB116" s="86"/>
      <c r="AC116" s="86"/>
      <c r="AD116" s="86"/>
      <c r="AE116" s="86"/>
      <c r="AF116" s="86"/>
      <c r="AG116" s="55">
        <f t="shared" si="27"/>
        <v>1</v>
      </c>
      <c r="AH116" s="66">
        <f>IF(OR(Kalk5!$AA$19=2,Kalk5!$AA$19=3),1,0)</f>
        <v>1</v>
      </c>
      <c r="AI116" s="55">
        <v>50</v>
      </c>
      <c r="AK116" s="55" t="s">
        <v>22079</v>
      </c>
      <c r="AP116" s="66">
        <f>IF(AND(Kalk5!$O$21&gt;0,Kalk5!$N$21="15°"),Kalk5!$O$21,0)</f>
        <v>0</v>
      </c>
      <c r="AQ116" s="55" t="s">
        <v>22087</v>
      </c>
      <c r="AT116" s="55" t="s">
        <v>22079</v>
      </c>
      <c r="AU116" s="66">
        <f>IF(Kalk5!$AI$51=$AV$91,1,0)</f>
        <v>1</v>
      </c>
      <c r="AV116" s="55">
        <v>750</v>
      </c>
      <c r="AX116" s="55" t="s">
        <v>22100</v>
      </c>
      <c r="AY116" s="66">
        <f>AP116*Kalk5!$H$37</f>
        <v>0</v>
      </c>
      <c r="AZ116" s="55" t="s">
        <v>20872</v>
      </c>
    </row>
    <row r="117" spans="2:52" ht="24.95" customHeight="1">
      <c r="B117" s="93">
        <f t="shared" si="26"/>
        <v>0</v>
      </c>
      <c r="C117" s="60">
        <v>1350</v>
      </c>
      <c r="D117" s="60"/>
      <c r="E117" s="60" t="str">
        <f>VLOOKUP(1600,Sprachindex!$A:$Z,Erhebungsbogen!$Y$20,FALSE)</f>
        <v>[Stk]</v>
      </c>
      <c r="F117" s="60" t="s">
        <v>21927</v>
      </c>
      <c r="G117" s="514" t="str">
        <f>VLOOKUP(2129,Sprachindex!$A:$Z,Erhebungsbogen!$Y$20,FALSE) &amp; " ( " &amp;Preisliste!H97 &amp; " " &amp; VLOOKUP(1744,Sprachindex!$A:$Z,Erhebungsbogen!$Y$20,FALSE) &amp; ")"</f>
        <v>Rundprofil 50-Vario 15° exkl. Dichtung, gebohrt und entgratet ( 28,172 kg/Stk)</v>
      </c>
      <c r="H117" s="514"/>
      <c r="I117" s="514"/>
      <c r="J117" s="514"/>
      <c r="K117" s="514"/>
      <c r="L117" s="514"/>
      <c r="M117" s="514"/>
      <c r="N117" s="514"/>
      <c r="O117" s="514"/>
      <c r="P117" s="514"/>
      <c r="Q117" s="514"/>
      <c r="R117" s="514"/>
      <c r="S117" s="514"/>
      <c r="T117" s="514"/>
      <c r="U117" s="352">
        <f>VLOOKUP(F117,Preisliste!C:F,4,FALSE)</f>
        <v>988.05</v>
      </c>
      <c r="V117" s="352">
        <f t="shared" si="16"/>
        <v>0</v>
      </c>
      <c r="W117" s="86"/>
      <c r="X117" s="86"/>
      <c r="Y117" s="86"/>
      <c r="Z117" s="86"/>
      <c r="AA117" s="86"/>
      <c r="AB117" s="86"/>
      <c r="AC117" s="86"/>
      <c r="AD117" s="86"/>
      <c r="AE117" s="86"/>
      <c r="AF117" s="86"/>
      <c r="AG117" s="55">
        <f>IF(AND(AH117=1,AP117&gt;0,AU117=1),1,0)</f>
        <v>0</v>
      </c>
      <c r="AH117" s="66">
        <f>IF(OR(Kalk5!$AA$19=2,Kalk5!$AA$19=3),1,0)</f>
        <v>1</v>
      </c>
      <c r="AI117" s="55">
        <v>50</v>
      </c>
      <c r="AK117" s="55" t="s">
        <v>22079</v>
      </c>
      <c r="AP117" s="66">
        <f>IF(AND(Kalk5!$O$21&gt;0,Kalk5!$N$21="15°"),Kalk5!$O$21,0)</f>
        <v>0</v>
      </c>
      <c r="AQ117" s="55" t="s">
        <v>22087</v>
      </c>
      <c r="AT117" s="55" t="s">
        <v>22079</v>
      </c>
      <c r="AU117" s="66">
        <f>IF(Kalk5!$AI$51=AV117,1,0)</f>
        <v>0</v>
      </c>
      <c r="AV117" s="55">
        <v>1350</v>
      </c>
      <c r="AX117" s="55" t="s">
        <v>22100</v>
      </c>
      <c r="AY117" s="66">
        <f>AP117*Kalk5!$H$37</f>
        <v>0</v>
      </c>
      <c r="AZ117" s="55" t="s">
        <v>20872</v>
      </c>
    </row>
    <row r="118" spans="2:52" ht="24.95" customHeight="1">
      <c r="B118" s="93">
        <f t="shared" si="26"/>
        <v>0</v>
      </c>
      <c r="C118" s="60">
        <v>1750</v>
      </c>
      <c r="D118" s="60"/>
      <c r="E118" s="60" t="str">
        <f>VLOOKUP(1600,Sprachindex!$A:$Z,Erhebungsbogen!$Y$20,FALSE)</f>
        <v>[Stk]</v>
      </c>
      <c r="F118" s="60" t="s">
        <v>21928</v>
      </c>
      <c r="G118" s="514" t="str">
        <f>VLOOKUP(2129,Sprachindex!$A:$Z,Erhebungsbogen!$Y$20,FALSE) &amp; " ( " &amp;Preisliste!H98 &amp; " " &amp; VLOOKUP(1744,Sprachindex!$A:$Z,Erhebungsbogen!$Y$20,FALSE) &amp; ")"</f>
        <v>Rundprofil 50-Vario 15° exkl. Dichtung, gebohrt und entgratet ( 36,519 kg/Stk)</v>
      </c>
      <c r="H118" s="514"/>
      <c r="I118" s="514"/>
      <c r="J118" s="514"/>
      <c r="K118" s="514"/>
      <c r="L118" s="514"/>
      <c r="M118" s="514"/>
      <c r="N118" s="514"/>
      <c r="O118" s="514"/>
      <c r="P118" s="514"/>
      <c r="Q118" s="514"/>
      <c r="R118" s="514"/>
      <c r="S118" s="514"/>
      <c r="T118" s="514"/>
      <c r="U118" s="352">
        <f>VLOOKUP(F118,Preisliste!C:F,4,FALSE)</f>
        <v>1110.0999999999999</v>
      </c>
      <c r="V118" s="352">
        <f t="shared" si="16"/>
        <v>0</v>
      </c>
      <c r="W118" s="86"/>
      <c r="X118" s="86"/>
      <c r="Y118" s="86"/>
      <c r="Z118" s="86"/>
      <c r="AA118" s="86"/>
      <c r="AB118" s="86"/>
      <c r="AC118" s="86"/>
      <c r="AD118" s="86"/>
      <c r="AE118" s="86"/>
      <c r="AF118" s="86"/>
      <c r="AG118" s="55">
        <f t="shared" si="27"/>
        <v>0</v>
      </c>
      <c r="AH118" s="66">
        <f>IF(OR(Kalk5!$AA$19=2,Kalk5!$AA$19=3),1,0)</f>
        <v>1</v>
      </c>
      <c r="AI118" s="55">
        <v>50</v>
      </c>
      <c r="AK118" s="55" t="s">
        <v>22079</v>
      </c>
      <c r="AP118" s="66">
        <f>IF(AND(Kalk5!$O$21&gt;0,Kalk5!$N$21="15°"),Kalk5!$O$21,0)</f>
        <v>0</v>
      </c>
      <c r="AQ118" s="55" t="s">
        <v>22087</v>
      </c>
      <c r="AT118" s="55" t="s">
        <v>22079</v>
      </c>
      <c r="AU118" s="66">
        <f>IF(Kalk5!$AI$51=AV118,1,0)</f>
        <v>0</v>
      </c>
      <c r="AV118" s="55">
        <v>1750</v>
      </c>
      <c r="AX118" s="55" t="s">
        <v>22100</v>
      </c>
      <c r="AY118" s="66">
        <f>AP118*Kalk5!$H$37</f>
        <v>0</v>
      </c>
      <c r="AZ118" s="55" t="s">
        <v>20872</v>
      </c>
    </row>
    <row r="119" spans="2:52" ht="24.95" customHeight="1">
      <c r="B119" s="93">
        <f t="shared" si="26"/>
        <v>0</v>
      </c>
      <c r="C119" s="60">
        <v>2150</v>
      </c>
      <c r="D119" s="60"/>
      <c r="E119" s="60" t="str">
        <f>VLOOKUP(1600,Sprachindex!$A:$Z,Erhebungsbogen!$Y$20,FALSE)</f>
        <v>[Stk]</v>
      </c>
      <c r="F119" s="60" t="s">
        <v>21929</v>
      </c>
      <c r="G119" s="514" t="str">
        <f>VLOOKUP(2129,Sprachindex!$A:$Z,Erhebungsbogen!$Y$20,FALSE) &amp; " ( " &amp;Preisliste!H99 &amp; " " &amp; VLOOKUP(1744,Sprachindex!$A:$Z,Erhebungsbogen!$Y$20,FALSE) &amp; ")"</f>
        <v>Rundprofil 50-Vario 15° exkl. Dichtung, gebohrt und entgratet ( 44,866 kg/Stk)</v>
      </c>
      <c r="H119" s="514"/>
      <c r="I119" s="514"/>
      <c r="J119" s="514"/>
      <c r="K119" s="514"/>
      <c r="L119" s="514"/>
      <c r="M119" s="514"/>
      <c r="N119" s="514"/>
      <c r="O119" s="514"/>
      <c r="P119" s="514"/>
      <c r="Q119" s="514"/>
      <c r="R119" s="514"/>
      <c r="S119" s="514"/>
      <c r="T119" s="514"/>
      <c r="U119" s="352">
        <f>VLOOKUP(F119,Preisliste!C:F,4,FALSE)</f>
        <v>1231.95</v>
      </c>
      <c r="V119" s="352">
        <f t="shared" si="16"/>
        <v>0</v>
      </c>
      <c r="W119" s="86"/>
      <c r="X119" s="86"/>
      <c r="Y119" s="86"/>
      <c r="Z119" s="86"/>
      <c r="AA119" s="86"/>
      <c r="AB119" s="86"/>
      <c r="AC119" s="86"/>
      <c r="AD119" s="86"/>
      <c r="AE119" s="86"/>
      <c r="AF119" s="86"/>
      <c r="AG119" s="55">
        <f t="shared" si="27"/>
        <v>0</v>
      </c>
      <c r="AH119" s="66">
        <f>IF(OR(Kalk5!$AA$19=2,Kalk5!$AA$19=3),1,0)</f>
        <v>1</v>
      </c>
      <c r="AI119" s="55">
        <v>50</v>
      </c>
      <c r="AK119" s="55" t="s">
        <v>22079</v>
      </c>
      <c r="AP119" s="66">
        <f>IF(AND(Kalk5!$O$21&gt;0,Kalk5!$N$21="15°"),Kalk5!$O$21,0)</f>
        <v>0</v>
      </c>
      <c r="AQ119" s="55" t="s">
        <v>22087</v>
      </c>
      <c r="AT119" s="55" t="s">
        <v>22079</v>
      </c>
      <c r="AU119" s="66">
        <f>IF(Kalk5!$AI$51=AV119,1,0)</f>
        <v>0</v>
      </c>
      <c r="AV119" s="55">
        <v>2150</v>
      </c>
      <c r="AX119" s="55" t="s">
        <v>22100</v>
      </c>
      <c r="AY119" s="66">
        <f>AP119*Kalk5!$H$37</f>
        <v>0</v>
      </c>
      <c r="AZ119" s="55" t="s">
        <v>20872</v>
      </c>
    </row>
    <row r="120" spans="2:52" ht="24.95" customHeight="1">
      <c r="B120" s="93">
        <f t="shared" si="26"/>
        <v>0</v>
      </c>
      <c r="C120" s="60">
        <f>IF(AG120=1,AW120,0)</f>
        <v>0</v>
      </c>
      <c r="D120" s="60"/>
      <c r="E120" s="60" t="str">
        <f>VLOOKUP(1600,Sprachindex!$A:$Z,Erhebungsbogen!$Y$20,FALSE)</f>
        <v>[Stk]</v>
      </c>
      <c r="F120" s="60" t="s">
        <v>21826</v>
      </c>
      <c r="G120" s="514" t="str">
        <f>VLOOKUP(2130,Sprachindex!$A:$Z,Erhebungsbogen!$Y$20,FALSE) &amp; " (" &amp; ROUNDUP(C120/1000*Preisliste!I100,2) &amp; " " &amp; VLOOKUP(1744,Sprachindex!$A:$Z,Erhebungsbogen!$Y$20,FALSE) &amp; ")"</f>
        <v>Rundprofil 50-Vario 15° Sonderlänge exkl. Dichtung, (Stangenware) (0 kg/Stk)</v>
      </c>
      <c r="H120" s="514"/>
      <c r="I120" s="514"/>
      <c r="J120" s="514"/>
      <c r="K120" s="514"/>
      <c r="L120" s="514"/>
      <c r="M120" s="514"/>
      <c r="N120" s="514"/>
      <c r="O120" s="514"/>
      <c r="P120" s="514"/>
      <c r="Q120" s="514"/>
      <c r="R120" s="514"/>
      <c r="S120" s="514"/>
      <c r="T120" s="514"/>
      <c r="U120" s="354">
        <f>VLOOKUP(F120,Preisliste!C:F,4,FALSE)</f>
        <v>0</v>
      </c>
      <c r="V120" s="352">
        <f t="shared" si="16"/>
        <v>0</v>
      </c>
      <c r="W120" s="86"/>
      <c r="X120" s="86"/>
      <c r="Y120" s="86"/>
      <c r="Z120" s="86"/>
      <c r="AA120" s="86"/>
      <c r="AB120" s="86"/>
      <c r="AC120" s="86"/>
      <c r="AD120" s="86"/>
      <c r="AE120" s="86"/>
      <c r="AF120" s="86"/>
      <c r="AG120" s="55">
        <f t="shared" si="27"/>
        <v>0</v>
      </c>
      <c r="AH120" s="66">
        <f>IF(OR(Kalk5!$AA$19=2,Kalk5!$AA$19=3),1,0)</f>
        <v>1</v>
      </c>
      <c r="AI120" s="55">
        <v>50</v>
      </c>
      <c r="AK120" s="55" t="s">
        <v>22079</v>
      </c>
      <c r="AP120" s="66">
        <f>IF(AND(Kalk5!$O$21&gt;0,Kalk5!$N$21="15°"),Kalk5!$O$21,0)</f>
        <v>0</v>
      </c>
      <c r="AQ120" s="55" t="s">
        <v>22087</v>
      </c>
      <c r="AT120" s="55" t="s">
        <v>22079</v>
      </c>
      <c r="AU120" s="66">
        <f>IF(Kalk5!$AH$52&gt;AV120,1,0)</f>
        <v>0</v>
      </c>
      <c r="AV120" s="55">
        <v>2150</v>
      </c>
      <c r="AW120" s="66">
        <f>Kalk5!$AH$52</f>
        <v>0</v>
      </c>
      <c r="AX120" s="55" t="s">
        <v>22100</v>
      </c>
      <c r="AY120" s="66">
        <f>AP120*Kalk5!$H$37</f>
        <v>0</v>
      </c>
      <c r="AZ120" s="55" t="s">
        <v>20872</v>
      </c>
    </row>
    <row r="121" spans="2:52" ht="24.95" customHeight="1">
      <c r="B121" s="93">
        <f t="shared" si="26"/>
        <v>0</v>
      </c>
      <c r="C121" s="60">
        <v>750</v>
      </c>
      <c r="D121" s="60"/>
      <c r="E121" s="60" t="str">
        <f>VLOOKUP(1600,Sprachindex!$A:$Z,Erhebungsbogen!$Y$20,FALSE)</f>
        <v>[Stk]</v>
      </c>
      <c r="F121" s="60" t="s">
        <v>22001</v>
      </c>
      <c r="G121" s="514" t="str">
        <f>VLOOKUP(2131,Sprachindex!$A:$Z,Erhebungsbogen!$Y$20,FALSE) &amp; " ( " &amp;Preisliste!H101 &amp; " " &amp; VLOOKUP(1744,Sprachindex!$A:$Z,Erhebungsbogen!$Y$20,FALSE) &amp; ")"</f>
        <v>Rundprofil 50-Vario 30° exkl. Dichtung, gebohrt und entgratet ( 16,516 kg/Stk)</v>
      </c>
      <c r="H121" s="514"/>
      <c r="I121" s="514"/>
      <c r="J121" s="514"/>
      <c r="K121" s="514"/>
      <c r="L121" s="514"/>
      <c r="M121" s="514"/>
      <c r="N121" s="514"/>
      <c r="O121" s="514"/>
      <c r="P121" s="514"/>
      <c r="Q121" s="514"/>
      <c r="R121" s="514"/>
      <c r="S121" s="514"/>
      <c r="T121" s="514"/>
      <c r="U121" s="352">
        <f>VLOOKUP(F121,Preisliste!C:F,4,FALSE)</f>
        <v>805.1</v>
      </c>
      <c r="V121" s="352">
        <f t="shared" si="16"/>
        <v>0</v>
      </c>
      <c r="W121" s="86"/>
      <c r="X121" s="86"/>
      <c r="Y121" s="86"/>
      <c r="Z121" s="86"/>
      <c r="AA121" s="86"/>
      <c r="AB121" s="86"/>
      <c r="AC121" s="86"/>
      <c r="AD121" s="86"/>
      <c r="AE121" s="86"/>
      <c r="AF121" s="86"/>
      <c r="AG121" s="55">
        <f t="shared" si="27"/>
        <v>1</v>
      </c>
      <c r="AH121" s="66">
        <f>IF(OR(Kalk5!$AA$19=2,Kalk5!$AA$19=3),1,0)</f>
        <v>1</v>
      </c>
      <c r="AI121" s="55">
        <v>50</v>
      </c>
      <c r="AK121" s="55" t="s">
        <v>22079</v>
      </c>
      <c r="AP121" s="66">
        <f>IF(AND(Kalk5!$O$21&gt;0,Kalk5!$N$21="30°"),Kalk5!$O$21,0)</f>
        <v>0</v>
      </c>
      <c r="AQ121" s="55" t="s">
        <v>22088</v>
      </c>
      <c r="AT121" s="55" t="s">
        <v>22079</v>
      </c>
      <c r="AU121" s="66">
        <f>IF(Kalk5!$AI$51=$AV$91,1,0)</f>
        <v>1</v>
      </c>
      <c r="AV121" s="55">
        <v>750</v>
      </c>
      <c r="AX121" s="55" t="s">
        <v>22100</v>
      </c>
      <c r="AY121" s="66">
        <f>AP121*Kalk5!$H$37</f>
        <v>0</v>
      </c>
      <c r="AZ121" s="55" t="s">
        <v>20872</v>
      </c>
    </row>
    <row r="122" spans="2:52" ht="24.95" customHeight="1">
      <c r="B122" s="93">
        <f t="shared" si="26"/>
        <v>0</v>
      </c>
      <c r="C122" s="60">
        <v>1350</v>
      </c>
      <c r="D122" s="60"/>
      <c r="E122" s="60" t="str">
        <f>VLOOKUP(1600,Sprachindex!$A:$Z,Erhebungsbogen!$Y$20,FALSE)</f>
        <v>[Stk]</v>
      </c>
      <c r="F122" s="60" t="s">
        <v>22002</v>
      </c>
      <c r="G122" s="514" t="str">
        <f>VLOOKUP(2131,Sprachindex!$A:$Z,Erhebungsbogen!$Y$20,FALSE) &amp; " ( " &amp;Preisliste!H102 &amp; " " &amp; VLOOKUP(1744,Sprachindex!$A:$Z,Erhebungsbogen!$Y$20,FALSE) &amp; ")"</f>
        <v>Rundprofil 50-Vario 30° exkl. Dichtung, gebohrt und entgratet ( 29,728 kg/Stk)</v>
      </c>
      <c r="H122" s="514"/>
      <c r="I122" s="514"/>
      <c r="J122" s="514"/>
      <c r="K122" s="514"/>
      <c r="L122" s="514"/>
      <c r="M122" s="514"/>
      <c r="N122" s="514"/>
      <c r="O122" s="514"/>
      <c r="P122" s="514"/>
      <c r="Q122" s="514"/>
      <c r="R122" s="514"/>
      <c r="S122" s="514"/>
      <c r="T122" s="514"/>
      <c r="U122" s="352">
        <f>VLOOKUP(F122,Preisliste!C:F,4,FALSE)</f>
        <v>988.05</v>
      </c>
      <c r="V122" s="352">
        <f t="shared" si="16"/>
        <v>0</v>
      </c>
      <c r="W122" s="86"/>
      <c r="X122" s="86"/>
      <c r="Y122" s="86"/>
      <c r="Z122" s="86"/>
      <c r="AA122" s="86"/>
      <c r="AB122" s="86"/>
      <c r="AC122" s="86"/>
      <c r="AD122" s="86"/>
      <c r="AE122" s="86"/>
      <c r="AF122" s="86"/>
      <c r="AG122" s="55">
        <f>IF(AND(AH122=1,AP122&gt;0,AU122=1),1,0)</f>
        <v>0</v>
      </c>
      <c r="AH122" s="66">
        <f>IF(OR(Kalk5!$AA$19=2,Kalk5!$AA$19=3),1,0)</f>
        <v>1</v>
      </c>
      <c r="AI122" s="55">
        <v>50</v>
      </c>
      <c r="AK122" s="55" t="s">
        <v>22079</v>
      </c>
      <c r="AP122" s="66">
        <f>IF(AND(Kalk5!$O$21&gt;0,Kalk5!$N$21="30°"),Kalk5!$O$21,0)</f>
        <v>0</v>
      </c>
      <c r="AQ122" s="55" t="s">
        <v>22088</v>
      </c>
      <c r="AT122" s="55" t="s">
        <v>22079</v>
      </c>
      <c r="AU122" s="66">
        <f>IF(Kalk5!$AI$51=AV122,1,0)</f>
        <v>0</v>
      </c>
      <c r="AV122" s="55">
        <v>1350</v>
      </c>
      <c r="AX122" s="55" t="s">
        <v>22100</v>
      </c>
      <c r="AY122" s="66">
        <f>AP122*Kalk5!$H$37</f>
        <v>0</v>
      </c>
      <c r="AZ122" s="55" t="s">
        <v>20872</v>
      </c>
    </row>
    <row r="123" spans="2:52" ht="24.95" customHeight="1">
      <c r="B123" s="93">
        <f t="shared" si="26"/>
        <v>0</v>
      </c>
      <c r="C123" s="60">
        <v>1750</v>
      </c>
      <c r="D123" s="60"/>
      <c r="E123" s="60" t="str">
        <f>VLOOKUP(1600,Sprachindex!$A:$Z,Erhebungsbogen!$Y$20,FALSE)</f>
        <v>[Stk]</v>
      </c>
      <c r="F123" s="60" t="s">
        <v>22003</v>
      </c>
      <c r="G123" s="514" t="str">
        <f>VLOOKUP(2131,Sprachindex!$A:$Z,Erhebungsbogen!$Y$20,FALSE) &amp; " ( " &amp;Preisliste!H103 &amp; " " &amp; VLOOKUP(1744,Sprachindex!$A:$Z,Erhebungsbogen!$Y$20,FALSE) &amp; ")"</f>
        <v>Rundprofil 50-Vario 30° exkl. Dichtung, gebohrt und entgratet ( 38,537 kg/Stk)</v>
      </c>
      <c r="H123" s="514"/>
      <c r="I123" s="514"/>
      <c r="J123" s="514"/>
      <c r="K123" s="514"/>
      <c r="L123" s="514"/>
      <c r="M123" s="514"/>
      <c r="N123" s="514"/>
      <c r="O123" s="514"/>
      <c r="P123" s="514"/>
      <c r="Q123" s="514"/>
      <c r="R123" s="514"/>
      <c r="S123" s="514"/>
      <c r="T123" s="514"/>
      <c r="U123" s="352">
        <f>VLOOKUP(F123,Preisliste!C:F,4,FALSE)</f>
        <v>1110.0999999999999</v>
      </c>
      <c r="V123" s="352">
        <f t="shared" si="16"/>
        <v>0</v>
      </c>
      <c r="W123" s="86"/>
      <c r="X123" s="86"/>
      <c r="Y123" s="86"/>
      <c r="Z123" s="86"/>
      <c r="AA123" s="86"/>
      <c r="AB123" s="86"/>
      <c r="AC123" s="86"/>
      <c r="AD123" s="86"/>
      <c r="AE123" s="86"/>
      <c r="AF123" s="86"/>
      <c r="AG123" s="55">
        <f t="shared" si="27"/>
        <v>0</v>
      </c>
      <c r="AH123" s="66">
        <f>IF(OR(Kalk5!$AA$19=2,Kalk5!$AA$19=3),1,0)</f>
        <v>1</v>
      </c>
      <c r="AI123" s="55">
        <v>50</v>
      </c>
      <c r="AK123" s="55" t="s">
        <v>22079</v>
      </c>
      <c r="AP123" s="66">
        <f>IF(AND(Kalk5!$O$21&gt;0,Kalk5!$N$21="30°"),Kalk5!$O$21,0)</f>
        <v>0</v>
      </c>
      <c r="AQ123" s="55" t="s">
        <v>22088</v>
      </c>
      <c r="AT123" s="55" t="s">
        <v>22079</v>
      </c>
      <c r="AU123" s="66">
        <f>IF(Kalk5!$AI$51=AV123,1,0)</f>
        <v>0</v>
      </c>
      <c r="AV123" s="55">
        <v>1750</v>
      </c>
      <c r="AX123" s="55" t="s">
        <v>22100</v>
      </c>
      <c r="AY123" s="66">
        <f>AP123*Kalk5!$H$37</f>
        <v>0</v>
      </c>
      <c r="AZ123" s="55" t="s">
        <v>20872</v>
      </c>
    </row>
    <row r="124" spans="2:52" ht="24.95" customHeight="1">
      <c r="B124" s="93">
        <f t="shared" si="26"/>
        <v>0</v>
      </c>
      <c r="C124" s="60">
        <v>2150</v>
      </c>
      <c r="D124" s="60"/>
      <c r="E124" s="60" t="str">
        <f>VLOOKUP(1600,Sprachindex!$A:$Z,Erhebungsbogen!$Y$20,FALSE)</f>
        <v>[Stk]</v>
      </c>
      <c r="F124" s="60" t="s">
        <v>22004</v>
      </c>
      <c r="G124" s="514" t="str">
        <f>VLOOKUP(2131,Sprachindex!$A:$Z,Erhebungsbogen!$Y$20,FALSE) &amp; " ( " &amp;Preisliste!H104 &amp; " " &amp; VLOOKUP(1744,Sprachindex!$A:$Z,Erhebungsbogen!$Y$20,FALSE) &amp; ")"</f>
        <v>Rundprofil 50-Vario 30° exkl. Dichtung, gebohrt und entgratet ( 47,345 kg/Stk)</v>
      </c>
      <c r="H124" s="514"/>
      <c r="I124" s="514"/>
      <c r="J124" s="514"/>
      <c r="K124" s="514"/>
      <c r="L124" s="514"/>
      <c r="M124" s="514"/>
      <c r="N124" s="514"/>
      <c r="O124" s="514"/>
      <c r="P124" s="514"/>
      <c r="Q124" s="514"/>
      <c r="R124" s="514"/>
      <c r="S124" s="514"/>
      <c r="T124" s="514"/>
      <c r="U124" s="352">
        <f>VLOOKUP(F124,Preisliste!C:F,4,FALSE)</f>
        <v>1231.95</v>
      </c>
      <c r="V124" s="352">
        <f t="shared" si="16"/>
        <v>0</v>
      </c>
      <c r="W124" s="86"/>
      <c r="X124" s="86"/>
      <c r="Y124" s="86"/>
      <c r="Z124" s="86"/>
      <c r="AA124" s="86"/>
      <c r="AB124" s="86"/>
      <c r="AC124" s="86"/>
      <c r="AD124" s="86"/>
      <c r="AE124" s="86"/>
      <c r="AF124" s="86"/>
      <c r="AG124" s="55">
        <f t="shared" si="27"/>
        <v>0</v>
      </c>
      <c r="AH124" s="66">
        <f>IF(OR(Kalk5!$AA$19=2,Kalk5!$AA$19=3),1,0)</f>
        <v>1</v>
      </c>
      <c r="AI124" s="55">
        <v>50</v>
      </c>
      <c r="AK124" s="55" t="s">
        <v>22079</v>
      </c>
      <c r="AP124" s="66">
        <f>IF(AND(Kalk5!$O$21&gt;0,Kalk5!$N$21="30°"),Kalk5!$O$21,0)</f>
        <v>0</v>
      </c>
      <c r="AQ124" s="55" t="s">
        <v>22088</v>
      </c>
      <c r="AT124" s="55" t="s">
        <v>22079</v>
      </c>
      <c r="AU124" s="66">
        <f>IF(Kalk5!$AI$51=AV124,1,0)</f>
        <v>0</v>
      </c>
      <c r="AV124" s="55">
        <v>2150</v>
      </c>
      <c r="AX124" s="55" t="s">
        <v>22100</v>
      </c>
      <c r="AY124" s="66">
        <f>AP124*Kalk5!$H$37</f>
        <v>0</v>
      </c>
      <c r="AZ124" s="55" t="s">
        <v>20872</v>
      </c>
    </row>
    <row r="125" spans="2:52" ht="24.95" customHeight="1">
      <c r="B125" s="93">
        <f t="shared" si="26"/>
        <v>0</v>
      </c>
      <c r="C125" s="60">
        <f>IF(AG125=1,AW125,0)</f>
        <v>0</v>
      </c>
      <c r="D125" s="60"/>
      <c r="E125" s="60" t="str">
        <f>VLOOKUP(1600,Sprachindex!$A:$Z,Erhebungsbogen!$Y$20,FALSE)</f>
        <v>[Stk]</v>
      </c>
      <c r="F125" s="60" t="s">
        <v>21826</v>
      </c>
      <c r="G125" s="514" t="str">
        <f>VLOOKUP(2132,Sprachindex!$A:$Z,Erhebungsbogen!$Y$20,FALSE) &amp; " (" &amp; ROUNDUP(C125/1000*Preisliste!I105,2) &amp; " " &amp; VLOOKUP(1744,Sprachindex!$A:$Z,Erhebungsbogen!$Y$20,FALSE) &amp; ")"</f>
        <v>Rundprofil 50-Vario 30° Sonderlänge exkl. Dichtung, (Stangenware) (0 kg/Stk)</v>
      </c>
      <c r="H125" s="514"/>
      <c r="I125" s="514"/>
      <c r="J125" s="514"/>
      <c r="K125" s="514"/>
      <c r="L125" s="514"/>
      <c r="M125" s="514"/>
      <c r="N125" s="514"/>
      <c r="O125" s="514"/>
      <c r="P125" s="514"/>
      <c r="Q125" s="514"/>
      <c r="R125" s="514"/>
      <c r="S125" s="514"/>
      <c r="T125" s="514"/>
      <c r="U125" s="354">
        <f>VLOOKUP(F125,Preisliste!C:F,4,FALSE)</f>
        <v>0</v>
      </c>
      <c r="V125" s="352">
        <f t="shared" si="16"/>
        <v>0</v>
      </c>
      <c r="W125" s="86"/>
      <c r="X125" s="86"/>
      <c r="Y125" s="86"/>
      <c r="Z125" s="86"/>
      <c r="AA125" s="86"/>
      <c r="AB125" s="86"/>
      <c r="AC125" s="86"/>
      <c r="AD125" s="86"/>
      <c r="AE125" s="86"/>
      <c r="AF125" s="86"/>
      <c r="AG125" s="55">
        <f t="shared" si="27"/>
        <v>0</v>
      </c>
      <c r="AH125" s="66">
        <f>IF(OR(Kalk5!$AA$19=2,Kalk5!$AA$19=3),1,0)</f>
        <v>1</v>
      </c>
      <c r="AI125" s="55">
        <v>50</v>
      </c>
      <c r="AK125" s="55" t="s">
        <v>22079</v>
      </c>
      <c r="AP125" s="66">
        <f>IF(AND(Kalk5!$O$21&gt;0,Kalk5!$N$21="30°"),Kalk5!$O$21,0)</f>
        <v>0</v>
      </c>
      <c r="AQ125" s="55" t="s">
        <v>22088</v>
      </c>
      <c r="AT125" s="55" t="s">
        <v>22079</v>
      </c>
      <c r="AU125" s="66">
        <f>IF(Kalk5!$AH$52&gt;AV125,1,0)</f>
        <v>0</v>
      </c>
      <c r="AV125" s="55">
        <v>2150</v>
      </c>
      <c r="AW125" s="66">
        <f>Kalk5!$AH$52</f>
        <v>0</v>
      </c>
      <c r="AX125" s="55" t="s">
        <v>22100</v>
      </c>
      <c r="AY125" s="66">
        <f>AP125*Kalk5!$H$37</f>
        <v>0</v>
      </c>
      <c r="AZ125" s="55" t="s">
        <v>20872</v>
      </c>
    </row>
    <row r="126" spans="2:52" ht="24.95" customHeight="1">
      <c r="B126" s="93">
        <f t="shared" si="26"/>
        <v>0</v>
      </c>
      <c r="C126" s="60">
        <v>750</v>
      </c>
      <c r="D126" s="60"/>
      <c r="E126" s="60" t="str">
        <f>VLOOKUP(1600,Sprachindex!$A:$Z,Erhebungsbogen!$Y$20,FALSE)</f>
        <v>[Stk]</v>
      </c>
      <c r="F126" s="60" t="s">
        <v>22005</v>
      </c>
      <c r="G126" s="514" t="str">
        <f>VLOOKUP(2133,Sprachindex!$A:$Z,Erhebungsbogen!$Y$20,FALSE) &amp; " ( " &amp;Preisliste!H106 &amp; " " &amp; VLOOKUP(1744,Sprachindex!$A:$Z,Erhebungsbogen!$Y$20,FALSE) &amp; ")"</f>
        <v>Rundprofil 50-Vario 45° exkl. Dichtung, gebohrt und entgratet ( 16,506 kg/Stk)</v>
      </c>
      <c r="H126" s="514"/>
      <c r="I126" s="514"/>
      <c r="J126" s="514"/>
      <c r="K126" s="514"/>
      <c r="L126" s="514"/>
      <c r="M126" s="514"/>
      <c r="N126" s="514"/>
      <c r="O126" s="514"/>
      <c r="P126" s="514"/>
      <c r="Q126" s="514"/>
      <c r="R126" s="514"/>
      <c r="S126" s="514"/>
      <c r="T126" s="514"/>
      <c r="U126" s="352">
        <f>VLOOKUP(F126,Preisliste!C:F,4,FALSE)</f>
        <v>805.1</v>
      </c>
      <c r="V126" s="352">
        <f t="shared" si="16"/>
        <v>0</v>
      </c>
      <c r="W126" s="86"/>
      <c r="X126" s="86"/>
      <c r="Y126" s="86"/>
      <c r="Z126" s="86"/>
      <c r="AA126" s="86"/>
      <c r="AB126" s="86"/>
      <c r="AC126" s="86"/>
      <c r="AD126" s="86"/>
      <c r="AE126" s="86"/>
      <c r="AF126" s="86"/>
      <c r="AG126" s="55">
        <f t="shared" si="27"/>
        <v>1</v>
      </c>
      <c r="AH126" s="66">
        <f>IF(OR(Kalk5!$AA$19=2,Kalk5!$AA$19=3),1,0)</f>
        <v>1</v>
      </c>
      <c r="AI126" s="55">
        <v>50</v>
      </c>
      <c r="AK126" s="55" t="s">
        <v>22079</v>
      </c>
      <c r="AP126" s="66">
        <f>IF(AND(Kalk5!$O$21&gt;0,Kalk5!$N$21="45°"),Kalk5!$O$21,0)</f>
        <v>0</v>
      </c>
      <c r="AQ126" s="55" t="s">
        <v>22089</v>
      </c>
      <c r="AT126" s="55" t="s">
        <v>22079</v>
      </c>
      <c r="AU126" s="66">
        <f>IF(Kalk5!$AI$51=$AV$91,1,0)</f>
        <v>1</v>
      </c>
      <c r="AV126" s="55">
        <v>750</v>
      </c>
      <c r="AX126" s="55" t="s">
        <v>22100</v>
      </c>
      <c r="AY126" s="66">
        <f>AP126*Kalk5!$H$37</f>
        <v>0</v>
      </c>
      <c r="AZ126" s="55" t="s">
        <v>20872</v>
      </c>
    </row>
    <row r="127" spans="2:52" ht="24.95" customHeight="1">
      <c r="B127" s="93">
        <f t="shared" si="26"/>
        <v>0</v>
      </c>
      <c r="C127" s="60">
        <v>1350</v>
      </c>
      <c r="D127" s="60"/>
      <c r="E127" s="60" t="str">
        <f>VLOOKUP(1600,Sprachindex!$A:$Z,Erhebungsbogen!$Y$20,FALSE)</f>
        <v>[Stk]</v>
      </c>
      <c r="F127" s="60" t="s">
        <v>22006</v>
      </c>
      <c r="G127" s="514" t="str">
        <f>VLOOKUP(2133,Sprachindex!$A:$Z,Erhebungsbogen!$Y$20,FALSE) &amp; " ( " &amp;Preisliste!H107 &amp; " " &amp; VLOOKUP(1744,Sprachindex!$A:$Z,Erhebungsbogen!$Y$20,FALSE) &amp; ")"</f>
        <v>Rundprofil 50-Vario 45° exkl. Dichtung, gebohrt und entgratet ( 29,711 kg/Stk)</v>
      </c>
      <c r="H127" s="514"/>
      <c r="I127" s="514"/>
      <c r="J127" s="514"/>
      <c r="K127" s="514"/>
      <c r="L127" s="514"/>
      <c r="M127" s="514"/>
      <c r="N127" s="514"/>
      <c r="O127" s="514"/>
      <c r="P127" s="514"/>
      <c r="Q127" s="514"/>
      <c r="R127" s="514"/>
      <c r="S127" s="514"/>
      <c r="T127" s="514"/>
      <c r="U127" s="352">
        <f>VLOOKUP(F127,Preisliste!C:F,4,FALSE)</f>
        <v>988.05</v>
      </c>
      <c r="V127" s="352">
        <f t="shared" si="16"/>
        <v>0</v>
      </c>
      <c r="W127" s="86"/>
      <c r="X127" s="86"/>
      <c r="Y127" s="86"/>
      <c r="Z127" s="86"/>
      <c r="AA127" s="86"/>
      <c r="AB127" s="86"/>
      <c r="AC127" s="86"/>
      <c r="AD127" s="86"/>
      <c r="AE127" s="86"/>
      <c r="AF127" s="86"/>
      <c r="AG127" s="55">
        <f>IF(AND(AH127=1,AP127&gt;0,AU127=1),1,0)</f>
        <v>0</v>
      </c>
      <c r="AH127" s="66">
        <f>IF(OR(Kalk5!$AA$19=2,Kalk5!$AA$19=3),1,0)</f>
        <v>1</v>
      </c>
      <c r="AI127" s="55">
        <v>50</v>
      </c>
      <c r="AK127" s="55" t="s">
        <v>22079</v>
      </c>
      <c r="AP127" s="66">
        <f>IF(AND(Kalk5!$O$21&gt;0,Kalk5!$N$21="45°"),Kalk5!$O$21,0)</f>
        <v>0</v>
      </c>
      <c r="AQ127" s="55" t="s">
        <v>22089</v>
      </c>
      <c r="AT127" s="55" t="s">
        <v>22079</v>
      </c>
      <c r="AU127" s="66">
        <f>IF(Kalk5!$AI$51=AV127,1,0)</f>
        <v>0</v>
      </c>
      <c r="AV127" s="55">
        <v>1350</v>
      </c>
      <c r="AX127" s="55" t="s">
        <v>22100</v>
      </c>
      <c r="AY127" s="66">
        <f>AP127*Kalk5!$H$37</f>
        <v>0</v>
      </c>
      <c r="AZ127" s="55" t="s">
        <v>20872</v>
      </c>
    </row>
    <row r="128" spans="2:52" ht="24.95" customHeight="1">
      <c r="B128" s="93">
        <f t="shared" si="26"/>
        <v>0</v>
      </c>
      <c r="C128" s="60">
        <v>1750</v>
      </c>
      <c r="D128" s="60"/>
      <c r="E128" s="60" t="str">
        <f>VLOOKUP(1600,Sprachindex!$A:$Z,Erhebungsbogen!$Y$20,FALSE)</f>
        <v>[Stk]</v>
      </c>
      <c r="F128" s="60" t="s">
        <v>22007</v>
      </c>
      <c r="G128" s="514" t="str">
        <f>VLOOKUP(2133,Sprachindex!$A:$Z,Erhebungsbogen!$Y$20,FALSE) &amp; " ( " &amp;Preisliste!H108 &amp; " " &amp; VLOOKUP(1744,Sprachindex!$A:$Z,Erhebungsbogen!$Y$20,FALSE) &amp; ")"</f>
        <v>Rundprofil 50-Vario 45° exkl. Dichtung, gebohrt und entgratet ( 38,514 kg/Stk)</v>
      </c>
      <c r="H128" s="514"/>
      <c r="I128" s="514"/>
      <c r="J128" s="514"/>
      <c r="K128" s="514"/>
      <c r="L128" s="514"/>
      <c r="M128" s="514"/>
      <c r="N128" s="514"/>
      <c r="O128" s="514"/>
      <c r="P128" s="514"/>
      <c r="Q128" s="514"/>
      <c r="R128" s="514"/>
      <c r="S128" s="514"/>
      <c r="T128" s="514"/>
      <c r="U128" s="352">
        <f>VLOOKUP(F128,Preisliste!C:F,4,FALSE)</f>
        <v>1110.0999999999999</v>
      </c>
      <c r="V128" s="352">
        <f t="shared" si="16"/>
        <v>0</v>
      </c>
      <c r="W128" s="86"/>
      <c r="X128" s="86"/>
      <c r="Y128" s="86"/>
      <c r="Z128" s="86"/>
      <c r="AA128" s="86"/>
      <c r="AB128" s="86"/>
      <c r="AC128" s="86"/>
      <c r="AD128" s="86"/>
      <c r="AE128" s="86"/>
      <c r="AF128" s="86"/>
      <c r="AG128" s="55">
        <f t="shared" si="27"/>
        <v>0</v>
      </c>
      <c r="AH128" s="66">
        <f>IF(OR(Kalk5!$AA$19=2,Kalk5!$AA$19=3),1,0)</f>
        <v>1</v>
      </c>
      <c r="AI128" s="55">
        <v>50</v>
      </c>
      <c r="AK128" s="55" t="s">
        <v>22079</v>
      </c>
      <c r="AP128" s="66">
        <f>IF(AND(Kalk5!$O$21&gt;0,Kalk5!$N$21="45°"),Kalk5!$O$21,0)</f>
        <v>0</v>
      </c>
      <c r="AQ128" s="55" t="s">
        <v>22089</v>
      </c>
      <c r="AT128" s="55" t="s">
        <v>22079</v>
      </c>
      <c r="AU128" s="66">
        <f>IF(Kalk5!$AI$51=AV128,1,0)</f>
        <v>0</v>
      </c>
      <c r="AV128" s="55">
        <v>1750</v>
      </c>
      <c r="AX128" s="55" t="s">
        <v>22100</v>
      </c>
      <c r="AY128" s="66">
        <f>AP128*Kalk5!$H$37</f>
        <v>0</v>
      </c>
      <c r="AZ128" s="55" t="s">
        <v>20872</v>
      </c>
    </row>
    <row r="129" spans="2:52" ht="24.95" customHeight="1">
      <c r="B129" s="93">
        <f t="shared" si="26"/>
        <v>0</v>
      </c>
      <c r="C129" s="60">
        <v>2150</v>
      </c>
      <c r="D129" s="60"/>
      <c r="E129" s="60" t="str">
        <f>VLOOKUP(1600,Sprachindex!$A:$Z,Erhebungsbogen!$Y$20,FALSE)</f>
        <v>[Stk]</v>
      </c>
      <c r="F129" s="60" t="s">
        <v>22008</v>
      </c>
      <c r="G129" s="514" t="str">
        <f>VLOOKUP(2133,Sprachindex!$A:$Z,Erhebungsbogen!$Y$20,FALSE) &amp; " ( " &amp;Preisliste!H109 &amp; " " &amp; VLOOKUP(1744,Sprachindex!$A:$Z,Erhebungsbogen!$Y$20,FALSE) &amp; ")"</f>
        <v>Rundprofil 50-Vario 45° exkl. Dichtung, gebohrt und entgratet ( 47,317 kg/Stk)</v>
      </c>
      <c r="H129" s="514"/>
      <c r="I129" s="514"/>
      <c r="J129" s="514"/>
      <c r="K129" s="514"/>
      <c r="L129" s="514"/>
      <c r="M129" s="514"/>
      <c r="N129" s="514"/>
      <c r="O129" s="514"/>
      <c r="P129" s="514"/>
      <c r="Q129" s="514"/>
      <c r="R129" s="514"/>
      <c r="S129" s="514"/>
      <c r="T129" s="514"/>
      <c r="U129" s="352">
        <f>VLOOKUP(F129,Preisliste!C:F,4,FALSE)</f>
        <v>1231.95</v>
      </c>
      <c r="V129" s="352">
        <f t="shared" si="16"/>
        <v>0</v>
      </c>
      <c r="W129" s="86"/>
      <c r="X129" s="86"/>
      <c r="Y129" s="86"/>
      <c r="Z129" s="86"/>
      <c r="AA129" s="86"/>
      <c r="AB129" s="86"/>
      <c r="AC129" s="86"/>
      <c r="AD129" s="86"/>
      <c r="AE129" s="86"/>
      <c r="AF129" s="86"/>
      <c r="AG129" s="55">
        <f t="shared" si="27"/>
        <v>0</v>
      </c>
      <c r="AH129" s="66">
        <f>IF(OR(Kalk5!$AA$19=2,Kalk5!$AA$19=3),1,0)</f>
        <v>1</v>
      </c>
      <c r="AI129" s="55">
        <v>50</v>
      </c>
      <c r="AK129" s="55" t="s">
        <v>22079</v>
      </c>
      <c r="AP129" s="66">
        <f>IF(AND(Kalk5!$O$21&gt;0,Kalk5!$N$21="45°"),Kalk5!$O$21,0)</f>
        <v>0</v>
      </c>
      <c r="AQ129" s="55" t="s">
        <v>22089</v>
      </c>
      <c r="AT129" s="55" t="s">
        <v>22079</v>
      </c>
      <c r="AU129" s="66">
        <f>IF(Kalk5!$AI$51=AV129,1,0)</f>
        <v>0</v>
      </c>
      <c r="AV129" s="55">
        <v>2150</v>
      </c>
      <c r="AX129" s="55" t="s">
        <v>22100</v>
      </c>
      <c r="AY129" s="66">
        <f>AP129*Kalk5!$H$37</f>
        <v>0</v>
      </c>
      <c r="AZ129" s="55" t="s">
        <v>20872</v>
      </c>
    </row>
    <row r="130" spans="2:52" ht="24.95" customHeight="1">
      <c r="B130" s="93">
        <f t="shared" si="26"/>
        <v>0</v>
      </c>
      <c r="C130" s="60">
        <f>IF(AG130=1,AW130,0)</f>
        <v>0</v>
      </c>
      <c r="D130" s="60"/>
      <c r="E130" s="60" t="str">
        <f>VLOOKUP(1600,Sprachindex!$A:$Z,Erhebungsbogen!$Y$20,FALSE)</f>
        <v>[Stk]</v>
      </c>
      <c r="F130" s="60" t="s">
        <v>21826</v>
      </c>
      <c r="G130" s="514" t="str">
        <f>VLOOKUP(2134,Sprachindex!$A:$Z,Erhebungsbogen!$Y$20,FALSE) &amp; " (" &amp; ROUNDUP(C130/1000*Preisliste!I110,2) &amp; " " &amp; VLOOKUP(1744,Sprachindex!$A:$Z,Erhebungsbogen!$Y$20,FALSE) &amp; ")"</f>
        <v>Rundprofil 50-Vario 45° Sonderlänge exkl. Dichtung, (Stangenware) (0 kg/Stk)</v>
      </c>
      <c r="H130" s="514"/>
      <c r="I130" s="514"/>
      <c r="J130" s="514"/>
      <c r="K130" s="514"/>
      <c r="L130" s="514"/>
      <c r="M130" s="514"/>
      <c r="N130" s="514"/>
      <c r="O130" s="514"/>
      <c r="P130" s="514"/>
      <c r="Q130" s="514"/>
      <c r="R130" s="514"/>
      <c r="S130" s="514"/>
      <c r="T130" s="514"/>
      <c r="U130" s="354">
        <f>VLOOKUP(F130,Preisliste!C:F,4,FALSE)</f>
        <v>0</v>
      </c>
      <c r="V130" s="352">
        <f t="shared" ref="V130:V180" si="28">U130*B130</f>
        <v>0</v>
      </c>
      <c r="W130" s="86"/>
      <c r="X130" s="86"/>
      <c r="Y130" s="86"/>
      <c r="Z130" s="86"/>
      <c r="AA130" s="86"/>
      <c r="AB130" s="86"/>
      <c r="AC130" s="86"/>
      <c r="AD130" s="86"/>
      <c r="AE130" s="86"/>
      <c r="AF130" s="86"/>
      <c r="AG130" s="55">
        <f t="shared" si="27"/>
        <v>0</v>
      </c>
      <c r="AH130" s="66">
        <f>IF(OR(Kalk5!$AA$19=2,Kalk5!$AA$19=3),1,0)</f>
        <v>1</v>
      </c>
      <c r="AI130" s="55">
        <v>50</v>
      </c>
      <c r="AK130" s="55" t="s">
        <v>22079</v>
      </c>
      <c r="AP130" s="66">
        <f>IF(AND(Kalk5!$O$21&gt;0,Kalk5!$N$21="45°"),Kalk5!$O$21,0)</f>
        <v>0</v>
      </c>
      <c r="AQ130" s="55" t="s">
        <v>22089</v>
      </c>
      <c r="AT130" s="55" t="s">
        <v>22079</v>
      </c>
      <c r="AU130" s="66">
        <f>IF(Kalk5!$AH$52&gt;AV130,1,0)</f>
        <v>0</v>
      </c>
      <c r="AV130" s="55">
        <v>2150</v>
      </c>
      <c r="AW130" s="66">
        <f>Kalk5!$AH$52</f>
        <v>0</v>
      </c>
      <c r="AX130" s="55" t="s">
        <v>22100</v>
      </c>
      <c r="AY130" s="66">
        <f>AP130*Kalk5!$H$37</f>
        <v>0</v>
      </c>
      <c r="AZ130" s="55" t="s">
        <v>20872</v>
      </c>
    </row>
    <row r="131" spans="2:52" ht="24.95" customHeight="1">
      <c r="B131" s="93">
        <f t="shared" si="26"/>
        <v>0</v>
      </c>
      <c r="C131" s="60">
        <v>750</v>
      </c>
      <c r="D131" s="60"/>
      <c r="E131" s="60" t="str">
        <f>VLOOKUP(1600,Sprachindex!$A:$Z,Erhebungsbogen!$Y$20,FALSE)</f>
        <v>[Stk]</v>
      </c>
      <c r="F131" s="60" t="s">
        <v>22009</v>
      </c>
      <c r="G131" s="514" t="str">
        <f>VLOOKUP(2135,Sprachindex!$A:$Z,Erhebungsbogen!$Y$20,FALSE) &amp; " ( " &amp;Preisliste!H111 &amp; " " &amp; VLOOKUP(1744,Sprachindex!$A:$Z,Erhebungsbogen!$Y$20,FALSE) &amp; ")"</f>
        <v>Rundprofil 50-Vario 60° exkl. Dichtung, gebohrt und entgratet ( 16,516 kg/Stk)</v>
      </c>
      <c r="H131" s="514"/>
      <c r="I131" s="514"/>
      <c r="J131" s="514"/>
      <c r="K131" s="514"/>
      <c r="L131" s="514"/>
      <c r="M131" s="514"/>
      <c r="N131" s="514"/>
      <c r="O131" s="514"/>
      <c r="P131" s="514"/>
      <c r="Q131" s="514"/>
      <c r="R131" s="514"/>
      <c r="S131" s="514"/>
      <c r="T131" s="514"/>
      <c r="U131" s="352">
        <f>VLOOKUP(F131,Preisliste!C:F,4,FALSE)</f>
        <v>805.1</v>
      </c>
      <c r="V131" s="352">
        <f t="shared" si="28"/>
        <v>0</v>
      </c>
      <c r="W131" s="86"/>
      <c r="X131" s="86"/>
      <c r="Y131" s="86"/>
      <c r="Z131" s="86"/>
      <c r="AA131" s="86"/>
      <c r="AB131" s="86"/>
      <c r="AC131" s="86"/>
      <c r="AD131" s="86"/>
      <c r="AE131" s="86"/>
      <c r="AF131" s="86"/>
      <c r="AG131" s="55">
        <f t="shared" si="27"/>
        <v>1</v>
      </c>
      <c r="AH131" s="66">
        <f>IF(OR(Kalk5!$AA$19=2,Kalk5!$AA$19=3),1,0)</f>
        <v>1</v>
      </c>
      <c r="AI131" s="55">
        <v>50</v>
      </c>
      <c r="AK131" s="55" t="s">
        <v>22079</v>
      </c>
      <c r="AP131" s="66">
        <f>IF(AND(Kalk5!$O$21&gt;0,Kalk5!$N$21="60°"),Kalk5!$O$21,0)</f>
        <v>0</v>
      </c>
      <c r="AQ131" s="55" t="s">
        <v>22090</v>
      </c>
      <c r="AT131" s="55" t="s">
        <v>22079</v>
      </c>
      <c r="AU131" s="66">
        <f>IF(Kalk5!$AI$51=$AV$91,1,0)</f>
        <v>1</v>
      </c>
      <c r="AV131" s="55">
        <v>750</v>
      </c>
      <c r="AX131" s="55" t="s">
        <v>22100</v>
      </c>
      <c r="AY131" s="66">
        <f>AP131*Kalk5!$H$37</f>
        <v>0</v>
      </c>
      <c r="AZ131" s="55" t="s">
        <v>20872</v>
      </c>
    </row>
    <row r="132" spans="2:52" ht="24.95" customHeight="1">
      <c r="B132" s="93">
        <f t="shared" si="26"/>
        <v>0</v>
      </c>
      <c r="C132" s="60">
        <v>1350</v>
      </c>
      <c r="D132" s="60"/>
      <c r="E132" s="60" t="str">
        <f>VLOOKUP(1600,Sprachindex!$A:$Z,Erhebungsbogen!$Y$20,FALSE)</f>
        <v>[Stk]</v>
      </c>
      <c r="F132" s="60" t="s">
        <v>22010</v>
      </c>
      <c r="G132" s="514" t="str">
        <f>VLOOKUP(2135,Sprachindex!$A:$Z,Erhebungsbogen!$Y$20,FALSE) &amp; " ( " &amp;Preisliste!H112 &amp; " " &amp; VLOOKUP(1744,Sprachindex!$A:$Z,Erhebungsbogen!$Y$20,FALSE) &amp; ")"</f>
        <v>Rundprofil 50-Vario 60° exkl. Dichtung, gebohrt und entgratet ( 29,728 kg/Stk)</v>
      </c>
      <c r="H132" s="514"/>
      <c r="I132" s="514"/>
      <c r="J132" s="514"/>
      <c r="K132" s="514"/>
      <c r="L132" s="514"/>
      <c r="M132" s="514"/>
      <c r="N132" s="514"/>
      <c r="O132" s="514"/>
      <c r="P132" s="514"/>
      <c r="Q132" s="514"/>
      <c r="R132" s="514"/>
      <c r="S132" s="514"/>
      <c r="T132" s="514"/>
      <c r="U132" s="352">
        <f>VLOOKUP(F132,Preisliste!C:F,4,FALSE)</f>
        <v>988.05</v>
      </c>
      <c r="V132" s="352">
        <f t="shared" si="28"/>
        <v>0</v>
      </c>
      <c r="W132" s="86"/>
      <c r="X132" s="86"/>
      <c r="Y132" s="86"/>
      <c r="Z132" s="86"/>
      <c r="AA132" s="86"/>
      <c r="AB132" s="86"/>
      <c r="AC132" s="86"/>
      <c r="AD132" s="86"/>
      <c r="AE132" s="86"/>
      <c r="AF132" s="86"/>
      <c r="AG132" s="55">
        <f>IF(AND(AH132=1,AP132&gt;0,AU132=1),1,0)</f>
        <v>0</v>
      </c>
      <c r="AH132" s="66">
        <f>IF(OR(Kalk5!$AA$19=2,Kalk5!$AA$19=3),1,0)</f>
        <v>1</v>
      </c>
      <c r="AI132" s="55">
        <v>50</v>
      </c>
      <c r="AK132" s="55" t="s">
        <v>22079</v>
      </c>
      <c r="AP132" s="66">
        <f>IF(AND(Kalk5!$O$21&gt;0,Kalk5!$N$21="60°"),Kalk5!$O$21,0)</f>
        <v>0</v>
      </c>
      <c r="AQ132" s="55" t="s">
        <v>22090</v>
      </c>
      <c r="AT132" s="55" t="s">
        <v>22079</v>
      </c>
      <c r="AU132" s="66">
        <f>IF(Kalk5!$AI$51=AV132,1,0)</f>
        <v>0</v>
      </c>
      <c r="AV132" s="55">
        <v>1350</v>
      </c>
      <c r="AX132" s="55" t="s">
        <v>22100</v>
      </c>
      <c r="AY132" s="66">
        <f>AP132*Kalk5!$H$37</f>
        <v>0</v>
      </c>
      <c r="AZ132" s="55" t="s">
        <v>20872</v>
      </c>
    </row>
    <row r="133" spans="2:52" ht="24.95" customHeight="1">
      <c r="B133" s="93">
        <f t="shared" si="26"/>
        <v>0</v>
      </c>
      <c r="C133" s="60">
        <v>1750</v>
      </c>
      <c r="D133" s="60"/>
      <c r="E133" s="60" t="str">
        <f>VLOOKUP(1600,Sprachindex!$A:$Z,Erhebungsbogen!$Y$20,FALSE)</f>
        <v>[Stk]</v>
      </c>
      <c r="F133" s="60" t="s">
        <v>22011</v>
      </c>
      <c r="G133" s="514" t="str">
        <f>VLOOKUP(2135,Sprachindex!$A:$Z,Erhebungsbogen!$Y$20,FALSE) &amp; " ( " &amp;Preisliste!H113 &amp; " " &amp; VLOOKUP(1744,Sprachindex!$A:$Z,Erhebungsbogen!$Y$20,FALSE) &amp; ")"</f>
        <v>Rundprofil 50-Vario 60° exkl. Dichtung, gebohrt und entgratet ( 38,537 kg/Stk)</v>
      </c>
      <c r="H133" s="514"/>
      <c r="I133" s="514"/>
      <c r="J133" s="514"/>
      <c r="K133" s="514"/>
      <c r="L133" s="514"/>
      <c r="M133" s="514"/>
      <c r="N133" s="514"/>
      <c r="O133" s="514"/>
      <c r="P133" s="514"/>
      <c r="Q133" s="514"/>
      <c r="R133" s="514"/>
      <c r="S133" s="514"/>
      <c r="T133" s="514"/>
      <c r="U133" s="352">
        <f>VLOOKUP(F133,Preisliste!C:F,4,FALSE)</f>
        <v>1110.0999999999999</v>
      </c>
      <c r="V133" s="352">
        <f t="shared" si="28"/>
        <v>0</v>
      </c>
      <c r="W133" s="86"/>
      <c r="X133" s="86"/>
      <c r="Y133" s="86"/>
      <c r="Z133" s="86"/>
      <c r="AA133" s="86"/>
      <c r="AB133" s="86"/>
      <c r="AC133" s="86"/>
      <c r="AD133" s="86"/>
      <c r="AE133" s="86"/>
      <c r="AF133" s="86"/>
      <c r="AG133" s="55">
        <f t="shared" si="27"/>
        <v>0</v>
      </c>
      <c r="AH133" s="66">
        <f>IF(OR(Kalk5!$AA$19=2,Kalk5!$AA$19=3),1,0)</f>
        <v>1</v>
      </c>
      <c r="AI133" s="55">
        <v>50</v>
      </c>
      <c r="AK133" s="55" t="s">
        <v>22079</v>
      </c>
      <c r="AP133" s="66">
        <f>IF(AND(Kalk5!$O$21&gt;0,Kalk5!$N$21="60°"),Kalk5!$O$21,0)</f>
        <v>0</v>
      </c>
      <c r="AQ133" s="55" t="s">
        <v>22090</v>
      </c>
      <c r="AT133" s="55" t="s">
        <v>22079</v>
      </c>
      <c r="AU133" s="66">
        <f>IF(Kalk5!$AI$51=AV133,1,0)</f>
        <v>0</v>
      </c>
      <c r="AV133" s="55">
        <v>1750</v>
      </c>
      <c r="AX133" s="55" t="s">
        <v>22100</v>
      </c>
      <c r="AY133" s="66">
        <f>AP133*Kalk5!$H$37</f>
        <v>0</v>
      </c>
      <c r="AZ133" s="55" t="s">
        <v>20872</v>
      </c>
    </row>
    <row r="134" spans="2:52" ht="24.95" customHeight="1">
      <c r="B134" s="93">
        <f t="shared" si="26"/>
        <v>0</v>
      </c>
      <c r="C134" s="60">
        <v>2150</v>
      </c>
      <c r="D134" s="60"/>
      <c r="E134" s="60" t="str">
        <f>VLOOKUP(1600,Sprachindex!$A:$Z,Erhebungsbogen!$Y$20,FALSE)</f>
        <v>[Stk]</v>
      </c>
      <c r="F134" s="60" t="s">
        <v>22012</v>
      </c>
      <c r="G134" s="514" t="str">
        <f>VLOOKUP(2135,Sprachindex!$A:$Z,Erhebungsbogen!$Y$20,FALSE) &amp; " ( " &amp;Preisliste!H114 &amp; " " &amp; VLOOKUP(1744,Sprachindex!$A:$Z,Erhebungsbogen!$Y$20,FALSE) &amp; ")"</f>
        <v>Rundprofil 50-Vario 60° exkl. Dichtung, gebohrt und entgratet ( 47,345 kg/Stk)</v>
      </c>
      <c r="H134" s="514"/>
      <c r="I134" s="514"/>
      <c r="J134" s="514"/>
      <c r="K134" s="514"/>
      <c r="L134" s="514"/>
      <c r="M134" s="514"/>
      <c r="N134" s="514"/>
      <c r="O134" s="514"/>
      <c r="P134" s="514"/>
      <c r="Q134" s="514"/>
      <c r="R134" s="514"/>
      <c r="S134" s="514"/>
      <c r="T134" s="514"/>
      <c r="U134" s="352">
        <f>VLOOKUP(F134,Preisliste!C:F,4,FALSE)</f>
        <v>1231.95</v>
      </c>
      <c r="V134" s="352">
        <f t="shared" si="28"/>
        <v>0</v>
      </c>
      <c r="W134" s="86"/>
      <c r="X134" s="86"/>
      <c r="Y134" s="86"/>
      <c r="Z134" s="86"/>
      <c r="AA134" s="86"/>
      <c r="AB134" s="86"/>
      <c r="AC134" s="86"/>
      <c r="AD134" s="86"/>
      <c r="AE134" s="86"/>
      <c r="AF134" s="86"/>
      <c r="AG134" s="55">
        <f t="shared" si="27"/>
        <v>0</v>
      </c>
      <c r="AH134" s="66">
        <f>IF(OR(Kalk5!$AA$19=2,Kalk5!$AA$19=3),1,0)</f>
        <v>1</v>
      </c>
      <c r="AI134" s="55">
        <v>50</v>
      </c>
      <c r="AK134" s="55" t="s">
        <v>22079</v>
      </c>
      <c r="AP134" s="66">
        <f>IF(AND(Kalk5!$O$21&gt;0,Kalk5!$N$21="60°"),Kalk5!$O$21,0)</f>
        <v>0</v>
      </c>
      <c r="AQ134" s="55" t="s">
        <v>22090</v>
      </c>
      <c r="AT134" s="55" t="s">
        <v>22079</v>
      </c>
      <c r="AU134" s="66">
        <f>IF(Kalk5!$AI$51=AV134,1,0)</f>
        <v>0</v>
      </c>
      <c r="AV134" s="55">
        <v>2150</v>
      </c>
      <c r="AX134" s="55" t="s">
        <v>22100</v>
      </c>
      <c r="AY134" s="66">
        <f>AP134*Kalk5!$H$37</f>
        <v>0</v>
      </c>
      <c r="AZ134" s="55" t="s">
        <v>20872</v>
      </c>
    </row>
    <row r="135" spans="2:52" ht="24.95" customHeight="1">
      <c r="B135" s="93">
        <f t="shared" si="26"/>
        <v>0</v>
      </c>
      <c r="C135" s="60">
        <f>IF(AG135=1,AW135,0)</f>
        <v>0</v>
      </c>
      <c r="D135" s="60"/>
      <c r="E135" s="60" t="str">
        <f>VLOOKUP(1600,Sprachindex!$A:$Z,Erhebungsbogen!$Y$20,FALSE)</f>
        <v>[Stk]</v>
      </c>
      <c r="F135" s="60" t="s">
        <v>21826</v>
      </c>
      <c r="G135" s="514" t="str">
        <f>VLOOKUP(2136,Sprachindex!$A:$Z,Erhebungsbogen!$Y$20,FALSE) &amp; " (" &amp; ROUNDUP(C135/1000*Preisliste!I115,2) &amp; " " &amp; VLOOKUP(1744,Sprachindex!$A:$Z,Erhebungsbogen!$Y$20,FALSE) &amp; ")"</f>
        <v>Rundprofil 50-Vario 60° Sonderlänge exkl. Dichtung, (Stangenware) (0 kg/Stk)</v>
      </c>
      <c r="H135" s="514"/>
      <c r="I135" s="514"/>
      <c r="J135" s="514"/>
      <c r="K135" s="514"/>
      <c r="L135" s="514"/>
      <c r="M135" s="514"/>
      <c r="N135" s="514"/>
      <c r="O135" s="514"/>
      <c r="P135" s="514"/>
      <c r="Q135" s="514"/>
      <c r="R135" s="514"/>
      <c r="S135" s="514"/>
      <c r="T135" s="514"/>
      <c r="U135" s="354">
        <f>VLOOKUP(F135,Preisliste!C:F,4,FALSE)</f>
        <v>0</v>
      </c>
      <c r="V135" s="352">
        <f t="shared" si="28"/>
        <v>0</v>
      </c>
      <c r="W135" s="86"/>
      <c r="X135" s="86"/>
      <c r="Y135" s="86"/>
      <c r="Z135" s="86"/>
      <c r="AA135" s="86"/>
      <c r="AB135" s="86"/>
      <c r="AC135" s="86"/>
      <c r="AD135" s="86"/>
      <c r="AE135" s="86"/>
      <c r="AF135" s="86"/>
      <c r="AG135" s="55">
        <f t="shared" si="27"/>
        <v>0</v>
      </c>
      <c r="AH135" s="66">
        <f>IF(OR(Kalk5!$AA$19=2,Kalk5!$AA$19=3),1,0)</f>
        <v>1</v>
      </c>
      <c r="AI135" s="55">
        <v>50</v>
      </c>
      <c r="AK135" s="55" t="s">
        <v>22079</v>
      </c>
      <c r="AP135" s="66">
        <f>IF(AND(Kalk5!$O$21&gt;0,Kalk5!$N$21="60°"),Kalk5!$O$21,0)</f>
        <v>0</v>
      </c>
      <c r="AQ135" s="55" t="s">
        <v>22090</v>
      </c>
      <c r="AT135" s="55" t="s">
        <v>22079</v>
      </c>
      <c r="AU135" s="66">
        <f>IF(Kalk5!$AH$52&gt;AV135,1,0)</f>
        <v>0</v>
      </c>
      <c r="AV135" s="55">
        <v>2150</v>
      </c>
      <c r="AW135" s="66">
        <f>Kalk5!$AH$52</f>
        <v>0</v>
      </c>
      <c r="AX135" s="55" t="s">
        <v>22100</v>
      </c>
      <c r="AY135" s="66">
        <f>AP135*Kalk5!$H$37</f>
        <v>0</v>
      </c>
      <c r="AZ135" s="55" t="s">
        <v>20872</v>
      </c>
    </row>
    <row r="136" spans="2:52" ht="24.95" customHeight="1">
      <c r="B136" s="93">
        <f t="shared" si="26"/>
        <v>0</v>
      </c>
      <c r="C136" s="60">
        <v>750</v>
      </c>
      <c r="D136" s="60"/>
      <c r="E136" s="60" t="str">
        <f>VLOOKUP(1600,Sprachindex!$A:$Z,Erhebungsbogen!$Y$20,FALSE)</f>
        <v>[Stk]</v>
      </c>
      <c r="F136" s="60" t="s">
        <v>22013</v>
      </c>
      <c r="G136" s="514" t="str">
        <f>VLOOKUP(2137,Sprachindex!$A:$Z,Erhebungsbogen!$Y$20,FALSE) &amp; " ( " &amp;Preisliste!H116 &amp; " " &amp; VLOOKUP(1744,Sprachindex!$A:$Z,Erhebungsbogen!$Y$20,FALSE) &amp; ")"</f>
        <v>Rundprofil 50-Vario 75° exkl. Dichtung, gebohrt und entgratet ( 15,726 kg/Stk)</v>
      </c>
      <c r="H136" s="514"/>
      <c r="I136" s="514"/>
      <c r="J136" s="514"/>
      <c r="K136" s="514"/>
      <c r="L136" s="514"/>
      <c r="M136" s="514"/>
      <c r="N136" s="514"/>
      <c r="O136" s="514"/>
      <c r="P136" s="514"/>
      <c r="Q136" s="514"/>
      <c r="R136" s="514"/>
      <c r="S136" s="514"/>
      <c r="T136" s="514"/>
      <c r="U136" s="352">
        <f>VLOOKUP(F136,Preisliste!C:F,4,FALSE)</f>
        <v>805.1</v>
      </c>
      <c r="V136" s="352">
        <f t="shared" si="28"/>
        <v>0</v>
      </c>
      <c r="W136" s="86"/>
      <c r="X136" s="86"/>
      <c r="Y136" s="86"/>
      <c r="Z136" s="86"/>
      <c r="AA136" s="86"/>
      <c r="AB136" s="86"/>
      <c r="AC136" s="86"/>
      <c r="AD136" s="86"/>
      <c r="AE136" s="86"/>
      <c r="AF136" s="86"/>
      <c r="AG136" s="55">
        <f t="shared" si="27"/>
        <v>1</v>
      </c>
      <c r="AH136" s="66">
        <f>IF(OR(Kalk5!$AA$19=2,Kalk5!$AA$19=3),1,0)</f>
        <v>1</v>
      </c>
      <c r="AI136" s="55">
        <v>50</v>
      </c>
      <c r="AK136" s="55" t="s">
        <v>22079</v>
      </c>
      <c r="AP136" s="66">
        <f>IF(AND(Kalk5!$O$21&gt;0,Kalk5!$N$21="75°"),Kalk5!$O$21,0)</f>
        <v>0</v>
      </c>
      <c r="AQ136" s="55" t="s">
        <v>22091</v>
      </c>
      <c r="AT136" s="55" t="s">
        <v>22079</v>
      </c>
      <c r="AU136" s="66">
        <f>IF(Kalk5!$AI$51=$AV$91,1,0)</f>
        <v>1</v>
      </c>
      <c r="AV136" s="55">
        <v>750</v>
      </c>
      <c r="AX136" s="55" t="s">
        <v>22100</v>
      </c>
      <c r="AY136" s="66">
        <f>AP136*Kalk5!$H$37</f>
        <v>0</v>
      </c>
      <c r="AZ136" s="55" t="s">
        <v>20872</v>
      </c>
    </row>
    <row r="137" spans="2:52" ht="24.95" customHeight="1">
      <c r="B137" s="93">
        <f t="shared" si="26"/>
        <v>0</v>
      </c>
      <c r="C137" s="60">
        <v>1350</v>
      </c>
      <c r="D137" s="60"/>
      <c r="E137" s="60" t="str">
        <f>VLOOKUP(1600,Sprachindex!$A:$Z,Erhebungsbogen!$Y$20,FALSE)</f>
        <v>[Stk]</v>
      </c>
      <c r="F137" s="60" t="s">
        <v>22014</v>
      </c>
      <c r="G137" s="514" t="str">
        <f>VLOOKUP(2137,Sprachindex!$A:$Z,Erhebungsbogen!$Y$20,FALSE) &amp; " ( " &amp;Preisliste!H117 &amp; " " &amp; VLOOKUP(1744,Sprachindex!$A:$Z,Erhebungsbogen!$Y$20,FALSE) &amp; ")"</f>
        <v>Rundprofil 50-Vario 75° exkl. Dichtung, gebohrt und entgratet ( 28,307 kg/Stk)</v>
      </c>
      <c r="H137" s="514"/>
      <c r="I137" s="514"/>
      <c r="J137" s="514"/>
      <c r="K137" s="514"/>
      <c r="L137" s="514"/>
      <c r="M137" s="514"/>
      <c r="N137" s="514"/>
      <c r="O137" s="514"/>
      <c r="P137" s="514"/>
      <c r="Q137" s="514"/>
      <c r="R137" s="514"/>
      <c r="S137" s="514"/>
      <c r="T137" s="514"/>
      <c r="U137" s="352">
        <f>VLOOKUP(F137,Preisliste!C:F,4,FALSE)</f>
        <v>988.05</v>
      </c>
      <c r="V137" s="352">
        <f t="shared" si="28"/>
        <v>0</v>
      </c>
      <c r="W137" s="86"/>
      <c r="X137" s="86"/>
      <c r="Y137" s="86"/>
      <c r="Z137" s="86"/>
      <c r="AA137" s="86"/>
      <c r="AB137" s="86"/>
      <c r="AC137" s="86"/>
      <c r="AD137" s="86"/>
      <c r="AE137" s="86"/>
      <c r="AF137" s="86"/>
      <c r="AG137" s="55">
        <f>IF(AND(AH137=1,AP137&gt;0,AU137=1),1,0)</f>
        <v>0</v>
      </c>
      <c r="AH137" s="66">
        <f>IF(OR(Kalk5!$AA$19=2,Kalk5!$AA$19=3),1,0)</f>
        <v>1</v>
      </c>
      <c r="AI137" s="55">
        <v>50</v>
      </c>
      <c r="AK137" s="55" t="s">
        <v>22079</v>
      </c>
      <c r="AP137" s="66">
        <f>IF(AND(Kalk5!$O$21&gt;0,Kalk5!$N$21="75°"),Kalk5!$O$21,0)</f>
        <v>0</v>
      </c>
      <c r="AQ137" s="55" t="s">
        <v>22091</v>
      </c>
      <c r="AT137" s="55" t="s">
        <v>22079</v>
      </c>
      <c r="AU137" s="66">
        <f>IF(Kalk5!$AI$51=AV137,1,0)</f>
        <v>0</v>
      </c>
      <c r="AV137" s="55">
        <v>1350</v>
      </c>
      <c r="AX137" s="55" t="s">
        <v>22100</v>
      </c>
      <c r="AY137" s="66">
        <f>AP137*Kalk5!$H$37</f>
        <v>0</v>
      </c>
      <c r="AZ137" s="55" t="s">
        <v>20872</v>
      </c>
    </row>
    <row r="138" spans="2:52" ht="24.95" customHeight="1">
      <c r="B138" s="93">
        <f t="shared" si="26"/>
        <v>0</v>
      </c>
      <c r="C138" s="60">
        <v>1750</v>
      </c>
      <c r="D138" s="60"/>
      <c r="E138" s="60" t="str">
        <f>VLOOKUP(1600,Sprachindex!$A:$Z,Erhebungsbogen!$Y$20,FALSE)</f>
        <v>[Stk]</v>
      </c>
      <c r="F138" s="60" t="s">
        <v>22015</v>
      </c>
      <c r="G138" s="514" t="str">
        <f>VLOOKUP(2137,Sprachindex!$A:$Z,Erhebungsbogen!$Y$20,FALSE) &amp; " ( " &amp;Preisliste!H118 &amp; " " &amp; VLOOKUP(1744,Sprachindex!$A:$Z,Erhebungsbogen!$Y$20,FALSE) &amp; ")"</f>
        <v>Rundprofil 50-Vario 75° exkl. Dichtung, gebohrt und entgratet ( 36,694 kg/Stk)</v>
      </c>
      <c r="H138" s="514"/>
      <c r="I138" s="514"/>
      <c r="J138" s="514"/>
      <c r="K138" s="514"/>
      <c r="L138" s="514"/>
      <c r="M138" s="514"/>
      <c r="N138" s="514"/>
      <c r="O138" s="514"/>
      <c r="P138" s="514"/>
      <c r="Q138" s="514"/>
      <c r="R138" s="514"/>
      <c r="S138" s="514"/>
      <c r="T138" s="514"/>
      <c r="U138" s="352">
        <f>VLOOKUP(F138,Preisliste!C:F,4,FALSE)</f>
        <v>1110.0999999999999</v>
      </c>
      <c r="V138" s="352">
        <f t="shared" si="28"/>
        <v>0</v>
      </c>
      <c r="W138" s="86"/>
      <c r="X138" s="86"/>
      <c r="Y138" s="86"/>
      <c r="Z138" s="86"/>
      <c r="AA138" s="86"/>
      <c r="AB138" s="86"/>
      <c r="AC138" s="86"/>
      <c r="AD138" s="86"/>
      <c r="AE138" s="86"/>
      <c r="AF138" s="86"/>
      <c r="AG138" s="55">
        <f t="shared" si="27"/>
        <v>0</v>
      </c>
      <c r="AH138" s="66">
        <f>IF(OR(Kalk5!$AA$19=2,Kalk5!$AA$19=3),1,0)</f>
        <v>1</v>
      </c>
      <c r="AI138" s="55">
        <v>50</v>
      </c>
      <c r="AK138" s="55" t="s">
        <v>22079</v>
      </c>
      <c r="AP138" s="66">
        <f>IF(AND(Kalk5!$O$21&gt;0,Kalk5!$N$21="75°"),Kalk5!$O$21,0)</f>
        <v>0</v>
      </c>
      <c r="AQ138" s="55" t="s">
        <v>22091</v>
      </c>
      <c r="AT138" s="55" t="s">
        <v>22079</v>
      </c>
      <c r="AU138" s="66">
        <f>IF(Kalk5!$AI$51=AV138,1,0)</f>
        <v>0</v>
      </c>
      <c r="AV138" s="55">
        <v>1750</v>
      </c>
      <c r="AX138" s="55" t="s">
        <v>22100</v>
      </c>
      <c r="AY138" s="66">
        <f>AP138*Kalk5!$H$37</f>
        <v>0</v>
      </c>
      <c r="AZ138" s="55" t="s">
        <v>20872</v>
      </c>
    </row>
    <row r="139" spans="2:52" ht="24.95" customHeight="1">
      <c r="B139" s="93">
        <f t="shared" si="26"/>
        <v>0</v>
      </c>
      <c r="C139" s="60">
        <v>2150</v>
      </c>
      <c r="D139" s="60"/>
      <c r="E139" s="60" t="str">
        <f>VLOOKUP(1600,Sprachindex!$A:$Z,Erhebungsbogen!$Y$20,FALSE)</f>
        <v>[Stk]</v>
      </c>
      <c r="F139" s="60" t="s">
        <v>22016</v>
      </c>
      <c r="G139" s="514" t="str">
        <f>VLOOKUP(2137,Sprachindex!$A:$Z,Erhebungsbogen!$Y$20,FALSE) &amp; " ( " &amp;Preisliste!H119 &amp; " " &amp; VLOOKUP(1744,Sprachindex!$A:$Z,Erhebungsbogen!$Y$20,FALSE) &amp; ")"</f>
        <v>Rundprofil 50-Vario 75° exkl. Dichtung, gebohrt und entgratet ( 45,081 kg/Stk)</v>
      </c>
      <c r="H139" s="514"/>
      <c r="I139" s="514"/>
      <c r="J139" s="514"/>
      <c r="K139" s="514"/>
      <c r="L139" s="514"/>
      <c r="M139" s="514"/>
      <c r="N139" s="514"/>
      <c r="O139" s="514"/>
      <c r="P139" s="514"/>
      <c r="Q139" s="514"/>
      <c r="R139" s="514"/>
      <c r="S139" s="514"/>
      <c r="T139" s="514"/>
      <c r="U139" s="352">
        <f>VLOOKUP(F139,Preisliste!C:F,4,FALSE)</f>
        <v>1231.95</v>
      </c>
      <c r="V139" s="352">
        <f t="shared" si="28"/>
        <v>0</v>
      </c>
      <c r="W139" s="86"/>
      <c r="X139" s="86"/>
      <c r="Y139" s="86"/>
      <c r="Z139" s="86"/>
      <c r="AA139" s="86"/>
      <c r="AB139" s="86"/>
      <c r="AC139" s="86"/>
      <c r="AD139" s="86"/>
      <c r="AE139" s="86"/>
      <c r="AF139" s="86"/>
      <c r="AG139" s="55">
        <f t="shared" si="27"/>
        <v>0</v>
      </c>
      <c r="AH139" s="66">
        <f>IF(OR(Kalk5!$AA$19=2,Kalk5!$AA$19=3),1,0)</f>
        <v>1</v>
      </c>
      <c r="AI139" s="55">
        <v>50</v>
      </c>
      <c r="AK139" s="55" t="s">
        <v>22079</v>
      </c>
      <c r="AP139" s="66">
        <f>IF(AND(Kalk5!$O$21&gt;0,Kalk5!$N$21="75°"),Kalk5!$O$21,0)</f>
        <v>0</v>
      </c>
      <c r="AQ139" s="55" t="s">
        <v>22091</v>
      </c>
      <c r="AT139" s="55" t="s">
        <v>22079</v>
      </c>
      <c r="AU139" s="66">
        <f>IF(Kalk5!$AI$51=AV139,1,0)</f>
        <v>0</v>
      </c>
      <c r="AV139" s="55">
        <v>2150</v>
      </c>
      <c r="AX139" s="55" t="s">
        <v>22100</v>
      </c>
      <c r="AY139" s="66">
        <f>AP139*Kalk5!$H$37</f>
        <v>0</v>
      </c>
      <c r="AZ139" s="55" t="s">
        <v>20872</v>
      </c>
    </row>
    <row r="140" spans="2:52" ht="24.95" customHeight="1">
      <c r="B140" s="93">
        <f t="shared" si="26"/>
        <v>0</v>
      </c>
      <c r="C140" s="60">
        <f>IF(AG140=1,AW140,0)</f>
        <v>0</v>
      </c>
      <c r="D140" s="60"/>
      <c r="E140" s="60" t="str">
        <f>VLOOKUP(1600,Sprachindex!$A:$Z,Erhebungsbogen!$Y$20,FALSE)</f>
        <v>[Stk]</v>
      </c>
      <c r="F140" s="60" t="s">
        <v>21826</v>
      </c>
      <c r="G140" s="514" t="str">
        <f>VLOOKUP(2138,Sprachindex!$A:$Z,Erhebungsbogen!$Y$20,FALSE) &amp; " (" &amp; ROUNDUP(C140/1000*Preisliste!I120,2) &amp; " " &amp; VLOOKUP(1744,Sprachindex!$A:$Z,Erhebungsbogen!$Y$20,FALSE) &amp; ")"</f>
        <v>Rundprofil 50-Vario 75° Sonderlänge exkl. Dichtung, (Stangenware) (0 kg/Stk)</v>
      </c>
      <c r="H140" s="514"/>
      <c r="I140" s="514"/>
      <c r="J140" s="514"/>
      <c r="K140" s="514"/>
      <c r="L140" s="514"/>
      <c r="M140" s="514"/>
      <c r="N140" s="514"/>
      <c r="O140" s="514"/>
      <c r="P140" s="514"/>
      <c r="Q140" s="514"/>
      <c r="R140" s="514"/>
      <c r="S140" s="514"/>
      <c r="T140" s="514"/>
      <c r="U140" s="354">
        <f>VLOOKUP(F140,Preisliste!C:F,4,FALSE)</f>
        <v>0</v>
      </c>
      <c r="V140" s="352">
        <f t="shared" si="28"/>
        <v>0</v>
      </c>
      <c r="W140" s="86"/>
      <c r="X140" s="86"/>
      <c r="Y140" s="86"/>
      <c r="Z140" s="86"/>
      <c r="AA140" s="86"/>
      <c r="AB140" s="86"/>
      <c r="AC140" s="86"/>
      <c r="AD140" s="86"/>
      <c r="AE140" s="86"/>
      <c r="AF140" s="86"/>
      <c r="AG140" s="55">
        <f t="shared" si="27"/>
        <v>0</v>
      </c>
      <c r="AH140" s="66">
        <f>IF(OR(Kalk5!$AA$19=2,Kalk5!$AA$19=3),1,0)</f>
        <v>1</v>
      </c>
      <c r="AI140" s="55">
        <v>50</v>
      </c>
      <c r="AK140" s="55" t="s">
        <v>22079</v>
      </c>
      <c r="AP140" s="66">
        <f>IF(AND(Kalk5!$O$21&gt;0,Kalk5!$N$21="75°"),Kalk5!$O$21,0)</f>
        <v>0</v>
      </c>
      <c r="AQ140" s="55" t="s">
        <v>22091</v>
      </c>
      <c r="AT140" s="55" t="s">
        <v>22079</v>
      </c>
      <c r="AU140" s="66">
        <f>IF(Kalk5!$AH$52&gt;AV140,1,0)</f>
        <v>0</v>
      </c>
      <c r="AV140" s="55">
        <v>2150</v>
      </c>
      <c r="AW140" s="66">
        <f>Kalk5!$AH$52</f>
        <v>0</v>
      </c>
      <c r="AX140" s="55" t="s">
        <v>22100</v>
      </c>
      <c r="AY140" s="66">
        <f>AP140*Kalk5!$H$37</f>
        <v>0</v>
      </c>
      <c r="AZ140" s="55" t="s">
        <v>20872</v>
      </c>
    </row>
    <row r="141" spans="2:52" ht="24.95" customHeight="1">
      <c r="B141" s="93">
        <f t="shared" si="26"/>
        <v>0</v>
      </c>
      <c r="C141" s="60">
        <v>750</v>
      </c>
      <c r="D141" s="60"/>
      <c r="E141" s="60" t="str">
        <f>VLOOKUP(1600,Sprachindex!$A:$Z,Erhebungsbogen!$Y$20,FALSE)</f>
        <v>[Stk]</v>
      </c>
      <c r="F141" s="60" t="s">
        <v>21930</v>
      </c>
      <c r="G141" s="514" t="str">
        <f>VLOOKUP(2139,Sprachindex!$A:$Z,Erhebungsbogen!$Y$20,FALSE) &amp; " ( " &amp;Preisliste!H121 &amp; " " &amp; VLOOKUP(1744,Sprachindex!$A:$Z,Erhebungsbogen!$Y$20,FALSE) &amp; ")"</f>
        <v>Rundprofil 80-Vario 15° exkl. Dichtung, gebohrt und entgratet ( 14,244 kg/Stk)</v>
      </c>
      <c r="H141" s="514"/>
      <c r="I141" s="514"/>
      <c r="J141" s="514"/>
      <c r="K141" s="514"/>
      <c r="L141" s="514"/>
      <c r="M141" s="514"/>
      <c r="N141" s="514"/>
      <c r="O141" s="514"/>
      <c r="P141" s="514"/>
      <c r="Q141" s="514"/>
      <c r="R141" s="514"/>
      <c r="S141" s="514"/>
      <c r="T141" s="514"/>
      <c r="U141" s="352">
        <f>VLOOKUP(F141,Preisliste!C:F,4,FALSE)</f>
        <v>628.54999999999995</v>
      </c>
      <c r="V141" s="352">
        <f t="shared" si="28"/>
        <v>0</v>
      </c>
      <c r="W141" s="86"/>
      <c r="X141" s="86"/>
      <c r="Y141" s="86"/>
      <c r="Z141" s="86"/>
      <c r="AA141" s="86"/>
      <c r="AB141" s="86"/>
      <c r="AC141" s="86"/>
      <c r="AD141" s="86"/>
      <c r="AE141" s="86"/>
      <c r="AF141" s="86"/>
      <c r="AG141" s="55">
        <f t="shared" si="27"/>
        <v>0</v>
      </c>
      <c r="AH141" s="66">
        <f>IF(Kalk5!$AA$19=4,1,0)</f>
        <v>0</v>
      </c>
      <c r="AI141" s="55">
        <v>80</v>
      </c>
      <c r="AK141" s="55" t="s">
        <v>22079</v>
      </c>
      <c r="AP141" s="66">
        <f>IF(AND(Kalk5!$O$21&gt;0,Kalk5!$N$21="15°"),Kalk5!$O$21,0)</f>
        <v>0</v>
      </c>
      <c r="AQ141" s="55" t="s">
        <v>22087</v>
      </c>
      <c r="AT141" s="55" t="s">
        <v>22079</v>
      </c>
      <c r="AU141" s="66">
        <f>IF(Kalk5!$AI$51=$AV$91,1,0)</f>
        <v>1</v>
      </c>
      <c r="AV141" s="55">
        <v>750</v>
      </c>
      <c r="AX141" s="55" t="s">
        <v>22100</v>
      </c>
      <c r="AY141" s="66">
        <f>AP141*Kalk5!$H$37</f>
        <v>0</v>
      </c>
      <c r="AZ141" s="55" t="s">
        <v>20872</v>
      </c>
    </row>
    <row r="142" spans="2:52" ht="24.95" customHeight="1">
      <c r="B142" s="93">
        <f t="shared" si="26"/>
        <v>0</v>
      </c>
      <c r="C142" s="60">
        <v>1350</v>
      </c>
      <c r="D142" s="60"/>
      <c r="E142" s="60" t="str">
        <f>VLOOKUP(1600,Sprachindex!$A:$Z,Erhebungsbogen!$Y$20,FALSE)</f>
        <v>[Stk]</v>
      </c>
      <c r="F142" s="60" t="s">
        <v>21931</v>
      </c>
      <c r="G142" s="514" t="str">
        <f>VLOOKUP(2139,Sprachindex!$A:$Z,Erhebungsbogen!$Y$20,FALSE) &amp; " ( " &amp;Preisliste!H122 &amp; " " &amp; VLOOKUP(1744,Sprachindex!$A:$Z,Erhebungsbogen!$Y$20,FALSE) &amp; ")"</f>
        <v>Rundprofil 80-Vario 15° exkl. Dichtung, gebohrt und entgratet ( 25,639 kg/Stk)</v>
      </c>
      <c r="H142" s="514"/>
      <c r="I142" s="514"/>
      <c r="J142" s="514"/>
      <c r="K142" s="514"/>
      <c r="L142" s="514"/>
      <c r="M142" s="514"/>
      <c r="N142" s="514"/>
      <c r="O142" s="514"/>
      <c r="P142" s="514"/>
      <c r="Q142" s="514"/>
      <c r="R142" s="514"/>
      <c r="S142" s="514"/>
      <c r="T142" s="514"/>
      <c r="U142" s="352">
        <f>VLOOKUP(F142,Preisliste!C:F,4,FALSE)</f>
        <v>814.15</v>
      </c>
      <c r="V142" s="352">
        <f t="shared" si="28"/>
        <v>0</v>
      </c>
      <c r="W142" s="86"/>
      <c r="X142" s="86"/>
      <c r="Y142" s="86"/>
      <c r="Z142" s="86"/>
      <c r="AA142" s="86"/>
      <c r="AB142" s="86"/>
      <c r="AC142" s="86"/>
      <c r="AD142" s="86"/>
      <c r="AE142" s="86"/>
      <c r="AF142" s="86"/>
      <c r="AG142" s="55">
        <f t="shared" si="27"/>
        <v>0</v>
      </c>
      <c r="AH142" s="66">
        <f>IF(Kalk5!$AA$19=4,1,0)</f>
        <v>0</v>
      </c>
      <c r="AI142" s="55">
        <v>80</v>
      </c>
      <c r="AK142" s="55" t="s">
        <v>22079</v>
      </c>
      <c r="AP142" s="66">
        <f>IF(AND(Kalk5!$O$21&gt;0,Kalk5!$N$21="15°"),Kalk5!$O$21,0)</f>
        <v>0</v>
      </c>
      <c r="AQ142" s="55" t="s">
        <v>22087</v>
      </c>
      <c r="AT142" s="55" t="s">
        <v>22079</v>
      </c>
      <c r="AU142" s="66">
        <f>IF(Kalk5!$AI$51=AV142,1,0)</f>
        <v>0</v>
      </c>
      <c r="AV142" s="55">
        <v>1350</v>
      </c>
      <c r="AX142" s="55" t="s">
        <v>22100</v>
      </c>
      <c r="AY142" s="66">
        <f>AP142*Kalk5!$H$37</f>
        <v>0</v>
      </c>
      <c r="AZ142" s="55" t="s">
        <v>20872</v>
      </c>
    </row>
    <row r="143" spans="2:52" ht="24.95" customHeight="1">
      <c r="B143" s="93">
        <f t="shared" si="26"/>
        <v>0</v>
      </c>
      <c r="C143" s="60">
        <v>1750</v>
      </c>
      <c r="D143" s="60"/>
      <c r="E143" s="60" t="str">
        <f>VLOOKUP(1600,Sprachindex!$A:$Z,Erhebungsbogen!$Y$20,FALSE)</f>
        <v>[Stk]</v>
      </c>
      <c r="F143" s="60" t="s">
        <v>21932</v>
      </c>
      <c r="G143" s="514" t="str">
        <f>VLOOKUP(2139,Sprachindex!$A:$Z,Erhebungsbogen!$Y$20,FALSE) &amp; " ( " &amp;Preisliste!H123 &amp; " " &amp; VLOOKUP(1744,Sprachindex!$A:$Z,Erhebungsbogen!$Y$20,FALSE) &amp; ")"</f>
        <v>Rundprofil 80-Vario 15° exkl. Dichtung, gebohrt und entgratet ( 33,236 kg/Stk)</v>
      </c>
      <c r="H143" s="514"/>
      <c r="I143" s="514"/>
      <c r="J143" s="514"/>
      <c r="K143" s="514"/>
      <c r="L143" s="514"/>
      <c r="M143" s="514"/>
      <c r="N143" s="514"/>
      <c r="O143" s="514"/>
      <c r="P143" s="514"/>
      <c r="Q143" s="514"/>
      <c r="R143" s="514"/>
      <c r="S143" s="514"/>
      <c r="T143" s="514"/>
      <c r="U143" s="352">
        <f>VLOOKUP(F143,Preisliste!C:F,4,FALSE)</f>
        <v>937.8</v>
      </c>
      <c r="V143" s="352">
        <f t="shared" si="28"/>
        <v>0</v>
      </c>
      <c r="W143" s="86"/>
      <c r="X143" s="86"/>
      <c r="Y143" s="86"/>
      <c r="Z143" s="86"/>
      <c r="AA143" s="86"/>
      <c r="AB143" s="86"/>
      <c r="AC143" s="86"/>
      <c r="AD143" s="86"/>
      <c r="AE143" s="86"/>
      <c r="AF143" s="86"/>
      <c r="AG143" s="55">
        <f t="shared" si="27"/>
        <v>0</v>
      </c>
      <c r="AH143" s="66">
        <f>IF(Kalk5!$AA$19=4,1,0)</f>
        <v>0</v>
      </c>
      <c r="AI143" s="55">
        <v>80</v>
      </c>
      <c r="AK143" s="55" t="s">
        <v>22079</v>
      </c>
      <c r="AP143" s="66">
        <f>IF(AND(Kalk5!$O$21&gt;0,Kalk5!$N$21="15°"),Kalk5!$O$21,0)</f>
        <v>0</v>
      </c>
      <c r="AQ143" s="55" t="s">
        <v>22087</v>
      </c>
      <c r="AT143" s="55" t="s">
        <v>22079</v>
      </c>
      <c r="AU143" s="66">
        <f>IF(Kalk5!$AI$51=AV143,1,0)</f>
        <v>0</v>
      </c>
      <c r="AV143" s="55">
        <v>1750</v>
      </c>
      <c r="AX143" s="55" t="s">
        <v>22100</v>
      </c>
      <c r="AY143" s="66">
        <f>AP143*Kalk5!$H$37</f>
        <v>0</v>
      </c>
      <c r="AZ143" s="55" t="s">
        <v>20872</v>
      </c>
    </row>
    <row r="144" spans="2:52" ht="24.95" customHeight="1">
      <c r="B144" s="93">
        <f t="shared" si="26"/>
        <v>0</v>
      </c>
      <c r="C144" s="60">
        <v>2150</v>
      </c>
      <c r="D144" s="60"/>
      <c r="E144" s="60" t="str">
        <f>VLOOKUP(1600,Sprachindex!$A:$Z,Erhebungsbogen!$Y$20,FALSE)</f>
        <v>[Stk]</v>
      </c>
      <c r="F144" s="60" t="s">
        <v>21933</v>
      </c>
      <c r="G144" s="514" t="str">
        <f>VLOOKUP(2139,Sprachindex!$A:$Z,Erhebungsbogen!$Y$20,FALSE) &amp; " ( " &amp;Preisliste!H124 &amp; " " &amp; VLOOKUP(1744,Sprachindex!$A:$Z,Erhebungsbogen!$Y$20,FALSE) &amp; ")"</f>
        <v>Rundprofil 80-Vario 15° exkl. Dichtung, gebohrt und entgratet ( 40,833 kg/Stk)</v>
      </c>
      <c r="H144" s="514"/>
      <c r="I144" s="514"/>
      <c r="J144" s="514"/>
      <c r="K144" s="514"/>
      <c r="L144" s="514"/>
      <c r="M144" s="514"/>
      <c r="N144" s="514"/>
      <c r="O144" s="514"/>
      <c r="P144" s="514"/>
      <c r="Q144" s="514"/>
      <c r="R144" s="514"/>
      <c r="S144" s="514"/>
      <c r="T144" s="514"/>
      <c r="U144" s="352">
        <f>VLOOKUP(F144,Preisliste!C:F,4,FALSE)</f>
        <v>1061.5</v>
      </c>
      <c r="V144" s="352">
        <f t="shared" si="28"/>
        <v>0</v>
      </c>
      <c r="W144" s="86"/>
      <c r="X144" s="86"/>
      <c r="Y144" s="86"/>
      <c r="Z144" s="86"/>
      <c r="AA144" s="86"/>
      <c r="AB144" s="86"/>
      <c r="AC144" s="86"/>
      <c r="AD144" s="86"/>
      <c r="AE144" s="86"/>
      <c r="AF144" s="86"/>
      <c r="AG144" s="55">
        <f t="shared" si="27"/>
        <v>0</v>
      </c>
      <c r="AH144" s="66">
        <f>IF(Kalk5!$AA$19=4,1,0)</f>
        <v>0</v>
      </c>
      <c r="AI144" s="55">
        <v>80</v>
      </c>
      <c r="AK144" s="55" t="s">
        <v>22079</v>
      </c>
      <c r="AP144" s="66">
        <f>IF(AND(Kalk5!$O$21&gt;0,Kalk5!$N$21="15°"),Kalk5!$O$21,0)</f>
        <v>0</v>
      </c>
      <c r="AQ144" s="55" t="s">
        <v>22087</v>
      </c>
      <c r="AT144" s="55" t="s">
        <v>22079</v>
      </c>
      <c r="AU144" s="66">
        <f>IF(Kalk5!$AI$51=AV144,1,0)</f>
        <v>0</v>
      </c>
      <c r="AV144" s="55">
        <v>2150</v>
      </c>
      <c r="AX144" s="55" t="s">
        <v>22100</v>
      </c>
      <c r="AY144" s="66">
        <f>AP144*Kalk5!$H$37</f>
        <v>0</v>
      </c>
      <c r="AZ144" s="55" t="s">
        <v>20872</v>
      </c>
    </row>
    <row r="145" spans="2:55" ht="24.95" customHeight="1">
      <c r="B145" s="93">
        <f t="shared" si="26"/>
        <v>0</v>
      </c>
      <c r="C145" s="60">
        <f>IF(AG145=1,AW145,0)</f>
        <v>0</v>
      </c>
      <c r="D145" s="60"/>
      <c r="E145" s="60" t="str">
        <f>VLOOKUP(1600,Sprachindex!$A:$Z,Erhebungsbogen!$Y$20,FALSE)</f>
        <v>[Stk]</v>
      </c>
      <c r="F145" s="60" t="s">
        <v>21826</v>
      </c>
      <c r="G145" s="514" t="str">
        <f>VLOOKUP(2140,Sprachindex!$A:$Z,Erhebungsbogen!$Y$20,FALSE) &amp; " (" &amp; ROUNDUP(C145/1000*Preisliste!I125,2) &amp; " " &amp; VLOOKUP(1744,Sprachindex!$A:$Z,Erhebungsbogen!$Y$20,FALSE) &amp; ")"</f>
        <v>Rundprofil 80-Vario 15° Sonderlänge exkl. Dichtung, (Stangenware) (0 kg/Stk)</v>
      </c>
      <c r="H145" s="514"/>
      <c r="I145" s="514"/>
      <c r="J145" s="514"/>
      <c r="K145" s="514"/>
      <c r="L145" s="514"/>
      <c r="M145" s="514"/>
      <c r="N145" s="514"/>
      <c r="O145" s="514"/>
      <c r="P145" s="514"/>
      <c r="Q145" s="514"/>
      <c r="R145" s="514"/>
      <c r="S145" s="514"/>
      <c r="T145" s="514"/>
      <c r="U145" s="354">
        <f>VLOOKUP(F145,Preisliste!C:F,4,FALSE)</f>
        <v>0</v>
      </c>
      <c r="V145" s="352">
        <f t="shared" si="28"/>
        <v>0</v>
      </c>
      <c r="W145" s="86"/>
      <c r="X145" s="86"/>
      <c r="Y145" s="86"/>
      <c r="Z145" s="86"/>
      <c r="AA145" s="86"/>
      <c r="AB145" s="86"/>
      <c r="AC145" s="86"/>
      <c r="AD145" s="86"/>
      <c r="AE145" s="86"/>
      <c r="AF145" s="86"/>
      <c r="AG145" s="55">
        <f t="shared" si="27"/>
        <v>0</v>
      </c>
      <c r="AH145" s="66">
        <f>IF(Kalk5!$AA$19=4,1,0)</f>
        <v>0</v>
      </c>
      <c r="AI145" s="55">
        <v>80</v>
      </c>
      <c r="AK145" s="55" t="s">
        <v>22079</v>
      </c>
      <c r="AP145" s="66">
        <f>IF(AND(Kalk5!$O$21&gt;0,Kalk5!$N$21="15°"),Kalk5!$O$21,0)</f>
        <v>0</v>
      </c>
      <c r="AQ145" s="55" t="s">
        <v>22087</v>
      </c>
      <c r="AT145" s="55" t="s">
        <v>22079</v>
      </c>
      <c r="AU145" s="66">
        <f>IF(Kalk5!$AH$52&gt;AV145,1,0)</f>
        <v>0</v>
      </c>
      <c r="AV145" s="55">
        <v>2150</v>
      </c>
      <c r="AW145" s="66">
        <f>Kalk5!$AH$52</f>
        <v>0</v>
      </c>
      <c r="AX145" s="55" t="s">
        <v>22100</v>
      </c>
      <c r="AY145" s="66">
        <f>AP145*Kalk5!$H$37</f>
        <v>0</v>
      </c>
      <c r="AZ145" s="55" t="s">
        <v>20872</v>
      </c>
    </row>
    <row r="146" spans="2:55" ht="24.95" customHeight="1">
      <c r="B146" s="93">
        <f t="shared" si="26"/>
        <v>0</v>
      </c>
      <c r="C146" s="60">
        <v>750</v>
      </c>
      <c r="D146" s="60"/>
      <c r="E146" s="60" t="str">
        <f>VLOOKUP(1600,Sprachindex!$A:$Z,Erhebungsbogen!$Y$20,FALSE)</f>
        <v>[Stk]</v>
      </c>
      <c r="F146" s="60" t="s">
        <v>21989</v>
      </c>
      <c r="G146" s="514" t="str">
        <f>VLOOKUP(2141,Sprachindex!$A:$Z,Erhebungsbogen!$Y$20,FALSE) &amp; " ( " &amp;Preisliste!H126 &amp; " " &amp; VLOOKUP(1744,Sprachindex!$A:$Z,Erhebungsbogen!$Y$20,FALSE) &amp; ")"</f>
        <v>Rundprofil 80-Vario 30° exkl. Dichtung, gebohrt und entgratet ( 15,167 kg/Stk)</v>
      </c>
      <c r="H146" s="514"/>
      <c r="I146" s="514"/>
      <c r="J146" s="514"/>
      <c r="K146" s="514"/>
      <c r="L146" s="514"/>
      <c r="M146" s="514"/>
      <c r="N146" s="514"/>
      <c r="O146" s="514"/>
      <c r="P146" s="514"/>
      <c r="Q146" s="514"/>
      <c r="R146" s="514"/>
      <c r="S146" s="514"/>
      <c r="T146" s="514"/>
      <c r="U146" s="352">
        <f>VLOOKUP(F146,Preisliste!C:F,4,FALSE)</f>
        <v>628.54999999999995</v>
      </c>
      <c r="V146" s="352">
        <f t="shared" si="28"/>
        <v>0</v>
      </c>
      <c r="W146" s="86"/>
      <c r="X146" s="86"/>
      <c r="Y146" s="86"/>
      <c r="Z146" s="86"/>
      <c r="AA146" s="86"/>
      <c r="AB146" s="86"/>
      <c r="AC146" s="86"/>
      <c r="AD146" s="86"/>
      <c r="AE146" s="86"/>
      <c r="AF146" s="86"/>
      <c r="AG146" s="55">
        <f t="shared" si="27"/>
        <v>0</v>
      </c>
      <c r="AH146" s="66">
        <f>IF(Kalk5!$AA$19=4,1,0)</f>
        <v>0</v>
      </c>
      <c r="AI146" s="55">
        <v>80</v>
      </c>
      <c r="AK146" s="55" t="s">
        <v>22079</v>
      </c>
      <c r="AP146" s="66">
        <f>IF(AND(Kalk5!$O$21&gt;0,Kalk5!$N$21="30°"),Kalk5!$O$21,0)</f>
        <v>0</v>
      </c>
      <c r="AQ146" s="55" t="s">
        <v>22088</v>
      </c>
      <c r="AT146" s="55" t="s">
        <v>22079</v>
      </c>
      <c r="AU146" s="66">
        <f>IF(Kalk5!$AI$51=$AV$91,1,0)</f>
        <v>1</v>
      </c>
      <c r="AV146" s="55">
        <v>750</v>
      </c>
      <c r="AX146" s="55" t="s">
        <v>22100</v>
      </c>
      <c r="AY146" s="66">
        <f>AP146*Kalk5!$H$37</f>
        <v>0</v>
      </c>
      <c r="AZ146" s="55" t="s">
        <v>20872</v>
      </c>
    </row>
    <row r="147" spans="2:55" ht="24.95" customHeight="1">
      <c r="B147" s="93">
        <f t="shared" si="26"/>
        <v>0</v>
      </c>
      <c r="C147" s="60">
        <v>1350</v>
      </c>
      <c r="D147" s="60"/>
      <c r="E147" s="60" t="str">
        <f>VLOOKUP(1600,Sprachindex!$A:$Z,Erhebungsbogen!$Y$20,FALSE)</f>
        <v>[Stk]</v>
      </c>
      <c r="F147" s="60" t="s">
        <v>21990</v>
      </c>
      <c r="G147" s="514" t="str">
        <f>VLOOKUP(2141,Sprachindex!$A:$Z,Erhebungsbogen!$Y$20,FALSE) &amp; " ( " &amp;Preisliste!H127 &amp; " " &amp; VLOOKUP(1744,Sprachindex!$A:$Z,Erhebungsbogen!$Y$20,FALSE) &amp; ")"</f>
        <v>Rundprofil 80-Vario 30° exkl. Dichtung, gebohrt und entgratet ( 27,301 kg/Stk)</v>
      </c>
      <c r="H147" s="514"/>
      <c r="I147" s="514"/>
      <c r="J147" s="514"/>
      <c r="K147" s="514"/>
      <c r="L147" s="514"/>
      <c r="M147" s="514"/>
      <c r="N147" s="514"/>
      <c r="O147" s="514"/>
      <c r="P147" s="514"/>
      <c r="Q147" s="514"/>
      <c r="R147" s="514"/>
      <c r="S147" s="514"/>
      <c r="T147" s="514"/>
      <c r="U147" s="352">
        <f>VLOOKUP(F147,Preisliste!C:F,4,FALSE)</f>
        <v>814.15</v>
      </c>
      <c r="V147" s="352">
        <f t="shared" si="28"/>
        <v>0</v>
      </c>
      <c r="W147" s="86"/>
      <c r="X147" s="86"/>
      <c r="Y147" s="86"/>
      <c r="Z147" s="86"/>
      <c r="AA147" s="86"/>
      <c r="AB147" s="86"/>
      <c r="AC147" s="86"/>
      <c r="AD147" s="86"/>
      <c r="AE147" s="86"/>
      <c r="AF147" s="86"/>
      <c r="AG147" s="55">
        <f t="shared" si="27"/>
        <v>0</v>
      </c>
      <c r="AH147" s="66">
        <f>IF(Kalk5!$AA$19=4,1,0)</f>
        <v>0</v>
      </c>
      <c r="AI147" s="55">
        <v>80</v>
      </c>
      <c r="AK147" s="55" t="s">
        <v>22079</v>
      </c>
      <c r="AP147" s="66">
        <f>IF(AND(Kalk5!$O$21&gt;0,Kalk5!$N$21="30°"),Kalk5!$O$21,0)</f>
        <v>0</v>
      </c>
      <c r="AQ147" s="55" t="s">
        <v>22088</v>
      </c>
      <c r="AT147" s="55" t="s">
        <v>22079</v>
      </c>
      <c r="AU147" s="66">
        <f>IF(Kalk5!$AI$51=AV147,1,0)</f>
        <v>0</v>
      </c>
      <c r="AV147" s="55">
        <v>1350</v>
      </c>
      <c r="AX147" s="55" t="s">
        <v>22100</v>
      </c>
      <c r="AY147" s="66">
        <f>AP147*Kalk5!$H$37</f>
        <v>0</v>
      </c>
      <c r="AZ147" s="55" t="s">
        <v>20872</v>
      </c>
    </row>
    <row r="148" spans="2:55" ht="24.95" customHeight="1">
      <c r="B148" s="93">
        <f t="shared" si="26"/>
        <v>0</v>
      </c>
      <c r="C148" s="60">
        <v>1750</v>
      </c>
      <c r="D148" s="60"/>
      <c r="E148" s="60" t="str">
        <f>VLOOKUP(1600,Sprachindex!$A:$Z,Erhebungsbogen!$Y$20,FALSE)</f>
        <v>[Stk]</v>
      </c>
      <c r="F148" s="60" t="s">
        <v>21991</v>
      </c>
      <c r="G148" s="514" t="str">
        <f>VLOOKUP(2141,Sprachindex!$A:$Z,Erhebungsbogen!$Y$20,FALSE) &amp; " ( " &amp;Preisliste!H128 &amp; " " &amp; VLOOKUP(1744,Sprachindex!$A:$Z,Erhebungsbogen!$Y$20,FALSE) &amp; ")"</f>
        <v>Rundprofil 80-Vario 30° exkl. Dichtung, gebohrt und entgratet ( 35,39 kg/Stk)</v>
      </c>
      <c r="H148" s="514"/>
      <c r="I148" s="514"/>
      <c r="J148" s="514"/>
      <c r="K148" s="514"/>
      <c r="L148" s="514"/>
      <c r="M148" s="514"/>
      <c r="N148" s="514"/>
      <c r="O148" s="514"/>
      <c r="P148" s="514"/>
      <c r="Q148" s="514"/>
      <c r="R148" s="514"/>
      <c r="S148" s="514"/>
      <c r="T148" s="514"/>
      <c r="U148" s="352">
        <f>VLOOKUP(F148,Preisliste!C:F,4,FALSE)</f>
        <v>937.8</v>
      </c>
      <c r="V148" s="352">
        <f t="shared" si="28"/>
        <v>0</v>
      </c>
      <c r="W148" s="86"/>
      <c r="X148" s="86"/>
      <c r="Y148" s="86"/>
      <c r="Z148" s="86"/>
      <c r="AA148" s="86"/>
      <c r="AB148" s="86"/>
      <c r="AC148" s="86"/>
      <c r="AD148" s="86"/>
      <c r="AE148" s="86"/>
      <c r="AF148" s="86"/>
      <c r="AG148" s="55">
        <f t="shared" si="27"/>
        <v>0</v>
      </c>
      <c r="AH148" s="66">
        <f>IF(Kalk5!$AA$19=4,1,0)</f>
        <v>0</v>
      </c>
      <c r="AI148" s="55">
        <v>80</v>
      </c>
      <c r="AK148" s="55" t="s">
        <v>22079</v>
      </c>
      <c r="AP148" s="66">
        <f>IF(AND(Kalk5!$O$21&gt;0,Kalk5!$N$21="30°"),Kalk5!$O$21,0)</f>
        <v>0</v>
      </c>
      <c r="AQ148" s="55" t="s">
        <v>22088</v>
      </c>
      <c r="AT148" s="55" t="s">
        <v>22079</v>
      </c>
      <c r="AU148" s="66">
        <f>IF(Kalk5!$AI$51=AV148,1,0)</f>
        <v>0</v>
      </c>
      <c r="AV148" s="55">
        <v>1750</v>
      </c>
      <c r="AX148" s="55" t="s">
        <v>22100</v>
      </c>
      <c r="AY148" s="66">
        <f>AP148*Kalk5!$H$37</f>
        <v>0</v>
      </c>
      <c r="AZ148" s="55" t="s">
        <v>20872</v>
      </c>
    </row>
    <row r="149" spans="2:55" ht="24.95" customHeight="1">
      <c r="B149" s="93">
        <f t="shared" si="26"/>
        <v>0</v>
      </c>
      <c r="C149" s="60">
        <v>2150</v>
      </c>
      <c r="D149" s="60"/>
      <c r="E149" s="60" t="str">
        <f>VLOOKUP(1600,Sprachindex!$A:$Z,Erhebungsbogen!$Y$20,FALSE)</f>
        <v>[Stk]</v>
      </c>
      <c r="F149" s="60" t="s">
        <v>21992</v>
      </c>
      <c r="G149" s="514" t="str">
        <f>VLOOKUP(2141,Sprachindex!$A:$Z,Erhebungsbogen!$Y$20,FALSE) &amp; " ( " &amp;Preisliste!H129 &amp; " " &amp; VLOOKUP(1744,Sprachindex!$A:$Z,Erhebungsbogen!$Y$20,FALSE) &amp; ")"</f>
        <v>Rundprofil 80-Vario 30° exkl. Dichtung, gebohrt und entgratet ( 43,479 kg/Stk)</v>
      </c>
      <c r="H149" s="514"/>
      <c r="I149" s="514"/>
      <c r="J149" s="514"/>
      <c r="K149" s="514"/>
      <c r="L149" s="514"/>
      <c r="M149" s="514"/>
      <c r="N149" s="514"/>
      <c r="O149" s="514"/>
      <c r="P149" s="514"/>
      <c r="Q149" s="514"/>
      <c r="R149" s="514"/>
      <c r="S149" s="514"/>
      <c r="T149" s="514"/>
      <c r="U149" s="352">
        <f>VLOOKUP(F149,Preisliste!C:F,4,FALSE)</f>
        <v>1061.5</v>
      </c>
      <c r="V149" s="352">
        <f t="shared" si="28"/>
        <v>0</v>
      </c>
      <c r="W149" s="86"/>
      <c r="X149" s="86"/>
      <c r="Y149" s="86"/>
      <c r="Z149" s="86"/>
      <c r="AA149" s="86"/>
      <c r="AB149" s="86"/>
      <c r="AC149" s="86"/>
      <c r="AD149" s="86"/>
      <c r="AE149" s="86"/>
      <c r="AF149" s="86"/>
      <c r="AG149" s="55">
        <f t="shared" si="27"/>
        <v>0</v>
      </c>
      <c r="AH149" s="66">
        <f>IF(Kalk5!$AA$19=4,1,0)</f>
        <v>0</v>
      </c>
      <c r="AI149" s="55">
        <v>80</v>
      </c>
      <c r="AK149" s="55" t="s">
        <v>22079</v>
      </c>
      <c r="AP149" s="66">
        <f>IF(AND(Kalk5!$O$21&gt;0,Kalk5!$N$21="30°"),Kalk5!$O$21,0)</f>
        <v>0</v>
      </c>
      <c r="AQ149" s="55" t="s">
        <v>22088</v>
      </c>
      <c r="AT149" s="55" t="s">
        <v>22079</v>
      </c>
      <c r="AU149" s="66">
        <f>IF(Kalk5!$AI$51=AV149,1,0)</f>
        <v>0</v>
      </c>
      <c r="AV149" s="55">
        <v>2150</v>
      </c>
      <c r="AX149" s="55" t="s">
        <v>22100</v>
      </c>
      <c r="AY149" s="66">
        <f>AP149*Kalk5!$H$37</f>
        <v>0</v>
      </c>
      <c r="AZ149" s="55" t="s">
        <v>20872</v>
      </c>
    </row>
    <row r="150" spans="2:55" ht="24.95" customHeight="1">
      <c r="B150" s="93">
        <f t="shared" si="26"/>
        <v>0</v>
      </c>
      <c r="C150" s="60">
        <f>IF(AG150=1,AW150,0)</f>
        <v>0</v>
      </c>
      <c r="D150" s="60"/>
      <c r="E150" s="60" t="str">
        <f>VLOOKUP(1600,Sprachindex!$A:$Z,Erhebungsbogen!$Y$20,FALSE)</f>
        <v>[Stk]</v>
      </c>
      <c r="F150" s="60" t="s">
        <v>21826</v>
      </c>
      <c r="G150" s="514" t="str">
        <f>VLOOKUP(2142,Sprachindex!$A:$Z,Erhebungsbogen!$Y$20,FALSE) &amp; " (" &amp; ROUNDUP(C150/1000*Preisliste!I130,2) &amp; " " &amp; VLOOKUP(1744,Sprachindex!$A:$Z,Erhebungsbogen!$Y$20,FALSE) &amp; ")"</f>
        <v>Rundprofil 80-Vario 30° Sonderlänge exkl. Dichtung, (Stangenware) (0 kg/Stk)</v>
      </c>
      <c r="H150" s="514"/>
      <c r="I150" s="514"/>
      <c r="J150" s="514"/>
      <c r="K150" s="514"/>
      <c r="L150" s="514"/>
      <c r="M150" s="514"/>
      <c r="N150" s="514"/>
      <c r="O150" s="514"/>
      <c r="P150" s="514"/>
      <c r="Q150" s="514"/>
      <c r="R150" s="514"/>
      <c r="S150" s="514"/>
      <c r="T150" s="514"/>
      <c r="U150" s="354">
        <f>VLOOKUP(F150,Preisliste!C:F,4,FALSE)</f>
        <v>0</v>
      </c>
      <c r="V150" s="352">
        <f t="shared" si="28"/>
        <v>0</v>
      </c>
      <c r="W150" s="86"/>
      <c r="X150" s="86"/>
      <c r="Y150" s="86"/>
      <c r="Z150" s="86"/>
      <c r="AA150" s="86"/>
      <c r="AB150" s="86"/>
      <c r="AC150" s="86"/>
      <c r="AD150" s="86"/>
      <c r="AE150" s="86"/>
      <c r="AF150" s="86"/>
      <c r="AG150" s="55">
        <f t="shared" si="27"/>
        <v>0</v>
      </c>
      <c r="AH150" s="66">
        <f>IF(Kalk5!$AA$19=4,1,0)</f>
        <v>0</v>
      </c>
      <c r="AI150" s="55">
        <v>80</v>
      </c>
      <c r="AK150" s="55" t="s">
        <v>22079</v>
      </c>
      <c r="AP150" s="66">
        <f>IF(AND(Kalk5!$O$21&gt;0,Kalk5!$N$21="30°"),Kalk5!$O$21,0)</f>
        <v>0</v>
      </c>
      <c r="AQ150" s="55" t="s">
        <v>22088</v>
      </c>
      <c r="AT150" s="55" t="s">
        <v>22079</v>
      </c>
      <c r="AU150" s="66">
        <f>IF(Kalk5!$AH$52&gt;AV150,1,0)</f>
        <v>0</v>
      </c>
      <c r="AV150" s="55">
        <v>2150</v>
      </c>
      <c r="AW150" s="66">
        <f>Kalk5!$AH$52</f>
        <v>0</v>
      </c>
      <c r="AX150" s="55" t="s">
        <v>22100</v>
      </c>
      <c r="AY150" s="66">
        <f>AP150*Kalk5!$H$37</f>
        <v>0</v>
      </c>
      <c r="AZ150" s="55" t="s">
        <v>20872</v>
      </c>
    </row>
    <row r="151" spans="2:55" ht="24.95" customHeight="1">
      <c r="B151" s="93">
        <f t="shared" si="26"/>
        <v>0</v>
      </c>
      <c r="C151" s="60">
        <v>750</v>
      </c>
      <c r="D151" s="60"/>
      <c r="E151" s="60" t="str">
        <f>VLOOKUP(1600,Sprachindex!$A:$Z,Erhebungsbogen!$Y$20,FALSE)</f>
        <v>[Stk]</v>
      </c>
      <c r="F151" s="60" t="s">
        <v>21993</v>
      </c>
      <c r="G151" s="514" t="str">
        <f>VLOOKUP(2143,Sprachindex!$A:$Z,Erhebungsbogen!$Y$20,FALSE) &amp; " ( " &amp;Preisliste!H131 &amp; " " &amp; VLOOKUP(1744,Sprachindex!$A:$Z,Erhebungsbogen!$Y$20,FALSE) &amp; ")"</f>
        <v>Rundprofil 80-Vario 45° exkl. Dichtung, gebohrt und entgratet ( 15,167 kg/Stk)</v>
      </c>
      <c r="H151" s="514"/>
      <c r="I151" s="514"/>
      <c r="J151" s="514"/>
      <c r="K151" s="514"/>
      <c r="L151" s="514"/>
      <c r="M151" s="514"/>
      <c r="N151" s="514"/>
      <c r="O151" s="514"/>
      <c r="P151" s="514"/>
      <c r="Q151" s="514"/>
      <c r="R151" s="514"/>
      <c r="S151" s="514"/>
      <c r="T151" s="514"/>
      <c r="U151" s="352">
        <f>VLOOKUP(F151,Preisliste!C:F,4,FALSE)</f>
        <v>628.54999999999995</v>
      </c>
      <c r="V151" s="352">
        <f t="shared" si="28"/>
        <v>0</v>
      </c>
      <c r="W151" s="86"/>
      <c r="X151" s="86"/>
      <c r="Y151" s="86"/>
      <c r="Z151" s="86"/>
      <c r="AA151" s="86"/>
      <c r="AB151" s="86"/>
      <c r="AC151" s="86"/>
      <c r="AD151" s="86"/>
      <c r="AE151" s="86"/>
      <c r="AF151" s="86"/>
      <c r="AG151" s="55">
        <f t="shared" si="27"/>
        <v>0</v>
      </c>
      <c r="AH151" s="66">
        <f>IF(Kalk5!$AA$19=4,1,0)</f>
        <v>0</v>
      </c>
      <c r="AI151" s="55">
        <v>80</v>
      </c>
      <c r="AK151" s="55" t="s">
        <v>22079</v>
      </c>
      <c r="AP151" s="66">
        <f>IF(AND(Kalk5!$O$21&gt;0,Kalk5!$N$21="45°"),Kalk5!$O$21,0)</f>
        <v>0</v>
      </c>
      <c r="AQ151" s="55" t="s">
        <v>22089</v>
      </c>
      <c r="AT151" s="55" t="s">
        <v>22079</v>
      </c>
      <c r="AU151" s="66">
        <f>IF(Kalk5!$AI$51=$AV$91,1,0)</f>
        <v>1</v>
      </c>
      <c r="AV151" s="55">
        <v>750</v>
      </c>
      <c r="AX151" s="55" t="s">
        <v>22100</v>
      </c>
      <c r="AY151" s="66">
        <f>AP151*Kalk5!$H$37</f>
        <v>0</v>
      </c>
      <c r="AZ151" s="55" t="s">
        <v>20872</v>
      </c>
    </row>
    <row r="152" spans="2:55" ht="24.95" customHeight="1">
      <c r="B152" s="93">
        <f t="shared" si="26"/>
        <v>0</v>
      </c>
      <c r="C152" s="60">
        <v>1350</v>
      </c>
      <c r="D152" s="60"/>
      <c r="E152" s="60" t="str">
        <f>VLOOKUP(1600,Sprachindex!$A:$Z,Erhebungsbogen!$Y$20,FALSE)</f>
        <v>[Stk]</v>
      </c>
      <c r="F152" s="60" t="s">
        <v>21994</v>
      </c>
      <c r="G152" s="514" t="str">
        <f>VLOOKUP(2143,Sprachindex!$A:$Z,Erhebungsbogen!$Y$20,FALSE) &amp; " ( " &amp;Preisliste!H132 &amp; " " &amp; VLOOKUP(1744,Sprachindex!$A:$Z,Erhebungsbogen!$Y$20,FALSE) &amp; ")"</f>
        <v>Rundprofil 80-Vario 45° exkl. Dichtung, gebohrt und entgratet ( 27,301 kg/Stk)</v>
      </c>
      <c r="H152" s="514"/>
      <c r="I152" s="514"/>
      <c r="J152" s="514"/>
      <c r="K152" s="514"/>
      <c r="L152" s="514"/>
      <c r="M152" s="514"/>
      <c r="N152" s="514"/>
      <c r="O152" s="514"/>
      <c r="P152" s="514"/>
      <c r="Q152" s="514"/>
      <c r="R152" s="514"/>
      <c r="S152" s="514"/>
      <c r="T152" s="514"/>
      <c r="U152" s="352">
        <f>VLOOKUP(F152,Preisliste!C:F,4,FALSE)</f>
        <v>814.15</v>
      </c>
      <c r="V152" s="352">
        <f t="shared" si="28"/>
        <v>0</v>
      </c>
      <c r="W152" s="86"/>
      <c r="X152" s="86"/>
      <c r="Y152" s="86"/>
      <c r="Z152" s="86"/>
      <c r="AA152" s="86"/>
      <c r="AB152" s="86"/>
      <c r="AC152" s="86"/>
      <c r="AD152" s="86"/>
      <c r="AE152" s="86"/>
      <c r="AF152" s="86"/>
      <c r="AG152" s="55">
        <f t="shared" si="27"/>
        <v>0</v>
      </c>
      <c r="AH152" s="66">
        <f>IF(Kalk5!$AA$19=4,1,0)</f>
        <v>0</v>
      </c>
      <c r="AI152" s="55">
        <v>80</v>
      </c>
      <c r="AK152" s="55" t="s">
        <v>22079</v>
      </c>
      <c r="AP152" s="66">
        <f>IF(AND(Kalk5!$O$21&gt;0,Kalk5!$N$21="45°"),Kalk5!$O$21,0)</f>
        <v>0</v>
      </c>
      <c r="AQ152" s="55" t="s">
        <v>22089</v>
      </c>
      <c r="AT152" s="55" t="s">
        <v>22079</v>
      </c>
      <c r="AU152" s="66">
        <f>IF(Kalk5!$AI$51=AV152,1,0)</f>
        <v>0</v>
      </c>
      <c r="AV152" s="55">
        <v>1350</v>
      </c>
      <c r="AX152" s="55" t="s">
        <v>22100</v>
      </c>
      <c r="AY152" s="66">
        <f>AP152*Kalk5!$H$37</f>
        <v>0</v>
      </c>
      <c r="AZ152" s="55" t="s">
        <v>20872</v>
      </c>
    </row>
    <row r="153" spans="2:55" ht="24.95" customHeight="1">
      <c r="B153" s="93">
        <f t="shared" si="26"/>
        <v>0</v>
      </c>
      <c r="C153" s="60">
        <v>1750</v>
      </c>
      <c r="D153" s="60"/>
      <c r="E153" s="60" t="str">
        <f>VLOOKUP(1600,Sprachindex!$A:$Z,Erhebungsbogen!$Y$20,FALSE)</f>
        <v>[Stk]</v>
      </c>
      <c r="F153" s="60" t="s">
        <v>21995</v>
      </c>
      <c r="G153" s="514" t="str">
        <f>VLOOKUP(2143,Sprachindex!$A:$Z,Erhebungsbogen!$Y$20,FALSE) &amp; " ( " &amp;Preisliste!H133 &amp; " " &amp; VLOOKUP(1744,Sprachindex!$A:$Z,Erhebungsbogen!$Y$20,FALSE) &amp; ")"</f>
        <v>Rundprofil 80-Vario 45° exkl. Dichtung, gebohrt und entgratet ( 35,39 kg/Stk)</v>
      </c>
      <c r="H153" s="514"/>
      <c r="I153" s="514"/>
      <c r="J153" s="514"/>
      <c r="K153" s="514"/>
      <c r="L153" s="514"/>
      <c r="M153" s="514"/>
      <c r="N153" s="514"/>
      <c r="O153" s="514"/>
      <c r="P153" s="514"/>
      <c r="Q153" s="514"/>
      <c r="R153" s="514"/>
      <c r="S153" s="514"/>
      <c r="T153" s="514"/>
      <c r="U153" s="352">
        <f>VLOOKUP(F153,Preisliste!C:F,4,FALSE)</f>
        <v>937.8</v>
      </c>
      <c r="V153" s="352">
        <f t="shared" si="28"/>
        <v>0</v>
      </c>
      <c r="W153" s="86"/>
      <c r="X153" s="86"/>
      <c r="Y153" s="86"/>
      <c r="Z153" s="86"/>
      <c r="AA153" s="86"/>
      <c r="AB153" s="86"/>
      <c r="AC153" s="86"/>
      <c r="AD153" s="86"/>
      <c r="AE153" s="86"/>
      <c r="AF153" s="86"/>
      <c r="AG153" s="55">
        <f t="shared" si="27"/>
        <v>0</v>
      </c>
      <c r="AH153" s="66">
        <f>IF(Kalk5!$AA$19=4,1,0)</f>
        <v>0</v>
      </c>
      <c r="AI153" s="55">
        <v>80</v>
      </c>
      <c r="AK153" s="55" t="s">
        <v>22079</v>
      </c>
      <c r="AP153" s="66">
        <f>IF(AND(Kalk5!$O$21&gt;0,Kalk5!$N$21="45°"),Kalk5!$O$21,0)</f>
        <v>0</v>
      </c>
      <c r="AQ153" s="55" t="s">
        <v>22089</v>
      </c>
      <c r="AT153" s="55" t="s">
        <v>22079</v>
      </c>
      <c r="AU153" s="66">
        <f>IF(Kalk5!$AI$51=AV153,1,0)</f>
        <v>0</v>
      </c>
      <c r="AV153" s="55">
        <v>1750</v>
      </c>
      <c r="AX153" s="55" t="s">
        <v>22100</v>
      </c>
      <c r="AY153" s="66">
        <f>AP153*Kalk5!$H$37</f>
        <v>0</v>
      </c>
      <c r="AZ153" s="55" t="s">
        <v>20872</v>
      </c>
    </row>
    <row r="154" spans="2:55" ht="24.95" customHeight="1">
      <c r="B154" s="93">
        <f t="shared" si="26"/>
        <v>0</v>
      </c>
      <c r="C154" s="60">
        <v>2150</v>
      </c>
      <c r="D154" s="60"/>
      <c r="E154" s="60" t="str">
        <f>VLOOKUP(1600,Sprachindex!$A:$Z,Erhebungsbogen!$Y$20,FALSE)</f>
        <v>[Stk]</v>
      </c>
      <c r="F154" s="60" t="s">
        <v>21996</v>
      </c>
      <c r="G154" s="514" t="str">
        <f>VLOOKUP(2143,Sprachindex!$A:$Z,Erhebungsbogen!$Y$20,FALSE) &amp; " ( " &amp;Preisliste!H134 &amp; " " &amp; VLOOKUP(1744,Sprachindex!$A:$Z,Erhebungsbogen!$Y$20,FALSE) &amp; ")"</f>
        <v>Rundprofil 80-Vario 45° exkl. Dichtung, gebohrt und entgratet ( 43,479 kg/Stk)</v>
      </c>
      <c r="H154" s="514"/>
      <c r="I154" s="514"/>
      <c r="J154" s="514"/>
      <c r="K154" s="514"/>
      <c r="L154" s="514"/>
      <c r="M154" s="514"/>
      <c r="N154" s="514"/>
      <c r="O154" s="514"/>
      <c r="P154" s="514"/>
      <c r="Q154" s="514"/>
      <c r="R154" s="514"/>
      <c r="S154" s="514"/>
      <c r="T154" s="514"/>
      <c r="U154" s="352">
        <f>VLOOKUP(F154,Preisliste!C:F,4,FALSE)</f>
        <v>1061.5</v>
      </c>
      <c r="V154" s="352">
        <f t="shared" si="28"/>
        <v>0</v>
      </c>
      <c r="W154" s="86"/>
      <c r="X154" s="86"/>
      <c r="Y154" s="86"/>
      <c r="Z154" s="86"/>
      <c r="AA154" s="86"/>
      <c r="AB154" s="86"/>
      <c r="AC154" s="86"/>
      <c r="AD154" s="86"/>
      <c r="AE154" s="86"/>
      <c r="AF154" s="86"/>
      <c r="AG154" s="55">
        <f t="shared" si="27"/>
        <v>0</v>
      </c>
      <c r="AH154" s="66">
        <f>IF(Kalk5!$AA$19=4,1,0)</f>
        <v>0</v>
      </c>
      <c r="AI154" s="55">
        <v>80</v>
      </c>
      <c r="AK154" s="55" t="s">
        <v>22079</v>
      </c>
      <c r="AP154" s="66">
        <f>IF(AND(Kalk5!$O$21&gt;0,Kalk5!$N$21="45°"),Kalk5!$O$21,0)</f>
        <v>0</v>
      </c>
      <c r="AQ154" s="55" t="s">
        <v>22089</v>
      </c>
      <c r="AT154" s="55" t="s">
        <v>22079</v>
      </c>
      <c r="AU154" s="66">
        <f>IF(Kalk5!$AI$51=AV154,1,0)</f>
        <v>0</v>
      </c>
      <c r="AV154" s="55">
        <v>2150</v>
      </c>
      <c r="AX154" s="55" t="s">
        <v>22100</v>
      </c>
      <c r="AY154" s="66">
        <f>AP154*Kalk5!$H$37</f>
        <v>0</v>
      </c>
      <c r="AZ154" s="55" t="s">
        <v>20872</v>
      </c>
    </row>
    <row r="155" spans="2:55" ht="24.95" customHeight="1">
      <c r="B155" s="93">
        <f t="shared" si="26"/>
        <v>0</v>
      </c>
      <c r="C155" s="60">
        <f>IF(AG155=1,AW155,0)</f>
        <v>0</v>
      </c>
      <c r="D155" s="60"/>
      <c r="E155" s="60" t="str">
        <f>VLOOKUP(1600,Sprachindex!$A:$Z,Erhebungsbogen!$Y$20,FALSE)</f>
        <v>[Stk]</v>
      </c>
      <c r="F155" s="60" t="s">
        <v>21826</v>
      </c>
      <c r="G155" s="514" t="str">
        <f>VLOOKUP(2144,Sprachindex!$A:$Z,Erhebungsbogen!$Y$20,FALSE) &amp; " (" &amp; ROUNDUP(C155/1000*Preisliste!I135,2) &amp; " " &amp; VLOOKUP(1744,Sprachindex!$A:$Z,Erhebungsbogen!$Y$20,FALSE) &amp; ")"</f>
        <v>Rundprofil 80-Vario 45° Sonderlänge exkl. Dichtung, (Stangenware) (0 kg/Stk)</v>
      </c>
      <c r="H155" s="514"/>
      <c r="I155" s="514"/>
      <c r="J155" s="514"/>
      <c r="K155" s="514"/>
      <c r="L155" s="514"/>
      <c r="M155" s="514"/>
      <c r="N155" s="514"/>
      <c r="O155" s="514"/>
      <c r="P155" s="514"/>
      <c r="Q155" s="514"/>
      <c r="R155" s="514"/>
      <c r="S155" s="514"/>
      <c r="T155" s="514"/>
      <c r="U155" s="354">
        <f>VLOOKUP(F155,Preisliste!C:F,4,FALSE)</f>
        <v>0</v>
      </c>
      <c r="V155" s="352">
        <f t="shared" si="28"/>
        <v>0</v>
      </c>
      <c r="W155" s="86"/>
      <c r="X155" s="86"/>
      <c r="Y155" s="86"/>
      <c r="Z155" s="86"/>
      <c r="AA155" s="86"/>
      <c r="AB155" s="86"/>
      <c r="AC155" s="86"/>
      <c r="AD155" s="86"/>
      <c r="AE155" s="86"/>
      <c r="AF155" s="86"/>
      <c r="AG155" s="55">
        <f t="shared" si="27"/>
        <v>0</v>
      </c>
      <c r="AH155" s="66">
        <f>IF(Kalk5!$AA$19=4,1,0)</f>
        <v>0</v>
      </c>
      <c r="AI155" s="55">
        <v>80</v>
      </c>
      <c r="AK155" s="55" t="s">
        <v>22079</v>
      </c>
      <c r="AP155" s="66">
        <f>IF(AND(Kalk5!$O$21&gt;0,Kalk5!$N$21="45°"),Kalk5!$O$21,0)</f>
        <v>0</v>
      </c>
      <c r="AQ155" s="55" t="s">
        <v>22089</v>
      </c>
      <c r="AT155" s="55" t="s">
        <v>22079</v>
      </c>
      <c r="AU155" s="66">
        <f>IF(Kalk5!$AH$52&gt;AV155,1,0)</f>
        <v>0</v>
      </c>
      <c r="AV155" s="55">
        <v>2150</v>
      </c>
      <c r="AW155" s="66">
        <f>Kalk5!$AH$52</f>
        <v>0</v>
      </c>
      <c r="AX155" s="55" t="s">
        <v>22100</v>
      </c>
      <c r="AY155" s="66">
        <f>AP155*Kalk5!$H$37</f>
        <v>0</v>
      </c>
      <c r="AZ155" s="55" t="s">
        <v>20872</v>
      </c>
    </row>
    <row r="156" spans="2:55" ht="24.95" customHeight="1">
      <c r="B156" s="93">
        <f t="shared" si="26"/>
        <v>0</v>
      </c>
      <c r="C156" s="60">
        <v>750</v>
      </c>
      <c r="D156" s="60"/>
      <c r="E156" s="60" t="str">
        <f>VLOOKUP(1600,Sprachindex!$A:$Z,Erhebungsbogen!$Y$20,FALSE)</f>
        <v>[Stk]</v>
      </c>
      <c r="F156" s="60" t="s">
        <v>21997</v>
      </c>
      <c r="G156" s="517" t="str">
        <f>VLOOKUP(2145,Sprachindex!$A:$Z,Erhebungsbogen!$Y$20,FALSE) &amp; " ( " &amp;Preisliste!H136 &amp; " " &amp; VLOOKUP(1744,Sprachindex!$A:$Z,Erhebungsbogen!$Y$20,FALSE) &amp; ")"</f>
        <v>Rundprofil 80-Vario 60° exkl. Dichtung, gebohrt und entgratet ( 14,244 kg/Stk)</v>
      </c>
      <c r="H156" s="515"/>
      <c r="I156" s="515"/>
      <c r="J156" s="515"/>
      <c r="K156" s="515"/>
      <c r="L156" s="515"/>
      <c r="M156" s="515"/>
      <c r="N156" s="515"/>
      <c r="O156" s="515"/>
      <c r="P156" s="515"/>
      <c r="Q156" s="515"/>
      <c r="R156" s="515"/>
      <c r="S156" s="515"/>
      <c r="T156" s="516"/>
      <c r="U156" s="352">
        <f>VLOOKUP(F156,Preisliste!C:F,4,FALSE)</f>
        <v>628.54999999999995</v>
      </c>
      <c r="V156" s="352">
        <f t="shared" si="28"/>
        <v>0</v>
      </c>
      <c r="W156" s="86"/>
      <c r="X156" s="86"/>
      <c r="Y156" s="86"/>
      <c r="Z156" s="86"/>
      <c r="AA156" s="86"/>
      <c r="AB156" s="86"/>
      <c r="AC156" s="86"/>
      <c r="AD156" s="86"/>
      <c r="AE156" s="86"/>
      <c r="AF156" s="86"/>
      <c r="AG156" s="55">
        <f t="shared" si="27"/>
        <v>0</v>
      </c>
      <c r="AH156" s="66">
        <f>IF(Kalk5!$AA$19=4,1,0)</f>
        <v>0</v>
      </c>
      <c r="AI156" s="55">
        <v>80</v>
      </c>
      <c r="AK156" s="55" t="s">
        <v>22079</v>
      </c>
      <c r="AP156" s="66">
        <f>IF(AND(Kalk5!$O$21&gt;0,Kalk5!$N$21="60°"),Kalk5!$O$21,0)</f>
        <v>0</v>
      </c>
      <c r="AQ156" s="55" t="s">
        <v>22090</v>
      </c>
      <c r="AT156" s="55" t="s">
        <v>22079</v>
      </c>
      <c r="AU156" s="66">
        <f>IF(Kalk5!$AI$51=$AV$91,1,0)</f>
        <v>1</v>
      </c>
      <c r="AV156" s="55">
        <v>750</v>
      </c>
      <c r="AX156" s="55" t="s">
        <v>22100</v>
      </c>
      <c r="AY156" s="66">
        <f>AP156*Kalk5!$H$37</f>
        <v>0</v>
      </c>
      <c r="AZ156" s="55" t="s">
        <v>20872</v>
      </c>
    </row>
    <row r="157" spans="2:55" ht="24.95" customHeight="1">
      <c r="B157" s="93">
        <f t="shared" si="26"/>
        <v>0</v>
      </c>
      <c r="C157" s="60">
        <v>1350</v>
      </c>
      <c r="D157" s="60"/>
      <c r="E157" s="60" t="str">
        <f>VLOOKUP(1600,Sprachindex!$A:$Z,Erhebungsbogen!$Y$20,FALSE)</f>
        <v>[Stk]</v>
      </c>
      <c r="F157" s="60" t="s">
        <v>21998</v>
      </c>
      <c r="G157" s="517" t="str">
        <f>VLOOKUP(2145,Sprachindex!$A:$Z,Erhebungsbogen!$Y$20,FALSE) &amp; " ( " &amp;Preisliste!H137 &amp; " " &amp; VLOOKUP(1744,Sprachindex!$A:$Z,Erhebungsbogen!$Y$20,FALSE) &amp; ")"</f>
        <v>Rundprofil 80-Vario 60° exkl. Dichtung, gebohrt und entgratet ( 25,639 kg/Stk)</v>
      </c>
      <c r="H157" s="515"/>
      <c r="I157" s="515"/>
      <c r="J157" s="515"/>
      <c r="K157" s="515"/>
      <c r="L157" s="515"/>
      <c r="M157" s="515"/>
      <c r="N157" s="515"/>
      <c r="O157" s="515"/>
      <c r="P157" s="515"/>
      <c r="Q157" s="515"/>
      <c r="R157" s="515"/>
      <c r="S157" s="515"/>
      <c r="T157" s="516"/>
      <c r="U157" s="352">
        <f>VLOOKUP(F157,Preisliste!C:F,4,FALSE)</f>
        <v>814.15</v>
      </c>
      <c r="V157" s="352">
        <f t="shared" si="28"/>
        <v>0</v>
      </c>
      <c r="W157" s="86"/>
      <c r="X157" s="86"/>
      <c r="Y157" s="86"/>
      <c r="Z157" s="86"/>
      <c r="AA157" s="86"/>
      <c r="AB157" s="86"/>
      <c r="AC157" s="86"/>
      <c r="AD157" s="86"/>
      <c r="AE157" s="86"/>
      <c r="AF157" s="86"/>
      <c r="AG157" s="55">
        <f t="shared" si="27"/>
        <v>0</v>
      </c>
      <c r="AH157" s="66">
        <f>IF(Kalk5!$AA$19=4,1,0)</f>
        <v>0</v>
      </c>
      <c r="AI157" s="55">
        <v>80</v>
      </c>
      <c r="AK157" s="55" t="s">
        <v>22079</v>
      </c>
      <c r="AP157" s="66">
        <f>IF(AND(Kalk5!$O$21&gt;0,Kalk5!$N$21="60°"),Kalk5!$O$21,0)</f>
        <v>0</v>
      </c>
      <c r="AQ157" s="55" t="s">
        <v>22090</v>
      </c>
      <c r="AT157" s="55" t="s">
        <v>22079</v>
      </c>
      <c r="AU157" s="66">
        <f>IF(Kalk5!$AI$51=AV157,1,0)</f>
        <v>0</v>
      </c>
      <c r="AV157" s="55">
        <v>1350</v>
      </c>
      <c r="AX157" s="55" t="s">
        <v>22100</v>
      </c>
      <c r="AY157" s="66">
        <f>AP157*Kalk5!$H$37</f>
        <v>0</v>
      </c>
      <c r="AZ157" s="55" t="s">
        <v>20872</v>
      </c>
    </row>
    <row r="158" spans="2:55" ht="24.95" customHeight="1">
      <c r="B158" s="93">
        <f t="shared" si="26"/>
        <v>0</v>
      </c>
      <c r="C158" s="60">
        <v>1750</v>
      </c>
      <c r="D158" s="60"/>
      <c r="E158" s="60" t="str">
        <f>VLOOKUP(1600,Sprachindex!$A:$Z,Erhebungsbogen!$Y$20,FALSE)</f>
        <v>[Stk]</v>
      </c>
      <c r="F158" s="60" t="s">
        <v>21999</v>
      </c>
      <c r="G158" s="517" t="str">
        <f>VLOOKUP(2145,Sprachindex!$A:$Z,Erhebungsbogen!$Y$20,FALSE) &amp; " ( " &amp;Preisliste!H138 &amp; " " &amp; VLOOKUP(1744,Sprachindex!$A:$Z,Erhebungsbogen!$Y$20,FALSE) &amp; ")"</f>
        <v>Rundprofil 80-Vario 60° exkl. Dichtung, gebohrt und entgratet ( 33,236 kg/Stk)</v>
      </c>
      <c r="H158" s="515"/>
      <c r="I158" s="515"/>
      <c r="J158" s="515"/>
      <c r="K158" s="515"/>
      <c r="L158" s="515"/>
      <c r="M158" s="515"/>
      <c r="N158" s="515"/>
      <c r="O158" s="515"/>
      <c r="P158" s="515"/>
      <c r="Q158" s="515"/>
      <c r="R158" s="515"/>
      <c r="S158" s="515"/>
      <c r="T158" s="516"/>
      <c r="U158" s="352">
        <f>VLOOKUP(F158,Preisliste!C:F,4,FALSE)</f>
        <v>937.8</v>
      </c>
      <c r="V158" s="352">
        <f t="shared" si="28"/>
        <v>0</v>
      </c>
      <c r="W158" s="86"/>
      <c r="X158" s="86"/>
      <c r="Y158" s="86"/>
      <c r="Z158" s="86"/>
      <c r="AA158" s="86"/>
      <c r="AB158" s="86"/>
      <c r="AC158" s="86"/>
      <c r="AD158" s="86"/>
      <c r="AE158" s="86"/>
      <c r="AF158" s="86"/>
      <c r="AG158" s="55">
        <f t="shared" si="27"/>
        <v>0</v>
      </c>
      <c r="AH158" s="66">
        <f>IF(Kalk5!$AA$19=4,1,0)</f>
        <v>0</v>
      </c>
      <c r="AI158" s="55">
        <v>80</v>
      </c>
      <c r="AK158" s="55" t="s">
        <v>22079</v>
      </c>
      <c r="AP158" s="66">
        <f>IF(AND(Kalk5!$O$21&gt;0,Kalk5!$N$21="60°"),Kalk5!$O$21,0)</f>
        <v>0</v>
      </c>
      <c r="AQ158" s="55" t="s">
        <v>22090</v>
      </c>
      <c r="AT158" s="55" t="s">
        <v>22079</v>
      </c>
      <c r="AU158" s="66">
        <f>IF(Kalk5!$AI$51=AV158,1,0)</f>
        <v>0</v>
      </c>
      <c r="AV158" s="55">
        <v>1750</v>
      </c>
      <c r="AX158" s="55" t="s">
        <v>22100</v>
      </c>
      <c r="AY158" s="66">
        <f>AP158*Kalk5!$H$37</f>
        <v>0</v>
      </c>
      <c r="AZ158" s="55" t="s">
        <v>20872</v>
      </c>
      <c r="BC158" s="84" t="s">
        <v>22181</v>
      </c>
    </row>
    <row r="159" spans="2:55" ht="24.95" customHeight="1">
      <c r="B159" s="93">
        <f t="shared" si="26"/>
        <v>0</v>
      </c>
      <c r="C159" s="60">
        <v>2150</v>
      </c>
      <c r="D159" s="60"/>
      <c r="E159" s="60" t="str">
        <f>VLOOKUP(1600,Sprachindex!$A:$Z,Erhebungsbogen!$Y$20,FALSE)</f>
        <v>[Stk]</v>
      </c>
      <c r="F159" s="60" t="s">
        <v>22000</v>
      </c>
      <c r="G159" s="517" t="str">
        <f>VLOOKUP(2145,Sprachindex!$A:$Z,Erhebungsbogen!$Y$20,FALSE) &amp; " ( " &amp;Preisliste!H139 &amp; " " &amp; VLOOKUP(1744,Sprachindex!$A:$Z,Erhebungsbogen!$Y$20,FALSE) &amp; ")"</f>
        <v>Rundprofil 80-Vario 60° exkl. Dichtung, gebohrt und entgratet ( 40,833 kg/Stk)</v>
      </c>
      <c r="H159" s="515"/>
      <c r="I159" s="515"/>
      <c r="J159" s="515"/>
      <c r="K159" s="515"/>
      <c r="L159" s="515"/>
      <c r="M159" s="515"/>
      <c r="N159" s="515"/>
      <c r="O159" s="515"/>
      <c r="P159" s="515"/>
      <c r="Q159" s="515"/>
      <c r="R159" s="515"/>
      <c r="S159" s="515"/>
      <c r="T159" s="516"/>
      <c r="U159" s="352">
        <f>VLOOKUP(F159,Preisliste!C:F,4,FALSE)</f>
        <v>1061.5</v>
      </c>
      <c r="V159" s="352">
        <f t="shared" si="28"/>
        <v>0</v>
      </c>
      <c r="W159" s="86"/>
      <c r="X159" s="86"/>
      <c r="Y159" s="86"/>
      <c r="Z159" s="86"/>
      <c r="AA159" s="86"/>
      <c r="AB159" s="86"/>
      <c r="AC159" s="86"/>
      <c r="AD159" s="86"/>
      <c r="AE159" s="86"/>
      <c r="AF159" s="86"/>
      <c r="AG159" s="55">
        <f t="shared" si="27"/>
        <v>0</v>
      </c>
      <c r="AH159" s="66">
        <f>IF(Kalk5!$AA$19=4,1,0)</f>
        <v>0</v>
      </c>
      <c r="AI159" s="55">
        <v>80</v>
      </c>
      <c r="AK159" s="55" t="s">
        <v>22079</v>
      </c>
      <c r="AP159" s="66">
        <f>IF(AND(Kalk5!$O$21&gt;0,Kalk5!$N$21="60°"),Kalk5!$O$21,0)</f>
        <v>0</v>
      </c>
      <c r="AQ159" s="55" t="s">
        <v>22090</v>
      </c>
      <c r="AT159" s="55" t="s">
        <v>22079</v>
      </c>
      <c r="AU159" s="66">
        <f>IF(Kalk5!$AI$51=AV159,1,0)</f>
        <v>0</v>
      </c>
      <c r="AV159" s="55">
        <v>2150</v>
      </c>
      <c r="AX159" s="55" t="s">
        <v>22100</v>
      </c>
      <c r="AY159" s="66">
        <f>AP159*Kalk5!$H$37</f>
        <v>0</v>
      </c>
      <c r="AZ159" s="55" t="s">
        <v>20872</v>
      </c>
      <c r="BC159" s="84" t="s">
        <v>22182</v>
      </c>
    </row>
    <row r="160" spans="2:55" ht="24.95" customHeight="1">
      <c r="B160" s="93">
        <f t="shared" si="26"/>
        <v>0</v>
      </c>
      <c r="C160" s="60">
        <f>IF(AG160=1,AW160,0)</f>
        <v>0</v>
      </c>
      <c r="D160" s="60"/>
      <c r="E160" s="60" t="str">
        <f>VLOOKUP(1600,Sprachindex!$A:$Z,Erhebungsbogen!$Y$20,FALSE)</f>
        <v>[Stk]</v>
      </c>
      <c r="F160" s="60" t="s">
        <v>21826</v>
      </c>
      <c r="G160" s="517" t="str">
        <f>VLOOKUP(2146,Sprachindex!$A:$Z,Erhebungsbogen!$Y$20,FALSE) &amp; " (" &amp; ROUNDUP(C160/1000*Preisliste!I140,2) &amp; " " &amp; VLOOKUP(1744,Sprachindex!$A:$Z,Erhebungsbogen!$Y$20,FALSE) &amp; ")"</f>
        <v>Rundprofil 80-Vario 60° Sonderlänge exkl. Dichtung, (Stangenware) (0 kg/Stk)</v>
      </c>
      <c r="H160" s="515"/>
      <c r="I160" s="515"/>
      <c r="J160" s="515"/>
      <c r="K160" s="515"/>
      <c r="L160" s="515"/>
      <c r="M160" s="515"/>
      <c r="N160" s="515"/>
      <c r="O160" s="515"/>
      <c r="P160" s="515"/>
      <c r="Q160" s="515"/>
      <c r="R160" s="515"/>
      <c r="S160" s="515"/>
      <c r="T160" s="516"/>
      <c r="U160" s="354">
        <f>VLOOKUP(F160,Preisliste!C:F,4,FALSE)</f>
        <v>0</v>
      </c>
      <c r="V160" s="352">
        <f t="shared" si="28"/>
        <v>0</v>
      </c>
      <c r="W160" s="86"/>
      <c r="X160" s="86"/>
      <c r="Y160" s="86"/>
      <c r="Z160" s="86"/>
      <c r="AA160" s="86"/>
      <c r="AB160" s="86"/>
      <c r="AC160" s="86"/>
      <c r="AD160" s="86"/>
      <c r="AE160" s="86"/>
      <c r="AF160" s="86"/>
      <c r="AG160" s="55">
        <f t="shared" si="27"/>
        <v>0</v>
      </c>
      <c r="AH160" s="66">
        <f>IF(Kalk5!$AA$19=4,1,0)</f>
        <v>0</v>
      </c>
      <c r="AI160" s="55">
        <v>80</v>
      </c>
      <c r="AK160" s="55" t="s">
        <v>22079</v>
      </c>
      <c r="AP160" s="66">
        <f>IF(AND(Kalk5!$O$21&gt;0,Kalk5!$N$21="60°"),Kalk5!$O$21,0)</f>
        <v>0</v>
      </c>
      <c r="AQ160" s="55" t="s">
        <v>22090</v>
      </c>
      <c r="AT160" s="55" t="s">
        <v>22079</v>
      </c>
      <c r="AU160" s="66">
        <f>IF(Kalk5!$AH$52&gt;AV160,1,0)</f>
        <v>0</v>
      </c>
      <c r="AV160" s="55">
        <v>2150</v>
      </c>
      <c r="AW160" s="66">
        <f>Kalk5!$AH$52</f>
        <v>0</v>
      </c>
      <c r="AX160" s="55" t="s">
        <v>22100</v>
      </c>
      <c r="AY160" s="66">
        <f>AP160*Kalk5!$H$37</f>
        <v>0</v>
      </c>
      <c r="AZ160" s="55" t="s">
        <v>20872</v>
      </c>
    </row>
    <row r="161" spans="2:53" ht="24.95" customHeight="1">
      <c r="B161" s="93">
        <f t="shared" si="26"/>
        <v>0</v>
      </c>
      <c r="C161" s="60"/>
      <c r="D161" s="60"/>
      <c r="E161" s="60" t="str">
        <f>VLOOKUP(1600,Sprachindex!$A:$Z,Erhebungsbogen!$Y$20,FALSE)</f>
        <v>[Stk]</v>
      </c>
      <c r="F161" s="60" t="s">
        <v>21971</v>
      </c>
      <c r="G161" s="514" t="str">
        <f>VLOOKUP(1814,Sprachindex!$A:$Z,Erhebungsbogen!$Y$20,FALSE)</f>
        <v>Sicherungsschraube für Abdeckung</v>
      </c>
      <c r="H161" s="514"/>
      <c r="I161" s="514"/>
      <c r="J161" s="514"/>
      <c r="K161" s="514"/>
      <c r="L161" s="514"/>
      <c r="M161" s="514"/>
      <c r="N161" s="514"/>
      <c r="O161" s="514"/>
      <c r="P161" s="514"/>
      <c r="Q161" s="514"/>
      <c r="R161" s="514"/>
      <c r="S161" s="514"/>
      <c r="T161" s="514"/>
      <c r="U161" s="352">
        <f>VLOOKUP(F161,Preisliste!C:F,4,FALSE)</f>
        <v>15.9</v>
      </c>
      <c r="V161" s="352">
        <f t="shared" si="28"/>
        <v>0</v>
      </c>
      <c r="W161" s="86"/>
      <c r="X161" s="86"/>
      <c r="Y161" s="86"/>
      <c r="Z161" s="86"/>
      <c r="AA161" s="86"/>
      <c r="AB161" s="86"/>
      <c r="AC161" s="86"/>
      <c r="AD161" s="86"/>
      <c r="AE161" s="86"/>
      <c r="AF161" s="86"/>
      <c r="AG161" s="55">
        <f>IF(Kalk5!$AA$25,1,0)</f>
        <v>0</v>
      </c>
      <c r="AH161" s="66">
        <f>IF(Kalk5!$AA$19=1,0,1)</f>
        <v>1</v>
      </c>
      <c r="AI161" s="55" t="s">
        <v>22183</v>
      </c>
      <c r="AL161" s="66">
        <f>IF(MAX(Kalk5!$AH$51,Kalk5!$AH$52)&lt;=750,1,0)</f>
        <v>1</v>
      </c>
      <c r="AM161" s="55" t="s">
        <v>22184</v>
      </c>
      <c r="AP161" s="66">
        <f>2*Kalk5!H37</f>
        <v>2</v>
      </c>
      <c r="AQ161" s="55" t="s">
        <v>22101</v>
      </c>
      <c r="AT161" s="55" t="s">
        <v>22079</v>
      </c>
      <c r="AU161" s="66">
        <f>IF(AL161=0,2*Kalk5!H37,0)</f>
        <v>0</v>
      </c>
      <c r="AV161" s="55" t="s">
        <v>22185</v>
      </c>
      <c r="AX161" s="55" t="s">
        <v>22100</v>
      </c>
      <c r="AY161" s="66">
        <f>AP161+AU161</f>
        <v>2</v>
      </c>
      <c r="AZ161" s="55" t="s">
        <v>20872</v>
      </c>
    </row>
    <row r="162" spans="2:53" ht="24.95" customHeight="1">
      <c r="B162" s="93">
        <f>IF(AG162=1,AU162,0)</f>
        <v>0</v>
      </c>
      <c r="C162" s="60"/>
      <c r="D162" s="60"/>
      <c r="E162" s="60" t="str">
        <f>VLOOKUP(1600,Sprachindex!$A:$Z,Erhebungsbogen!$Y$20,FALSE)</f>
        <v>[Stk]</v>
      </c>
      <c r="F162" s="60" t="s">
        <v>21942</v>
      </c>
      <c r="G162" s="514" t="str">
        <f>VLOOKUP(1817,Sprachindex!$A:$Z,Erhebungsbogen!$Y$20,FALSE)</f>
        <v>Spannstück mit 6-Kantschraube</v>
      </c>
      <c r="H162" s="514"/>
      <c r="I162" s="514"/>
      <c r="J162" s="514"/>
      <c r="K162" s="514"/>
      <c r="L162" s="514"/>
      <c r="M162" s="514"/>
      <c r="N162" s="514"/>
      <c r="O162" s="514"/>
      <c r="P162" s="514"/>
      <c r="Q162" s="514"/>
      <c r="R162" s="514"/>
      <c r="S162" s="514"/>
      <c r="T162" s="514"/>
      <c r="U162" s="352">
        <f>VLOOKUP(F162,Preisliste!C:F,4,FALSE)</f>
        <v>98.9</v>
      </c>
      <c r="V162" s="352">
        <f t="shared" si="28"/>
        <v>0</v>
      </c>
      <c r="W162" s="86"/>
      <c r="X162" s="86"/>
      <c r="Y162" s="86"/>
      <c r="Z162" s="86"/>
      <c r="AA162" s="86"/>
      <c r="AB162" s="86"/>
      <c r="AC162" s="86"/>
      <c r="AD162" s="86"/>
      <c r="AE162" s="86"/>
      <c r="AF162" s="86"/>
      <c r="AG162" s="55">
        <f>IF(AH162=1,1,0)</f>
        <v>0</v>
      </c>
      <c r="AH162" s="66">
        <f>IF(Kalk5!$AA$28,1,0)</f>
        <v>0</v>
      </c>
      <c r="AI162" s="55" t="s">
        <v>22098</v>
      </c>
      <c r="AK162" s="55" t="s">
        <v>22079</v>
      </c>
      <c r="AL162" s="66">
        <f>IF(Kalk5!$H$33&gt;1,Kalk5!$H$33-1,0)</f>
        <v>0</v>
      </c>
      <c r="AM162" s="55" t="s">
        <v>22085</v>
      </c>
      <c r="AT162" s="55" t="s">
        <v>22100</v>
      </c>
      <c r="AU162" s="66">
        <f>(2+2*AL162-IF(AH165=1,AU165,0))*Kalk5!$H$37</f>
        <v>2</v>
      </c>
      <c r="AV162" s="55" t="s">
        <v>22101</v>
      </c>
    </row>
    <row r="163" spans="2:53" ht="24.95" customHeight="1">
      <c r="B163" s="93">
        <f>IF(AG163=1,AU163,0)</f>
        <v>0</v>
      </c>
      <c r="C163" s="60"/>
      <c r="D163" s="60"/>
      <c r="E163" s="60" t="str">
        <f>VLOOKUP(1600,Sprachindex!$A:$Z,Erhebungsbogen!$Y$20,FALSE)</f>
        <v>[Stk]</v>
      </c>
      <c r="F163" s="60" t="s">
        <v>21941</v>
      </c>
      <c r="G163" s="514" t="str">
        <f>VLOOKUP(1819,Sprachindex!$A:$Z,Erhebungsbogen!$Y$20,FALSE)</f>
        <v>Spannstück mit Sterngriff</v>
      </c>
      <c r="H163" s="514"/>
      <c r="I163" s="514"/>
      <c r="J163" s="514"/>
      <c r="K163" s="514"/>
      <c r="L163" s="514"/>
      <c r="M163" s="514"/>
      <c r="N163" s="514"/>
      <c r="O163" s="514"/>
      <c r="P163" s="514"/>
      <c r="Q163" s="514"/>
      <c r="R163" s="514"/>
      <c r="S163" s="514"/>
      <c r="T163" s="514"/>
      <c r="U163" s="352">
        <f>VLOOKUP(F163,Preisliste!C:F,4,FALSE)</f>
        <v>104.9</v>
      </c>
      <c r="V163" s="352">
        <f t="shared" si="28"/>
        <v>0</v>
      </c>
      <c r="W163" s="86"/>
      <c r="X163" s="86"/>
      <c r="Y163" s="86"/>
      <c r="Z163" s="86"/>
      <c r="AA163" s="86"/>
      <c r="AB163" s="86"/>
      <c r="AC163" s="86"/>
      <c r="AD163" s="86"/>
      <c r="AE163" s="86"/>
      <c r="AF163" s="86"/>
      <c r="AG163" s="55">
        <f>IF(AH163=1,1,0)</f>
        <v>0</v>
      </c>
      <c r="AH163" s="66">
        <f>IF(Kalk5!$AA$27,1,0)</f>
        <v>0</v>
      </c>
      <c r="AI163" s="55" t="s">
        <v>22097</v>
      </c>
      <c r="AK163" s="55" t="s">
        <v>22079</v>
      </c>
      <c r="AL163" s="66">
        <f>IF(Kalk5!$H$33&gt;1,Kalk5!$H$33-1,0)</f>
        <v>0</v>
      </c>
      <c r="AM163" s="55" t="s">
        <v>22085</v>
      </c>
      <c r="AT163" s="55" t="s">
        <v>22100</v>
      </c>
      <c r="AU163" s="66">
        <f>(2+2*AL163-IF(AH164=1,AU164,0))*Kalk5!$H$37</f>
        <v>2</v>
      </c>
      <c r="AV163" s="55" t="s">
        <v>22101</v>
      </c>
    </row>
    <row r="164" spans="2:53" ht="24.95" customHeight="1">
      <c r="B164" s="93">
        <f>IF(AG164=1,AU164,0)</f>
        <v>0</v>
      </c>
      <c r="C164" s="60"/>
      <c r="D164" s="60"/>
      <c r="E164" s="60" t="str">
        <f>VLOOKUP(1600,Sprachindex!$A:$Z,Erhebungsbogen!$Y$20,FALSE)</f>
        <v>[Stk]</v>
      </c>
      <c r="F164" s="60" t="s">
        <v>21981</v>
      </c>
      <c r="G164" s="514" t="str">
        <f>VLOOKUP(2147,Sprachindex!$A:$Z,Erhebungsbogen!$Y$20,FALSE)</f>
        <v>Spannstück mit Sterngriff zum seitlich Einfädeln</v>
      </c>
      <c r="H164" s="514"/>
      <c r="I164" s="514"/>
      <c r="J164" s="514"/>
      <c r="K164" s="514"/>
      <c r="L164" s="514"/>
      <c r="M164" s="514"/>
      <c r="N164" s="514"/>
      <c r="O164" s="514"/>
      <c r="P164" s="514"/>
      <c r="Q164" s="514"/>
      <c r="R164" s="514"/>
      <c r="S164" s="514"/>
      <c r="T164" s="514"/>
      <c r="U164" s="352">
        <f>VLOOKUP(F164,Preisliste!C:F,4,FALSE)</f>
        <v>110.9</v>
      </c>
      <c r="V164" s="352">
        <f t="shared" si="28"/>
        <v>0</v>
      </c>
      <c r="W164" s="86"/>
      <c r="X164" s="86"/>
      <c r="Y164" s="86"/>
      <c r="Z164" s="86"/>
      <c r="AA164" s="86"/>
      <c r="AB164" s="86"/>
      <c r="AC164" s="86"/>
      <c r="AD164" s="86"/>
      <c r="AE164" s="86"/>
      <c r="AF164" s="86"/>
      <c r="AG164" s="55">
        <f>IF(AND(AH164=1,AL164=1,AP164=1),1,0)</f>
        <v>0</v>
      </c>
      <c r="AH164" s="66">
        <f>IF(Kalk5!$AA$19=1,1,0)</f>
        <v>0</v>
      </c>
      <c r="AI164" s="55">
        <v>25</v>
      </c>
      <c r="AK164" s="55" t="s">
        <v>22079</v>
      </c>
      <c r="AL164" s="66">
        <f>IF(Kalk5!$AA$27,1,0)</f>
        <v>0</v>
      </c>
      <c r="AM164" s="55" t="s">
        <v>22097</v>
      </c>
      <c r="AO164" s="55" t="s">
        <v>22079</v>
      </c>
      <c r="AP164" s="66">
        <f>IF(OR(Kalk5!$AA$7=3,Kalk5!$AA$9=3),1,0)</f>
        <v>0</v>
      </c>
      <c r="AQ164" s="55" t="s">
        <v>22099</v>
      </c>
      <c r="AT164" s="55" t="s">
        <v>22100</v>
      </c>
      <c r="AU164" s="66">
        <f>IF(AND(Kalk5!$AA$7=3,Kalk5!$AA$9=3),2,IF(AP164=1,1,0))*Kalk5!$H$37</f>
        <v>0</v>
      </c>
      <c r="AV164" s="55" t="s">
        <v>22101</v>
      </c>
    </row>
    <row r="165" spans="2:53" ht="24.95" customHeight="1">
      <c r="B165" s="93">
        <f>IF(AG165=1,AU165,0)</f>
        <v>0</v>
      </c>
      <c r="C165" s="60"/>
      <c r="D165" s="60"/>
      <c r="E165" s="60" t="str">
        <f>VLOOKUP(1600,Sprachindex!$A:$Z,Erhebungsbogen!$Y$20,FALSE)</f>
        <v>[Stk]</v>
      </c>
      <c r="F165" s="60" t="s">
        <v>21980</v>
      </c>
      <c r="G165" s="514" t="str">
        <f>VLOOKUP(2148,Sprachindex!$A:$Z,Erhebungsbogen!$Y$20,FALSE)</f>
        <v>Spannstück mit Sechskantschraube zum seitlichen Einfädeln</v>
      </c>
      <c r="H165" s="515"/>
      <c r="I165" s="515"/>
      <c r="J165" s="515"/>
      <c r="K165" s="515"/>
      <c r="L165" s="515"/>
      <c r="M165" s="515"/>
      <c r="N165" s="515"/>
      <c r="O165" s="515"/>
      <c r="P165" s="515"/>
      <c r="Q165" s="515"/>
      <c r="R165" s="515"/>
      <c r="S165" s="515"/>
      <c r="T165" s="516"/>
      <c r="U165" s="352">
        <f>VLOOKUP(F165,Preisliste!C:F,4,FALSE)</f>
        <v>106.9</v>
      </c>
      <c r="V165" s="352">
        <f t="shared" si="28"/>
        <v>0</v>
      </c>
      <c r="W165" s="86"/>
      <c r="X165" s="86"/>
      <c r="Y165" s="86"/>
      <c r="Z165" s="86"/>
      <c r="AA165" s="86"/>
      <c r="AB165" s="86"/>
      <c r="AC165" s="86"/>
      <c r="AD165" s="86"/>
      <c r="AE165" s="86"/>
      <c r="AF165" s="86"/>
      <c r="AG165" s="55">
        <f>IF(AND(AH165=1,AL165=1,AP165=1),1,0)</f>
        <v>0</v>
      </c>
      <c r="AH165" s="66">
        <f>IF(Kalk5!$AA$19=1,1,0)</f>
        <v>0</v>
      </c>
      <c r="AI165" s="55">
        <v>25</v>
      </c>
      <c r="AK165" s="55" t="s">
        <v>22079</v>
      </c>
      <c r="AL165" s="66">
        <f>IF(Kalk5!$AA$28,1,0)</f>
        <v>0</v>
      </c>
      <c r="AM165" s="55" t="s">
        <v>22098</v>
      </c>
      <c r="AO165" s="55" t="s">
        <v>22079</v>
      </c>
      <c r="AP165" s="66">
        <f>IF(OR(Kalk5!$AA$7=3,Kalk5!$AA$9=3),1,0)</f>
        <v>0</v>
      </c>
      <c r="AQ165" s="55" t="s">
        <v>22099</v>
      </c>
      <c r="AT165" s="55" t="s">
        <v>22100</v>
      </c>
      <c r="AU165" s="66">
        <f>IF(AND(Kalk5!$AA$7=3,Kalk5!$AA$9=3),2,IF(AP165=1,1,0))*Kalk5!$H$37</f>
        <v>0</v>
      </c>
      <c r="AV165" s="55" t="s">
        <v>22101</v>
      </c>
    </row>
    <row r="166" spans="2:53" ht="24.95" customHeight="1">
      <c r="B166" s="93">
        <f t="shared" ref="B166:B180" si="29">IF(AG166=1,AZ166,0)</f>
        <v>0</v>
      </c>
      <c r="C166" s="60">
        <v>750</v>
      </c>
      <c r="D166" s="60"/>
      <c r="E166" s="60" t="str">
        <f>VLOOKUP(1600,Sprachindex!$A:$Z,Erhebungsbogen!$Y$20,FALSE)</f>
        <v>[Stk]</v>
      </c>
      <c r="F166" s="60" t="s">
        <v>21881</v>
      </c>
      <c r="G166" s="514" t="str">
        <f>VLOOKUP(2149,Sprachindex!$A:$Z,Erhebungsbogen!$Y$20,FALSE) &amp; IF(AND(Kalk5!$AA$5=2,Kalk5!$AA$13),", " &amp; VLOOKUP(1645,Sprachindex!$A:$Z,Erhebungsbogen!$Y$20,FALSE) &amp; " " &amp; $U$8,", "&amp; VLOOKUP(1648,Sprachindex!$A:$Z,Erhebungsbogen!$Y$20,FALSE))</f>
        <v>U-Profil 25 (in der Laibung) exkl. Dichtung, gebohrt und entgratet, blank</v>
      </c>
      <c r="H166" s="515"/>
      <c r="I166" s="515"/>
      <c r="J166" s="515"/>
      <c r="K166" s="515"/>
      <c r="L166" s="515"/>
      <c r="M166" s="515"/>
      <c r="N166" s="515"/>
      <c r="O166" s="515"/>
      <c r="P166" s="515"/>
      <c r="Q166" s="515"/>
      <c r="R166" s="515"/>
      <c r="S166" s="515"/>
      <c r="T166" s="516"/>
      <c r="U166" s="352">
        <f>IF(AND(Kalk5!$AA$5=2,Kalk5!$AA$13),VLOOKUP(F166,Preisliste!C:G,5,FALSE),VLOOKUP(F166,Preisliste!C:G,4,FALSE))</f>
        <v>81.150000000000006</v>
      </c>
      <c r="V166" s="352">
        <f t="shared" si="28"/>
        <v>0</v>
      </c>
      <c r="W166" s="86"/>
      <c r="X166" s="86"/>
      <c r="Y166" s="86"/>
      <c r="Z166" s="143">
        <f>IF(AND(Kalk5!$AA$5=2,Kalk5!$AA$13),(VLOOKUP(F166,Preisliste!C:G,5,FALSE)-VLOOKUP(F166,Preisliste!C:G,4,FALSE))*B166,0)</f>
        <v>0</v>
      </c>
      <c r="AA166" s="86"/>
      <c r="AB166" s="86"/>
      <c r="AC166" s="86"/>
      <c r="AD166" s="86"/>
      <c r="AE166" s="86"/>
      <c r="AF166" s="86"/>
      <c r="AG166" s="55">
        <f>IF(AND(AH166=1,AL166=1,AP166=1,AND(Kalk5!H28&gt;0,Kalk5!H29&gt;0)),1,0)</f>
        <v>0</v>
      </c>
      <c r="AH166" s="66">
        <f>IF(Kalk5!$AA$19=1,1,0)</f>
        <v>0</v>
      </c>
      <c r="AI166" s="55">
        <v>25</v>
      </c>
      <c r="AK166" s="55" t="s">
        <v>22079</v>
      </c>
      <c r="AL166" s="66">
        <f>IF(OR(OR(Kalk5!$AA$7=2,Kalk5!$AA$7=3),OR(Kalk5!$AA$9=2,Kalk5!$AA$9=3)),1,0)</f>
        <v>0</v>
      </c>
      <c r="AM166" s="55" t="s">
        <v>22092</v>
      </c>
      <c r="AO166" s="55" t="s">
        <v>22079</v>
      </c>
      <c r="AP166" s="66">
        <f>IF(Kalk5!$AI$51=AQ166,1,0)</f>
        <v>1</v>
      </c>
      <c r="AQ166" s="55">
        <v>750</v>
      </c>
      <c r="AU166" s="66">
        <f>IF(OR(Kalk5!$AA$7=2,Kalk5!$AA$7=3),1,0)</f>
        <v>0</v>
      </c>
      <c r="AV166" s="55" t="s">
        <v>19882</v>
      </c>
      <c r="AW166" s="66">
        <f>IF(OR(Kalk5!$AA$9=2,Kalk5!$AA$9=3),1,0)</f>
        <v>0</v>
      </c>
      <c r="AX166" s="55" t="s">
        <v>20310</v>
      </c>
      <c r="AY166" s="55" t="s">
        <v>22100</v>
      </c>
      <c r="AZ166" s="66">
        <f>(AU166+AW166)*Kalk5!$H$37</f>
        <v>0</v>
      </c>
      <c r="BA166" s="55" t="s">
        <v>22101</v>
      </c>
    </row>
    <row r="167" spans="2:53" ht="24.95" customHeight="1">
      <c r="B167" s="93">
        <f t="shared" si="29"/>
        <v>0</v>
      </c>
      <c r="C167" s="60">
        <v>1350</v>
      </c>
      <c r="D167" s="60"/>
      <c r="E167" s="60" t="str">
        <f>VLOOKUP(1600,Sprachindex!$A:$Z,Erhebungsbogen!$Y$20,FALSE)</f>
        <v>[Stk]</v>
      </c>
      <c r="F167" s="60" t="s">
        <v>21882</v>
      </c>
      <c r="G167" s="514" t="str">
        <f>VLOOKUP(2149,Sprachindex!$A:$Z,Erhebungsbogen!$Y$20,FALSE) &amp; IF(AND(Kalk5!$AA$5=2,Kalk5!$AA$13),", " &amp; VLOOKUP(1645,Sprachindex!$A:$Z,Erhebungsbogen!$Y$20,FALSE) &amp; " " &amp; $U$8,", "&amp; VLOOKUP(1648,Sprachindex!$A:$Z,Erhebungsbogen!$Y$20,FALSE))</f>
        <v>U-Profil 25 (in der Laibung) exkl. Dichtung, gebohrt und entgratet, blank</v>
      </c>
      <c r="H167" s="515"/>
      <c r="I167" s="515"/>
      <c r="J167" s="515"/>
      <c r="K167" s="515"/>
      <c r="L167" s="515"/>
      <c r="M167" s="515"/>
      <c r="N167" s="515"/>
      <c r="O167" s="515"/>
      <c r="P167" s="515"/>
      <c r="Q167" s="515"/>
      <c r="R167" s="515"/>
      <c r="S167" s="515"/>
      <c r="T167" s="516"/>
      <c r="U167" s="352">
        <f>IF(AND(Kalk5!$AA$5=2,Kalk5!$AA$13),VLOOKUP(F167,Preisliste!C:G,5,FALSE),VLOOKUP(F167,Preisliste!C:G,4,FALSE))</f>
        <v>123.15</v>
      </c>
      <c r="V167" s="352">
        <f t="shared" si="28"/>
        <v>0</v>
      </c>
      <c r="W167" s="86"/>
      <c r="X167" s="86"/>
      <c r="Y167" s="86"/>
      <c r="Z167" s="143">
        <f>IF(AND(Kalk5!$AA$5=2,Kalk5!$AA$13),(VLOOKUP(F167,Preisliste!C:G,5,FALSE)-VLOOKUP(F167,Preisliste!C:G,4,FALSE))*B167,0)</f>
        <v>0</v>
      </c>
      <c r="AA167" s="86"/>
      <c r="AB167" s="86"/>
      <c r="AC167" s="86"/>
      <c r="AD167" s="86"/>
      <c r="AE167" s="86"/>
      <c r="AF167" s="86"/>
      <c r="AG167" s="55">
        <f>IF(AND(AH167=1,AL167=1,AP167=1,AND(Kalk5!H28&gt;0,Kalk5!H29&gt;0)),1,0)</f>
        <v>0</v>
      </c>
      <c r="AH167" s="66">
        <f>IF(Kalk5!$AA$19=1,1,0)</f>
        <v>0</v>
      </c>
      <c r="AI167" s="55">
        <v>25</v>
      </c>
      <c r="AK167" s="55" t="s">
        <v>22079</v>
      </c>
      <c r="AL167" s="66">
        <f>IF(OR(OR(Kalk5!$AA$7=2,Kalk5!$AA$7=3),OR(Kalk5!$AA$9=2,Kalk5!$AA$9=3)),1,0)</f>
        <v>0</v>
      </c>
      <c r="AM167" s="55" t="s">
        <v>22092</v>
      </c>
      <c r="AO167" s="55" t="s">
        <v>22079</v>
      </c>
      <c r="AP167" s="66">
        <f>IF(Kalk5!$AI$51=AQ167,1,0)</f>
        <v>0</v>
      </c>
      <c r="AQ167" s="55">
        <v>1350</v>
      </c>
      <c r="AU167" s="66">
        <f>IF(OR(Kalk5!$AA$7=2,Kalk5!$AA$7=3),1,0)</f>
        <v>0</v>
      </c>
      <c r="AV167" s="55" t="s">
        <v>19882</v>
      </c>
      <c r="AW167" s="66">
        <f>IF(OR(Kalk5!$AA$9=2,Kalk5!$AA$9=3),1,0)</f>
        <v>0</v>
      </c>
      <c r="AX167" s="55" t="s">
        <v>20310</v>
      </c>
      <c r="AY167" s="55" t="s">
        <v>22100</v>
      </c>
      <c r="AZ167" s="66">
        <f>(AU167+AW167)*Kalk5!$H$37</f>
        <v>0</v>
      </c>
      <c r="BA167" s="55" t="s">
        <v>22101</v>
      </c>
    </row>
    <row r="168" spans="2:53" ht="24.95" customHeight="1">
      <c r="B168" s="93">
        <f t="shared" si="29"/>
        <v>0</v>
      </c>
      <c r="C168" s="60">
        <v>1750</v>
      </c>
      <c r="D168" s="60"/>
      <c r="E168" s="60" t="str">
        <f>VLOOKUP(1600,Sprachindex!$A:$Z,Erhebungsbogen!$Y$20,FALSE)</f>
        <v>[Stk]</v>
      </c>
      <c r="F168" s="60" t="s">
        <v>21982</v>
      </c>
      <c r="G168" s="514" t="str">
        <f>VLOOKUP(2149,Sprachindex!$A:$Z,Erhebungsbogen!$Y$20,FALSE) &amp; IF(AND(Kalk5!$AA$5=2,Kalk5!$AA$13),", " &amp; VLOOKUP(1645,Sprachindex!$A:$Z,Erhebungsbogen!$Y$20,FALSE) &amp; " " &amp; $U$8,", "&amp; VLOOKUP(1648,Sprachindex!$A:$Z,Erhebungsbogen!$Y$20,FALSE))</f>
        <v>U-Profil 25 (in der Laibung) exkl. Dichtung, gebohrt und entgratet, blank</v>
      </c>
      <c r="H168" s="515"/>
      <c r="I168" s="515"/>
      <c r="J168" s="515"/>
      <c r="K168" s="515"/>
      <c r="L168" s="515"/>
      <c r="M168" s="515"/>
      <c r="N168" s="515"/>
      <c r="O168" s="515"/>
      <c r="P168" s="515"/>
      <c r="Q168" s="515"/>
      <c r="R168" s="515"/>
      <c r="S168" s="515"/>
      <c r="T168" s="516"/>
      <c r="U168" s="352">
        <f>IF(AND(Kalk5!$AA$5=2,Kalk5!$AA$13),VLOOKUP(F168,Preisliste!C:G,5,FALSE),VLOOKUP(F168,Preisliste!C:G,4,FALSE))</f>
        <v>137.5</v>
      </c>
      <c r="V168" s="352">
        <f t="shared" si="28"/>
        <v>0</v>
      </c>
      <c r="W168" s="86"/>
      <c r="X168" s="86"/>
      <c r="Y168" s="86"/>
      <c r="Z168" s="143">
        <f>IF(AND(Kalk5!$AA$5=2,Kalk5!$AA$13),(VLOOKUP(F168,Preisliste!C:G,5,FALSE)-VLOOKUP(F168,Preisliste!C:G,4,FALSE))*B168,0)</f>
        <v>0</v>
      </c>
      <c r="AA168" s="86"/>
      <c r="AB168" s="86"/>
      <c r="AC168" s="86"/>
      <c r="AD168" s="86"/>
      <c r="AE168" s="86"/>
      <c r="AF168" s="86"/>
      <c r="AG168" s="55">
        <f>IF(AND(AH168=1,AL168=1,AP168=1,AND(Kalk5!H28&gt;0,Kalk5!H29&gt;0)),1,0)</f>
        <v>0</v>
      </c>
      <c r="AH168" s="66">
        <f>IF(Kalk5!$AA$19=1,1,0)</f>
        <v>0</v>
      </c>
      <c r="AI168" s="55">
        <v>25</v>
      </c>
      <c r="AK168" s="55" t="s">
        <v>22079</v>
      </c>
      <c r="AL168" s="66">
        <f>IF(OR(OR(Kalk5!$AA$7=2,Kalk5!$AA$7=3),OR(Kalk5!$AA$9=2,Kalk5!$AA$9=3)),1,0)</f>
        <v>0</v>
      </c>
      <c r="AM168" s="55" t="s">
        <v>22092</v>
      </c>
      <c r="AO168" s="55" t="s">
        <v>22079</v>
      </c>
      <c r="AP168" s="66">
        <f>IF(Kalk5!$AI$51=AQ168,1,0)</f>
        <v>0</v>
      </c>
      <c r="AQ168" s="55">
        <v>1750</v>
      </c>
      <c r="AU168" s="66">
        <f>IF(OR(Kalk5!$AA$7=2,Kalk5!$AA$7=3),1,0)</f>
        <v>0</v>
      </c>
      <c r="AV168" s="55" t="s">
        <v>19882</v>
      </c>
      <c r="AW168" s="66">
        <f>IF(OR(Kalk5!$AA$9=2,Kalk5!$AA$9=3),1,0)</f>
        <v>0</v>
      </c>
      <c r="AX168" s="55" t="s">
        <v>20310</v>
      </c>
      <c r="AY168" s="55" t="s">
        <v>22100</v>
      </c>
      <c r="AZ168" s="66">
        <f>(AU168+AW168)*Kalk5!$H$37</f>
        <v>0</v>
      </c>
      <c r="BA168" s="55" t="s">
        <v>22101</v>
      </c>
    </row>
    <row r="169" spans="2:53" ht="24.95" customHeight="1">
      <c r="B169" s="93">
        <f t="shared" si="29"/>
        <v>0</v>
      </c>
      <c r="C169" s="60">
        <v>2150</v>
      </c>
      <c r="D169" s="60"/>
      <c r="E169" s="60" t="str">
        <f>VLOOKUP(1600,Sprachindex!$A:$Z,Erhebungsbogen!$Y$20,FALSE)</f>
        <v>[Stk]</v>
      </c>
      <c r="F169" s="60" t="s">
        <v>21983</v>
      </c>
      <c r="G169" s="514" t="str">
        <f>VLOOKUP(2149,Sprachindex!$A:$Z,Erhebungsbogen!$Y$20,FALSE) &amp; IF(AND(Kalk5!$AA$5=2,Kalk5!$AA$13),", " &amp; VLOOKUP(1645,Sprachindex!$A:$Z,Erhebungsbogen!$Y$20,FALSE) &amp; " " &amp; $U$8,", "&amp; VLOOKUP(1648,Sprachindex!$A:$Z,Erhebungsbogen!$Y$20,FALSE))</f>
        <v>U-Profil 25 (in der Laibung) exkl. Dichtung, gebohrt und entgratet, blank</v>
      </c>
      <c r="H169" s="515"/>
      <c r="I169" s="515"/>
      <c r="J169" s="515"/>
      <c r="K169" s="515"/>
      <c r="L169" s="515"/>
      <c r="M169" s="515"/>
      <c r="N169" s="515"/>
      <c r="O169" s="515"/>
      <c r="P169" s="515"/>
      <c r="Q169" s="515"/>
      <c r="R169" s="515"/>
      <c r="S169" s="515"/>
      <c r="T169" s="516"/>
      <c r="U169" s="352">
        <f>IF(AND(Kalk5!$AA$5=2,Kalk5!$AA$13),VLOOKUP(F169,Preisliste!C:G,5,FALSE),VLOOKUP(F169,Preisliste!C:G,4,FALSE))</f>
        <v>162.9</v>
      </c>
      <c r="V169" s="352">
        <f t="shared" si="28"/>
        <v>0</v>
      </c>
      <c r="W169" s="86"/>
      <c r="X169" s="86"/>
      <c r="Y169" s="86"/>
      <c r="Z169" s="143">
        <f>IF(AND(Kalk5!$AA$5=2,Kalk5!$AA$13),(VLOOKUP(F169,Preisliste!C:G,5,FALSE)-VLOOKUP(F169,Preisliste!C:G,4,FALSE))*B169,0)</f>
        <v>0</v>
      </c>
      <c r="AA169" s="86"/>
      <c r="AB169" s="86"/>
      <c r="AC169" s="86"/>
      <c r="AD169" s="86"/>
      <c r="AE169" s="86"/>
      <c r="AF169" s="86"/>
      <c r="AG169" s="55">
        <f>IF(AND(AH169=1,AL169=1,AP169=1,AND(Kalk5!H28&gt;0,Kalk5!H29&gt;0)),1,0)</f>
        <v>0</v>
      </c>
      <c r="AH169" s="66">
        <f>IF(Kalk5!$AA$19=1,1,0)</f>
        <v>0</v>
      </c>
      <c r="AI169" s="55">
        <v>25</v>
      </c>
      <c r="AK169" s="55" t="s">
        <v>22079</v>
      </c>
      <c r="AL169" s="66">
        <f>IF(OR(OR(Kalk5!$AA$7=2,Kalk5!$AA$7=3),OR(Kalk5!$AA$9=2,Kalk5!$AA$9=3)),1,0)</f>
        <v>0</v>
      </c>
      <c r="AM169" s="55" t="s">
        <v>22092</v>
      </c>
      <c r="AO169" s="55" t="s">
        <v>22079</v>
      </c>
      <c r="AP169" s="66">
        <f>IF(Kalk5!$AI$51=AQ169,1,0)</f>
        <v>0</v>
      </c>
      <c r="AQ169" s="55">
        <v>2150</v>
      </c>
      <c r="AU169" s="66">
        <f>IF(OR(Kalk5!$AA$7=2,Kalk5!$AA$7=3),1,0)</f>
        <v>0</v>
      </c>
      <c r="AV169" s="55" t="s">
        <v>19882</v>
      </c>
      <c r="AW169" s="66">
        <f>IF(OR(Kalk5!$AA$9=2,Kalk5!$AA$9=3),1,0)</f>
        <v>0</v>
      </c>
      <c r="AX169" s="55" t="s">
        <v>20310</v>
      </c>
      <c r="AY169" s="55" t="s">
        <v>22100</v>
      </c>
      <c r="AZ169" s="66">
        <f>(AU169+AW169)*Kalk5!$H$37</f>
        <v>0</v>
      </c>
      <c r="BA169" s="55" t="s">
        <v>22101</v>
      </c>
    </row>
    <row r="170" spans="2:53" ht="24.95" customHeight="1">
      <c r="B170" s="93">
        <f t="shared" si="29"/>
        <v>0</v>
      </c>
      <c r="C170" s="60">
        <f>IF(AG170=1,AS170,0)</f>
        <v>0</v>
      </c>
      <c r="D170" s="60"/>
      <c r="E170" s="60" t="str">
        <f>VLOOKUP(1600,Sprachindex!$A:$Z,Erhebungsbogen!$Y$20,FALSE)</f>
        <v>[Stk]</v>
      </c>
      <c r="F170" s="60" t="s">
        <v>21883</v>
      </c>
      <c r="G170" s="514" t="str">
        <f>VLOOKUP(1858,Sprachindex!$A:$Z,Erhebungsbogen!$Y$20,FALSE)</f>
        <v>U-Profil 25 Sonderlänge exkl. Dichtung, (Stangenware)</v>
      </c>
      <c r="H170" s="515"/>
      <c r="I170" s="515"/>
      <c r="J170" s="515"/>
      <c r="K170" s="515"/>
      <c r="L170" s="515"/>
      <c r="M170" s="515"/>
      <c r="N170" s="515"/>
      <c r="O170" s="515"/>
      <c r="P170" s="515"/>
      <c r="Q170" s="515"/>
      <c r="R170" s="515"/>
      <c r="S170" s="515"/>
      <c r="T170" s="516"/>
      <c r="U170" s="352">
        <f>IF(AND(Kalk5!$AA$5=2,Kalk5!$AA$13),VLOOKUP(F170,Preisliste!C:G,5,FALSE),VLOOKUP(F170,Preisliste!C:G,4,FALSE))</f>
        <v>72</v>
      </c>
      <c r="V170" s="352">
        <f t="shared" si="28"/>
        <v>0</v>
      </c>
      <c r="W170" s="86"/>
      <c r="X170" s="86"/>
      <c r="Y170" s="86"/>
      <c r="Z170" s="143">
        <f>IF(AND(Kalk5!$AA$5=2,Kalk5!$AA$13),(VLOOKUP(F170,Preisliste!C:G,5,FALSE)-VLOOKUP(F170,Preisliste!C:G,4,FALSE))*B170,0)</f>
        <v>0</v>
      </c>
      <c r="AA170" s="86"/>
      <c r="AB170" s="86"/>
      <c r="AC170" s="86"/>
      <c r="AD170" s="86"/>
      <c r="AE170" s="86"/>
      <c r="AF170" s="86"/>
      <c r="AG170" s="55">
        <f>IF(AND(AH170=1,AL170=1,AP170=1,AND(Kalk5!H28&gt;0,Kalk5!H29&gt;0)),1,0)</f>
        <v>0</v>
      </c>
      <c r="AH170" s="66">
        <f>IF(Kalk5!$AA$19=1,1,0)</f>
        <v>0</v>
      </c>
      <c r="AI170" s="55">
        <v>25</v>
      </c>
      <c r="AK170" s="55" t="s">
        <v>22079</v>
      </c>
      <c r="AL170" s="66">
        <f>IF(OR(OR(Kalk5!$AA$7=1,Kalk5!$AA$7=2,Kalk5!$AA$7=3),OR(Kalk5!$AA$9=1,Kalk5!$AA$9=2,Kalk5!$AA$9=3)),1,0)</f>
        <v>1</v>
      </c>
      <c r="AM170" s="55" t="s">
        <v>22092</v>
      </c>
      <c r="AO170" s="55" t="s">
        <v>22079</v>
      </c>
      <c r="AP170" s="66">
        <f>IF(Kalk5!$AH$52&gt;AQ170,1,0)</f>
        <v>0</v>
      </c>
      <c r="AQ170" s="55">
        <v>2150</v>
      </c>
      <c r="AR170" s="55" t="s">
        <v>22084</v>
      </c>
      <c r="AS170" s="66">
        <f>Kalk5!$AH$52</f>
        <v>0</v>
      </c>
      <c r="AU170" s="66">
        <f>IF(OR(Kalk5!$AA$7=2,Kalk5!$AA$7=3),1,0)</f>
        <v>0</v>
      </c>
      <c r="AV170" s="55" t="s">
        <v>19882</v>
      </c>
      <c r="AW170" s="66">
        <f>IF(OR(Kalk5!$AA$9=2,Kalk5!$AA$9=3),1,0)</f>
        <v>0</v>
      </c>
      <c r="AX170" s="55" t="s">
        <v>20310</v>
      </c>
      <c r="AY170" s="55" t="s">
        <v>22100</v>
      </c>
      <c r="AZ170" s="66">
        <f>(AU170+AW170)*Kalk5!$H$37</f>
        <v>0</v>
      </c>
      <c r="BA170" s="55" t="s">
        <v>22101</v>
      </c>
    </row>
    <row r="171" spans="2:53" ht="24.95" customHeight="1">
      <c r="B171" s="93">
        <f t="shared" si="29"/>
        <v>0</v>
      </c>
      <c r="C171" s="60">
        <v>750</v>
      </c>
      <c r="D171" s="60"/>
      <c r="E171" s="60" t="str">
        <f>VLOOKUP(1600,Sprachindex!$A:$Z,Erhebungsbogen!$Y$20,FALSE)</f>
        <v>[Stk]</v>
      </c>
      <c r="F171" s="60" t="s">
        <v>21886</v>
      </c>
      <c r="G171" s="514" t="str">
        <f>VLOOKUP(1859,Sprachindex!$A:$Z,Erhebungsbogen!$Y$20,FALSE) &amp; IF(AND(Kalk5!$AA$5=2,Kalk5!$AA$13),", " &amp; VLOOKUP(1645,Sprachindex!$A:$Z,Erhebungsbogen!$Y$20,FALSE) &amp; " " &amp; $U$8,", "&amp; VLOOKUP(1648,Sprachindex!$A:$Z,Erhebungsbogen!$Y$20,FALSE))</f>
        <v>U-Profil 50 exkl. Dichtung, gebohrt und entgratet, blank</v>
      </c>
      <c r="H171" s="514"/>
      <c r="I171" s="514"/>
      <c r="J171" s="514"/>
      <c r="K171" s="514"/>
      <c r="L171" s="514"/>
      <c r="M171" s="514"/>
      <c r="N171" s="514"/>
      <c r="O171" s="514"/>
      <c r="P171" s="514"/>
      <c r="Q171" s="514"/>
      <c r="R171" s="514"/>
      <c r="S171" s="514"/>
      <c r="T171" s="514"/>
      <c r="U171" s="352">
        <f>IF(AND(Kalk5!$AA$5=2,Kalk5!$AA$13),VLOOKUP(F171,Preisliste!C:G,5,FALSE),VLOOKUP(F171,Preisliste!C:G,4,FALSE))</f>
        <v>134.25</v>
      </c>
      <c r="V171" s="352">
        <f t="shared" si="28"/>
        <v>0</v>
      </c>
      <c r="W171" s="86"/>
      <c r="X171" s="86"/>
      <c r="Y171" s="86"/>
      <c r="Z171" s="143">
        <f>IF(AND(Kalk5!$AA$5=2,Kalk5!$AA$13),(VLOOKUP(F171,Preisliste!C:G,5,FALSE)-VLOOKUP(F171,Preisliste!C:G,4,FALSE))*B171,0)</f>
        <v>0</v>
      </c>
      <c r="AA171" s="86"/>
      <c r="AB171" s="86"/>
      <c r="AC171" s="86"/>
      <c r="AD171" s="86"/>
      <c r="AE171" s="86"/>
      <c r="AF171" s="86"/>
      <c r="AG171" s="249">
        <f>IF(AND(AH171=1,AL171=1,AP171=1,AND(Kalk5!H28&gt;0,Kalk5!H29&gt;0)),1,0)</f>
        <v>0</v>
      </c>
      <c r="AH171" s="66">
        <f>IF(OR(Kalk5!$AA$19=2,Kalk5!$AA$19=3),1,0)</f>
        <v>1</v>
      </c>
      <c r="AI171" s="55">
        <v>50</v>
      </c>
      <c r="AK171" s="55" t="s">
        <v>22079</v>
      </c>
      <c r="AL171" s="66">
        <f>IF(OR(OR(Kalk5!$AA$7=2,Kalk5!$AA$7=3),OR(Kalk5!$AA$9=2,Kalk5!$AA$9=3)),1,0)</f>
        <v>0</v>
      </c>
      <c r="AM171" s="55" t="s">
        <v>22092</v>
      </c>
      <c r="AO171" s="55" t="s">
        <v>22079</v>
      </c>
      <c r="AP171" s="55">
        <f>IF(Kalk5!$AI$51=AQ171,1,0)</f>
        <v>1</v>
      </c>
      <c r="AQ171" s="55">
        <v>750</v>
      </c>
      <c r="AU171" s="66">
        <f>IF(OR(Kalk5!$AA$7=2,Kalk5!$AA$7=3),1,0)</f>
        <v>0</v>
      </c>
      <c r="AV171" s="55" t="s">
        <v>19882</v>
      </c>
      <c r="AW171" s="66">
        <f>IF(OR(Kalk5!$AA$9=2,Kalk5!$AA$9=3),1,0)</f>
        <v>0</v>
      </c>
      <c r="AX171" s="55" t="s">
        <v>20310</v>
      </c>
      <c r="AY171" s="55" t="s">
        <v>22100</v>
      </c>
      <c r="AZ171" s="66">
        <f>(AU171+AW171)*Kalk5!$H$37</f>
        <v>0</v>
      </c>
      <c r="BA171" s="55" t="s">
        <v>22101</v>
      </c>
    </row>
    <row r="172" spans="2:53" ht="24.95" customHeight="1">
      <c r="B172" s="93">
        <f t="shared" si="29"/>
        <v>0</v>
      </c>
      <c r="C172" s="60">
        <v>1350</v>
      </c>
      <c r="D172" s="60"/>
      <c r="E172" s="60" t="str">
        <f>VLOOKUP(1600,Sprachindex!$A:$Z,Erhebungsbogen!$Y$20,FALSE)</f>
        <v>[Stk]</v>
      </c>
      <c r="F172" s="60" t="s">
        <v>21887</v>
      </c>
      <c r="G172" s="514" t="str">
        <f>VLOOKUP(1859,Sprachindex!$A:$Z,Erhebungsbogen!$Y$20,FALSE) &amp; IF(AND(Kalk5!$AA$5=2,Kalk5!$AA$13),", " &amp; VLOOKUP(1645,Sprachindex!$A:$Z,Erhebungsbogen!$Y$20,FALSE) &amp; " " &amp; $U$8,", "&amp; VLOOKUP(1648,Sprachindex!$A:$Z,Erhebungsbogen!$Y$20,FALSE))</f>
        <v>U-Profil 50 exkl. Dichtung, gebohrt und entgratet, blank</v>
      </c>
      <c r="H172" s="514"/>
      <c r="I172" s="514"/>
      <c r="J172" s="514"/>
      <c r="K172" s="514"/>
      <c r="L172" s="514"/>
      <c r="M172" s="514"/>
      <c r="N172" s="514"/>
      <c r="O172" s="514"/>
      <c r="P172" s="514"/>
      <c r="Q172" s="514"/>
      <c r="R172" s="514"/>
      <c r="S172" s="514"/>
      <c r="T172" s="514"/>
      <c r="U172" s="352">
        <f>IF(AND(Kalk5!$AA$5=2,Kalk5!$AA$13),VLOOKUP(F172,Preisliste!C:G,5,FALSE),VLOOKUP(F172,Preisliste!C:G,4,FALSE))</f>
        <v>206.7</v>
      </c>
      <c r="V172" s="352">
        <f t="shared" si="28"/>
        <v>0</v>
      </c>
      <c r="W172" s="86"/>
      <c r="X172" s="86"/>
      <c r="Y172" s="86"/>
      <c r="Z172" s="143">
        <f>IF(AND(Kalk5!$AA$5=2,Kalk5!$AA$13),(VLOOKUP(F172,Preisliste!C:G,5,FALSE)-VLOOKUP(F172,Preisliste!C:G,4,FALSE))*B172,0)</f>
        <v>0</v>
      </c>
      <c r="AA172" s="86"/>
      <c r="AB172" s="86"/>
      <c r="AC172" s="86"/>
      <c r="AD172" s="86"/>
      <c r="AE172" s="86"/>
      <c r="AF172" s="86"/>
      <c r="AG172" s="55">
        <f>IF(AND(AH172=1,AL172=1,AP172=1,AND(Kalk5!H28&gt;0,Kalk5!H29&gt;0)),1,0)</f>
        <v>0</v>
      </c>
      <c r="AH172" s="66">
        <f>IF(OR(Kalk5!$AA$19=2,Kalk5!$AA$19=3),1,0)</f>
        <v>1</v>
      </c>
      <c r="AI172" s="55">
        <v>50</v>
      </c>
      <c r="AK172" s="55" t="s">
        <v>22079</v>
      </c>
      <c r="AL172" s="66">
        <f>IF(OR(OR(Kalk5!$AA$7=2,Kalk5!$AA$7=3),OR(Kalk5!$AA$9=2,Kalk5!$AA$9=3)),1,0)</f>
        <v>0</v>
      </c>
      <c r="AM172" s="55" t="s">
        <v>22092</v>
      </c>
      <c r="AO172" s="55" t="s">
        <v>22079</v>
      </c>
      <c r="AP172" s="66">
        <f>IF(Kalk5!$AI$51=AQ172,1,0)</f>
        <v>0</v>
      </c>
      <c r="AQ172" s="55">
        <v>1350</v>
      </c>
      <c r="AU172" s="66">
        <f>IF(OR(Kalk5!$AA$7=2,Kalk5!$AA$7=3),1,0)</f>
        <v>0</v>
      </c>
      <c r="AV172" s="55" t="s">
        <v>19882</v>
      </c>
      <c r="AW172" s="66">
        <f>IF(OR(Kalk5!$AA$9=2,Kalk5!$AA$9=3),1,0)</f>
        <v>0</v>
      </c>
      <c r="AX172" s="55" t="s">
        <v>20310</v>
      </c>
      <c r="AY172" s="55" t="s">
        <v>22100</v>
      </c>
      <c r="AZ172" s="66">
        <f>(AU172+AW172)*Kalk5!$H$37</f>
        <v>0</v>
      </c>
      <c r="BA172" s="55" t="s">
        <v>22101</v>
      </c>
    </row>
    <row r="173" spans="2:53" ht="24.95" customHeight="1">
      <c r="B173" s="93">
        <f t="shared" si="29"/>
        <v>0</v>
      </c>
      <c r="C173" s="60">
        <v>1750</v>
      </c>
      <c r="D173" s="60"/>
      <c r="E173" s="60" t="str">
        <f>VLOOKUP(1600,Sprachindex!$A:$Z,Erhebungsbogen!$Y$20,FALSE)</f>
        <v>[Stk]</v>
      </c>
      <c r="F173" s="60" t="s">
        <v>21888</v>
      </c>
      <c r="G173" s="514" t="str">
        <f>VLOOKUP(1859,Sprachindex!$A:$Z,Erhebungsbogen!$Y$20,FALSE) &amp; IF(AND(Kalk5!$AA$5=2,Kalk5!$AA$13),", " &amp; VLOOKUP(1645,Sprachindex!$A:$Z,Erhebungsbogen!$Y$20,FALSE) &amp; " " &amp; $U$8,", "&amp; VLOOKUP(1648,Sprachindex!$A:$Z,Erhebungsbogen!$Y$20,FALSE))</f>
        <v>U-Profil 50 exkl. Dichtung, gebohrt und entgratet, blank</v>
      </c>
      <c r="H173" s="514"/>
      <c r="I173" s="514"/>
      <c r="J173" s="514"/>
      <c r="K173" s="514"/>
      <c r="L173" s="514"/>
      <c r="M173" s="514"/>
      <c r="N173" s="514"/>
      <c r="O173" s="514"/>
      <c r="P173" s="514"/>
      <c r="Q173" s="514"/>
      <c r="R173" s="514"/>
      <c r="S173" s="514"/>
      <c r="T173" s="514"/>
      <c r="U173" s="352">
        <f>IF(AND(Kalk5!$AA$5=2,Kalk5!$AA$13),VLOOKUP(F173,Preisliste!C:G,5,FALSE),VLOOKUP(F173,Preisliste!C:G,4,FALSE))</f>
        <v>256.25</v>
      </c>
      <c r="V173" s="352">
        <f t="shared" si="28"/>
        <v>0</v>
      </c>
      <c r="W173" s="86"/>
      <c r="X173" s="86"/>
      <c r="Y173" s="86"/>
      <c r="Z173" s="143">
        <f>IF(AND(Kalk5!$AA$5=2,Kalk5!$AA$13),(VLOOKUP(F173,Preisliste!C:G,5,FALSE)-VLOOKUP(F173,Preisliste!C:G,4,FALSE))*B173,0)</f>
        <v>0</v>
      </c>
      <c r="AA173" s="86"/>
      <c r="AB173" s="86"/>
      <c r="AC173" s="86"/>
      <c r="AD173" s="86"/>
      <c r="AE173" s="86"/>
      <c r="AF173" s="86"/>
      <c r="AG173" s="55">
        <f>IF(AND(AH173=1,AL173=1,AP173=1,AND(Kalk5!H28&gt;0,Kalk5!H29&gt;0)),1,0)</f>
        <v>0</v>
      </c>
      <c r="AH173" s="66">
        <f>IF(OR(Kalk5!$AA$19=2,Kalk5!$AA$19=3),1,0)</f>
        <v>1</v>
      </c>
      <c r="AI173" s="55">
        <v>50</v>
      </c>
      <c r="AK173" s="55" t="s">
        <v>22079</v>
      </c>
      <c r="AL173" s="66">
        <f>IF(OR(OR(Kalk5!$AA$7=2,Kalk5!$AA$7=3),OR(Kalk5!$AA$9=2,Kalk5!$AA$9=3)),1,0)</f>
        <v>0</v>
      </c>
      <c r="AM173" s="55" t="s">
        <v>22092</v>
      </c>
      <c r="AO173" s="55" t="s">
        <v>22079</v>
      </c>
      <c r="AP173" s="66">
        <f>IF(Kalk5!$AI$51=AQ173,1,0)</f>
        <v>0</v>
      </c>
      <c r="AQ173" s="55">
        <v>1750</v>
      </c>
      <c r="AU173" s="66">
        <f>IF(OR(Kalk5!$AA$7=2,Kalk5!$AA$7=3),1,0)</f>
        <v>0</v>
      </c>
      <c r="AV173" s="55" t="s">
        <v>19882</v>
      </c>
      <c r="AW173" s="66">
        <f>IF(OR(Kalk5!$AA$9=2,Kalk5!$AA$9=3),1,0)</f>
        <v>0</v>
      </c>
      <c r="AX173" s="55" t="s">
        <v>20310</v>
      </c>
      <c r="AY173" s="55" t="s">
        <v>22100</v>
      </c>
      <c r="AZ173" s="66">
        <f>(AU173+AW173)*Kalk5!$H$37</f>
        <v>0</v>
      </c>
      <c r="BA173" s="55" t="s">
        <v>22101</v>
      </c>
    </row>
    <row r="174" spans="2:53" ht="24.95" customHeight="1">
      <c r="B174" s="93">
        <f t="shared" si="29"/>
        <v>0</v>
      </c>
      <c r="C174" s="60">
        <v>2150</v>
      </c>
      <c r="D174" s="60"/>
      <c r="E174" s="60" t="str">
        <f>VLOOKUP(1600,Sprachindex!$A:$Z,Erhebungsbogen!$Y$20,FALSE)</f>
        <v>[Stk]</v>
      </c>
      <c r="F174" s="60" t="s">
        <v>21889</v>
      </c>
      <c r="G174" s="514" t="str">
        <f>VLOOKUP(1859,Sprachindex!$A:$Z,Erhebungsbogen!$Y$20,FALSE) &amp; IF(AND(Kalk5!$AA$5=2,Kalk5!$AA$13),", " &amp; VLOOKUP(1645,Sprachindex!$A:$Z,Erhebungsbogen!$Y$20,FALSE) &amp; " " &amp; $U$8,", "&amp; VLOOKUP(1648,Sprachindex!$A:$Z,Erhebungsbogen!$Y$20,FALSE))</f>
        <v>U-Profil 50 exkl. Dichtung, gebohrt und entgratet, blank</v>
      </c>
      <c r="H174" s="514"/>
      <c r="I174" s="514"/>
      <c r="J174" s="514"/>
      <c r="K174" s="514"/>
      <c r="L174" s="514"/>
      <c r="M174" s="514"/>
      <c r="N174" s="514"/>
      <c r="O174" s="514"/>
      <c r="P174" s="514"/>
      <c r="Q174" s="514"/>
      <c r="R174" s="514"/>
      <c r="S174" s="514"/>
      <c r="T174" s="514"/>
      <c r="U174" s="352">
        <f>IF(AND(Kalk5!$AA$5=2,Kalk5!$AA$13),VLOOKUP(F174,Preisliste!C:G,5,FALSE),VLOOKUP(F174,Preisliste!C:G,4,FALSE))</f>
        <v>306.5</v>
      </c>
      <c r="V174" s="352">
        <f t="shared" si="28"/>
        <v>0</v>
      </c>
      <c r="W174" s="86"/>
      <c r="X174" s="86"/>
      <c r="Y174" s="86"/>
      <c r="Z174" s="143">
        <f>IF(AND(Kalk5!$AA$5=2,Kalk5!$AA$13),(VLOOKUP(F174,Preisliste!C:G,5,FALSE)-VLOOKUP(F174,Preisliste!C:G,4,FALSE))*B174,0)</f>
        <v>0</v>
      </c>
      <c r="AA174" s="86"/>
      <c r="AB174" s="86"/>
      <c r="AC174" s="86"/>
      <c r="AD174" s="86"/>
      <c r="AE174" s="86"/>
      <c r="AF174" s="86"/>
      <c r="AG174" s="55">
        <f>IF(AND(AH174=1,AL174=1,AP174=1,AND(Kalk5!H28&gt;0,Kalk5!H29&gt;0)),1,0)</f>
        <v>0</v>
      </c>
      <c r="AH174" s="66">
        <f>IF(OR(Kalk5!$AA$19=2,Kalk5!$AA$19=3),1,0)</f>
        <v>1</v>
      </c>
      <c r="AI174" s="55">
        <v>50</v>
      </c>
      <c r="AK174" s="55" t="s">
        <v>22079</v>
      </c>
      <c r="AL174" s="66">
        <f>IF(OR(OR(Kalk5!$AA$7=2,Kalk5!$AA$7=3),OR(Kalk5!$AA$9=2,Kalk5!$AA$9=3)),1,0)</f>
        <v>0</v>
      </c>
      <c r="AM174" s="55" t="s">
        <v>22092</v>
      </c>
      <c r="AO174" s="55" t="s">
        <v>22079</v>
      </c>
      <c r="AP174" s="66">
        <f>IF(Kalk5!$AI$51=AQ174,1,0)</f>
        <v>0</v>
      </c>
      <c r="AQ174" s="55">
        <v>2150</v>
      </c>
      <c r="AU174" s="66">
        <f>IF(OR(Kalk5!$AA$7=2,Kalk5!$AA$7=3),1,0)</f>
        <v>0</v>
      </c>
      <c r="AV174" s="55" t="s">
        <v>19882</v>
      </c>
      <c r="AW174" s="66">
        <f>IF(OR(Kalk5!$AA$9=2,Kalk5!$AA$9=3),1,0)</f>
        <v>0</v>
      </c>
      <c r="AX174" s="55" t="s">
        <v>20310</v>
      </c>
      <c r="AY174" s="55" t="s">
        <v>22100</v>
      </c>
      <c r="AZ174" s="66">
        <f>(AU174+AW174)*Kalk5!$H$37</f>
        <v>0</v>
      </c>
      <c r="BA174" s="55" t="s">
        <v>22101</v>
      </c>
    </row>
    <row r="175" spans="2:53" ht="24.95" customHeight="1">
      <c r="B175" s="93">
        <f t="shared" si="29"/>
        <v>0</v>
      </c>
      <c r="C175" s="60">
        <f>IF(AG175=1,AS175,0)</f>
        <v>0</v>
      </c>
      <c r="D175" s="60"/>
      <c r="E175" s="60" t="str">
        <f>VLOOKUP(1600,Sprachindex!$A:$Z,Erhebungsbogen!$Y$20,FALSE)</f>
        <v>[Stk]</v>
      </c>
      <c r="F175" s="60" t="s">
        <v>21890</v>
      </c>
      <c r="G175" s="514" t="str">
        <f>VLOOKUP(1860,Sprachindex!$A:$Z,Erhebungsbogen!$Y$20,FALSE)</f>
        <v>U-Profil 50 Sonderlänge exkl. Dichtung, (Stangenware)</v>
      </c>
      <c r="H175" s="514"/>
      <c r="I175" s="514"/>
      <c r="J175" s="514"/>
      <c r="K175" s="514"/>
      <c r="L175" s="514"/>
      <c r="M175" s="514"/>
      <c r="N175" s="514"/>
      <c r="O175" s="514"/>
      <c r="P175" s="514"/>
      <c r="Q175" s="514"/>
      <c r="R175" s="514"/>
      <c r="S175" s="514"/>
      <c r="T175" s="514"/>
      <c r="U175" s="352">
        <f>IF(AND(Kalk5!$AA$5=2,Kalk5!$AA$13),VLOOKUP(F175,Preisliste!C:G,5,FALSE),VLOOKUP(F175,Preisliste!C:G,4,FALSE))</f>
        <v>117.2</v>
      </c>
      <c r="V175" s="352">
        <f t="shared" si="28"/>
        <v>0</v>
      </c>
      <c r="W175" s="86"/>
      <c r="X175" s="86"/>
      <c r="Y175" s="86"/>
      <c r="Z175" s="143">
        <f>IF(AND(Kalk5!$AA$5=2,Kalk5!$AA$13),(VLOOKUP(F175,Preisliste!C:G,5,FALSE)-VLOOKUP(F175,Preisliste!C:G,4,FALSE))*B175,0)</f>
        <v>0</v>
      </c>
      <c r="AA175" s="86"/>
      <c r="AB175" s="86"/>
      <c r="AC175" s="86"/>
      <c r="AD175" s="86"/>
      <c r="AE175" s="86"/>
      <c r="AF175" s="86"/>
      <c r="AG175" s="55">
        <f>IF(AND(AH175=1,AL175=1,AP175=1,AND(Kalk5!H28&gt;0,Kalk5!H29&gt;0)),1,0)</f>
        <v>0</v>
      </c>
      <c r="AH175" s="66">
        <f>IF(OR(Kalk5!$AA$19=2,Kalk5!$AA$19=3),1,0)</f>
        <v>1</v>
      </c>
      <c r="AI175" s="55">
        <v>50</v>
      </c>
      <c r="AK175" s="55" t="s">
        <v>22079</v>
      </c>
      <c r="AL175" s="66">
        <f>IF(OR(OR(Kalk5!$AA$7=2,Kalk5!$AA$7=3),OR(Kalk5!$AA$9=2,Kalk5!$AA$9=3)),1,0)</f>
        <v>0</v>
      </c>
      <c r="AM175" s="55" t="s">
        <v>22092</v>
      </c>
      <c r="AO175" s="55" t="s">
        <v>22079</v>
      </c>
      <c r="AP175" s="66">
        <f>IF(Kalk5!$AH$52&gt;AQ175,1,0)</f>
        <v>0</v>
      </c>
      <c r="AQ175" s="55">
        <v>2150</v>
      </c>
      <c r="AR175" s="55" t="s">
        <v>22084</v>
      </c>
      <c r="AS175" s="66">
        <f>Kalk5!$AH$52</f>
        <v>0</v>
      </c>
      <c r="AU175" s="66">
        <f>IF(OR(Kalk5!$AA$7=2,Kalk5!$AA$7=3),1,0)</f>
        <v>0</v>
      </c>
      <c r="AV175" s="55" t="s">
        <v>19882</v>
      </c>
      <c r="AW175" s="66">
        <f>IF(OR(Kalk5!$AA$9=2,Kalk5!$AA$9=3),1,0)</f>
        <v>0</v>
      </c>
      <c r="AX175" s="55" t="s">
        <v>20310</v>
      </c>
      <c r="AY175" s="55" t="s">
        <v>22100</v>
      </c>
      <c r="AZ175" s="66">
        <f>(AU175+AW175)*Kalk5!$H$37</f>
        <v>0</v>
      </c>
      <c r="BA175" s="55" t="s">
        <v>22101</v>
      </c>
    </row>
    <row r="176" spans="2:53" ht="24.95" customHeight="1">
      <c r="B176" s="93">
        <f t="shared" si="29"/>
        <v>0</v>
      </c>
      <c r="C176" s="60">
        <v>750</v>
      </c>
      <c r="D176" s="60"/>
      <c r="E176" s="60" t="str">
        <f>VLOOKUP(1600,Sprachindex!$A:$Z,Erhebungsbogen!$Y$20,FALSE)</f>
        <v>[Stk]</v>
      </c>
      <c r="F176" s="60" t="s">
        <v>21891</v>
      </c>
      <c r="G176" s="514" t="str">
        <f>VLOOKUP(1861,Sprachindex!$A:$Z,Erhebungsbogen!$Y$20,FALSE) &amp; IF(AND(Kalk5!$AA$5=2,Kalk5!$AA$13),", " &amp; VLOOKUP(1645,Sprachindex!$A:$Z,Erhebungsbogen!$Y$20,FALSE) &amp; " " &amp; $U$8,", "&amp; VLOOKUP(1648,Sprachindex!$A:$Z,Erhebungsbogen!$Y$20,FALSE))</f>
        <v>U-Profil 80 exkl. Dichtung, gebohrt und entgratet, blank</v>
      </c>
      <c r="H176" s="514"/>
      <c r="I176" s="514"/>
      <c r="J176" s="514"/>
      <c r="K176" s="514"/>
      <c r="L176" s="514"/>
      <c r="M176" s="514"/>
      <c r="N176" s="514"/>
      <c r="O176" s="514"/>
      <c r="P176" s="514"/>
      <c r="Q176" s="514"/>
      <c r="R176" s="514"/>
      <c r="S176" s="514"/>
      <c r="T176" s="514"/>
      <c r="U176" s="352">
        <f>IF(AND(Kalk5!$AA$5=2,Kalk5!$AA$13),VLOOKUP(F176,Preisliste!C:G,5,FALSE),VLOOKUP(F176,Preisliste!C:G,4,FALSE))</f>
        <v>153.25</v>
      </c>
      <c r="V176" s="352">
        <f t="shared" si="28"/>
        <v>0</v>
      </c>
      <c r="W176" s="86"/>
      <c r="X176" s="86"/>
      <c r="Y176" s="86"/>
      <c r="Z176" s="143">
        <f>IF(AND(Kalk5!$AA$5=2,Kalk5!$AA$13),(VLOOKUP(F176,Preisliste!C:G,5,FALSE)-VLOOKUP(F176,Preisliste!C:G,4,FALSE))*B176,0)</f>
        <v>0</v>
      </c>
      <c r="AA176" s="86"/>
      <c r="AB176" s="86"/>
      <c r="AC176" s="86"/>
      <c r="AD176" s="86"/>
      <c r="AE176" s="86"/>
      <c r="AF176" s="86"/>
      <c r="AG176" s="55">
        <f>IF(AND(AH176=1,AL176=1,AP176=1,AND(Kalk5!H28&gt;0,Kalk5!H29&gt;0)),1,0)</f>
        <v>0</v>
      </c>
      <c r="AH176" s="66">
        <f>IF(Kalk5!$AA$19=4,1,0)</f>
        <v>0</v>
      </c>
      <c r="AI176" s="55">
        <v>80</v>
      </c>
      <c r="AK176" s="55" t="s">
        <v>22079</v>
      </c>
      <c r="AL176" s="66">
        <f>IF(OR(OR(Kalk5!$AA$7=2,Kalk5!$AA$7=3),OR(Kalk5!$AA$9=2,Kalk5!$AA$9=3)),1,0)</f>
        <v>0</v>
      </c>
      <c r="AM176" s="55" t="s">
        <v>22092</v>
      </c>
      <c r="AO176" s="55" t="s">
        <v>22079</v>
      </c>
      <c r="AP176" s="66">
        <f>IF(Kalk5!$AI$51=AQ176,1,0)</f>
        <v>1</v>
      </c>
      <c r="AQ176" s="55">
        <v>750</v>
      </c>
      <c r="AU176" s="66">
        <f>IF(OR(Kalk5!$AA$7=2,Kalk5!$AA$7=3),1,0)</f>
        <v>0</v>
      </c>
      <c r="AV176" s="55" t="s">
        <v>19882</v>
      </c>
      <c r="AW176" s="66">
        <f>IF(OR(Kalk5!$AA$9=2,Kalk5!$AA$9=3),1,0)</f>
        <v>0</v>
      </c>
      <c r="AX176" s="55" t="s">
        <v>20310</v>
      </c>
      <c r="AY176" s="55" t="s">
        <v>22100</v>
      </c>
      <c r="AZ176" s="66">
        <f>(AU176+AW176)*Kalk5!$H$37</f>
        <v>0</v>
      </c>
      <c r="BA176" s="55" t="s">
        <v>22101</v>
      </c>
    </row>
    <row r="177" spans="2:53" ht="24.95" customHeight="1">
      <c r="B177" s="93">
        <f t="shared" si="29"/>
        <v>0</v>
      </c>
      <c r="C177" s="60">
        <v>1350</v>
      </c>
      <c r="D177" s="60"/>
      <c r="E177" s="60" t="str">
        <f>VLOOKUP(1600,Sprachindex!$A:$Z,Erhebungsbogen!$Y$20,FALSE)</f>
        <v>[Stk]</v>
      </c>
      <c r="F177" s="60" t="s">
        <v>21892</v>
      </c>
      <c r="G177" s="514" t="str">
        <f>VLOOKUP(1861,Sprachindex!$A:$Z,Erhebungsbogen!$Y$20,FALSE) &amp; IF(AND(Kalk5!$AA$5=2,Kalk5!$AA$13),", " &amp; VLOOKUP(1645,Sprachindex!$A:$Z,Erhebungsbogen!$Y$20,FALSE) &amp; " " &amp; $U$8,", "&amp; VLOOKUP(1648,Sprachindex!$A:$Z,Erhebungsbogen!$Y$20,FALSE))</f>
        <v>U-Profil 80 exkl. Dichtung, gebohrt und entgratet, blank</v>
      </c>
      <c r="H177" s="514"/>
      <c r="I177" s="514"/>
      <c r="J177" s="514"/>
      <c r="K177" s="514"/>
      <c r="L177" s="514"/>
      <c r="M177" s="514"/>
      <c r="N177" s="514"/>
      <c r="O177" s="514"/>
      <c r="P177" s="514"/>
      <c r="Q177" s="514"/>
      <c r="R177" s="514"/>
      <c r="S177" s="514"/>
      <c r="T177" s="514"/>
      <c r="U177" s="352">
        <f>IF(AND(Kalk5!$AA$5=2,Kalk5!$AA$13),VLOOKUP(F177,Preisliste!C:G,5,FALSE),VLOOKUP(F177,Preisliste!C:G,4,FALSE))</f>
        <v>239.85</v>
      </c>
      <c r="V177" s="352">
        <f t="shared" si="28"/>
        <v>0</v>
      </c>
      <c r="W177" s="86"/>
      <c r="X177" s="86"/>
      <c r="Y177" s="86"/>
      <c r="Z177" s="143">
        <f>IF(AND(Kalk5!$AA$5=2,Kalk5!$AA$13),(VLOOKUP(F177,Preisliste!C:G,5,FALSE)-VLOOKUP(F177,Preisliste!C:G,4,FALSE))*B177,0)</f>
        <v>0</v>
      </c>
      <c r="AA177" s="86"/>
      <c r="AB177" s="86"/>
      <c r="AC177" s="86"/>
      <c r="AD177" s="86"/>
      <c r="AE177" s="86"/>
      <c r="AF177" s="86"/>
      <c r="AG177" s="55">
        <f>IF(AND(AH177=1,AL177=1,AP177=1,AND(Kalk5!H28&gt;0,Kalk5!H29&gt;0)),1,0)</f>
        <v>0</v>
      </c>
      <c r="AH177" s="66">
        <f>IF(Kalk5!$AA$19=4,1,0)</f>
        <v>0</v>
      </c>
      <c r="AI177" s="55">
        <v>80</v>
      </c>
      <c r="AK177" s="55" t="s">
        <v>22079</v>
      </c>
      <c r="AL177" s="66">
        <f>IF(OR(OR(Kalk5!$AA$7=2,Kalk5!$AA$7=3),OR(Kalk5!$AA$9=2,Kalk5!$AA$9=3)),1,0)</f>
        <v>0</v>
      </c>
      <c r="AM177" s="55" t="s">
        <v>22092</v>
      </c>
      <c r="AO177" s="55" t="s">
        <v>22079</v>
      </c>
      <c r="AP177" s="66">
        <f>IF(Kalk5!$AI$51=AQ177,1,0)</f>
        <v>0</v>
      </c>
      <c r="AQ177" s="55">
        <v>1350</v>
      </c>
      <c r="AU177" s="66">
        <f>IF(OR(Kalk5!$AA$7=2,Kalk5!$AA$7=3),1,0)</f>
        <v>0</v>
      </c>
      <c r="AV177" s="55" t="s">
        <v>19882</v>
      </c>
      <c r="AW177" s="66">
        <f>IF(OR(Kalk5!$AA$9=2,Kalk5!$AA$9=3),1,0)</f>
        <v>0</v>
      </c>
      <c r="AX177" s="55" t="s">
        <v>20310</v>
      </c>
      <c r="AY177" s="55" t="s">
        <v>22100</v>
      </c>
      <c r="AZ177" s="66">
        <f>(AU177+AW177)*Kalk5!$H$37</f>
        <v>0</v>
      </c>
      <c r="BA177" s="55" t="s">
        <v>22101</v>
      </c>
    </row>
    <row r="178" spans="2:53" ht="24.95" customHeight="1">
      <c r="B178" s="93">
        <f t="shared" si="29"/>
        <v>0</v>
      </c>
      <c r="C178" s="60">
        <v>1750</v>
      </c>
      <c r="D178" s="60"/>
      <c r="E178" s="60" t="str">
        <f>VLOOKUP(1600,Sprachindex!$A:$Z,Erhebungsbogen!$Y$20,FALSE)</f>
        <v>[Stk]</v>
      </c>
      <c r="F178" s="60" t="s">
        <v>21893</v>
      </c>
      <c r="G178" s="514" t="str">
        <f>VLOOKUP(1861,Sprachindex!$A:$Z,Erhebungsbogen!$Y$20,FALSE) &amp; IF(AND(Kalk5!$AA$5=2,Kalk5!$AA$13),", " &amp; VLOOKUP(1645,Sprachindex!$A:$Z,Erhebungsbogen!$Y$20,FALSE) &amp; " " &amp; $U$8,", "&amp; VLOOKUP(1648,Sprachindex!$A:$Z,Erhebungsbogen!$Y$20,FALSE))</f>
        <v>U-Profil 80 exkl. Dichtung, gebohrt und entgratet, blank</v>
      </c>
      <c r="H178" s="514"/>
      <c r="I178" s="514"/>
      <c r="J178" s="514"/>
      <c r="K178" s="514"/>
      <c r="L178" s="514"/>
      <c r="M178" s="514"/>
      <c r="N178" s="514"/>
      <c r="O178" s="514"/>
      <c r="P178" s="514"/>
      <c r="Q178" s="514"/>
      <c r="R178" s="514"/>
      <c r="S178" s="514"/>
      <c r="T178" s="514"/>
      <c r="U178" s="352">
        <f>IF(AND(Kalk5!$AA$5=2,Kalk5!$AA$13),VLOOKUP(F178,Preisliste!C:G,5,FALSE),VLOOKUP(F178,Preisliste!C:G,4,FALSE))</f>
        <v>298.89999999999998</v>
      </c>
      <c r="V178" s="352">
        <f t="shared" si="28"/>
        <v>0</v>
      </c>
      <c r="W178" s="86"/>
      <c r="X178" s="86"/>
      <c r="Y178" s="86"/>
      <c r="Z178" s="143">
        <f>IF(AND(Kalk5!$AA$5=2,Kalk5!$AA$13),(VLOOKUP(F178,Preisliste!C:G,5,FALSE)-VLOOKUP(F178,Preisliste!C:G,4,FALSE))*B178,0)</f>
        <v>0</v>
      </c>
      <c r="AA178" s="86"/>
      <c r="AB178" s="86"/>
      <c r="AC178" s="86"/>
      <c r="AD178" s="86"/>
      <c r="AE178" s="86"/>
      <c r="AF178" s="86"/>
      <c r="AG178" s="55">
        <f>IF(AND(AH178=1,AL178=1,AP178=1,AND(Kalk5!H28&gt;0,Kalk5!H29&gt;0)),1,0)</f>
        <v>0</v>
      </c>
      <c r="AH178" s="66">
        <f>IF(Kalk5!$AA$19=4,1,0)</f>
        <v>0</v>
      </c>
      <c r="AI178" s="55">
        <v>80</v>
      </c>
      <c r="AK178" s="55" t="s">
        <v>22079</v>
      </c>
      <c r="AL178" s="66">
        <f>IF(OR(OR(Kalk5!$AA$7=2,Kalk5!$AA$7=3),OR(Kalk5!$AA$9=2,Kalk5!$AA$9=3)),1,0)</f>
        <v>0</v>
      </c>
      <c r="AM178" s="55" t="s">
        <v>22092</v>
      </c>
      <c r="AO178" s="55" t="s">
        <v>22079</v>
      </c>
      <c r="AP178" s="66">
        <f>IF(Kalk5!$AI$51=AQ178,1,0)</f>
        <v>0</v>
      </c>
      <c r="AQ178" s="55">
        <v>1750</v>
      </c>
      <c r="AU178" s="66">
        <f>IF(OR(Kalk5!$AA$7=2,Kalk5!$AA$7=3),1,0)</f>
        <v>0</v>
      </c>
      <c r="AV178" s="55" t="s">
        <v>19882</v>
      </c>
      <c r="AW178" s="66">
        <f>IF(OR(Kalk5!$AA$9=2,Kalk5!$AA$9=3),1,0)</f>
        <v>0</v>
      </c>
      <c r="AX178" s="55" t="s">
        <v>20310</v>
      </c>
      <c r="AY178" s="55" t="s">
        <v>22100</v>
      </c>
      <c r="AZ178" s="66">
        <f>(AU178+AW178)*Kalk5!$H$37</f>
        <v>0</v>
      </c>
      <c r="BA178" s="55" t="s">
        <v>22101</v>
      </c>
    </row>
    <row r="179" spans="2:53" ht="24.95" customHeight="1">
      <c r="B179" s="93">
        <f t="shared" si="29"/>
        <v>0</v>
      </c>
      <c r="C179" s="60">
        <v>2150</v>
      </c>
      <c r="D179" s="60"/>
      <c r="E179" s="60" t="str">
        <f>VLOOKUP(1600,Sprachindex!$A:$Z,Erhebungsbogen!$Y$20,FALSE)</f>
        <v>[Stk]</v>
      </c>
      <c r="F179" s="60" t="s">
        <v>21894</v>
      </c>
      <c r="G179" s="514" t="str">
        <f>VLOOKUP(1861,Sprachindex!$A:$Z,Erhebungsbogen!$Y$20,FALSE) &amp; IF(AND(Kalk5!$AA$5=2,Kalk5!$AA$13),", " &amp; VLOOKUP(1645,Sprachindex!$A:$Z,Erhebungsbogen!$Y$20,FALSE) &amp; " " &amp; $U$8,", "&amp; VLOOKUP(1648,Sprachindex!$A:$Z,Erhebungsbogen!$Y$20,FALSE))</f>
        <v>U-Profil 80 exkl. Dichtung, gebohrt und entgratet, blank</v>
      </c>
      <c r="H179" s="514"/>
      <c r="I179" s="514"/>
      <c r="J179" s="514"/>
      <c r="K179" s="514"/>
      <c r="L179" s="514"/>
      <c r="M179" s="514"/>
      <c r="N179" s="514"/>
      <c r="O179" s="514"/>
      <c r="P179" s="514"/>
      <c r="Q179" s="514"/>
      <c r="R179" s="514"/>
      <c r="S179" s="514"/>
      <c r="T179" s="514"/>
      <c r="U179" s="352">
        <f>IF(AND(Kalk5!$AA$5=2,Kalk5!$AA$13),VLOOKUP(F179,Preisliste!C:G,5,FALSE),VLOOKUP(F179,Preisliste!C:G,4,FALSE))</f>
        <v>359</v>
      </c>
      <c r="V179" s="352">
        <f t="shared" si="28"/>
        <v>0</v>
      </c>
      <c r="W179" s="86"/>
      <c r="X179" s="86"/>
      <c r="Y179" s="86"/>
      <c r="Z179" s="143">
        <f>IF(AND(Kalk5!$AA$5=2,Kalk5!$AA$13),(VLOOKUP(F179,Preisliste!C:G,5,FALSE)-VLOOKUP(F179,Preisliste!C:G,4,FALSE))*B179,0)</f>
        <v>0</v>
      </c>
      <c r="AA179" s="86"/>
      <c r="AB179" s="86"/>
      <c r="AC179" s="86"/>
      <c r="AD179" s="86"/>
      <c r="AE179" s="86"/>
      <c r="AF179" s="86"/>
      <c r="AG179" s="55">
        <f>IF(AND(AH179=1,AL179=1,AP179=1,AND(Kalk5!H28&gt;0,Kalk5!H29&gt;0)),1,0)</f>
        <v>0</v>
      </c>
      <c r="AH179" s="66">
        <f>IF(Kalk5!$AA$19=4,1,0)</f>
        <v>0</v>
      </c>
      <c r="AI179" s="55">
        <v>80</v>
      </c>
      <c r="AK179" s="55" t="s">
        <v>22079</v>
      </c>
      <c r="AL179" s="66">
        <f>IF(OR(OR(Kalk5!$AA$7=2,Kalk5!$AA$7=3),OR(Kalk5!$AA$9=2,Kalk5!$AA$9=3)),1,0)</f>
        <v>0</v>
      </c>
      <c r="AM179" s="55" t="s">
        <v>22092</v>
      </c>
      <c r="AO179" s="55" t="s">
        <v>22079</v>
      </c>
      <c r="AP179" s="66">
        <f>IF(Kalk5!$AI$51=AQ179,1,0)</f>
        <v>0</v>
      </c>
      <c r="AQ179" s="55">
        <v>2150</v>
      </c>
      <c r="AU179" s="66">
        <f>IF(OR(Kalk5!$AA$7=2,Kalk5!$AA$7=3),1,0)</f>
        <v>0</v>
      </c>
      <c r="AV179" s="55" t="s">
        <v>19882</v>
      </c>
      <c r="AW179" s="66">
        <f>IF(OR(Kalk5!$AA$9=2,Kalk5!$AA$9=3),1,0)</f>
        <v>0</v>
      </c>
      <c r="AX179" s="55" t="s">
        <v>20310</v>
      </c>
      <c r="AY179" s="55" t="s">
        <v>22100</v>
      </c>
      <c r="AZ179" s="66">
        <f>(AU179+AW179)*Kalk5!$H$37</f>
        <v>0</v>
      </c>
      <c r="BA179" s="55" t="s">
        <v>22101</v>
      </c>
    </row>
    <row r="180" spans="2:53" ht="24.95" customHeight="1">
      <c r="B180" s="93">
        <f t="shared" si="29"/>
        <v>0</v>
      </c>
      <c r="C180" s="60">
        <f>IF(AG180=1,AS180,0)</f>
        <v>0</v>
      </c>
      <c r="D180" s="60"/>
      <c r="E180" s="60" t="str">
        <f>VLOOKUP(1600,Sprachindex!$A:$Z,Erhebungsbogen!$Y$20,FALSE)</f>
        <v>[Stk]</v>
      </c>
      <c r="F180" s="60" t="s">
        <v>21895</v>
      </c>
      <c r="G180" s="514" t="str">
        <f>VLOOKUP(1862,Sprachindex!$A:$Z,Erhebungsbogen!$Y$20,FALSE)</f>
        <v>U-Profil 80 Sonderlänge exkl. Dichtung, (Stangenware)</v>
      </c>
      <c r="H180" s="514"/>
      <c r="I180" s="514"/>
      <c r="J180" s="514"/>
      <c r="K180" s="514"/>
      <c r="L180" s="514"/>
      <c r="M180" s="514"/>
      <c r="N180" s="514"/>
      <c r="O180" s="514"/>
      <c r="P180" s="514"/>
      <c r="Q180" s="514"/>
      <c r="R180" s="514"/>
      <c r="S180" s="514"/>
      <c r="T180" s="514"/>
      <c r="U180" s="352">
        <f>IF(AND(Kalk5!$AA$5=2,Kalk5!$AA$13),VLOOKUP(F180,Preisliste!C:G,5,FALSE),VLOOKUP(F180,Preisliste!C:G,4,FALSE))</f>
        <v>141.35</v>
      </c>
      <c r="V180" s="352">
        <f t="shared" si="28"/>
        <v>0</v>
      </c>
      <c r="W180" s="86"/>
      <c r="X180" s="86"/>
      <c r="Y180" s="86"/>
      <c r="Z180" s="143">
        <f>IF(AND(Kalk5!$AA$5=2,Kalk5!$AA$13),(VLOOKUP(F180,Preisliste!C:G,5,FALSE)-VLOOKUP(F180,Preisliste!C:G,4,FALSE))*B180,0)</f>
        <v>0</v>
      </c>
      <c r="AA180" s="86"/>
      <c r="AB180" s="86"/>
      <c r="AC180" s="86"/>
      <c r="AD180" s="86"/>
      <c r="AE180" s="86"/>
      <c r="AF180" s="86"/>
      <c r="AG180" s="55">
        <f>IF(AND(AH180=1,AL180=1,AP180=1,AND(Kalk5!H28&gt;0,Kalk5!H29&gt;0)),1,0)</f>
        <v>0</v>
      </c>
      <c r="AH180" s="66">
        <f>IF(Kalk5!$AA$19=4,1,0)</f>
        <v>0</v>
      </c>
      <c r="AI180" s="55">
        <v>80</v>
      </c>
      <c r="AK180" s="55" t="s">
        <v>22079</v>
      </c>
      <c r="AL180" s="66">
        <f>IF(OR(OR(Kalk5!$AA$7=2,Kalk5!$AA$7=3),OR(Kalk5!$AA$9=2,Kalk5!$AA$9=3)),1,0)</f>
        <v>0</v>
      </c>
      <c r="AM180" s="55" t="s">
        <v>22092</v>
      </c>
      <c r="AO180" s="55" t="s">
        <v>22079</v>
      </c>
      <c r="AP180" s="66">
        <f>IF(Kalk5!$AH$52&gt;AQ180,1,0)</f>
        <v>0</v>
      </c>
      <c r="AQ180" s="55">
        <v>2150</v>
      </c>
      <c r="AR180" s="55" t="s">
        <v>22084</v>
      </c>
      <c r="AS180" s="66">
        <f>Kalk5!$AH$52</f>
        <v>0</v>
      </c>
      <c r="AU180" s="66">
        <f>IF(OR(Kalk5!$AA$7=2,Kalk5!$AA$7=3),1,0)</f>
        <v>0</v>
      </c>
      <c r="AV180" s="55" t="s">
        <v>19882</v>
      </c>
      <c r="AW180" s="66">
        <f>IF(OR(Kalk5!$AA$9=2,Kalk5!$AA$9=3),1,0)</f>
        <v>0</v>
      </c>
      <c r="AX180" s="55" t="s">
        <v>20310</v>
      </c>
      <c r="AY180" s="55" t="s">
        <v>22100</v>
      </c>
      <c r="AZ180" s="66">
        <f>(AU180+AW180)*Kalk5!$H$37</f>
        <v>0</v>
      </c>
      <c r="BA180" s="55" t="s">
        <v>22101</v>
      </c>
    </row>
    <row r="181" spans="2:53">
      <c r="B181" s="91">
        <v>1</v>
      </c>
      <c r="R181" s="56"/>
      <c r="U181" s="56" t="str">
        <f>IF(AND(AB16=1,OR(AB17=1,AB18&gt;=300),AB19&gt;=Preisliste!G176,X19=0),AA181,AB181)</f>
        <v>Summe</v>
      </c>
      <c r="V181" s="355">
        <f>AB19</f>
        <v>0</v>
      </c>
      <c r="AA181" s="55" t="str">
        <f>VLOOKUP(1700,Sprachindex!$A:$Z,Erhebungsbogen!$Y$20,FALSE)</f>
        <v>Endsumme exkl. MwSt.</v>
      </c>
      <c r="AB181" s="55" t="str">
        <f>VLOOKUP(1491,Sprachindex!$A:$Z,Erhebungsbogen!$Y$20,FALSE)</f>
        <v>Summe</v>
      </c>
    </row>
    <row r="182" spans="2:53">
      <c r="B182" s="91">
        <v>1</v>
      </c>
      <c r="R182" s="56"/>
      <c r="U182" s="56" t="str">
        <f>IF(U181=AB181,IF(X19&lt;&gt;0,AA182,IF(AB19&lt;Preisliste!G176,AB182,IF(AND(AB17=2,AJ206&lt;Preisliste!G171),AC182,IF(AB16=2,AD182,0)))),"")</f>
        <v>Rabatt -10 %</v>
      </c>
      <c r="V182" s="355">
        <f>IF(U182=AA182,V181/100*X19,IF(U182=AB182,Preisliste!G175,IF(U182=AC182,Preisliste!G170,IF(U182=AD182,V181/100*Haftungsausschluß!M43,""))))</f>
        <v>0</v>
      </c>
      <c r="AA182" s="55" t="str">
        <f>VLOOKUP(1790,Sprachindex!$A:$Z,Erhebungsbogen!$Y$20,FALSE) &amp; " " &amp; X19 &amp;" %"</f>
        <v>Rabatt -10 %</v>
      </c>
      <c r="AB182" s="55" t="str">
        <f>VLOOKUP(1713,Sprachindex!$A:$Z,Erhebungsbogen!$Y$20,FALSE)</f>
        <v>Frachtkosten</v>
      </c>
      <c r="AC182" s="55" t="str">
        <f>VLOOKUP(2150,Sprachindex!$A:$Z,Erhebungsbogen!$Y$20,FALSE)</f>
        <v>Beschichtungspauschale</v>
      </c>
      <c r="AD182" s="55" t="str">
        <f>"+ " &amp;Haftungsausschluß!M43&amp; " % " &amp; VLOOKUP(2116,Sprachindex!$A:$Z,Erhebungsbogen!$Y$20,FALSE)</f>
        <v>+ 8.1 % MwSt.</v>
      </c>
    </row>
    <row r="183" spans="2:53">
      <c r="B183" s="91">
        <v>1</v>
      </c>
      <c r="R183" s="56"/>
      <c r="U183" s="144" t="str">
        <f>IF(AND(AB16=1,AND(AB17=2,AB18&lt;Preisliste!G171),U182&lt;&gt;AC182),AC183,IF(AND(AB16=1,AB19&lt;Preisliste!G176,U182&lt;&gt;AB182),AB183,IF(AND(AB16=1,OR(U182=AA182,U182=AB182,U182=AC182)),AA183,IF(AND(U182=AD182,AB16=2),AF183,IF(OR(AND(AB19&lt;Preisliste!G176,X19=0,OR(AB17=1,AND(AB17=2,AB18&gt;Preisliste!G171)))),AE183,IF(OR(AND(AB19&gt;=Preisliste!G176,X19&lt;&gt;0,OR(AB17=1,AND(AB17=2,AB18&gt;Preisliste!G171)))),AE183,IF(OR(AND(AB19&gt;=Preisliste!G176,X19=0,AND(AB17=2,AB18&lt;Preisliste!G171))),AE183,IF(OR(AND(AB19&gt;=Preisliste!G176,X19&lt;&gt;0,AND(AB17=2,AB18&lt;Preisliste!G171))),AC183,IF(OR(AND(AB18&lt;Preisliste!G176,X19&lt;&gt;0,OR(AB17=1,AND(AB17=2,AB18&gt;Preisliste!G171)))),AB183,IF(OR(AND(AB19&lt;Preisliste!G176,X19&lt;&gt;0,AND(AB17=2,AB18&lt;Preisliste!G171))),AC183,IF(OR(AND(AB19&lt;Preisliste!G176,X19=0,AND(AB17=2,AB18&lt;Preisliste!G171))),AC183,"")))))))))))</f>
        <v>Frachtkosten</v>
      </c>
      <c r="V183" s="355">
        <f>IF(U183=AA183,V181+V182,IF(U183=AC183,Preisliste!G170,IF(U183=AB183,Preisliste!G175,IF(U183=AD183,(V181+V182)/100*Haftungsausschluß!M43,IF(U183=AF183,V181+V182,IF(U183=AE183,V181+V182,""))))))</f>
        <v>200</v>
      </c>
      <c r="AA183" s="55" t="str">
        <f>VLOOKUP(1700,Sprachindex!$A:$Z,Erhebungsbogen!$Y$20,FALSE)</f>
        <v>Endsumme exkl. MwSt.</v>
      </c>
      <c r="AB183" s="55" t="str">
        <f>VLOOKUP(1713,Sprachindex!$A:$Z,Erhebungsbogen!$Y$20,FALSE)</f>
        <v>Frachtkosten</v>
      </c>
      <c r="AC183" s="55" t="str">
        <f>VLOOKUP(2150,Sprachindex!$A:$Z,Erhebungsbogen!$Y$20,FALSE)</f>
        <v>Beschichtungspauschale</v>
      </c>
      <c r="AD183" s="55" t="str">
        <f>"+ " &amp;Haftungsausschluß!M43&amp; " % " &amp; VLOOKUP(2116,Sprachindex!$A:$Z,Erhebungsbogen!$Y$20,FALSE)</f>
        <v>+ 8.1 % MwSt.</v>
      </c>
      <c r="AE183" s="55" t="str">
        <f>VLOOKUP(1873,Sprachindex!$A:$Z,Erhebungsbogen!$Y$20,FALSE)</f>
        <v>Zwischensumme</v>
      </c>
      <c r="AF183" s="55" t="str">
        <f>VLOOKUP(1701,Sprachindex!$A:$Z,Erhebungsbogen!$Y$20,FALSE)</f>
        <v>Endsumme inkl. MwSt.</v>
      </c>
    </row>
    <row r="184" spans="2:53">
      <c r="B184" s="91">
        <v>1</v>
      </c>
      <c r="R184" s="56"/>
      <c r="U184" s="56" t="str">
        <f>IF(AND(X19&lt;&gt;0,AND(AB17=2,AB18&lt;Preisliste!G171),AB19&lt;Preisliste!G176),AB184,IF(AND(AB16=1,OR(U183=AC183,U183=AB183)),AA184,IF(U183=AD183,AE184,IF(AND(U183=AC183,AB19&gt;=Preisliste!G176),AC184,IF(OR(AND(AB19&lt;Preisliste!G176,X19&lt;&gt;0,OR(AB17=1,AND(AB17=2,AB18&gt;Preisliste!G171)))),AE183,IF(OR(AND(AB19&lt;Preisliste!G176,X19=0,AND(AB17=2,AB18&lt;Preisliste!G171))),AE183,IF(U183=AE183,AC184,IF(AND(U182=AA182,U183=AC183),AD184,""))))))))</f>
        <v>Endsumme exkl. MwSt.</v>
      </c>
      <c r="V184" s="355">
        <f>IF(U184=AA184,V181+V182+V183,IF(U184=AB184,Preisliste!G175,IF(U184=AE184,V181+V182+V183,IF(AND(U184=AC184,U183=AC183),(V181+V182+V183)/100*Haftungsausschluß!M43,IF(U184=AD184,V181+V182+V183,IF(AND(U184=AC184,U183=AE183),V183/100*Haftungsausschluß!M43,""))))))</f>
        <v>200</v>
      </c>
      <c r="AA184" s="55" t="str">
        <f>VLOOKUP(1700,Sprachindex!$A:$Z,Erhebungsbogen!$Y$20,FALSE)</f>
        <v>Endsumme exkl. MwSt.</v>
      </c>
      <c r="AB184" s="55" t="str">
        <f>VLOOKUP(1713,Sprachindex!$A:$Z,Erhebungsbogen!$Y$20,FALSE)</f>
        <v>Frachtkosten</v>
      </c>
      <c r="AC184" s="55" t="str">
        <f>"+ " &amp;Haftungsausschluß!M43&amp; " % " &amp; VLOOKUP(2116,Sprachindex!$A:$Z,Erhebungsbogen!$Y$20,FALSE)</f>
        <v>+ 8.1 % MwSt.</v>
      </c>
      <c r="AD184" s="55" t="str">
        <f>VLOOKUP(1873,Sprachindex!$A:$Z,Erhebungsbogen!$Y$20,FALSE)</f>
        <v>Zwischensumme</v>
      </c>
      <c r="AE184" s="55" t="str">
        <f>VLOOKUP(1701,Sprachindex!$A:$Z,Erhebungsbogen!$Y$20,FALSE)</f>
        <v>Endsumme inkl. MwSt.</v>
      </c>
    </row>
    <row r="185" spans="2:53">
      <c r="B185" s="91">
        <v>1</v>
      </c>
      <c r="R185" s="56"/>
      <c r="U185" s="56" t="str">
        <f>IF(AND(AB16=1,U184=AB183),AA184,IF(U184=AC184,AD185,IF(OR(AND(AB19&lt;Preisliste!G176,X19&lt;&gt;0,AND(AB17=2,AB18&lt;Preisliste!G171))),AC185,IF(U184=AD184,AB185,""))))</f>
        <v/>
      </c>
      <c r="V185" s="355" t="str">
        <f>IF(U185=AA185,V181+V182+V183+V184,IF(AND(U185=AD185,U183=AC183),V181+V182+V183+V184,IF(U185=AB185,V184/100*Haftungsausschluß!M43,IF(U185=AC185,V181+V182+V183+V184,IF(AND(U185=AD185,U183=AE183),V183+V184,"")))))</f>
        <v/>
      </c>
      <c r="AA185" s="55" t="str">
        <f>VLOOKUP(1700,Sprachindex!$A:$Z,Erhebungsbogen!$Y$20,FALSE)</f>
        <v>Endsumme exkl. MwSt.</v>
      </c>
      <c r="AB185" s="55" t="str">
        <f>"+ " &amp;Haftungsausschluß!M43&amp; " % " &amp; VLOOKUP(2116,Sprachindex!$A:$Z,Erhebungsbogen!$Y$20,FALSE)</f>
        <v>+ 8.1 % MwSt.</v>
      </c>
      <c r="AC185" s="55" t="str">
        <f>VLOOKUP(1873,Sprachindex!$A:$Z,Erhebungsbogen!$Y$20,FALSE)</f>
        <v>Zwischensumme</v>
      </c>
      <c r="AD185" s="55" t="str">
        <f>VLOOKUP(1701,Sprachindex!$A:$Z,Erhebungsbogen!$Y$20,FALSE)</f>
        <v>Endsumme inkl. MwSt.</v>
      </c>
    </row>
    <row r="186" spans="2:53">
      <c r="B186" s="91">
        <v>1</v>
      </c>
      <c r="R186" s="56"/>
      <c r="U186" s="56" t="str">
        <f>IF(U185=AC185,AA186,IF(U185=AC185,AC186,IF(U185=AB185,AB186,"")))</f>
        <v/>
      </c>
      <c r="V186" s="355" t="str">
        <f>IF(U186=AB186,V184+V185,IF(U186=AA186,V185/100*Haftungsausschluß!M43,""))</f>
        <v/>
      </c>
      <c r="AA186" s="55" t="str">
        <f>"+ " &amp;Haftungsausschluß!M43&amp; " % " &amp; VLOOKUP(2116,Sprachindex!$A:$Z,Erhebungsbogen!$Y$20,FALSE)</f>
        <v>+ 8.1 % MwSt.</v>
      </c>
      <c r="AB186" s="55" t="str">
        <f>VLOOKUP(1701,Sprachindex!$A:$Z,Erhebungsbogen!$Y$20,FALSE)</f>
        <v>Endsumme inkl. MwSt.</v>
      </c>
    </row>
    <row r="187" spans="2:53">
      <c r="B187" s="91">
        <v>1</v>
      </c>
      <c r="R187" s="56"/>
      <c r="U187" s="56" t="str">
        <f>IF(U186=AA186,AA187,"")</f>
        <v/>
      </c>
      <c r="V187" s="355" t="str">
        <f>IF(U187=AA187,V185+V186,"")</f>
        <v/>
      </c>
      <c r="AA187" s="55" t="str">
        <f>VLOOKUP(1701,Sprachindex!$A:$Z,Erhebungsbogen!$Y$20,FALSE)</f>
        <v>Endsumme inkl. MwSt.</v>
      </c>
    </row>
    <row r="188" spans="2:53">
      <c r="B188" s="91">
        <v>1</v>
      </c>
      <c r="U188" s="56"/>
    </row>
    <row r="189" spans="2:53">
      <c r="B189" s="91">
        <v>1</v>
      </c>
      <c r="C189" s="512"/>
      <c r="D189" s="512"/>
      <c r="E189" s="512"/>
      <c r="F189" s="512"/>
      <c r="G189" s="512"/>
      <c r="H189" s="512"/>
      <c r="I189" s="512"/>
      <c r="J189" s="512"/>
      <c r="K189" s="512"/>
      <c r="L189" s="512"/>
      <c r="M189" s="512"/>
      <c r="N189" s="512"/>
      <c r="O189" s="512"/>
      <c r="P189" s="512"/>
      <c r="Q189" s="512"/>
      <c r="R189" s="512"/>
      <c r="S189" s="512"/>
      <c r="T189" s="512"/>
      <c r="U189" s="512"/>
    </row>
    <row r="190" spans="2:53">
      <c r="B190" s="91">
        <v>1</v>
      </c>
      <c r="C190" s="512" t="str">
        <f>VLOOKUP(2234,Sprachindex!$A:$Z,Erhebungsbogen!$Y$20,FALSE)</f>
        <v>Hinweis: Angebotsgültigkeit 1 Monat; Lieferzeit auf Anfrage; kein Montagematerial enthalten</v>
      </c>
      <c r="D190" s="512"/>
      <c r="E190" s="512"/>
      <c r="F190" s="512"/>
      <c r="G190" s="512"/>
      <c r="H190" s="512"/>
      <c r="I190" s="512"/>
      <c r="J190" s="512"/>
      <c r="K190" s="512"/>
      <c r="L190" s="512"/>
      <c r="M190" s="512"/>
      <c r="N190" s="512"/>
      <c r="O190" s="512"/>
      <c r="P190" s="512"/>
      <c r="Q190" s="512"/>
      <c r="R190" s="512"/>
      <c r="S190" s="512"/>
      <c r="T190" s="512"/>
      <c r="U190" s="512"/>
    </row>
    <row r="191" spans="2:53"/>
  </sheetData>
  <sheetProtection sheet="1" objects="1" selectLockedCells="1" autoFilter="0"/>
  <autoFilter ref="B20:B187" xr:uid="{22C6CA63-9127-4190-B9A3-0A61B6276C03}"/>
  <mergeCells count="174">
    <mergeCell ref="G180:T180"/>
    <mergeCell ref="G174:T174"/>
    <mergeCell ref="G175:T175"/>
    <mergeCell ref="G176:T176"/>
    <mergeCell ref="G177:T177"/>
    <mergeCell ref="G178:T178"/>
    <mergeCell ref="G179:T179"/>
    <mergeCell ref="G168:T168"/>
    <mergeCell ref="G169:T169"/>
    <mergeCell ref="G170:T170"/>
    <mergeCell ref="G171:T171"/>
    <mergeCell ref="G172:T172"/>
    <mergeCell ref="G173:T173"/>
    <mergeCell ref="G162:T162"/>
    <mergeCell ref="G163:T163"/>
    <mergeCell ref="G164:T164"/>
    <mergeCell ref="G165:T165"/>
    <mergeCell ref="G166:T166"/>
    <mergeCell ref="G167:T167"/>
    <mergeCell ref="G156:T156"/>
    <mergeCell ref="G157:T157"/>
    <mergeCell ref="G158:T158"/>
    <mergeCell ref="G159:T159"/>
    <mergeCell ref="G160:T160"/>
    <mergeCell ref="G161:T161"/>
    <mergeCell ref="G150:T150"/>
    <mergeCell ref="G151:T151"/>
    <mergeCell ref="G152:T152"/>
    <mergeCell ref="G153:T153"/>
    <mergeCell ref="G154:T154"/>
    <mergeCell ref="G155:T155"/>
    <mergeCell ref="G144:T144"/>
    <mergeCell ref="G145:T145"/>
    <mergeCell ref="G146:T146"/>
    <mergeCell ref="G147:T147"/>
    <mergeCell ref="G148:T148"/>
    <mergeCell ref="G149:T149"/>
    <mergeCell ref="G138:T138"/>
    <mergeCell ref="G139:T139"/>
    <mergeCell ref="G140:T140"/>
    <mergeCell ref="G141:T141"/>
    <mergeCell ref="G142:T142"/>
    <mergeCell ref="G143:T143"/>
    <mergeCell ref="G132:T132"/>
    <mergeCell ref="G133:T133"/>
    <mergeCell ref="G134:T134"/>
    <mergeCell ref="G135:T135"/>
    <mergeCell ref="G136:T136"/>
    <mergeCell ref="G137:T137"/>
    <mergeCell ref="G126:T126"/>
    <mergeCell ref="G127:T127"/>
    <mergeCell ref="G128:T128"/>
    <mergeCell ref="G129:T129"/>
    <mergeCell ref="G130:T130"/>
    <mergeCell ref="G131:T131"/>
    <mergeCell ref="G120:T120"/>
    <mergeCell ref="G121:T121"/>
    <mergeCell ref="G122:T122"/>
    <mergeCell ref="G123:T123"/>
    <mergeCell ref="G124:T124"/>
    <mergeCell ref="G125:T125"/>
    <mergeCell ref="G114:T114"/>
    <mergeCell ref="G115:T115"/>
    <mergeCell ref="G116:T116"/>
    <mergeCell ref="G117:T117"/>
    <mergeCell ref="G118:T118"/>
    <mergeCell ref="G119:T119"/>
    <mergeCell ref="G108:T108"/>
    <mergeCell ref="G109:T109"/>
    <mergeCell ref="G110:T110"/>
    <mergeCell ref="G111:T111"/>
    <mergeCell ref="G112:T112"/>
    <mergeCell ref="G113:T113"/>
    <mergeCell ref="G102:T102"/>
    <mergeCell ref="G103:T103"/>
    <mergeCell ref="G104:T104"/>
    <mergeCell ref="G105:T105"/>
    <mergeCell ref="G106:T106"/>
    <mergeCell ref="G107:T107"/>
    <mergeCell ref="G96:T96"/>
    <mergeCell ref="G97:T97"/>
    <mergeCell ref="G98:T98"/>
    <mergeCell ref="G99:T99"/>
    <mergeCell ref="G100:T100"/>
    <mergeCell ref="G101:T101"/>
    <mergeCell ref="G90:T90"/>
    <mergeCell ref="G91:T91"/>
    <mergeCell ref="G92:T92"/>
    <mergeCell ref="G93:T93"/>
    <mergeCell ref="G94:T94"/>
    <mergeCell ref="G95:T95"/>
    <mergeCell ref="G84:T84"/>
    <mergeCell ref="G85:T85"/>
    <mergeCell ref="G86:T86"/>
    <mergeCell ref="G87:T87"/>
    <mergeCell ref="G88:T88"/>
    <mergeCell ref="G89:T89"/>
    <mergeCell ref="G78:T78"/>
    <mergeCell ref="G79:T79"/>
    <mergeCell ref="G80:T80"/>
    <mergeCell ref="G81:T81"/>
    <mergeCell ref="G82:T82"/>
    <mergeCell ref="G83:T83"/>
    <mergeCell ref="G72:T72"/>
    <mergeCell ref="G73:T73"/>
    <mergeCell ref="G74:T74"/>
    <mergeCell ref="G75:T75"/>
    <mergeCell ref="G76:T76"/>
    <mergeCell ref="G77:T77"/>
    <mergeCell ref="G66:T66"/>
    <mergeCell ref="G67:T67"/>
    <mergeCell ref="G68:T68"/>
    <mergeCell ref="G69:T69"/>
    <mergeCell ref="G70:T70"/>
    <mergeCell ref="G71:T71"/>
    <mergeCell ref="G60:T60"/>
    <mergeCell ref="G61:T61"/>
    <mergeCell ref="G62:T62"/>
    <mergeCell ref="G63:T63"/>
    <mergeCell ref="G64:T64"/>
    <mergeCell ref="G65:T65"/>
    <mergeCell ref="G40:T40"/>
    <mergeCell ref="G54:T54"/>
    <mergeCell ref="G55:T55"/>
    <mergeCell ref="G56:T56"/>
    <mergeCell ref="G57:T57"/>
    <mergeCell ref="G58:T58"/>
    <mergeCell ref="G59:T59"/>
    <mergeCell ref="G47:T47"/>
    <mergeCell ref="G49:T49"/>
    <mergeCell ref="G50:T50"/>
    <mergeCell ref="G51:T51"/>
    <mergeCell ref="G52:T52"/>
    <mergeCell ref="G53:T53"/>
    <mergeCell ref="J1:V3"/>
    <mergeCell ref="D6:I6"/>
    <mergeCell ref="S6:V6"/>
    <mergeCell ref="D8:I8"/>
    <mergeCell ref="U8:V8"/>
    <mergeCell ref="D10:I10"/>
    <mergeCell ref="D17:I17"/>
    <mergeCell ref="G29:T29"/>
    <mergeCell ref="G30:T30"/>
    <mergeCell ref="G23:T23"/>
    <mergeCell ref="G24:T24"/>
    <mergeCell ref="G25:T25"/>
    <mergeCell ref="G26:T26"/>
    <mergeCell ref="G27:T27"/>
    <mergeCell ref="G28:T28"/>
    <mergeCell ref="U5:V5"/>
    <mergeCell ref="C189:U189"/>
    <mergeCell ref="C190:U190"/>
    <mergeCell ref="D12:I12"/>
    <mergeCell ref="D14:I14"/>
    <mergeCell ref="D16:I16"/>
    <mergeCell ref="G20:T20"/>
    <mergeCell ref="G21:T21"/>
    <mergeCell ref="G22:T22"/>
    <mergeCell ref="G31:T31"/>
    <mergeCell ref="G32:T32"/>
    <mergeCell ref="G33:T33"/>
    <mergeCell ref="G34:T34"/>
    <mergeCell ref="G41:T41"/>
    <mergeCell ref="G42:T42"/>
    <mergeCell ref="G43:T43"/>
    <mergeCell ref="G44:T44"/>
    <mergeCell ref="G45:T45"/>
    <mergeCell ref="G46:T46"/>
    <mergeCell ref="G35:T35"/>
    <mergeCell ref="G36:T36"/>
    <mergeCell ref="G37:T37"/>
    <mergeCell ref="G38:T38"/>
    <mergeCell ref="G39:T39"/>
    <mergeCell ref="G48:T48"/>
  </mergeCells>
  <conditionalFormatting sqref="D6:I6">
    <cfRule type="cellIs" dxfId="330" priority="37" operator="equal">
      <formula>0</formula>
    </cfRule>
  </conditionalFormatting>
  <conditionalFormatting sqref="D8:I8">
    <cfRule type="cellIs" dxfId="329" priority="36" operator="equal">
      <formula>0</formula>
    </cfRule>
  </conditionalFormatting>
  <conditionalFormatting sqref="D10:I10">
    <cfRule type="cellIs" dxfId="328" priority="35" operator="equal">
      <formula>0</formula>
    </cfRule>
  </conditionalFormatting>
  <conditionalFormatting sqref="D12:I12">
    <cfRule type="cellIs" dxfId="327" priority="34" operator="equal">
      <formula>0</formula>
    </cfRule>
  </conditionalFormatting>
  <conditionalFormatting sqref="D14:I14">
    <cfRule type="cellIs" dxfId="326" priority="33" operator="equal">
      <formula>0</formula>
    </cfRule>
  </conditionalFormatting>
  <conditionalFormatting sqref="D16:I17">
    <cfRule type="cellIs" dxfId="325" priority="17" operator="equal">
      <formula>0</formula>
    </cfRule>
  </conditionalFormatting>
  <conditionalFormatting sqref="S6 W6:X6 S7:X7 S8:U8 W8:X8 S9:X16">
    <cfRule type="expression" dxfId="324" priority="31">
      <formula>$AB$17=1</formula>
    </cfRule>
  </conditionalFormatting>
  <conditionalFormatting sqref="S183:V183">
    <cfRule type="expression" dxfId="323" priority="8">
      <formula>$U$183=$AE$183</formula>
    </cfRule>
    <cfRule type="expression" dxfId="322" priority="9">
      <formula>$U$183=$AF$183</formula>
    </cfRule>
    <cfRule type="expression" dxfId="321" priority="11">
      <formula>$U$183=$AA$183</formula>
    </cfRule>
  </conditionalFormatting>
  <conditionalFormatting sqref="S184:V184">
    <cfRule type="expression" dxfId="320" priority="6">
      <formula>$U$184=$AD$184</formula>
    </cfRule>
    <cfRule type="expression" dxfId="319" priority="7">
      <formula>$U$184=$AA$184</formula>
    </cfRule>
  </conditionalFormatting>
  <conditionalFormatting sqref="S185:V185">
    <cfRule type="expression" dxfId="318" priority="3">
      <formula>$U$185=$AC$185</formula>
    </cfRule>
    <cfRule type="expression" dxfId="317" priority="4">
      <formula>$U$185=$AD$185</formula>
    </cfRule>
    <cfRule type="expression" dxfId="316" priority="5">
      <formula>$U$185=$AA$185</formula>
    </cfRule>
  </conditionalFormatting>
  <conditionalFormatting sqref="S186:V186">
    <cfRule type="expression" dxfId="315" priority="2">
      <formula>$U$186=$AB$186</formula>
    </cfRule>
  </conditionalFormatting>
  <conditionalFormatting sqref="S187:V187">
    <cfRule type="expression" dxfId="314" priority="1">
      <formula>$U$187=$AA$187</formula>
    </cfRule>
  </conditionalFormatting>
  <pageMargins left="0.11811023622047245" right="0.19685039370078741" top="0.11811023622047245" bottom="0.11811023622047245" header="0.31496062992125984" footer="7.874015748031496E-2"/>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3249" r:id="rId4" name="Option Button 1">
              <controlPr defaultSize="0" autoFill="0" autoLine="0" autoPict="0">
                <anchor moveWithCells="1">
                  <from>
                    <xdr:col>23</xdr:col>
                    <xdr:colOff>114300</xdr:colOff>
                    <xdr:row>15</xdr:row>
                    <xdr:rowOff>28575</xdr:rowOff>
                  </from>
                  <to>
                    <xdr:col>24</xdr:col>
                    <xdr:colOff>600075</xdr:colOff>
                    <xdr:row>15</xdr:row>
                    <xdr:rowOff>142875</xdr:rowOff>
                  </to>
                </anchor>
              </controlPr>
            </control>
          </mc:Choice>
        </mc:AlternateContent>
        <mc:AlternateContent xmlns:mc="http://schemas.openxmlformats.org/markup-compatibility/2006">
          <mc:Choice Requires="x14">
            <control shapeId="53250" r:id="rId5" name="Option Button 2">
              <controlPr defaultSize="0" autoFill="0" autoLine="0" autoPict="0">
                <anchor moveWithCells="1">
                  <from>
                    <xdr:col>23</xdr:col>
                    <xdr:colOff>114300</xdr:colOff>
                    <xdr:row>16</xdr:row>
                    <xdr:rowOff>28575</xdr:rowOff>
                  </from>
                  <to>
                    <xdr:col>24</xdr:col>
                    <xdr:colOff>600075</xdr:colOff>
                    <xdr:row>16</xdr:row>
                    <xdr:rowOff>142875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6958E4C1-2E49-4982-9216-9A72640303EA}">
            <xm:f>Erhebungsbogen!$W$36=""</xm:f>
            <x14:dxf>
              <border>
                <left style="thin">
                  <color auto="1"/>
                </left>
                <vertical/>
                <horizontal/>
              </border>
            </x14:dxf>
          </x14:cfRule>
          <xm:sqref>U20:U180</xm:sqref>
        </x14:conditionalFormatting>
        <x14:conditionalFormatting xmlns:xm="http://schemas.microsoft.com/office/excel/2006/main">
          <x14:cfRule type="expression" priority="13" id="{31CE02DA-B044-482F-9D19-FDBF92E8A0B5}">
            <xm:f>Erhebungsbogen!$W$36=""</xm:f>
            <x14:dxf>
              <font>
                <color theme="0"/>
              </font>
              <fill>
                <patternFill>
                  <bgColor theme="0"/>
                </patternFill>
              </fill>
              <border>
                <left/>
                <right/>
                <top/>
                <bottom/>
              </border>
            </x14:dxf>
          </x14:cfRule>
          <xm:sqref>U20:V180</xm:sqref>
        </x14:conditionalFormatting>
        <x14:conditionalFormatting xmlns:xm="http://schemas.microsoft.com/office/excel/2006/main">
          <x14:cfRule type="expression" priority="10" id="{6E6D48E3-B2D2-45B9-A4D4-75464A620CCA}">
            <xm:f>Erhebungsbogen!$W$36=""</xm:f>
            <x14:dxf>
              <font>
                <color theme="0"/>
              </font>
              <fill>
                <patternFill>
                  <bgColor theme="0"/>
                </patternFill>
              </fill>
              <border>
                <left/>
                <right/>
                <top/>
                <bottom/>
              </border>
            </x14:dxf>
          </x14:cfRule>
          <xm:sqref>U181:V187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B6C00-8126-43B3-A06A-68D32DECDDFD}">
  <sheetPr codeName="Tabelle46">
    <pageSetUpPr fitToPage="1"/>
  </sheetPr>
  <dimension ref="A1:CM631"/>
  <sheetViews>
    <sheetView showGridLines="0" workbookViewId="0">
      <selection activeCell="V18" sqref="V18"/>
    </sheetView>
  </sheetViews>
  <sheetFormatPr baseColWidth="10" defaultColWidth="0" defaultRowHeight="12.75"/>
  <cols>
    <col min="1" max="1" width="1.7109375" style="55" customWidth="1"/>
    <col min="2" max="5" width="7.7109375" style="55" customWidth="1"/>
    <col min="6" max="6" width="9.7109375" style="55" customWidth="1"/>
    <col min="7" max="13" width="5.7109375" style="55" customWidth="1"/>
    <col min="14" max="17" width="5.5703125" style="55" customWidth="1"/>
    <col min="18" max="20" width="5.7109375" style="55" customWidth="1"/>
    <col min="21" max="21" width="14.85546875" style="55" customWidth="1"/>
    <col min="22" max="22" width="15.140625" style="55" customWidth="1"/>
    <col min="23" max="24" width="5.7109375" style="55" customWidth="1"/>
    <col min="25" max="25" width="15.28515625" style="55" customWidth="1"/>
    <col min="26" max="26" width="7.42578125" style="55" hidden="1" customWidth="1"/>
    <col min="27" max="27" width="18.7109375" style="55" hidden="1" customWidth="1"/>
    <col min="28" max="28" width="18.5703125" style="55" hidden="1" customWidth="1"/>
    <col min="29" max="29" width="38.7109375" style="55" hidden="1" customWidth="1"/>
    <col min="30" max="32" width="18.5703125" style="55" hidden="1" customWidth="1"/>
    <col min="33" max="38" width="11.42578125" style="86" hidden="1" customWidth="1"/>
    <col min="39" max="85" width="11.42578125" style="55" hidden="1" customWidth="1"/>
    <col min="86" max="91" width="6.7109375" style="86" hidden="1" customWidth="1"/>
    <col min="92" max="16384" width="11.42578125" style="55" hidden="1"/>
  </cols>
  <sheetData>
    <row r="1" spans="3:91" s="21" customFormat="1" ht="14.25" customHeight="1">
      <c r="J1" s="519" t="str">
        <f>VLOOKUP(2121,Sprachindex!$A:$Z,Erhebungsbogen!$Y$20,FALSE)</f>
        <v>Stückliste</v>
      </c>
      <c r="K1" s="519"/>
      <c r="L1" s="519"/>
      <c r="M1" s="519"/>
      <c r="N1" s="519"/>
      <c r="O1" s="519"/>
      <c r="P1" s="519"/>
      <c r="Q1" s="519"/>
      <c r="R1" s="519"/>
      <c r="S1" s="519"/>
      <c r="T1" s="519"/>
      <c r="U1" s="519"/>
      <c r="V1" s="519"/>
      <c r="AG1" s="68"/>
      <c r="AH1" s="68"/>
      <c r="AI1" s="68"/>
      <c r="AJ1" s="68"/>
      <c r="AK1" s="68"/>
      <c r="AL1" s="68"/>
      <c r="CH1" s="68"/>
      <c r="CI1" s="68"/>
      <c r="CJ1" s="68"/>
      <c r="CK1" s="68"/>
      <c r="CL1" s="68"/>
      <c r="CM1" s="68"/>
    </row>
    <row r="2" spans="3:91" s="21" customFormat="1" ht="14.25" customHeight="1">
      <c r="J2" s="519"/>
      <c r="K2" s="519"/>
      <c r="L2" s="519"/>
      <c r="M2" s="519"/>
      <c r="N2" s="519"/>
      <c r="O2" s="519"/>
      <c r="P2" s="519"/>
      <c r="Q2" s="519"/>
      <c r="R2" s="519"/>
      <c r="S2" s="519"/>
      <c r="T2" s="519"/>
      <c r="U2" s="519"/>
      <c r="V2" s="519"/>
      <c r="AG2" s="68"/>
      <c r="AH2" s="68"/>
      <c r="AI2" s="68"/>
      <c r="AJ2" s="68"/>
      <c r="AK2" s="68"/>
      <c r="AL2" s="68"/>
      <c r="CH2" s="68"/>
      <c r="CI2" s="68"/>
      <c r="CJ2" s="68"/>
      <c r="CK2" s="68"/>
      <c r="CL2" s="68"/>
      <c r="CM2" s="68"/>
    </row>
    <row r="3" spans="3:91" s="21" customFormat="1" ht="14.25" customHeight="1">
      <c r="J3" s="519"/>
      <c r="K3" s="519"/>
      <c r="L3" s="519"/>
      <c r="M3" s="519"/>
      <c r="N3" s="519"/>
      <c r="O3" s="519"/>
      <c r="P3" s="519"/>
      <c r="Q3" s="519"/>
      <c r="R3" s="519"/>
      <c r="S3" s="519"/>
      <c r="T3" s="519"/>
      <c r="U3" s="519"/>
      <c r="V3" s="519"/>
      <c r="AG3" s="68"/>
      <c r="AH3" s="68"/>
      <c r="AI3" s="68"/>
      <c r="AJ3" s="68"/>
      <c r="AK3" s="68"/>
      <c r="AL3" s="68"/>
      <c r="CH3" s="68"/>
      <c r="CI3" s="68"/>
      <c r="CJ3" s="68"/>
      <c r="CK3" s="68"/>
      <c r="CL3" s="68"/>
      <c r="CM3" s="68"/>
    </row>
    <row r="4" spans="3:91" s="21" customFormat="1" ht="14.25" customHeight="1">
      <c r="V4" s="53" t="str">
        <f>VLOOKUP(1741,Sprachindex!$A:$Z,Erhebungsbogen!$Y$20,FALSE) &amp; " GESAMT"</f>
        <v>KALKULATION GESAMT</v>
      </c>
      <c r="Y4" s="53"/>
      <c r="Z4" s="53"/>
      <c r="AA4" s="53"/>
      <c r="AB4" s="53"/>
      <c r="AC4" s="53">
        <f>IF(V547&lt;1000,10,14)</f>
        <v>10</v>
      </c>
      <c r="AD4" s="53"/>
      <c r="AE4" s="53"/>
      <c r="AF4" s="53"/>
      <c r="AG4" s="247"/>
      <c r="AH4" s="247"/>
      <c r="AI4" s="248"/>
      <c r="AJ4" s="248"/>
      <c r="AK4" s="248"/>
      <c r="AL4" s="248"/>
      <c r="AM4" s="54"/>
      <c r="AN4" s="54"/>
      <c r="AO4" s="54"/>
      <c r="AP4" s="54"/>
      <c r="AQ4" s="54"/>
      <c r="CH4" s="68"/>
      <c r="CI4" s="68"/>
      <c r="CJ4" s="68"/>
      <c r="CK4" s="68"/>
      <c r="CL4" s="68"/>
      <c r="CM4" s="68"/>
    </row>
    <row r="5" spans="3:91">
      <c r="C5" s="21"/>
      <c r="D5" s="48" t="str">
        <f>VLOOKUP(393,Sprachindex!$A:$Z,Erhebungsbogen!$Y$20,FALSE)</f>
        <v>Firma / Besteller:</v>
      </c>
      <c r="E5" s="21"/>
      <c r="F5" s="21"/>
      <c r="G5" s="21"/>
      <c r="H5" s="21"/>
      <c r="I5" s="21"/>
      <c r="T5" s="56" t="str">
        <f>VLOOKUP(1429,Sprachindex!$A:$Z,Erhebungsbogen!$Y$20,FALSE)</f>
        <v>Bearbeiter:</v>
      </c>
      <c r="U5" s="521">
        <f>Kalk1!U43</f>
        <v>0</v>
      </c>
      <c r="V5" s="521"/>
      <c r="AC5" s="55">
        <f>IF('HWS Partner'!C79&gt;=1,4,0)</f>
        <v>0</v>
      </c>
    </row>
    <row r="6" spans="3:91">
      <c r="C6" s="40" t="str">
        <f>VLOOKUP(622,Sprachindex!$A:$Z,Erhebungsbogen!$Y$20,FALSE)</f>
        <v>Name:</v>
      </c>
      <c r="D6" s="513">
        <f>Kalk1!D5</f>
        <v>0</v>
      </c>
      <c r="E6" s="513"/>
      <c r="F6" s="513"/>
      <c r="G6" s="513"/>
      <c r="H6" s="513"/>
      <c r="I6" s="513"/>
      <c r="S6" s="520" t="s">
        <v>18593</v>
      </c>
      <c r="T6" s="520"/>
      <c r="U6" s="520"/>
      <c r="V6" s="520"/>
      <c r="Y6" s="77"/>
      <c r="Z6" s="77"/>
      <c r="AA6" s="77"/>
      <c r="AB6" s="77"/>
      <c r="AC6" s="77"/>
      <c r="AD6" s="77"/>
      <c r="AE6" s="77"/>
      <c r="AF6" s="77"/>
    </row>
    <row r="7" spans="3:91" ht="1.5" customHeight="1">
      <c r="C7" s="40"/>
      <c r="D7" s="21"/>
      <c r="E7" s="21"/>
      <c r="F7" s="21"/>
      <c r="G7" s="21"/>
      <c r="H7" s="21"/>
      <c r="I7" s="21"/>
    </row>
    <row r="8" spans="3:91">
      <c r="C8" s="40" t="str">
        <f>VLOOKUP(884,Sprachindex!$A:$Z,Erhebungsbogen!$Y$20,FALSE)</f>
        <v>Straße:</v>
      </c>
      <c r="D8" s="513">
        <f>Kalk1!D7</f>
        <v>0</v>
      </c>
      <c r="E8" s="513"/>
      <c r="F8" s="513"/>
      <c r="G8" s="513"/>
      <c r="H8" s="513"/>
      <c r="I8" s="513"/>
      <c r="S8" s="520" t="s">
        <v>22592</v>
      </c>
      <c r="T8" s="520"/>
      <c r="U8" s="520"/>
      <c r="V8" s="520"/>
      <c r="Y8" s="57"/>
      <c r="Z8" s="57"/>
      <c r="AA8" s="57"/>
      <c r="AB8" s="57"/>
      <c r="AC8" s="57"/>
      <c r="AD8" s="57"/>
      <c r="AE8" s="57"/>
      <c r="AF8" s="57"/>
    </row>
    <row r="9" spans="3:91" ht="1.5" customHeight="1">
      <c r="C9" s="40"/>
      <c r="D9" s="21"/>
      <c r="E9" s="21"/>
      <c r="F9" s="21"/>
      <c r="G9" s="21"/>
      <c r="H9" s="21"/>
      <c r="I9" s="21"/>
      <c r="T9" s="56"/>
      <c r="V9" s="56"/>
    </row>
    <row r="10" spans="3:91" ht="15" customHeight="1">
      <c r="C10" s="40" t="str">
        <f>VLOOKUP(641,Sprachindex!$A:$Z,Erhebungsbogen!$Y$20,FALSE)</f>
        <v>Ort:</v>
      </c>
      <c r="D10" s="513">
        <f>Kalk1!D9</f>
        <v>0</v>
      </c>
      <c r="E10" s="513"/>
      <c r="F10" s="513"/>
      <c r="G10" s="513"/>
      <c r="H10" s="513"/>
      <c r="I10" s="513"/>
      <c r="T10" s="56" t="s">
        <v>18111</v>
      </c>
      <c r="U10" s="522" t="str">
        <f>IF(Kalk1!AA11,"1|","") &amp; IF(Kalk2!AA11,"2|","") &amp; IF(Kalk3!AA11,"3|","") &amp; IF(Kalk4!AA11,"4|","") &amp; IF(Kalk5!AA11,"5|","")</f>
        <v/>
      </c>
      <c r="V10" s="522"/>
    </row>
    <row r="11" spans="3:91" ht="1.5" customHeight="1">
      <c r="C11" s="40"/>
      <c r="D11" s="21"/>
      <c r="E11" s="21"/>
      <c r="F11" s="21"/>
      <c r="G11" s="21"/>
      <c r="H11" s="21"/>
      <c r="I11" s="21"/>
      <c r="T11" s="56"/>
      <c r="V11" s="56"/>
    </row>
    <row r="12" spans="3:91" ht="15" customHeight="1">
      <c r="C12" s="40" t="str">
        <f>VLOOKUP(901,Sprachindex!$A:$Z,Erhebungsbogen!$Y$20,FALSE)</f>
        <v>Telefon:</v>
      </c>
      <c r="D12" s="513">
        <f>Kalk1!D11</f>
        <v>0</v>
      </c>
      <c r="E12" s="513"/>
      <c r="F12" s="513"/>
      <c r="G12" s="513"/>
      <c r="H12" s="513"/>
      <c r="I12" s="513"/>
      <c r="T12" s="56" t="s">
        <v>21823</v>
      </c>
      <c r="U12" s="522" t="str">
        <f>IF(Kalk1!AA13,"1|","") &amp; IF(Kalk2!AA13,"2|","") &amp; IF(Kalk3!AA13,"3|","") &amp; IF(Kalk4!AA13,"4|","") &amp; IF(Kalk5!AA13,"5|","")</f>
        <v/>
      </c>
      <c r="V12" s="522"/>
    </row>
    <row r="13" spans="3:91" ht="1.5" customHeight="1">
      <c r="C13" s="40"/>
      <c r="D13" s="21"/>
      <c r="E13" s="21"/>
      <c r="F13" s="21"/>
      <c r="G13" s="21"/>
      <c r="H13" s="21"/>
      <c r="I13" s="21"/>
      <c r="T13" s="56"/>
      <c r="V13" s="56"/>
    </row>
    <row r="14" spans="3:91" ht="15" customHeight="1">
      <c r="C14" s="40" t="str">
        <f>VLOOKUP(1698,Sprachindex!$A:$Z,Erhebungsbogen!$Y$20,FALSE)</f>
        <v>eMail:</v>
      </c>
      <c r="D14" s="513">
        <f>Kalk1!D13</f>
        <v>0</v>
      </c>
      <c r="E14" s="513"/>
      <c r="F14" s="513"/>
      <c r="G14" s="513"/>
      <c r="H14" s="513"/>
      <c r="I14" s="513"/>
      <c r="T14" s="56" t="s">
        <v>18752</v>
      </c>
      <c r="U14" s="522" t="str">
        <f>IF(Kalk1!AA15,"1|","") &amp; IF(Kalk2!AA15,"2|","") &amp; IF(Kalk3!AA15,"3|","") &amp; IF(Kalk4!AA15,"4|","") &amp; IF(Kalk5!AA15,"5|","")</f>
        <v/>
      </c>
      <c r="V14" s="522"/>
      <c r="X14" s="90" t="s">
        <v>20247</v>
      </c>
    </row>
    <row r="15" spans="3:91" ht="1.5" customHeight="1">
      <c r="C15" s="40"/>
      <c r="D15" s="21"/>
      <c r="E15" s="21"/>
      <c r="F15" s="21"/>
      <c r="G15" s="21"/>
      <c r="H15" s="21"/>
      <c r="I15" s="21"/>
      <c r="J15" s="21"/>
      <c r="K15" s="21"/>
      <c r="L15" s="21"/>
      <c r="M15" s="21"/>
      <c r="N15" s="21"/>
      <c r="O15" s="21"/>
      <c r="P15" s="21"/>
      <c r="Q15" s="21"/>
      <c r="T15" s="56"/>
      <c r="U15" s="135"/>
      <c r="V15" s="135"/>
    </row>
    <row r="16" spans="3:91" ht="15" customHeight="1">
      <c r="C16" s="40" t="str">
        <f>VLOOKUP(203,Sprachindex!$A:$Z,Erhebungsbogen!$Y$20,FALSE)</f>
        <v>Bauvorhaben:</v>
      </c>
      <c r="D16" s="508" t="str">
        <f>"1:" &amp; Kalk1!D16 &amp; IF(Kalk2!D16&gt;""," | 2:" &amp; Kalk2!D16,"") &amp; IF(Kalk3!D16&gt;""," | 3:" &amp; Kalk3!D16,"") &amp; IF(Kalk4!D16&gt;""," | 4:" &amp; Kalk4!D16,"") &amp; IF(Kalk5!D16&gt;""," | 5:" &amp; Kalk5!D16,"")</f>
        <v>1:</v>
      </c>
      <c r="E16" s="508"/>
      <c r="F16" s="508"/>
      <c r="G16" s="508"/>
      <c r="H16" s="508"/>
      <c r="I16" s="508"/>
      <c r="J16" s="508"/>
      <c r="K16" s="508"/>
      <c r="L16" s="508"/>
      <c r="M16" s="508"/>
      <c r="N16" s="508"/>
      <c r="O16" s="508"/>
      <c r="P16" s="508"/>
      <c r="Q16" s="508"/>
      <c r="R16" s="21"/>
      <c r="T16" s="56" t="s">
        <v>19831</v>
      </c>
      <c r="U16" s="523" t="str">
        <f>IF(Kalk1!AA16,"1|","") &amp; IF(Kalk2!AA16,"2|","") &amp; IF(Kalk3!AA16,"3|","") &amp; IF(Kalk4!AA16,"4|","") &amp; IF(Kalk5!AA16,"5|","")</f>
        <v/>
      </c>
      <c r="V16" s="523"/>
      <c r="Y16" s="55" t="str">
        <f>VLOOKUP(1705,Sprachindex!$A:$Z,Erhebungsbogen!$Y$20,FALSE)</f>
        <v>exkl. MwSt.</v>
      </c>
      <c r="AB16" s="262">
        <v>1</v>
      </c>
      <c r="AC16" s="55" t="s">
        <v>20247</v>
      </c>
      <c r="AG16" s="86" t="s">
        <v>18593</v>
      </c>
    </row>
    <row r="17" spans="2:38">
      <c r="Y17" s="55" t="str">
        <f>VLOOKUP(1740,Sprachindex!$A:$Z,Erhebungsbogen!$Y$20,FALSE)</f>
        <v>inkl. MwSt.</v>
      </c>
      <c r="AB17" s="262">
        <f>AL17</f>
        <v>1</v>
      </c>
      <c r="AC17" s="55" t="s">
        <v>18593</v>
      </c>
      <c r="AF17" s="256" t="s">
        <v>18593</v>
      </c>
      <c r="AG17" s="86">
        <f>IF(AND(Kalk1!AA5=2,OR(Kalk1!AA11,Kalk1!AA13,Kalk1!AA15,Kalk1!AA16)),2,1)</f>
        <v>1</v>
      </c>
      <c r="AH17" s="86">
        <f>IF(AND(Kalk2!AA5=2,OR(Kalk2!AA11,Kalk2!AA13,Kalk2!AA15,Kalk2!AA16)),2,1)</f>
        <v>1</v>
      </c>
      <c r="AI17" s="86">
        <f>IF(AND(Kalk3!AA5=2,OR(Kalk3!AA11,Kalk3!AA13,Kalk3!AA15,Kalk3!AA16)),2,1)</f>
        <v>1</v>
      </c>
      <c r="AJ17" s="86">
        <f>IF(AND(Kalk4!AA5=2,OR(Kalk4!AA11,Kalk4!AA13,Kalk4!AA15,Kalk4!AA16)),2,1)</f>
        <v>1</v>
      </c>
      <c r="AK17" s="86">
        <f>IF(AND(Kalk5!AA5=2,OR(Kalk5!AA11,Kalk5!AA13,Kalk5!AA15,Kalk5!AA16)),2,1)</f>
        <v>1</v>
      </c>
      <c r="AL17" s="86">
        <f>MAX(AG17,AH17,AI17,AJ17,AK17)</f>
        <v>1</v>
      </c>
    </row>
    <row r="18" spans="2:38">
      <c r="U18" s="56" t="str">
        <f>VLOOKUP(286,Sprachindex!$A:$Z,Erhebungsbogen!$Y$20,FALSE)</f>
        <v>Datum:</v>
      </c>
      <c r="V18" s="264">
        <f ca="1">TODAY()</f>
        <v>45408</v>
      </c>
      <c r="X18" s="265">
        <f>SUM(AC4:AC5)</f>
        <v>10</v>
      </c>
      <c r="Y18" s="55" t="str">
        <f>VLOOKUP(1790,Sprachindex!$A:$Z,Erhebungsbogen!$Y$20,FALSE)</f>
        <v>Rabatt</v>
      </c>
      <c r="AB18" s="263">
        <f>SUM(Z26:Z546)</f>
        <v>0</v>
      </c>
      <c r="AC18" s="55" t="s">
        <v>22191</v>
      </c>
      <c r="AF18" s="56" t="s">
        <v>4485</v>
      </c>
      <c r="AG18" s="86" t="str">
        <f>Kalk1!$K$9</f>
        <v/>
      </c>
      <c r="AH18" s="86">
        <f>Kalk2!$K$9</f>
        <v>0</v>
      </c>
      <c r="AI18" s="86">
        <f>Kalk3!$K$9</f>
        <v>0</v>
      </c>
      <c r="AJ18" s="86">
        <f>Kalk4!$K$9</f>
        <v>0</v>
      </c>
      <c r="AK18" s="86">
        <f>Kalk5!$K$9</f>
        <v>0</v>
      </c>
    </row>
    <row r="19" spans="2:38" ht="13.5" thickBot="1">
      <c r="X19" s="314">
        <f>IF(X18&gt;0,X18*-1,X18)</f>
        <v>-10</v>
      </c>
      <c r="AB19" s="335">
        <f>SUM(V21:V546)</f>
        <v>0</v>
      </c>
      <c r="AC19" s="55" t="s">
        <v>22192</v>
      </c>
    </row>
    <row r="20" spans="2:38" ht="38.25" customHeight="1" thickBot="1">
      <c r="B20" s="61" t="str">
        <f>VLOOKUP(1839,Sprachindex!$A:$Z,Erhebungsbogen!$Y$20,FALSE)</f>
        <v>Stück</v>
      </c>
      <c r="C20" s="58" t="str">
        <f>VLOOKUP(552,Sprachindex!$A:$Z,Erhebungsbogen!$Y$20,FALSE)</f>
        <v>Länge</v>
      </c>
      <c r="D20" s="58" t="str">
        <f>VLOOKUP(1716,Sprachindex!$A:$Z,Erhebungsbogen!$Y$20,FALSE)</f>
        <v>Gesamt Länge</v>
      </c>
      <c r="E20" s="58" t="str">
        <f>VLOOKUP(332,Sprachindex!$A:$Z,Erhebungsbogen!$Y$20,FALSE)</f>
        <v>Einheit</v>
      </c>
      <c r="F20" s="59" t="str">
        <f>VLOOKUP(177,Sprachindex!$A:$Z,Erhebungsbogen!$Y$20,FALSE)</f>
        <v>Artikel-Nr.</v>
      </c>
      <c r="G20" s="518" t="str">
        <f>VLOOKUP(234,Sprachindex!$A:$Z,Erhebungsbogen!$Y$20,FALSE)</f>
        <v>Bezeichnung</v>
      </c>
      <c r="H20" s="518"/>
      <c r="I20" s="518"/>
      <c r="J20" s="518"/>
      <c r="K20" s="518"/>
      <c r="L20" s="518"/>
      <c r="M20" s="518"/>
      <c r="N20" s="518"/>
      <c r="O20" s="518"/>
      <c r="P20" s="518"/>
      <c r="Q20" s="518"/>
      <c r="R20" s="518"/>
      <c r="S20" s="518"/>
      <c r="T20" s="518"/>
      <c r="U20" s="58" t="str">
        <f>VLOOKUP(1788,Sprachindex!$A:$Z,Erhebungsbogen!$Y$20,FALSE)</f>
        <v>Preis pro lfm od. Stk</v>
      </c>
      <c r="V20" s="58" t="str">
        <f>VLOOKUP(1787,Sprachindex!$A:$Z,Erhebungsbogen!$Y$20,FALSE)</f>
        <v>Preis exkl.MwSt</v>
      </c>
      <c r="W20" s="85"/>
      <c r="X20" s="85"/>
      <c r="Y20" s="85"/>
      <c r="Z20" s="85"/>
      <c r="AA20" s="255"/>
      <c r="AB20" s="255"/>
      <c r="AC20" s="85"/>
      <c r="AD20" s="85"/>
      <c r="AE20" s="85"/>
      <c r="AF20" s="85"/>
      <c r="AG20" s="246" t="s">
        <v>22304</v>
      </c>
      <c r="AH20" s="246" t="s">
        <v>22305</v>
      </c>
      <c r="AI20" s="246" t="s">
        <v>22306</v>
      </c>
      <c r="AJ20" s="246" t="s">
        <v>22307</v>
      </c>
      <c r="AK20" s="246" t="s">
        <v>22308</v>
      </c>
      <c r="AL20" s="246" t="s">
        <v>16870</v>
      </c>
    </row>
    <row r="21" spans="2:38" ht="24.95" customHeight="1">
      <c r="B21" s="92">
        <f t="shared" ref="B21:B26" si="0">AL21</f>
        <v>0</v>
      </c>
      <c r="C21" s="60">
        <v>750</v>
      </c>
      <c r="D21" s="60"/>
      <c r="E21" s="60" t="str">
        <f>VLOOKUP(1600,Sprachindex!$A:$Z,Erhebungsbogen!$Y$20,FALSE)</f>
        <v>[Stk]</v>
      </c>
      <c r="F21" s="60" t="s">
        <v>21961</v>
      </c>
      <c r="G21" s="514" t="str">
        <f>VLOOKUP(1592,Sprachindex!$A:$Z,Erhebungsbogen!$Y$20,FALSE) &amp; ", " &amp; VLOOKUP(1648,Sprachindex!$A:$Z,Erhebungsbogen!$Y$20,FALSE)</f>
        <v>Abdeckung V 25, entgratet, blank</v>
      </c>
      <c r="H21" s="514"/>
      <c r="I21" s="514"/>
      <c r="J21" s="514"/>
      <c r="K21" s="514"/>
      <c r="L21" s="514"/>
      <c r="M21" s="514"/>
      <c r="N21" s="514"/>
      <c r="O21" s="514"/>
      <c r="P21" s="514"/>
      <c r="Q21" s="514"/>
      <c r="R21" s="514"/>
      <c r="S21" s="514"/>
      <c r="T21" s="514"/>
      <c r="U21" s="352">
        <f>VLOOKUP(F21,Preisliste!C:F,4,FALSE)</f>
        <v>28.9</v>
      </c>
      <c r="V21" s="353">
        <f t="shared" ref="V21:V27" si="1">U21*B21</f>
        <v>0</v>
      </c>
      <c r="W21" s="146"/>
      <c r="X21" s="146"/>
      <c r="Y21" s="86"/>
      <c r="Z21" s="143"/>
      <c r="AB21" s="86"/>
      <c r="AC21" s="86"/>
      <c r="AD21" s="86"/>
      <c r="AE21" s="86"/>
      <c r="AF21" s="86"/>
      <c r="AG21" s="86">
        <f>IF(Kalk1!$AA$11=FALSE,'STK1'!$B21,0)</f>
        <v>0</v>
      </c>
      <c r="AH21" s="86">
        <f>IF(Kalk2!$AA$11=FALSE,'STK2'!$B21,0)</f>
        <v>0</v>
      </c>
      <c r="AI21" s="86">
        <f>IF(Kalk3!$AA$11=FALSE,'STK3'!$B21,0)</f>
        <v>0</v>
      </c>
      <c r="AJ21" s="86">
        <f>IF(Kalk4!$AA$11=FALSE,'STK4'!$B21,0)</f>
        <v>0</v>
      </c>
      <c r="AK21" s="86">
        <f>IF(Kalk5!$AA$11=FALSE,'STK5'!$B21,0)</f>
        <v>0</v>
      </c>
      <c r="AL21" s="86">
        <f t="shared" ref="AL21:AL28" si="2">SUM(AG21:AK21)</f>
        <v>0</v>
      </c>
    </row>
    <row r="22" spans="2:38" ht="24.95" customHeight="1">
      <c r="B22" s="92">
        <f t="shared" si="0"/>
        <v>0</v>
      </c>
      <c r="C22" s="60">
        <v>750</v>
      </c>
      <c r="D22" s="60"/>
      <c r="E22" s="60" t="str">
        <f>VLOOKUP(1600,Sprachindex!$A:$Z,Erhebungsbogen!$Y$20,FALSE)</f>
        <v>[Stk]</v>
      </c>
      <c r="F22" s="60" t="s">
        <v>21961</v>
      </c>
      <c r="G22" s="514" t="str">
        <f>VLOOKUP(1592,Sprachindex!$A:$Z,Erhebungsbogen!$Y$20,FALSE) &amp; ", " &amp; VLOOKUP(1645,Sprachindex!$A:$Z,Erhebungsbogen!$Y$20,FALSE) &amp; " " &amp; $AG$18</f>
        <v xml:space="preserve">Abdeckung V 25, entgratet, beschichtet </v>
      </c>
      <c r="H22" s="514"/>
      <c r="I22" s="514"/>
      <c r="J22" s="514"/>
      <c r="K22" s="514"/>
      <c r="L22" s="514"/>
      <c r="M22" s="514"/>
      <c r="N22" s="514"/>
      <c r="O22" s="514"/>
      <c r="P22" s="514"/>
      <c r="Q22" s="514"/>
      <c r="R22" s="514"/>
      <c r="S22" s="514"/>
      <c r="T22" s="514"/>
      <c r="U22" s="353">
        <f>VLOOKUP(F22,Preisliste!C:G,5,FALSE)</f>
        <v>31.790000000000003</v>
      </c>
      <c r="V22" s="353">
        <f t="shared" si="1"/>
        <v>0</v>
      </c>
      <c r="W22" s="146"/>
      <c r="X22" s="146"/>
      <c r="Y22" s="86"/>
      <c r="Z22" s="143">
        <f>(VLOOKUP(F22,Preisliste!C:G,5,FALSE)-VLOOKUP(F22,Preisliste!C:G,4,FALSE))*B22</f>
        <v>0</v>
      </c>
      <c r="AB22" s="86"/>
      <c r="AC22" s="86"/>
      <c r="AD22" s="86"/>
      <c r="AE22" s="86"/>
      <c r="AF22" s="86"/>
      <c r="AG22" s="86">
        <f>IF(Kalk1!$AA$11,'STK1'!$B21,0)</f>
        <v>0</v>
      </c>
      <c r="AH22" s="55"/>
      <c r="AL22" s="86">
        <f t="shared" si="2"/>
        <v>0</v>
      </c>
    </row>
    <row r="23" spans="2:38" ht="24.95" customHeight="1">
      <c r="B23" s="92">
        <f t="shared" si="0"/>
        <v>0</v>
      </c>
      <c r="C23" s="60">
        <v>750</v>
      </c>
      <c r="D23" s="60"/>
      <c r="E23" s="60" t="str">
        <f>VLOOKUP(1600,Sprachindex!$A:$Z,Erhebungsbogen!$Y$20,FALSE)</f>
        <v>[Stk]</v>
      </c>
      <c r="F23" s="60" t="s">
        <v>21961</v>
      </c>
      <c r="G23" s="514" t="str">
        <f>VLOOKUP(1592,Sprachindex!$A:$Z,Erhebungsbogen!$Y$20,FALSE) &amp; ", " &amp; VLOOKUP(1645,Sprachindex!$A:$Z,Erhebungsbogen!$Y$20,FALSE) &amp; " " &amp; $AH$18</f>
        <v>Abdeckung V 25, entgratet, beschichtet 0</v>
      </c>
      <c r="H23" s="514"/>
      <c r="I23" s="514"/>
      <c r="J23" s="514"/>
      <c r="K23" s="514"/>
      <c r="L23" s="514"/>
      <c r="M23" s="514"/>
      <c r="N23" s="514"/>
      <c r="O23" s="514"/>
      <c r="P23" s="514"/>
      <c r="Q23" s="514"/>
      <c r="R23" s="514"/>
      <c r="S23" s="514"/>
      <c r="T23" s="514"/>
      <c r="U23" s="353">
        <f>VLOOKUP(F23,Preisliste!C:G,5,FALSE)</f>
        <v>31.790000000000003</v>
      </c>
      <c r="V23" s="353">
        <f t="shared" si="1"/>
        <v>0</v>
      </c>
      <c r="W23" s="146"/>
      <c r="X23" s="146"/>
      <c r="Y23" s="86"/>
      <c r="Z23" s="143">
        <f>(VLOOKUP(F23,Preisliste!C:G,5,FALSE)-VLOOKUP(F23,Preisliste!C:G,4,FALSE))*B23</f>
        <v>0</v>
      </c>
      <c r="AB23" s="86"/>
      <c r="AC23" s="86"/>
      <c r="AD23" s="86"/>
      <c r="AE23" s="86"/>
      <c r="AF23" s="86"/>
      <c r="AH23" s="86">
        <f>IF(Kalk2!$AA$11,'STK2'!$B21,0)</f>
        <v>0</v>
      </c>
      <c r="AL23" s="86">
        <f t="shared" si="2"/>
        <v>0</v>
      </c>
    </row>
    <row r="24" spans="2:38" ht="24.95" customHeight="1">
      <c r="B24" s="92">
        <f t="shared" si="0"/>
        <v>0</v>
      </c>
      <c r="C24" s="60">
        <v>750</v>
      </c>
      <c r="D24" s="60"/>
      <c r="E24" s="60" t="str">
        <f>VLOOKUP(1600,Sprachindex!$A:$Z,Erhebungsbogen!$Y$20,FALSE)</f>
        <v>[Stk]</v>
      </c>
      <c r="F24" s="60" t="s">
        <v>21961</v>
      </c>
      <c r="G24" s="514" t="str">
        <f>VLOOKUP(1592,Sprachindex!$A:$Z,Erhebungsbogen!$Y$20,FALSE) &amp; ", " &amp; VLOOKUP(1645,Sprachindex!$A:$Z,Erhebungsbogen!$Y$20,FALSE) &amp; " " &amp; $AI$18</f>
        <v>Abdeckung V 25, entgratet, beschichtet 0</v>
      </c>
      <c r="H24" s="514"/>
      <c r="I24" s="514"/>
      <c r="J24" s="514"/>
      <c r="K24" s="514"/>
      <c r="L24" s="514"/>
      <c r="M24" s="514"/>
      <c r="N24" s="514"/>
      <c r="O24" s="514"/>
      <c r="P24" s="514"/>
      <c r="Q24" s="514"/>
      <c r="R24" s="514"/>
      <c r="S24" s="514"/>
      <c r="T24" s="514"/>
      <c r="U24" s="353">
        <f>VLOOKUP(F24,Preisliste!C:G,5,FALSE)</f>
        <v>31.790000000000003</v>
      </c>
      <c r="V24" s="353">
        <f t="shared" si="1"/>
        <v>0</v>
      </c>
      <c r="W24" s="146"/>
      <c r="X24" s="146"/>
      <c r="Y24" s="86"/>
      <c r="Z24" s="143">
        <f>(VLOOKUP(F24,Preisliste!C:G,5,FALSE)-VLOOKUP(F24,Preisliste!C:G,4,FALSE))*B24</f>
        <v>0</v>
      </c>
      <c r="AB24" s="86"/>
      <c r="AC24" s="86"/>
      <c r="AD24" s="86"/>
      <c r="AE24" s="86"/>
      <c r="AF24" s="86"/>
      <c r="AI24" s="86">
        <f>IF(Kalk3!$AA$11,'STK3'!$B21,0)</f>
        <v>0</v>
      </c>
      <c r="AL24" s="86">
        <f t="shared" si="2"/>
        <v>0</v>
      </c>
    </row>
    <row r="25" spans="2:38" ht="24.95" customHeight="1">
      <c r="B25" s="92">
        <f t="shared" si="0"/>
        <v>0</v>
      </c>
      <c r="C25" s="60">
        <v>750</v>
      </c>
      <c r="D25" s="60"/>
      <c r="E25" s="60" t="str">
        <f>VLOOKUP(1600,Sprachindex!$A:$Z,Erhebungsbogen!$Y$20,FALSE)</f>
        <v>[Stk]</v>
      </c>
      <c r="F25" s="60" t="s">
        <v>21961</v>
      </c>
      <c r="G25" s="514" t="str">
        <f>VLOOKUP(1592,Sprachindex!$A:$Z,Erhebungsbogen!$Y$20,FALSE) &amp; ", " &amp; VLOOKUP(1645,Sprachindex!$A:$Z,Erhebungsbogen!$Y$20,FALSE) &amp; " " &amp; $AJ$18</f>
        <v>Abdeckung V 25, entgratet, beschichtet 0</v>
      </c>
      <c r="H25" s="514"/>
      <c r="I25" s="514"/>
      <c r="J25" s="514"/>
      <c r="K25" s="514"/>
      <c r="L25" s="514"/>
      <c r="M25" s="514"/>
      <c r="N25" s="514"/>
      <c r="O25" s="514"/>
      <c r="P25" s="514"/>
      <c r="Q25" s="514"/>
      <c r="R25" s="514"/>
      <c r="S25" s="514"/>
      <c r="T25" s="514"/>
      <c r="U25" s="353">
        <f>VLOOKUP(F25,Preisliste!C:G,5,FALSE)</f>
        <v>31.790000000000003</v>
      </c>
      <c r="V25" s="353">
        <f t="shared" si="1"/>
        <v>0</v>
      </c>
      <c r="W25" s="146"/>
      <c r="X25" s="146"/>
      <c r="Y25" s="86"/>
      <c r="Z25" s="143">
        <f>(VLOOKUP(F25,Preisliste!C:G,5,FALSE)-VLOOKUP(F25,Preisliste!C:G,4,FALSE))*B25</f>
        <v>0</v>
      </c>
      <c r="AB25" s="86"/>
      <c r="AC25" s="86"/>
      <c r="AD25" s="86"/>
      <c r="AE25" s="86"/>
      <c r="AF25" s="86"/>
      <c r="AJ25" s="86">
        <f>IF(Kalk4!$AA$11,'STK4'!$B21,0)</f>
        <v>0</v>
      </c>
      <c r="AL25" s="86">
        <f t="shared" si="2"/>
        <v>0</v>
      </c>
    </row>
    <row r="26" spans="2:38" ht="24.95" customHeight="1">
      <c r="B26" s="92">
        <f t="shared" si="0"/>
        <v>0</v>
      </c>
      <c r="C26" s="60">
        <v>750</v>
      </c>
      <c r="D26" s="60"/>
      <c r="E26" s="60" t="str">
        <f>VLOOKUP(1600,Sprachindex!$A:$Z,Erhebungsbogen!$Y$20,FALSE)</f>
        <v>[Stk]</v>
      </c>
      <c r="F26" s="60" t="s">
        <v>21961</v>
      </c>
      <c r="G26" s="514" t="str">
        <f>VLOOKUP(1592,Sprachindex!$A:$Z,Erhebungsbogen!$Y$20,FALSE) &amp; ", " &amp; VLOOKUP(1645,Sprachindex!$A:$Z,Erhebungsbogen!$Y$20,FALSE) &amp; " " &amp; $AK$18</f>
        <v>Abdeckung V 25, entgratet, beschichtet 0</v>
      </c>
      <c r="H26" s="514"/>
      <c r="I26" s="514"/>
      <c r="J26" s="514"/>
      <c r="K26" s="514"/>
      <c r="L26" s="514"/>
      <c r="M26" s="514"/>
      <c r="N26" s="514"/>
      <c r="O26" s="514"/>
      <c r="P26" s="514"/>
      <c r="Q26" s="514"/>
      <c r="R26" s="514"/>
      <c r="S26" s="514"/>
      <c r="T26" s="514"/>
      <c r="U26" s="353">
        <f>VLOOKUP(F26,Preisliste!C:G,5,FALSE)</f>
        <v>31.790000000000003</v>
      </c>
      <c r="V26" s="353">
        <f t="shared" si="1"/>
        <v>0</v>
      </c>
      <c r="W26" s="146"/>
      <c r="X26" s="146"/>
      <c r="Y26" s="86"/>
      <c r="Z26" s="143">
        <f>(VLOOKUP(F26,Preisliste!C:G,5,FALSE)-VLOOKUP(F26,Preisliste!C:G,4,FALSE))*B26</f>
        <v>0</v>
      </c>
      <c r="AB26" s="86"/>
      <c r="AC26" s="86"/>
      <c r="AD26" s="86"/>
      <c r="AE26" s="86"/>
      <c r="AF26" s="86"/>
      <c r="AG26" s="55"/>
      <c r="AH26" s="55"/>
      <c r="AI26" s="55"/>
      <c r="AJ26" s="55"/>
      <c r="AK26" s="86">
        <f>IF(Kalk5!$AA$11,'STK5'!$B21,0)</f>
        <v>0</v>
      </c>
      <c r="AL26" s="86">
        <f t="shared" si="2"/>
        <v>0</v>
      </c>
    </row>
    <row r="27" spans="2:38" ht="24.95" customHeight="1">
      <c r="B27" s="92">
        <f t="shared" ref="B27:B175" si="3">AL27</f>
        <v>0</v>
      </c>
      <c r="C27" s="60">
        <v>1350</v>
      </c>
      <c r="D27" s="60"/>
      <c r="E27" s="60" t="str">
        <f>VLOOKUP(1600,Sprachindex!$A:$Z,Erhebungsbogen!$Y$20,FALSE)</f>
        <v>[Stk]</v>
      </c>
      <c r="F27" s="60" t="s">
        <v>21962</v>
      </c>
      <c r="G27" s="514" t="str">
        <f>VLOOKUP(1592,Sprachindex!$A:$Z,Erhebungsbogen!$Y$20,FALSE) &amp; ", " &amp; VLOOKUP(1648,Sprachindex!$A:$Z,Erhebungsbogen!$Y$20,FALSE)</f>
        <v>Abdeckung V 25, entgratet, blank</v>
      </c>
      <c r="H27" s="514"/>
      <c r="I27" s="514"/>
      <c r="J27" s="514"/>
      <c r="K27" s="514"/>
      <c r="L27" s="514"/>
      <c r="M27" s="514"/>
      <c r="N27" s="514"/>
      <c r="O27" s="514"/>
      <c r="P27" s="514"/>
      <c r="Q27" s="514"/>
      <c r="R27" s="514"/>
      <c r="S27" s="514"/>
      <c r="T27" s="514"/>
      <c r="U27" s="352">
        <f>VLOOKUP(F27,Preisliste!C:F,4,FALSE)</f>
        <v>33.799999999999997</v>
      </c>
      <c r="V27" s="352">
        <f t="shared" si="1"/>
        <v>0</v>
      </c>
      <c r="W27" s="146"/>
      <c r="X27" s="146"/>
      <c r="Y27" s="86"/>
      <c r="Z27" s="143"/>
      <c r="AB27" s="86"/>
      <c r="AC27" s="86"/>
      <c r="AD27" s="86"/>
      <c r="AE27" s="86"/>
      <c r="AF27" s="86"/>
      <c r="AG27" s="86">
        <f>IF(Kalk1!$AA$11=FALSE,'STK1'!$B22,0)</f>
        <v>0</v>
      </c>
      <c r="AH27" s="86">
        <f>IF(Kalk2!$AA$11=FALSE,'STK2'!$B22,0)</f>
        <v>0</v>
      </c>
      <c r="AI27" s="86">
        <f>IF(Kalk3!$AA$11=FALSE,'STK3'!$B22,0)</f>
        <v>0</v>
      </c>
      <c r="AJ27" s="86">
        <f>IF(Kalk4!$AA$11=FALSE,'STK4'!$B22,0)</f>
        <v>0</v>
      </c>
      <c r="AK27" s="86">
        <f>IF(Kalk5!$AA$11=FALSE,'STK5'!$B22,0)</f>
        <v>0</v>
      </c>
      <c r="AL27" s="86">
        <f t="shared" si="2"/>
        <v>0</v>
      </c>
    </row>
    <row r="28" spans="2:38" ht="24.95" customHeight="1">
      <c r="B28" s="92">
        <f t="shared" ref="B28:B31" si="4">AL28</f>
        <v>0</v>
      </c>
      <c r="C28" s="60">
        <v>1350</v>
      </c>
      <c r="D28" s="60"/>
      <c r="E28" s="60" t="str">
        <f>VLOOKUP(1600,Sprachindex!$A:$Z,Erhebungsbogen!$Y$20,FALSE)</f>
        <v>[Stk]</v>
      </c>
      <c r="F28" s="60" t="s">
        <v>21962</v>
      </c>
      <c r="G28" s="514" t="str">
        <f>VLOOKUP(1592,Sprachindex!$A:$Z,Erhebungsbogen!$Y$20,FALSE) &amp; ", " &amp; VLOOKUP(1645,Sprachindex!$A:$Z,Erhebungsbogen!$Y$20,FALSE) &amp; " " &amp; $AG$18</f>
        <v xml:space="preserve">Abdeckung V 25, entgratet, beschichtet </v>
      </c>
      <c r="H28" s="514"/>
      <c r="I28" s="514"/>
      <c r="J28" s="514"/>
      <c r="K28" s="514"/>
      <c r="L28" s="514"/>
      <c r="M28" s="514"/>
      <c r="N28" s="514"/>
      <c r="O28" s="514"/>
      <c r="P28" s="514"/>
      <c r="Q28" s="514"/>
      <c r="R28" s="514"/>
      <c r="S28" s="514"/>
      <c r="T28" s="514"/>
      <c r="U28" s="353">
        <f>VLOOKUP(F28,Preisliste!C:G,5,FALSE)</f>
        <v>37.18</v>
      </c>
      <c r="V28" s="352">
        <f t="shared" ref="V28:V31" si="5">U28*B28</f>
        <v>0</v>
      </c>
      <c r="W28" s="146"/>
      <c r="X28" s="146"/>
      <c r="Y28" s="86"/>
      <c r="Z28" s="143">
        <f>(VLOOKUP(F28,Preisliste!C:G,5,FALSE)-VLOOKUP(F28,Preisliste!C:G,4,FALSE))*B28</f>
        <v>0</v>
      </c>
      <c r="AB28" s="86"/>
      <c r="AC28" s="86"/>
      <c r="AD28" s="86"/>
      <c r="AE28" s="86"/>
      <c r="AF28" s="86"/>
      <c r="AG28" s="86">
        <f>IF(Kalk1!$AA$11,'STK1'!$B22,0)</f>
        <v>0</v>
      </c>
      <c r="AL28" s="86">
        <f t="shared" si="2"/>
        <v>0</v>
      </c>
    </row>
    <row r="29" spans="2:38" ht="24.95" customHeight="1">
      <c r="B29" s="92">
        <f t="shared" si="4"/>
        <v>0</v>
      </c>
      <c r="C29" s="60">
        <v>1350</v>
      </c>
      <c r="D29" s="60"/>
      <c r="E29" s="60" t="str">
        <f>VLOOKUP(1600,Sprachindex!$A:$Z,Erhebungsbogen!$Y$20,FALSE)</f>
        <v>[Stk]</v>
      </c>
      <c r="F29" s="60" t="s">
        <v>21962</v>
      </c>
      <c r="G29" s="514" t="str">
        <f>VLOOKUP(1592,Sprachindex!$A:$Z,Erhebungsbogen!$Y$20,FALSE) &amp; ", " &amp; VLOOKUP(1645,Sprachindex!$A:$Z,Erhebungsbogen!$Y$20,FALSE) &amp; " " &amp; $AH$18</f>
        <v>Abdeckung V 25, entgratet, beschichtet 0</v>
      </c>
      <c r="H29" s="514"/>
      <c r="I29" s="514"/>
      <c r="J29" s="514"/>
      <c r="K29" s="514"/>
      <c r="L29" s="514"/>
      <c r="M29" s="514"/>
      <c r="N29" s="514"/>
      <c r="O29" s="514"/>
      <c r="P29" s="514"/>
      <c r="Q29" s="514"/>
      <c r="R29" s="514"/>
      <c r="S29" s="514"/>
      <c r="T29" s="514"/>
      <c r="U29" s="353">
        <f>VLOOKUP(F29,Preisliste!C:G,5,FALSE)</f>
        <v>37.18</v>
      </c>
      <c r="V29" s="352">
        <f t="shared" si="5"/>
        <v>0</v>
      </c>
      <c r="W29" s="146"/>
      <c r="X29" s="146"/>
      <c r="Y29" s="86"/>
      <c r="Z29" s="143">
        <f>(VLOOKUP(F29,Preisliste!C:G,5,FALSE)-VLOOKUP(F29,Preisliste!C:G,4,FALSE))*B29</f>
        <v>0</v>
      </c>
      <c r="AB29" s="86"/>
      <c r="AC29" s="86"/>
      <c r="AD29" s="86"/>
      <c r="AE29" s="86"/>
      <c r="AF29" s="86"/>
      <c r="AH29" s="86">
        <f>IF(Kalk2!$AA$11,'STK2'!$B22,0)</f>
        <v>0</v>
      </c>
      <c r="AL29" s="86">
        <f t="shared" ref="AL29:AL31" si="6">SUM(AG29:AK29)</f>
        <v>0</v>
      </c>
    </row>
    <row r="30" spans="2:38" ht="24.95" customHeight="1">
      <c r="B30" s="92">
        <f t="shared" si="4"/>
        <v>0</v>
      </c>
      <c r="C30" s="60">
        <v>1350</v>
      </c>
      <c r="D30" s="60"/>
      <c r="E30" s="60" t="str">
        <f>VLOOKUP(1600,Sprachindex!$A:$Z,Erhebungsbogen!$Y$20,FALSE)</f>
        <v>[Stk]</v>
      </c>
      <c r="F30" s="60" t="s">
        <v>21962</v>
      </c>
      <c r="G30" s="514" t="str">
        <f>VLOOKUP(1592,Sprachindex!$A:$Z,Erhebungsbogen!$Y$20,FALSE) &amp; ", " &amp; VLOOKUP(1645,Sprachindex!$A:$Z,Erhebungsbogen!$Y$20,FALSE) &amp; " " &amp; $AI$18</f>
        <v>Abdeckung V 25, entgratet, beschichtet 0</v>
      </c>
      <c r="H30" s="514"/>
      <c r="I30" s="514"/>
      <c r="J30" s="514"/>
      <c r="K30" s="514"/>
      <c r="L30" s="514"/>
      <c r="M30" s="514"/>
      <c r="N30" s="514"/>
      <c r="O30" s="514"/>
      <c r="P30" s="514"/>
      <c r="Q30" s="514"/>
      <c r="R30" s="514"/>
      <c r="S30" s="514"/>
      <c r="T30" s="514"/>
      <c r="U30" s="353">
        <f>VLOOKUP(F30,Preisliste!C:G,5,FALSE)</f>
        <v>37.18</v>
      </c>
      <c r="V30" s="352">
        <f t="shared" si="5"/>
        <v>0</v>
      </c>
      <c r="W30" s="146"/>
      <c r="X30" s="146"/>
      <c r="Y30" s="86"/>
      <c r="Z30" s="143">
        <f>(VLOOKUP(F30,Preisliste!C:G,5,FALSE)-VLOOKUP(F30,Preisliste!C:G,4,FALSE))*B30</f>
        <v>0</v>
      </c>
      <c r="AB30" s="86"/>
      <c r="AC30" s="86"/>
      <c r="AD30" s="86"/>
      <c r="AE30" s="86"/>
      <c r="AF30" s="86"/>
      <c r="AI30" s="86">
        <f>IF(Kalk3!$AA$11,'STK3'!$B22,0)</f>
        <v>0</v>
      </c>
      <c r="AL30" s="86">
        <f t="shared" si="6"/>
        <v>0</v>
      </c>
    </row>
    <row r="31" spans="2:38" ht="24.95" customHeight="1">
      <c r="B31" s="92">
        <f t="shared" si="4"/>
        <v>0</v>
      </c>
      <c r="C31" s="60">
        <v>1350</v>
      </c>
      <c r="D31" s="60"/>
      <c r="E31" s="60" t="str">
        <f>VLOOKUP(1600,Sprachindex!$A:$Z,Erhebungsbogen!$Y$20,FALSE)</f>
        <v>[Stk]</v>
      </c>
      <c r="F31" s="60" t="s">
        <v>21962</v>
      </c>
      <c r="G31" s="514" t="str">
        <f>VLOOKUP(1592,Sprachindex!$A:$Z,Erhebungsbogen!$Y$20,FALSE) &amp; ", " &amp; VLOOKUP(1645,Sprachindex!$A:$Z,Erhebungsbogen!$Y$20,FALSE) &amp; " " &amp; $AJ$18</f>
        <v>Abdeckung V 25, entgratet, beschichtet 0</v>
      </c>
      <c r="H31" s="514"/>
      <c r="I31" s="514"/>
      <c r="J31" s="514"/>
      <c r="K31" s="514"/>
      <c r="L31" s="514"/>
      <c r="M31" s="514"/>
      <c r="N31" s="514"/>
      <c r="O31" s="514"/>
      <c r="P31" s="514"/>
      <c r="Q31" s="514"/>
      <c r="R31" s="514"/>
      <c r="S31" s="514"/>
      <c r="T31" s="514"/>
      <c r="U31" s="353">
        <f>VLOOKUP(F31,Preisliste!C:G,5,FALSE)</f>
        <v>37.18</v>
      </c>
      <c r="V31" s="352">
        <f t="shared" si="5"/>
        <v>0</v>
      </c>
      <c r="W31" s="146"/>
      <c r="X31" s="146"/>
      <c r="Y31" s="86"/>
      <c r="Z31" s="143">
        <f>(VLOOKUP(F31,Preisliste!C:G,5,FALSE)-VLOOKUP(F31,Preisliste!C:G,4,FALSE))*B31</f>
        <v>0</v>
      </c>
      <c r="AB31" s="86"/>
      <c r="AC31" s="86"/>
      <c r="AD31" s="86"/>
      <c r="AE31" s="86"/>
      <c r="AF31" s="86"/>
      <c r="AJ31" s="86">
        <f>IF(Kalk4!$AA$11,'STK4'!$B22,0)</f>
        <v>0</v>
      </c>
      <c r="AL31" s="86">
        <f t="shared" si="6"/>
        <v>0</v>
      </c>
    </row>
    <row r="32" spans="2:38" ht="24.95" customHeight="1">
      <c r="B32" s="92">
        <f t="shared" si="3"/>
        <v>0</v>
      </c>
      <c r="C32" s="60">
        <v>1350</v>
      </c>
      <c r="D32" s="60"/>
      <c r="E32" s="60" t="str">
        <f>VLOOKUP(1600,Sprachindex!$A:$Z,Erhebungsbogen!$Y$20,FALSE)</f>
        <v>[Stk]</v>
      </c>
      <c r="F32" s="60" t="s">
        <v>21962</v>
      </c>
      <c r="G32" s="514" t="str">
        <f>VLOOKUP(1592,Sprachindex!$A:$Z,Erhebungsbogen!$Y$20,FALSE) &amp; ", " &amp; VLOOKUP(1645,Sprachindex!$A:$Z,Erhebungsbogen!$Y$20,FALSE) &amp; " " &amp; $AK$18</f>
        <v>Abdeckung V 25, entgratet, beschichtet 0</v>
      </c>
      <c r="H32" s="514"/>
      <c r="I32" s="514"/>
      <c r="J32" s="514"/>
      <c r="K32" s="514"/>
      <c r="L32" s="514"/>
      <c r="M32" s="514"/>
      <c r="N32" s="514"/>
      <c r="O32" s="514"/>
      <c r="P32" s="514"/>
      <c r="Q32" s="514"/>
      <c r="R32" s="514"/>
      <c r="S32" s="514"/>
      <c r="T32" s="514"/>
      <c r="U32" s="353">
        <f>VLOOKUP(F32,Preisliste!C:G,5,FALSE)</f>
        <v>37.18</v>
      </c>
      <c r="V32" s="352">
        <f>U32*B32</f>
        <v>0</v>
      </c>
      <c r="W32" s="146"/>
      <c r="X32" s="146"/>
      <c r="Y32" s="86"/>
      <c r="Z32" s="143">
        <f>(VLOOKUP(F32,Preisliste!C:G,5,FALSE)-VLOOKUP(F32,Preisliste!C:G,4,FALSE))*B32</f>
        <v>0</v>
      </c>
      <c r="AB32" s="86"/>
      <c r="AC32" s="86"/>
      <c r="AD32" s="86"/>
      <c r="AE32" s="86"/>
      <c r="AF32" s="86"/>
      <c r="AG32" s="55"/>
      <c r="AH32" s="55"/>
      <c r="AI32" s="55"/>
      <c r="AJ32" s="55"/>
      <c r="AK32" s="86">
        <f>IF(Kalk5!$AA$11,'STK5'!$B22,0)</f>
        <v>0</v>
      </c>
      <c r="AL32" s="86">
        <f>SUM(AG32:AK32)</f>
        <v>0</v>
      </c>
    </row>
    <row r="33" spans="2:38" ht="24.95" customHeight="1">
      <c r="B33" s="92">
        <f t="shared" si="3"/>
        <v>0</v>
      </c>
      <c r="C33" s="60">
        <v>1750</v>
      </c>
      <c r="D33" s="60"/>
      <c r="E33" s="60" t="str">
        <f>VLOOKUP(1600,Sprachindex!$A:$Z,Erhebungsbogen!$Y$20,FALSE)</f>
        <v>[Stk]</v>
      </c>
      <c r="F33" s="60" t="s">
        <v>21986</v>
      </c>
      <c r="G33" s="514" t="str">
        <f>VLOOKUP(1592,Sprachindex!$A:$Z,Erhebungsbogen!$Y$20,FALSE) &amp; ", " &amp; VLOOKUP(1648,Sprachindex!$A:$Z,Erhebungsbogen!$Y$20,FALSE)</f>
        <v>Abdeckung V 25, entgratet, blank</v>
      </c>
      <c r="H33" s="514"/>
      <c r="I33" s="514"/>
      <c r="J33" s="514"/>
      <c r="K33" s="514"/>
      <c r="L33" s="514"/>
      <c r="M33" s="514"/>
      <c r="N33" s="514"/>
      <c r="O33" s="514"/>
      <c r="P33" s="514"/>
      <c r="Q33" s="514"/>
      <c r="R33" s="514"/>
      <c r="S33" s="514"/>
      <c r="T33" s="514"/>
      <c r="U33" s="352">
        <f>VLOOKUP(F33,Preisliste!C:F,4,FALSE)</f>
        <v>45.4</v>
      </c>
      <c r="V33" s="352">
        <f t="shared" ref="V33:V37" si="7">U33*B33</f>
        <v>0</v>
      </c>
      <c r="W33" s="146"/>
      <c r="X33" s="146"/>
      <c r="Y33" s="86"/>
      <c r="Z33" s="143"/>
      <c r="AB33" s="86"/>
      <c r="AC33" s="86"/>
      <c r="AD33" s="86"/>
      <c r="AE33" s="86"/>
      <c r="AF33" s="86"/>
      <c r="AG33" s="86">
        <f>IF(Kalk1!$AA$11=FALSE,'STK1'!$B23,0)</f>
        <v>0</v>
      </c>
      <c r="AH33" s="86">
        <f>IF(Kalk2!$AA$11=FALSE,'STK2'!$B23,0)</f>
        <v>0</v>
      </c>
      <c r="AI33" s="86">
        <f>IF(Kalk3!$AA$11=FALSE,'STK3'!$B23,0)</f>
        <v>0</v>
      </c>
      <c r="AJ33" s="86">
        <f>IF(Kalk4!$AA$11=FALSE,'STK4'!$B23,0)</f>
        <v>0</v>
      </c>
      <c r="AK33" s="86">
        <f>IF(Kalk5!$AA$11=FALSE,'STK5'!$B23,0)</f>
        <v>0</v>
      </c>
      <c r="AL33" s="86">
        <f t="shared" ref="AL33:AL38" si="8">SUM(AG33:AK33)</f>
        <v>0</v>
      </c>
    </row>
    <row r="34" spans="2:38" ht="24.95" customHeight="1">
      <c r="B34" s="92">
        <f t="shared" ref="B34:B37" si="9">AL34</f>
        <v>0</v>
      </c>
      <c r="C34" s="60">
        <v>1750</v>
      </c>
      <c r="D34" s="60"/>
      <c r="E34" s="60" t="str">
        <f>VLOOKUP(1600,Sprachindex!$A:$Z,Erhebungsbogen!$Y$20,FALSE)</f>
        <v>[Stk]</v>
      </c>
      <c r="F34" s="60" t="s">
        <v>21986</v>
      </c>
      <c r="G34" s="514" t="str">
        <f>VLOOKUP(1592,Sprachindex!$A:$Z,Erhebungsbogen!$Y$20,FALSE) &amp; ", " &amp; VLOOKUP(1645,Sprachindex!$A:$Z,Erhebungsbogen!$Y$20,FALSE) &amp; " " &amp; $AG$18</f>
        <v xml:space="preserve">Abdeckung V 25, entgratet, beschichtet </v>
      </c>
      <c r="H34" s="514"/>
      <c r="I34" s="514"/>
      <c r="J34" s="514"/>
      <c r="K34" s="514"/>
      <c r="L34" s="514"/>
      <c r="M34" s="514"/>
      <c r="N34" s="514"/>
      <c r="O34" s="514"/>
      <c r="P34" s="514"/>
      <c r="Q34" s="514"/>
      <c r="R34" s="514"/>
      <c r="S34" s="514"/>
      <c r="T34" s="514"/>
      <c r="U34" s="353">
        <f>VLOOKUP(F34,Preisliste!C:G,5,FALSE)</f>
        <v>49.940000000000005</v>
      </c>
      <c r="V34" s="352">
        <f t="shared" si="7"/>
        <v>0</v>
      </c>
      <c r="W34" s="146"/>
      <c r="X34" s="146"/>
      <c r="Y34" s="86"/>
      <c r="Z34" s="143">
        <f>(VLOOKUP(F34,Preisliste!C:G,5,FALSE)-VLOOKUP(F34,Preisliste!C:G,4,FALSE))*B34</f>
        <v>0</v>
      </c>
      <c r="AB34" s="86"/>
      <c r="AC34" s="86"/>
      <c r="AD34" s="86"/>
      <c r="AE34" s="86"/>
      <c r="AF34" s="86"/>
      <c r="AG34" s="86">
        <f>IF(Kalk1!$AA$11,'STK1'!$B23,0)</f>
        <v>0</v>
      </c>
      <c r="AL34" s="86">
        <f t="shared" si="8"/>
        <v>0</v>
      </c>
    </row>
    <row r="35" spans="2:38" ht="24.95" customHeight="1">
      <c r="B35" s="92">
        <f t="shared" si="9"/>
        <v>0</v>
      </c>
      <c r="C35" s="60">
        <v>1750</v>
      </c>
      <c r="D35" s="60"/>
      <c r="E35" s="60" t="str">
        <f>VLOOKUP(1600,Sprachindex!$A:$Z,Erhebungsbogen!$Y$20,FALSE)</f>
        <v>[Stk]</v>
      </c>
      <c r="F35" s="60" t="s">
        <v>21986</v>
      </c>
      <c r="G35" s="514" t="str">
        <f>VLOOKUP(1592,Sprachindex!$A:$Z,Erhebungsbogen!$Y$20,FALSE) &amp; ", " &amp; VLOOKUP(1645,Sprachindex!$A:$Z,Erhebungsbogen!$Y$20,FALSE) &amp; " " &amp; $AH$18</f>
        <v>Abdeckung V 25, entgratet, beschichtet 0</v>
      </c>
      <c r="H35" s="514"/>
      <c r="I35" s="514"/>
      <c r="J35" s="514"/>
      <c r="K35" s="514"/>
      <c r="L35" s="514"/>
      <c r="M35" s="514"/>
      <c r="N35" s="514"/>
      <c r="O35" s="514"/>
      <c r="P35" s="514"/>
      <c r="Q35" s="514"/>
      <c r="R35" s="514"/>
      <c r="S35" s="514"/>
      <c r="T35" s="514"/>
      <c r="U35" s="353">
        <f>VLOOKUP(F35,Preisliste!C:G,5,FALSE)</f>
        <v>49.940000000000005</v>
      </c>
      <c r="V35" s="352">
        <f t="shared" si="7"/>
        <v>0</v>
      </c>
      <c r="W35" s="146"/>
      <c r="X35" s="146"/>
      <c r="Y35" s="86"/>
      <c r="Z35" s="143">
        <f>(VLOOKUP(F35,Preisliste!C:G,5,FALSE)-VLOOKUP(F35,Preisliste!C:G,4,FALSE))*B35</f>
        <v>0</v>
      </c>
      <c r="AB35" s="86"/>
      <c r="AC35" s="86"/>
      <c r="AD35" s="86"/>
      <c r="AE35" s="86"/>
      <c r="AF35" s="86"/>
      <c r="AH35" s="86">
        <f>IF(Kalk2!$AA$11,'STK2'!$B23,0)</f>
        <v>0</v>
      </c>
      <c r="AL35" s="86">
        <f t="shared" si="8"/>
        <v>0</v>
      </c>
    </row>
    <row r="36" spans="2:38" ht="24.95" customHeight="1">
      <c r="B36" s="92">
        <f t="shared" si="9"/>
        <v>0</v>
      </c>
      <c r="C36" s="60">
        <v>1750</v>
      </c>
      <c r="D36" s="60"/>
      <c r="E36" s="60" t="str">
        <f>VLOOKUP(1600,Sprachindex!$A:$Z,Erhebungsbogen!$Y$20,FALSE)</f>
        <v>[Stk]</v>
      </c>
      <c r="F36" s="60" t="s">
        <v>21986</v>
      </c>
      <c r="G36" s="514" t="str">
        <f>VLOOKUP(1592,Sprachindex!$A:$Z,Erhebungsbogen!$Y$20,FALSE) &amp; ", " &amp; VLOOKUP(1645,Sprachindex!$A:$Z,Erhebungsbogen!$Y$20,FALSE) &amp; " " &amp; $AI$18</f>
        <v>Abdeckung V 25, entgratet, beschichtet 0</v>
      </c>
      <c r="H36" s="514"/>
      <c r="I36" s="514"/>
      <c r="J36" s="514"/>
      <c r="K36" s="514"/>
      <c r="L36" s="514"/>
      <c r="M36" s="514"/>
      <c r="N36" s="514"/>
      <c r="O36" s="514"/>
      <c r="P36" s="514"/>
      <c r="Q36" s="514"/>
      <c r="R36" s="514"/>
      <c r="S36" s="514"/>
      <c r="T36" s="514"/>
      <c r="U36" s="353">
        <f>VLOOKUP(F36,Preisliste!C:G,5,FALSE)</f>
        <v>49.940000000000005</v>
      </c>
      <c r="V36" s="352">
        <f t="shared" si="7"/>
        <v>0</v>
      </c>
      <c r="W36" s="146"/>
      <c r="X36" s="146"/>
      <c r="Y36" s="86"/>
      <c r="Z36" s="143">
        <f>(VLOOKUP(F36,Preisliste!C:G,5,FALSE)-VLOOKUP(F36,Preisliste!C:G,4,FALSE))*B36</f>
        <v>0</v>
      </c>
      <c r="AB36" s="86"/>
      <c r="AC36" s="86"/>
      <c r="AD36" s="86"/>
      <c r="AE36" s="86"/>
      <c r="AF36" s="86"/>
      <c r="AI36" s="86">
        <f>IF(Kalk3!$AA$11,'STK3'!$B23,0)</f>
        <v>0</v>
      </c>
      <c r="AL36" s="86">
        <f t="shared" si="8"/>
        <v>0</v>
      </c>
    </row>
    <row r="37" spans="2:38" ht="24.95" customHeight="1">
      <c r="B37" s="92">
        <f t="shared" si="9"/>
        <v>0</v>
      </c>
      <c r="C37" s="60">
        <v>1750</v>
      </c>
      <c r="D37" s="60"/>
      <c r="E37" s="60" t="str">
        <f>VLOOKUP(1600,Sprachindex!$A:$Z,Erhebungsbogen!$Y$20,FALSE)</f>
        <v>[Stk]</v>
      </c>
      <c r="F37" s="60" t="s">
        <v>21986</v>
      </c>
      <c r="G37" s="514" t="str">
        <f>VLOOKUP(1592,Sprachindex!$A:$Z,Erhebungsbogen!$Y$20,FALSE) &amp; ", " &amp; VLOOKUP(1645,Sprachindex!$A:$Z,Erhebungsbogen!$Y$20,FALSE) &amp; " " &amp; $AJ$18</f>
        <v>Abdeckung V 25, entgratet, beschichtet 0</v>
      </c>
      <c r="H37" s="514"/>
      <c r="I37" s="514"/>
      <c r="J37" s="514"/>
      <c r="K37" s="514"/>
      <c r="L37" s="514"/>
      <c r="M37" s="514"/>
      <c r="N37" s="514"/>
      <c r="O37" s="514"/>
      <c r="P37" s="514"/>
      <c r="Q37" s="514"/>
      <c r="R37" s="514"/>
      <c r="S37" s="514"/>
      <c r="T37" s="514"/>
      <c r="U37" s="353">
        <f>VLOOKUP(F37,Preisliste!C:G,5,FALSE)</f>
        <v>49.940000000000005</v>
      </c>
      <c r="V37" s="352">
        <f t="shared" si="7"/>
        <v>0</v>
      </c>
      <c r="W37" s="146"/>
      <c r="X37" s="146"/>
      <c r="Y37" s="86"/>
      <c r="Z37" s="143">
        <f>(VLOOKUP(F37,Preisliste!C:G,5,FALSE)-VLOOKUP(F37,Preisliste!C:G,4,FALSE))*B37</f>
        <v>0</v>
      </c>
      <c r="AB37" s="86"/>
      <c r="AC37" s="86"/>
      <c r="AD37" s="86"/>
      <c r="AE37" s="86"/>
      <c r="AF37" s="86"/>
      <c r="AJ37" s="86">
        <f>IF(Kalk4!$AA$11,'STK4'!$B23,0)</f>
        <v>0</v>
      </c>
      <c r="AL37" s="86">
        <f t="shared" si="8"/>
        <v>0</v>
      </c>
    </row>
    <row r="38" spans="2:38" ht="24.95" customHeight="1">
      <c r="B38" s="92">
        <f t="shared" si="3"/>
        <v>0</v>
      </c>
      <c r="C38" s="60">
        <v>1750</v>
      </c>
      <c r="D38" s="60"/>
      <c r="E38" s="60" t="str">
        <f>VLOOKUP(1600,Sprachindex!$A:$Z,Erhebungsbogen!$Y$20,FALSE)</f>
        <v>[Stk]</v>
      </c>
      <c r="F38" s="60" t="s">
        <v>21986</v>
      </c>
      <c r="G38" s="514" t="str">
        <f>VLOOKUP(1592,Sprachindex!$A:$Z,Erhebungsbogen!$Y$20,FALSE) &amp; ", " &amp; VLOOKUP(1645,Sprachindex!$A:$Z,Erhebungsbogen!$Y$20,FALSE) &amp; " " &amp; $AK$18</f>
        <v>Abdeckung V 25, entgratet, beschichtet 0</v>
      </c>
      <c r="H38" s="514"/>
      <c r="I38" s="514"/>
      <c r="J38" s="514"/>
      <c r="K38" s="514"/>
      <c r="L38" s="514"/>
      <c r="M38" s="514"/>
      <c r="N38" s="514"/>
      <c r="O38" s="514"/>
      <c r="P38" s="514"/>
      <c r="Q38" s="514"/>
      <c r="R38" s="514"/>
      <c r="S38" s="514"/>
      <c r="T38" s="514"/>
      <c r="U38" s="353">
        <f>VLOOKUP(F38,Preisliste!C:G,5,FALSE)</f>
        <v>49.940000000000005</v>
      </c>
      <c r="V38" s="352">
        <f t="shared" ref="V38:V167" si="10">U38*B38</f>
        <v>0</v>
      </c>
      <c r="W38" s="146"/>
      <c r="X38" s="146"/>
      <c r="Y38" s="86"/>
      <c r="Z38" s="143">
        <f>(VLOOKUP(F38,Preisliste!C:G,5,FALSE)-VLOOKUP(F38,Preisliste!C:G,4,FALSE))*B38</f>
        <v>0</v>
      </c>
      <c r="AB38" s="86"/>
      <c r="AC38" s="86"/>
      <c r="AD38" s="86"/>
      <c r="AE38" s="86"/>
      <c r="AF38" s="86"/>
      <c r="AG38" s="55"/>
      <c r="AH38" s="55"/>
      <c r="AI38" s="55"/>
      <c r="AJ38" s="55"/>
      <c r="AK38" s="86">
        <f>IF(Kalk5!$AA$11,'STK5'!$B23,0)</f>
        <v>0</v>
      </c>
      <c r="AL38" s="86">
        <f t="shared" si="8"/>
        <v>0</v>
      </c>
    </row>
    <row r="39" spans="2:38" ht="24.95" customHeight="1">
      <c r="B39" s="92">
        <f t="shared" si="3"/>
        <v>0</v>
      </c>
      <c r="C39" s="60">
        <v>2150</v>
      </c>
      <c r="D39" s="60"/>
      <c r="E39" s="60" t="str">
        <f>VLOOKUP(1600,Sprachindex!$A:$Z,Erhebungsbogen!$Y$20,FALSE)</f>
        <v>[Stk]</v>
      </c>
      <c r="F39" s="60" t="s">
        <v>21987</v>
      </c>
      <c r="G39" s="514" t="str">
        <f>VLOOKUP(1592,Sprachindex!$A:$Z,Erhebungsbogen!$Y$20,FALSE) &amp; ", " &amp; VLOOKUP(1648,Sprachindex!$A:$Z,Erhebungsbogen!$Y$20,FALSE)</f>
        <v>Abdeckung V 25, entgratet, blank</v>
      </c>
      <c r="H39" s="514"/>
      <c r="I39" s="514"/>
      <c r="J39" s="514"/>
      <c r="K39" s="514"/>
      <c r="L39" s="514"/>
      <c r="M39" s="514"/>
      <c r="N39" s="514"/>
      <c r="O39" s="514"/>
      <c r="P39" s="514"/>
      <c r="Q39" s="514"/>
      <c r="R39" s="514"/>
      <c r="S39" s="514"/>
      <c r="T39" s="514"/>
      <c r="U39" s="352">
        <f>VLOOKUP(F39,Preisliste!C:F,4,FALSE)</f>
        <v>57.9</v>
      </c>
      <c r="V39" s="352">
        <f t="shared" ref="V39:V43" si="11">U39*B39</f>
        <v>0</v>
      </c>
      <c r="W39" s="146"/>
      <c r="X39" s="57"/>
      <c r="Y39" s="86"/>
      <c r="Z39" s="143"/>
      <c r="AB39" s="86"/>
      <c r="AC39" s="86"/>
      <c r="AD39" s="86"/>
      <c r="AE39" s="86"/>
      <c r="AF39" s="86"/>
      <c r="AG39" s="86">
        <f>IF(Kalk1!$AA$11=FALSE,'STK1'!$B24,0)</f>
        <v>0</v>
      </c>
      <c r="AH39" s="86">
        <f>IF(Kalk2!$AA$11=FALSE,'STK2'!$B24,0)</f>
        <v>0</v>
      </c>
      <c r="AI39" s="86">
        <f>IF(Kalk3!$AA$11=FALSE,'STK3'!$B24,0)</f>
        <v>0</v>
      </c>
      <c r="AJ39" s="86">
        <f>IF(Kalk4!$AA$11=FALSE,'STK4'!$B24,0)</f>
        <v>0</v>
      </c>
      <c r="AK39" s="86">
        <f>IF(Kalk5!$AA$11=FALSE,'STK5'!$B24,0)</f>
        <v>0</v>
      </c>
      <c r="AL39" s="86">
        <f t="shared" ref="AL39:AL44" si="12">SUM(AG39:AK39)</f>
        <v>0</v>
      </c>
    </row>
    <row r="40" spans="2:38" ht="24.95" customHeight="1">
      <c r="B40" s="92">
        <f t="shared" ref="B40:B43" si="13">AL40</f>
        <v>0</v>
      </c>
      <c r="C40" s="60">
        <v>2150</v>
      </c>
      <c r="D40" s="60"/>
      <c r="E40" s="60" t="str">
        <f>VLOOKUP(1600,Sprachindex!$A:$Z,Erhebungsbogen!$Y$20,FALSE)</f>
        <v>[Stk]</v>
      </c>
      <c r="F40" s="60" t="s">
        <v>21987</v>
      </c>
      <c r="G40" s="514" t="str">
        <f>VLOOKUP(1592,Sprachindex!$A:$Z,Erhebungsbogen!$Y$20,FALSE) &amp; ", " &amp; VLOOKUP(1645,Sprachindex!$A:$Z,Erhebungsbogen!$Y$20,FALSE) &amp; " " &amp; $AG$18</f>
        <v xml:space="preserve">Abdeckung V 25, entgratet, beschichtet </v>
      </c>
      <c r="H40" s="514"/>
      <c r="I40" s="514"/>
      <c r="J40" s="514"/>
      <c r="K40" s="514"/>
      <c r="L40" s="514"/>
      <c r="M40" s="514"/>
      <c r="N40" s="514"/>
      <c r="O40" s="514"/>
      <c r="P40" s="514"/>
      <c r="Q40" s="514"/>
      <c r="R40" s="514"/>
      <c r="S40" s="514"/>
      <c r="T40" s="514"/>
      <c r="U40" s="353">
        <f>VLOOKUP(F40,Preisliste!C:G,5,FALSE)</f>
        <v>63.690000000000005</v>
      </c>
      <c r="V40" s="352">
        <f t="shared" si="11"/>
        <v>0</v>
      </c>
      <c r="W40" s="146"/>
      <c r="X40" s="57"/>
      <c r="Y40" s="86"/>
      <c r="Z40" s="143">
        <f>(VLOOKUP(F40,Preisliste!C:G,5,FALSE)-VLOOKUP(F40,Preisliste!C:G,4,FALSE))*B40</f>
        <v>0</v>
      </c>
      <c r="AB40" s="86"/>
      <c r="AC40" s="86"/>
      <c r="AD40" s="86"/>
      <c r="AE40" s="86"/>
      <c r="AF40" s="86"/>
      <c r="AG40" s="86">
        <f>IF(Kalk1!$AA$11,'STK1'!$B24,0)</f>
        <v>0</v>
      </c>
      <c r="AL40" s="86">
        <f t="shared" si="12"/>
        <v>0</v>
      </c>
    </row>
    <row r="41" spans="2:38" ht="24.95" customHeight="1">
      <c r="B41" s="92">
        <f t="shared" si="13"/>
        <v>0</v>
      </c>
      <c r="C41" s="60">
        <v>2150</v>
      </c>
      <c r="D41" s="60"/>
      <c r="E41" s="60" t="str">
        <f>VLOOKUP(1600,Sprachindex!$A:$Z,Erhebungsbogen!$Y$20,FALSE)</f>
        <v>[Stk]</v>
      </c>
      <c r="F41" s="60" t="s">
        <v>21987</v>
      </c>
      <c r="G41" s="514" t="str">
        <f>VLOOKUP(1592,Sprachindex!$A:$Z,Erhebungsbogen!$Y$20,FALSE) &amp; ", " &amp; VLOOKUP(1645,Sprachindex!$A:$Z,Erhebungsbogen!$Y$20,FALSE) &amp; " " &amp; $AH$18</f>
        <v>Abdeckung V 25, entgratet, beschichtet 0</v>
      </c>
      <c r="H41" s="514"/>
      <c r="I41" s="514"/>
      <c r="J41" s="514"/>
      <c r="K41" s="514"/>
      <c r="L41" s="514"/>
      <c r="M41" s="514"/>
      <c r="N41" s="514"/>
      <c r="O41" s="514"/>
      <c r="P41" s="514"/>
      <c r="Q41" s="514"/>
      <c r="R41" s="514"/>
      <c r="S41" s="514"/>
      <c r="T41" s="514"/>
      <c r="U41" s="353">
        <f>VLOOKUP(F41,Preisliste!C:G,5,FALSE)</f>
        <v>63.690000000000005</v>
      </c>
      <c r="V41" s="352">
        <f t="shared" si="11"/>
        <v>0</v>
      </c>
      <c r="W41" s="146"/>
      <c r="X41" s="57"/>
      <c r="Y41" s="86"/>
      <c r="Z41" s="143">
        <f>(VLOOKUP(F41,Preisliste!C:G,5,FALSE)-VLOOKUP(F41,Preisliste!C:G,4,FALSE))*B41</f>
        <v>0</v>
      </c>
      <c r="AB41" s="86"/>
      <c r="AC41" s="86"/>
      <c r="AD41" s="86"/>
      <c r="AE41" s="86"/>
      <c r="AF41" s="86"/>
      <c r="AH41" s="86">
        <f>IF(Kalk2!$AA$11,'STK2'!$B24,0)</f>
        <v>0</v>
      </c>
      <c r="AL41" s="86">
        <f t="shared" si="12"/>
        <v>0</v>
      </c>
    </row>
    <row r="42" spans="2:38" ht="24.95" customHeight="1">
      <c r="B42" s="92">
        <f t="shared" si="13"/>
        <v>0</v>
      </c>
      <c r="C42" s="60">
        <v>2150</v>
      </c>
      <c r="D42" s="60"/>
      <c r="E42" s="60" t="str">
        <f>VLOOKUP(1600,Sprachindex!$A:$Z,Erhebungsbogen!$Y$20,FALSE)</f>
        <v>[Stk]</v>
      </c>
      <c r="F42" s="60" t="s">
        <v>21987</v>
      </c>
      <c r="G42" s="514" t="str">
        <f>VLOOKUP(1592,Sprachindex!$A:$Z,Erhebungsbogen!$Y$20,FALSE) &amp; ", " &amp; VLOOKUP(1645,Sprachindex!$A:$Z,Erhebungsbogen!$Y$20,FALSE) &amp; " " &amp; $AI$18</f>
        <v>Abdeckung V 25, entgratet, beschichtet 0</v>
      </c>
      <c r="H42" s="514"/>
      <c r="I42" s="514"/>
      <c r="J42" s="514"/>
      <c r="K42" s="514"/>
      <c r="L42" s="514"/>
      <c r="M42" s="514"/>
      <c r="N42" s="514"/>
      <c r="O42" s="514"/>
      <c r="P42" s="514"/>
      <c r="Q42" s="514"/>
      <c r="R42" s="514"/>
      <c r="S42" s="514"/>
      <c r="T42" s="514"/>
      <c r="U42" s="353">
        <f>VLOOKUP(F42,Preisliste!C:G,5,FALSE)</f>
        <v>63.690000000000005</v>
      </c>
      <c r="V42" s="352">
        <f t="shared" si="11"/>
        <v>0</v>
      </c>
      <c r="W42" s="146"/>
      <c r="X42" s="57"/>
      <c r="Y42" s="86"/>
      <c r="Z42" s="143">
        <f>(VLOOKUP(F42,Preisliste!C:G,5,FALSE)-VLOOKUP(F42,Preisliste!C:G,4,FALSE))*B42</f>
        <v>0</v>
      </c>
      <c r="AB42" s="86"/>
      <c r="AC42" s="86"/>
      <c r="AD42" s="86"/>
      <c r="AE42" s="86"/>
      <c r="AF42" s="86"/>
      <c r="AI42" s="86">
        <f>IF(Kalk3!$AA$11,'STK3'!$B24,0)</f>
        <v>0</v>
      </c>
      <c r="AL42" s="86">
        <f t="shared" si="12"/>
        <v>0</v>
      </c>
    </row>
    <row r="43" spans="2:38" ht="24.95" customHeight="1">
      <c r="B43" s="92">
        <f t="shared" si="13"/>
        <v>0</v>
      </c>
      <c r="C43" s="60">
        <v>2150</v>
      </c>
      <c r="D43" s="60"/>
      <c r="E43" s="60" t="str">
        <f>VLOOKUP(1600,Sprachindex!$A:$Z,Erhebungsbogen!$Y$20,FALSE)</f>
        <v>[Stk]</v>
      </c>
      <c r="F43" s="60" t="s">
        <v>21987</v>
      </c>
      <c r="G43" s="514" t="str">
        <f>VLOOKUP(1592,Sprachindex!$A:$Z,Erhebungsbogen!$Y$20,FALSE) &amp; ", " &amp; VLOOKUP(1645,Sprachindex!$A:$Z,Erhebungsbogen!$Y$20,FALSE) &amp; " " &amp; $AJ$18</f>
        <v>Abdeckung V 25, entgratet, beschichtet 0</v>
      </c>
      <c r="H43" s="514"/>
      <c r="I43" s="514"/>
      <c r="J43" s="514"/>
      <c r="K43" s="514"/>
      <c r="L43" s="514"/>
      <c r="M43" s="514"/>
      <c r="N43" s="514"/>
      <c r="O43" s="514"/>
      <c r="P43" s="514"/>
      <c r="Q43" s="514"/>
      <c r="R43" s="514"/>
      <c r="S43" s="514"/>
      <c r="T43" s="514"/>
      <c r="U43" s="353">
        <f>VLOOKUP(F43,Preisliste!C:G,5,FALSE)</f>
        <v>63.690000000000005</v>
      </c>
      <c r="V43" s="352">
        <f t="shared" si="11"/>
        <v>0</v>
      </c>
      <c r="W43" s="146"/>
      <c r="X43" s="57"/>
      <c r="Y43" s="86"/>
      <c r="Z43" s="143">
        <f>(VLOOKUP(F43,Preisliste!C:G,5,FALSE)-VLOOKUP(F43,Preisliste!C:G,4,FALSE))*B43</f>
        <v>0</v>
      </c>
      <c r="AB43" s="86"/>
      <c r="AC43" s="86"/>
      <c r="AD43" s="86"/>
      <c r="AE43" s="86"/>
      <c r="AF43" s="86"/>
      <c r="AJ43" s="86">
        <f>IF(Kalk4!$AA$11,'STK4'!$B24,0)</f>
        <v>0</v>
      </c>
      <c r="AL43" s="86">
        <f t="shared" si="12"/>
        <v>0</v>
      </c>
    </row>
    <row r="44" spans="2:38" ht="24.95" customHeight="1">
      <c r="B44" s="92">
        <f t="shared" si="3"/>
        <v>0</v>
      </c>
      <c r="C44" s="60">
        <v>2150</v>
      </c>
      <c r="D44" s="60"/>
      <c r="E44" s="60" t="str">
        <f>VLOOKUP(1600,Sprachindex!$A:$Z,Erhebungsbogen!$Y$20,FALSE)</f>
        <v>[Stk]</v>
      </c>
      <c r="F44" s="60" t="s">
        <v>21987</v>
      </c>
      <c r="G44" s="514" t="str">
        <f>VLOOKUP(1592,Sprachindex!$A:$Z,Erhebungsbogen!$Y$20,FALSE) &amp; ", " &amp; VLOOKUP(1645,Sprachindex!$A:$Z,Erhebungsbogen!$Y$20,FALSE) &amp; " " &amp; $AK$18</f>
        <v>Abdeckung V 25, entgratet, beschichtet 0</v>
      </c>
      <c r="H44" s="514"/>
      <c r="I44" s="514"/>
      <c r="J44" s="514"/>
      <c r="K44" s="514"/>
      <c r="L44" s="514"/>
      <c r="M44" s="514"/>
      <c r="N44" s="514"/>
      <c r="O44" s="514"/>
      <c r="P44" s="514"/>
      <c r="Q44" s="514"/>
      <c r="R44" s="514"/>
      <c r="S44" s="514"/>
      <c r="T44" s="514"/>
      <c r="U44" s="353">
        <f>VLOOKUP(F44,Preisliste!C:G,5,FALSE)</f>
        <v>63.690000000000005</v>
      </c>
      <c r="V44" s="352">
        <f t="shared" si="10"/>
        <v>0</v>
      </c>
      <c r="W44" s="146"/>
      <c r="X44" s="57"/>
      <c r="Y44" s="86"/>
      <c r="Z44" s="143">
        <f>(VLOOKUP(F44,Preisliste!C:G,5,FALSE)-VLOOKUP(F44,Preisliste!C:G,4,FALSE))*B44</f>
        <v>0</v>
      </c>
      <c r="AB44" s="86"/>
      <c r="AC44" s="86"/>
      <c r="AD44" s="86"/>
      <c r="AE44" s="86"/>
      <c r="AF44" s="86"/>
      <c r="AK44" s="86">
        <f>IF(Kalk5!$AA$11,'STK5'!$B24,0)</f>
        <v>0</v>
      </c>
      <c r="AL44" s="86">
        <f t="shared" si="12"/>
        <v>0</v>
      </c>
    </row>
    <row r="45" spans="2:38" ht="24.95" customHeight="1">
      <c r="B45" s="92">
        <f t="shared" si="3"/>
        <v>0</v>
      </c>
      <c r="C45" s="60">
        <v>750</v>
      </c>
      <c r="D45" s="60"/>
      <c r="E45" s="60" t="str">
        <f>VLOOKUP(1600,Sprachindex!$A:$Z,Erhebungsbogen!$Y$20,FALSE)</f>
        <v>[Stk]</v>
      </c>
      <c r="F45" s="60" t="s">
        <v>21963</v>
      </c>
      <c r="G45" s="514" t="str">
        <f>VLOOKUP(1610,Sprachindex!$A:$Z,Erhebungsbogen!$Y$20,FALSE) &amp; ", " &amp; VLOOKUP(1648,Sprachindex!$A:$Z,Erhebungsbogen!$Y$20,FALSE)</f>
        <v>Abdeckung V 50, gebohrt und entgratet, blank</v>
      </c>
      <c r="H45" s="514"/>
      <c r="I45" s="514"/>
      <c r="J45" s="514"/>
      <c r="K45" s="514"/>
      <c r="L45" s="514"/>
      <c r="M45" s="514"/>
      <c r="N45" s="514"/>
      <c r="O45" s="514"/>
      <c r="P45" s="514"/>
      <c r="Q45" s="514"/>
      <c r="R45" s="514"/>
      <c r="S45" s="514"/>
      <c r="T45" s="514"/>
      <c r="U45" s="352">
        <f>VLOOKUP(F45,Preisliste!C:F,4,FALSE)</f>
        <v>27.8</v>
      </c>
      <c r="V45" s="352">
        <f t="shared" ref="V45:V49" si="14">U45*B45</f>
        <v>0</v>
      </c>
      <c r="W45" s="146"/>
      <c r="X45" s="146"/>
      <c r="Y45" s="86"/>
      <c r="Z45" s="143"/>
      <c r="AB45" s="86"/>
      <c r="AC45" s="86"/>
      <c r="AD45" s="86"/>
      <c r="AE45" s="86"/>
      <c r="AF45" s="86"/>
      <c r="AG45" s="86">
        <f>IF(Kalk1!$AA$11=FALSE,'STK1'!$B25,0)</f>
        <v>0</v>
      </c>
      <c r="AH45" s="86">
        <f>IF(Kalk2!$AA$11=FALSE,'STK2'!$B25,0)</f>
        <v>0</v>
      </c>
      <c r="AI45" s="86">
        <f>IF(Kalk3!$AA$11=FALSE,'STK3'!$B25,0)</f>
        <v>0</v>
      </c>
      <c r="AJ45" s="86">
        <f>IF(Kalk4!$AA$11=FALSE,'STK4'!$B25,0)</f>
        <v>0</v>
      </c>
      <c r="AK45" s="86">
        <f>IF(Kalk5!$AA$11=FALSE,'STK5'!$B25,0)</f>
        <v>0</v>
      </c>
      <c r="AL45" s="86">
        <f t="shared" ref="AL45:AL50" si="15">SUM(AG45:AK45)</f>
        <v>0</v>
      </c>
    </row>
    <row r="46" spans="2:38" ht="24.95" customHeight="1">
      <c r="B46" s="92">
        <f t="shared" ref="B46:B49" si="16">AL46</f>
        <v>0</v>
      </c>
      <c r="C46" s="60">
        <v>750</v>
      </c>
      <c r="D46" s="60"/>
      <c r="E46" s="60" t="str">
        <f>VLOOKUP(1600,Sprachindex!$A:$Z,Erhebungsbogen!$Y$20,FALSE)</f>
        <v>[Stk]</v>
      </c>
      <c r="F46" s="60" t="s">
        <v>21963</v>
      </c>
      <c r="G46" s="514" t="str">
        <f>VLOOKUP(1610,Sprachindex!$A:$Z,Erhebungsbogen!$Y$20,FALSE) &amp; ", " &amp; VLOOKUP(1645,Sprachindex!$A:$Z,Erhebungsbogen!$Y$20,FALSE) &amp; " " &amp; $AG$18</f>
        <v xml:space="preserve">Abdeckung V 50, gebohrt und entgratet, beschichtet </v>
      </c>
      <c r="H46" s="514"/>
      <c r="I46" s="514"/>
      <c r="J46" s="514"/>
      <c r="K46" s="514"/>
      <c r="L46" s="514"/>
      <c r="M46" s="514"/>
      <c r="N46" s="514"/>
      <c r="O46" s="514"/>
      <c r="P46" s="514"/>
      <c r="Q46" s="514"/>
      <c r="R46" s="514"/>
      <c r="S46" s="514"/>
      <c r="T46" s="514"/>
      <c r="U46" s="353">
        <f>VLOOKUP(F46,Preisliste!C:G,5,FALSE)</f>
        <v>30.580000000000002</v>
      </c>
      <c r="V46" s="352">
        <f t="shared" si="14"/>
        <v>0</v>
      </c>
      <c r="W46" s="146"/>
      <c r="X46" s="146"/>
      <c r="Y46" s="86"/>
      <c r="Z46" s="143">
        <f>(VLOOKUP(F46,Preisliste!C:G,5,FALSE)-VLOOKUP(F46,Preisliste!C:G,4,FALSE))*B46</f>
        <v>0</v>
      </c>
      <c r="AB46" s="86"/>
      <c r="AC46" s="86"/>
      <c r="AD46" s="86"/>
      <c r="AE46" s="86"/>
      <c r="AF46" s="86"/>
      <c r="AG46" s="86">
        <f>IF(Kalk1!$AA$11,'STK1'!$B25,0)</f>
        <v>0</v>
      </c>
      <c r="AL46" s="86">
        <f>SUM(AG46:AK46)</f>
        <v>0</v>
      </c>
    </row>
    <row r="47" spans="2:38" ht="24.95" customHeight="1">
      <c r="B47" s="92">
        <f t="shared" si="16"/>
        <v>0</v>
      </c>
      <c r="C47" s="60">
        <v>750</v>
      </c>
      <c r="D47" s="60"/>
      <c r="E47" s="60" t="str">
        <f>VLOOKUP(1600,Sprachindex!$A:$Z,Erhebungsbogen!$Y$20,FALSE)</f>
        <v>[Stk]</v>
      </c>
      <c r="F47" s="60" t="s">
        <v>21963</v>
      </c>
      <c r="G47" s="514" t="str">
        <f>VLOOKUP(1610,Sprachindex!$A:$Z,Erhebungsbogen!$Y$20,FALSE) &amp; ", " &amp; VLOOKUP(1645,Sprachindex!$A:$Z,Erhebungsbogen!$Y$20,FALSE) &amp; " " &amp; $AH$18</f>
        <v>Abdeckung V 50, gebohrt und entgratet, beschichtet 0</v>
      </c>
      <c r="H47" s="514"/>
      <c r="I47" s="514"/>
      <c r="J47" s="514"/>
      <c r="K47" s="514"/>
      <c r="L47" s="514"/>
      <c r="M47" s="514"/>
      <c r="N47" s="514"/>
      <c r="O47" s="514"/>
      <c r="P47" s="514"/>
      <c r="Q47" s="514"/>
      <c r="R47" s="514"/>
      <c r="S47" s="514"/>
      <c r="T47" s="514"/>
      <c r="U47" s="353">
        <f>VLOOKUP(F47,Preisliste!C:G,5,FALSE)</f>
        <v>30.580000000000002</v>
      </c>
      <c r="V47" s="352">
        <f t="shared" si="14"/>
        <v>0</v>
      </c>
      <c r="W47" s="146"/>
      <c r="X47" s="146"/>
      <c r="Y47" s="86"/>
      <c r="Z47" s="143">
        <f>(VLOOKUP(F47,Preisliste!C:G,5,FALSE)-VLOOKUP(F47,Preisliste!C:G,4,FALSE))*B47</f>
        <v>0</v>
      </c>
      <c r="AB47" s="86"/>
      <c r="AC47" s="86"/>
      <c r="AD47" s="86"/>
      <c r="AE47" s="86"/>
      <c r="AF47" s="86"/>
      <c r="AH47" s="86">
        <f>IF(Kalk2!$AA$11,'STK2'!$B25,0)</f>
        <v>0</v>
      </c>
      <c r="AL47" s="86">
        <f t="shared" si="15"/>
        <v>0</v>
      </c>
    </row>
    <row r="48" spans="2:38" ht="24.95" customHeight="1">
      <c r="B48" s="92">
        <f t="shared" si="16"/>
        <v>0</v>
      </c>
      <c r="C48" s="60">
        <v>750</v>
      </c>
      <c r="D48" s="60"/>
      <c r="E48" s="60" t="str">
        <f>VLOOKUP(1600,Sprachindex!$A:$Z,Erhebungsbogen!$Y$20,FALSE)</f>
        <v>[Stk]</v>
      </c>
      <c r="F48" s="60" t="s">
        <v>21963</v>
      </c>
      <c r="G48" s="514" t="str">
        <f>VLOOKUP(1610,Sprachindex!$A:$Z,Erhebungsbogen!$Y$20,FALSE) &amp; ", " &amp; VLOOKUP(1645,Sprachindex!$A:$Z,Erhebungsbogen!$Y$20,FALSE) &amp; " " &amp; $AI$18</f>
        <v>Abdeckung V 50, gebohrt und entgratet, beschichtet 0</v>
      </c>
      <c r="H48" s="514"/>
      <c r="I48" s="514"/>
      <c r="J48" s="514"/>
      <c r="K48" s="514"/>
      <c r="L48" s="514"/>
      <c r="M48" s="514"/>
      <c r="N48" s="514"/>
      <c r="O48" s="514"/>
      <c r="P48" s="514"/>
      <c r="Q48" s="514"/>
      <c r="R48" s="514"/>
      <c r="S48" s="514"/>
      <c r="T48" s="514"/>
      <c r="U48" s="353">
        <f>VLOOKUP(F48,Preisliste!C:G,5,FALSE)</f>
        <v>30.580000000000002</v>
      </c>
      <c r="V48" s="352">
        <f t="shared" si="14"/>
        <v>0</v>
      </c>
      <c r="W48" s="146"/>
      <c r="X48" s="146"/>
      <c r="Y48" s="86"/>
      <c r="Z48" s="143">
        <f>(VLOOKUP(F48,Preisliste!C:G,5,FALSE)-VLOOKUP(F48,Preisliste!C:G,4,FALSE))*B48</f>
        <v>0</v>
      </c>
      <c r="AB48" s="86"/>
      <c r="AC48" s="86"/>
      <c r="AD48" s="86"/>
      <c r="AE48" s="86"/>
      <c r="AF48" s="86"/>
      <c r="AI48" s="86">
        <f>IF(Kalk3!$AA$11,'STK3'!$B25,0)</f>
        <v>0</v>
      </c>
      <c r="AL48" s="86">
        <f t="shared" si="15"/>
        <v>0</v>
      </c>
    </row>
    <row r="49" spans="2:38" ht="24.95" customHeight="1">
      <c r="B49" s="92">
        <f t="shared" si="16"/>
        <v>0</v>
      </c>
      <c r="C49" s="60">
        <v>750</v>
      </c>
      <c r="D49" s="60"/>
      <c r="E49" s="60" t="str">
        <f>VLOOKUP(1600,Sprachindex!$A:$Z,Erhebungsbogen!$Y$20,FALSE)</f>
        <v>[Stk]</v>
      </c>
      <c r="F49" s="60" t="s">
        <v>21963</v>
      </c>
      <c r="G49" s="514" t="str">
        <f>VLOOKUP(1610,Sprachindex!$A:$Z,Erhebungsbogen!$Y$20,FALSE) &amp; ", " &amp; VLOOKUP(1645,Sprachindex!$A:$Z,Erhebungsbogen!$Y$20,FALSE) &amp; " " &amp; $AJ$18</f>
        <v>Abdeckung V 50, gebohrt und entgratet, beschichtet 0</v>
      </c>
      <c r="H49" s="514"/>
      <c r="I49" s="514"/>
      <c r="J49" s="514"/>
      <c r="K49" s="514"/>
      <c r="L49" s="514"/>
      <c r="M49" s="514"/>
      <c r="N49" s="514"/>
      <c r="O49" s="514"/>
      <c r="P49" s="514"/>
      <c r="Q49" s="514"/>
      <c r="R49" s="514"/>
      <c r="S49" s="514"/>
      <c r="T49" s="514"/>
      <c r="U49" s="353">
        <f>VLOOKUP(F49,Preisliste!C:G,5,FALSE)</f>
        <v>30.580000000000002</v>
      </c>
      <c r="V49" s="352">
        <f t="shared" si="14"/>
        <v>0</v>
      </c>
      <c r="W49" s="146"/>
      <c r="X49" s="146"/>
      <c r="Y49" s="86"/>
      <c r="Z49" s="143">
        <f>(VLOOKUP(F49,Preisliste!C:G,5,FALSE)-VLOOKUP(F49,Preisliste!C:G,4,FALSE))*B49</f>
        <v>0</v>
      </c>
      <c r="AB49" s="86"/>
      <c r="AC49" s="86"/>
      <c r="AD49" s="86"/>
      <c r="AE49" s="86"/>
      <c r="AF49" s="86"/>
      <c r="AJ49" s="86">
        <f>IF(Kalk4!$AA$11,'STK4'!$B25,0)</f>
        <v>0</v>
      </c>
      <c r="AL49" s="86">
        <f t="shared" si="15"/>
        <v>0</v>
      </c>
    </row>
    <row r="50" spans="2:38" ht="24.95" customHeight="1">
      <c r="B50" s="92">
        <f t="shared" si="3"/>
        <v>0</v>
      </c>
      <c r="C50" s="60">
        <v>750</v>
      </c>
      <c r="D50" s="60"/>
      <c r="E50" s="60" t="str">
        <f>VLOOKUP(1600,Sprachindex!$A:$Z,Erhebungsbogen!$Y$20,FALSE)</f>
        <v>[Stk]</v>
      </c>
      <c r="F50" s="60" t="s">
        <v>21963</v>
      </c>
      <c r="G50" s="514" t="str">
        <f>VLOOKUP(1610,Sprachindex!$A:$Z,Erhebungsbogen!$Y$20,FALSE) &amp; ", " &amp; VLOOKUP(1645,Sprachindex!$A:$Z,Erhebungsbogen!$Y$20,FALSE) &amp; " " &amp; $AK$18</f>
        <v>Abdeckung V 50, gebohrt und entgratet, beschichtet 0</v>
      </c>
      <c r="H50" s="514"/>
      <c r="I50" s="514"/>
      <c r="J50" s="514"/>
      <c r="K50" s="514"/>
      <c r="L50" s="514"/>
      <c r="M50" s="514"/>
      <c r="N50" s="514"/>
      <c r="O50" s="514"/>
      <c r="P50" s="514"/>
      <c r="Q50" s="514"/>
      <c r="R50" s="514"/>
      <c r="S50" s="514"/>
      <c r="T50" s="514"/>
      <c r="U50" s="353">
        <f>VLOOKUP(F50,Preisliste!C:G,5,FALSE)</f>
        <v>30.580000000000002</v>
      </c>
      <c r="V50" s="352">
        <f t="shared" si="10"/>
        <v>0</v>
      </c>
      <c r="W50" s="146"/>
      <c r="X50" s="146"/>
      <c r="Y50" s="86"/>
      <c r="Z50" s="143">
        <f>(VLOOKUP(F50,Preisliste!C:G,5,FALSE)-VLOOKUP(F50,Preisliste!C:G,4,FALSE))*B50</f>
        <v>0</v>
      </c>
      <c r="AB50" s="86"/>
      <c r="AC50" s="86"/>
      <c r="AD50" s="86"/>
      <c r="AE50" s="86"/>
      <c r="AF50" s="86"/>
      <c r="AK50" s="86">
        <f>IF(Kalk5!$AA$11,'STK5'!$B25,0)</f>
        <v>0</v>
      </c>
      <c r="AL50" s="86">
        <f t="shared" si="15"/>
        <v>0</v>
      </c>
    </row>
    <row r="51" spans="2:38" ht="24.95" customHeight="1">
      <c r="B51" s="92">
        <f t="shared" si="3"/>
        <v>0</v>
      </c>
      <c r="C51" s="60">
        <v>1350</v>
      </c>
      <c r="D51" s="60"/>
      <c r="E51" s="60" t="str">
        <f>VLOOKUP(1600,Sprachindex!$A:$Z,Erhebungsbogen!$Y$20,FALSE)</f>
        <v>[Stk]</v>
      </c>
      <c r="F51" s="60" t="s">
        <v>21964</v>
      </c>
      <c r="G51" s="514" t="str">
        <f>VLOOKUP(1610,Sprachindex!$A:$Z,Erhebungsbogen!$Y$20,FALSE) &amp; ", " &amp; VLOOKUP(1648,Sprachindex!$A:$Z,Erhebungsbogen!$Y$20,FALSE)</f>
        <v>Abdeckung V 50, gebohrt und entgratet, blank</v>
      </c>
      <c r="H51" s="514"/>
      <c r="I51" s="514"/>
      <c r="J51" s="514"/>
      <c r="K51" s="514"/>
      <c r="L51" s="514"/>
      <c r="M51" s="514"/>
      <c r="N51" s="514"/>
      <c r="O51" s="514"/>
      <c r="P51" s="514"/>
      <c r="Q51" s="514"/>
      <c r="R51" s="514"/>
      <c r="S51" s="514"/>
      <c r="T51" s="514"/>
      <c r="U51" s="352">
        <f>VLOOKUP(F51,Preisliste!C:F,4,FALSE)</f>
        <v>33.65</v>
      </c>
      <c r="V51" s="352">
        <f t="shared" ref="V51:V55" si="17">U51*B51</f>
        <v>0</v>
      </c>
      <c r="W51" s="146"/>
      <c r="X51" s="146"/>
      <c r="Y51" s="86"/>
      <c r="Z51" s="143"/>
      <c r="AB51" s="86"/>
      <c r="AC51" s="86"/>
      <c r="AD51" s="86"/>
      <c r="AE51" s="86"/>
      <c r="AF51" s="86"/>
      <c r="AG51" s="86">
        <f>IF(Kalk1!$AA$11=FALSE,'STK1'!$B26,0)</f>
        <v>0</v>
      </c>
      <c r="AH51" s="86">
        <f>IF(Kalk2!$AA$11=FALSE,'STK2'!$B26,0)</f>
        <v>0</v>
      </c>
      <c r="AI51" s="86">
        <f>IF(Kalk3!$AA$11=FALSE,'STK3'!$B26,0)</f>
        <v>0</v>
      </c>
      <c r="AJ51" s="86">
        <f>IF(Kalk4!$AA$11=FALSE,'STK4'!$B26,0)</f>
        <v>0</v>
      </c>
      <c r="AK51" s="86">
        <f>IF(Kalk5!$AA$11=FALSE,'STK5'!$B26,0)</f>
        <v>0</v>
      </c>
      <c r="AL51" s="86">
        <f t="shared" ref="AL51:AL56" si="18">SUM(AG51:AK51)</f>
        <v>0</v>
      </c>
    </row>
    <row r="52" spans="2:38" ht="24.95" customHeight="1">
      <c r="B52" s="92">
        <f t="shared" ref="B52:B55" si="19">AL52</f>
        <v>0</v>
      </c>
      <c r="C52" s="60">
        <v>1350</v>
      </c>
      <c r="D52" s="60"/>
      <c r="E52" s="60" t="str">
        <f>VLOOKUP(1600,Sprachindex!$A:$Z,Erhebungsbogen!$Y$20,FALSE)</f>
        <v>[Stk]</v>
      </c>
      <c r="F52" s="60" t="s">
        <v>21964</v>
      </c>
      <c r="G52" s="514" t="str">
        <f>VLOOKUP(1610,Sprachindex!$A:$Z,Erhebungsbogen!$Y$20,FALSE) &amp; ", " &amp; VLOOKUP(1645,Sprachindex!$A:$Z,Erhebungsbogen!$Y$20,FALSE) &amp; " " &amp; $AG$18</f>
        <v xml:space="preserve">Abdeckung V 50, gebohrt und entgratet, beschichtet </v>
      </c>
      <c r="H52" s="514"/>
      <c r="I52" s="514"/>
      <c r="J52" s="514"/>
      <c r="K52" s="514"/>
      <c r="L52" s="514"/>
      <c r="M52" s="514"/>
      <c r="N52" s="514"/>
      <c r="O52" s="514"/>
      <c r="P52" s="514"/>
      <c r="Q52" s="514"/>
      <c r="R52" s="514"/>
      <c r="S52" s="514"/>
      <c r="T52" s="514"/>
      <c r="U52" s="353">
        <f>VLOOKUP(F52,Preisliste!C:G,5,FALSE)</f>
        <v>37.015000000000001</v>
      </c>
      <c r="V52" s="352">
        <f t="shared" si="17"/>
        <v>0</v>
      </c>
      <c r="W52" s="146"/>
      <c r="X52" s="146"/>
      <c r="Y52" s="86"/>
      <c r="Z52" s="143">
        <f>(VLOOKUP(F52,Preisliste!C:G,5,FALSE)-VLOOKUP(F52,Preisliste!C:G,4,FALSE))*B52</f>
        <v>0</v>
      </c>
      <c r="AB52" s="86"/>
      <c r="AC52" s="86"/>
      <c r="AD52" s="86"/>
      <c r="AE52" s="86"/>
      <c r="AF52" s="86"/>
      <c r="AG52" s="86">
        <f>IF(Kalk1!$AA$11,'STK1'!$B26,0)</f>
        <v>0</v>
      </c>
      <c r="AL52" s="86">
        <f>SUM(AG52:AK52)</f>
        <v>0</v>
      </c>
    </row>
    <row r="53" spans="2:38" ht="24.95" customHeight="1">
      <c r="B53" s="92">
        <f t="shared" si="19"/>
        <v>0</v>
      </c>
      <c r="C53" s="60">
        <v>1350</v>
      </c>
      <c r="D53" s="60"/>
      <c r="E53" s="60" t="str">
        <f>VLOOKUP(1600,Sprachindex!$A:$Z,Erhebungsbogen!$Y$20,FALSE)</f>
        <v>[Stk]</v>
      </c>
      <c r="F53" s="60" t="s">
        <v>21964</v>
      </c>
      <c r="G53" s="514" t="str">
        <f>VLOOKUP(1610,Sprachindex!$A:$Z,Erhebungsbogen!$Y$20,FALSE) &amp; ", " &amp; VLOOKUP(1645,Sprachindex!$A:$Z,Erhebungsbogen!$Y$20,FALSE) &amp; " " &amp; $AH$18</f>
        <v>Abdeckung V 50, gebohrt und entgratet, beschichtet 0</v>
      </c>
      <c r="H53" s="514"/>
      <c r="I53" s="514"/>
      <c r="J53" s="514"/>
      <c r="K53" s="514"/>
      <c r="L53" s="514"/>
      <c r="M53" s="514"/>
      <c r="N53" s="514"/>
      <c r="O53" s="514"/>
      <c r="P53" s="514"/>
      <c r="Q53" s="514"/>
      <c r="R53" s="514"/>
      <c r="S53" s="514"/>
      <c r="T53" s="514"/>
      <c r="U53" s="353">
        <f>VLOOKUP(F53,Preisliste!C:G,5,FALSE)</f>
        <v>37.015000000000001</v>
      </c>
      <c r="V53" s="352">
        <f t="shared" si="17"/>
        <v>0</v>
      </c>
      <c r="W53" s="146"/>
      <c r="X53" s="146"/>
      <c r="Y53" s="86"/>
      <c r="Z53" s="143">
        <f>(VLOOKUP(F53,Preisliste!C:G,5,FALSE)-VLOOKUP(F53,Preisliste!C:G,4,FALSE))*B53</f>
        <v>0</v>
      </c>
      <c r="AB53" s="86"/>
      <c r="AC53" s="86"/>
      <c r="AD53" s="86"/>
      <c r="AE53" s="86"/>
      <c r="AF53" s="86"/>
      <c r="AH53" s="86">
        <f>IF(Kalk2!$AA$11,'STK2'!$B26,0)</f>
        <v>0</v>
      </c>
      <c r="AL53" s="86">
        <f t="shared" si="18"/>
        <v>0</v>
      </c>
    </row>
    <row r="54" spans="2:38" ht="24.95" customHeight="1">
      <c r="B54" s="92">
        <f t="shared" si="19"/>
        <v>0</v>
      </c>
      <c r="C54" s="60">
        <v>1350</v>
      </c>
      <c r="D54" s="60"/>
      <c r="E54" s="60" t="str">
        <f>VLOOKUP(1600,Sprachindex!$A:$Z,Erhebungsbogen!$Y$20,FALSE)</f>
        <v>[Stk]</v>
      </c>
      <c r="F54" s="60" t="s">
        <v>21964</v>
      </c>
      <c r="G54" s="514" t="str">
        <f>VLOOKUP(1610,Sprachindex!$A:$Z,Erhebungsbogen!$Y$20,FALSE) &amp; ", " &amp; VLOOKUP(1645,Sprachindex!$A:$Z,Erhebungsbogen!$Y$20,FALSE) &amp; " " &amp; $AI$18</f>
        <v>Abdeckung V 50, gebohrt und entgratet, beschichtet 0</v>
      </c>
      <c r="H54" s="514"/>
      <c r="I54" s="514"/>
      <c r="J54" s="514"/>
      <c r="K54" s="514"/>
      <c r="L54" s="514"/>
      <c r="M54" s="514"/>
      <c r="N54" s="514"/>
      <c r="O54" s="514"/>
      <c r="P54" s="514"/>
      <c r="Q54" s="514"/>
      <c r="R54" s="514"/>
      <c r="S54" s="514"/>
      <c r="T54" s="514"/>
      <c r="U54" s="353">
        <f>VLOOKUP(F54,Preisliste!C:G,5,FALSE)</f>
        <v>37.015000000000001</v>
      </c>
      <c r="V54" s="352">
        <f t="shared" si="17"/>
        <v>0</v>
      </c>
      <c r="W54" s="146"/>
      <c r="X54" s="146"/>
      <c r="Y54" s="86"/>
      <c r="Z54" s="143">
        <f>(VLOOKUP(F54,Preisliste!C:G,5,FALSE)-VLOOKUP(F54,Preisliste!C:G,4,FALSE))*B54</f>
        <v>0</v>
      </c>
      <c r="AB54" s="86"/>
      <c r="AC54" s="86"/>
      <c r="AD54" s="86"/>
      <c r="AE54" s="86"/>
      <c r="AF54" s="86"/>
      <c r="AI54" s="86">
        <f>IF(Kalk3!$AA$11,'STK3'!$B26,0)</f>
        <v>0</v>
      </c>
      <c r="AL54" s="86">
        <f t="shared" si="18"/>
        <v>0</v>
      </c>
    </row>
    <row r="55" spans="2:38" ht="24.95" customHeight="1">
      <c r="B55" s="92">
        <f t="shared" si="19"/>
        <v>0</v>
      </c>
      <c r="C55" s="60">
        <v>1350</v>
      </c>
      <c r="D55" s="60"/>
      <c r="E55" s="60" t="str">
        <f>VLOOKUP(1600,Sprachindex!$A:$Z,Erhebungsbogen!$Y$20,FALSE)</f>
        <v>[Stk]</v>
      </c>
      <c r="F55" s="60" t="s">
        <v>21964</v>
      </c>
      <c r="G55" s="514" t="str">
        <f>VLOOKUP(1610,Sprachindex!$A:$Z,Erhebungsbogen!$Y$20,FALSE) &amp; ", " &amp; VLOOKUP(1645,Sprachindex!$A:$Z,Erhebungsbogen!$Y$20,FALSE) &amp; " " &amp; $AJ$18</f>
        <v>Abdeckung V 50, gebohrt und entgratet, beschichtet 0</v>
      </c>
      <c r="H55" s="514"/>
      <c r="I55" s="514"/>
      <c r="J55" s="514"/>
      <c r="K55" s="514"/>
      <c r="L55" s="514"/>
      <c r="M55" s="514"/>
      <c r="N55" s="514"/>
      <c r="O55" s="514"/>
      <c r="P55" s="514"/>
      <c r="Q55" s="514"/>
      <c r="R55" s="514"/>
      <c r="S55" s="514"/>
      <c r="T55" s="514"/>
      <c r="U55" s="353">
        <f>VLOOKUP(F55,Preisliste!C:G,5,FALSE)</f>
        <v>37.015000000000001</v>
      </c>
      <c r="V55" s="352">
        <f t="shared" si="17"/>
        <v>0</v>
      </c>
      <c r="W55" s="146"/>
      <c r="X55" s="146"/>
      <c r="Y55" s="86"/>
      <c r="Z55" s="143">
        <f>(VLOOKUP(F55,Preisliste!C:G,5,FALSE)-VLOOKUP(F55,Preisliste!C:G,4,FALSE))*B55</f>
        <v>0</v>
      </c>
      <c r="AB55" s="86"/>
      <c r="AC55" s="86"/>
      <c r="AD55" s="86"/>
      <c r="AE55" s="86"/>
      <c r="AF55" s="86"/>
      <c r="AJ55" s="86">
        <f>IF(Kalk4!$AA$11,'STK4'!$B26,0)</f>
        <v>0</v>
      </c>
      <c r="AL55" s="86">
        <f t="shared" si="18"/>
        <v>0</v>
      </c>
    </row>
    <row r="56" spans="2:38" ht="24.95" customHeight="1">
      <c r="B56" s="92">
        <f t="shared" si="3"/>
        <v>0</v>
      </c>
      <c r="C56" s="60">
        <v>1350</v>
      </c>
      <c r="D56" s="60"/>
      <c r="E56" s="60" t="str">
        <f>VLOOKUP(1600,Sprachindex!$A:$Z,Erhebungsbogen!$Y$20,FALSE)</f>
        <v>[Stk]</v>
      </c>
      <c r="F56" s="60" t="s">
        <v>21964</v>
      </c>
      <c r="G56" s="514" t="str">
        <f>VLOOKUP(1610,Sprachindex!$A:$Z,Erhebungsbogen!$Y$20,FALSE) &amp; ", " &amp; VLOOKUP(1645,Sprachindex!$A:$Z,Erhebungsbogen!$Y$20,FALSE) &amp; " " &amp; $AK$18</f>
        <v>Abdeckung V 50, gebohrt und entgratet, beschichtet 0</v>
      </c>
      <c r="H56" s="514"/>
      <c r="I56" s="514"/>
      <c r="J56" s="514"/>
      <c r="K56" s="514"/>
      <c r="L56" s="514"/>
      <c r="M56" s="514"/>
      <c r="N56" s="514"/>
      <c r="O56" s="514"/>
      <c r="P56" s="514"/>
      <c r="Q56" s="514"/>
      <c r="R56" s="514"/>
      <c r="S56" s="514"/>
      <c r="T56" s="514"/>
      <c r="U56" s="353">
        <f>VLOOKUP(F56,Preisliste!C:G,5,FALSE)</f>
        <v>37.015000000000001</v>
      </c>
      <c r="V56" s="352">
        <f t="shared" si="10"/>
        <v>0</v>
      </c>
      <c r="W56" s="146"/>
      <c r="X56" s="146"/>
      <c r="Y56" s="86"/>
      <c r="Z56" s="143">
        <f>(VLOOKUP(F56,Preisliste!C:G,5,FALSE)-VLOOKUP(F56,Preisliste!C:G,4,FALSE))*B56</f>
        <v>0</v>
      </c>
      <c r="AB56" s="86"/>
      <c r="AC56" s="86"/>
      <c r="AD56" s="86"/>
      <c r="AE56" s="86"/>
      <c r="AF56" s="86"/>
      <c r="AK56" s="86">
        <f>IF(Kalk5!$AA$11,'STK5'!$B26,0)</f>
        <v>0</v>
      </c>
      <c r="AL56" s="86">
        <f t="shared" si="18"/>
        <v>0</v>
      </c>
    </row>
    <row r="57" spans="2:38" ht="24.95" customHeight="1">
      <c r="B57" s="92">
        <f t="shared" si="3"/>
        <v>0</v>
      </c>
      <c r="C57" s="60">
        <v>1750</v>
      </c>
      <c r="D57" s="60"/>
      <c r="E57" s="60" t="str">
        <f>VLOOKUP(1600,Sprachindex!$A:$Z,Erhebungsbogen!$Y$20,FALSE)</f>
        <v>[Stk]</v>
      </c>
      <c r="F57" s="60" t="s">
        <v>21965</v>
      </c>
      <c r="G57" s="514" t="str">
        <f>VLOOKUP(1610,Sprachindex!$A:$Z,Erhebungsbogen!$Y$20,FALSE) &amp; ", " &amp; VLOOKUP(1648,Sprachindex!$A:$Z,Erhebungsbogen!$Y$20,FALSE)</f>
        <v>Abdeckung V 50, gebohrt und entgratet, blank</v>
      </c>
      <c r="H57" s="514"/>
      <c r="I57" s="514"/>
      <c r="J57" s="514"/>
      <c r="K57" s="514"/>
      <c r="L57" s="514"/>
      <c r="M57" s="514"/>
      <c r="N57" s="514"/>
      <c r="O57" s="514"/>
      <c r="P57" s="514"/>
      <c r="Q57" s="514"/>
      <c r="R57" s="514"/>
      <c r="S57" s="514"/>
      <c r="T57" s="514"/>
      <c r="U57" s="352">
        <f>VLOOKUP(F57,Preisliste!C:F,4,FALSE)</f>
        <v>37.5</v>
      </c>
      <c r="V57" s="352">
        <f t="shared" ref="V57:V61" si="20">U57*B57</f>
        <v>0</v>
      </c>
      <c r="W57" s="146"/>
      <c r="X57" s="146"/>
      <c r="Y57" s="86"/>
      <c r="Z57" s="143"/>
      <c r="AB57" s="86"/>
      <c r="AC57" s="86"/>
      <c r="AD57" s="86"/>
      <c r="AE57" s="86"/>
      <c r="AF57" s="86"/>
      <c r="AG57" s="86">
        <f>IF(Kalk1!$AA$11=FALSE,'STK1'!$B27,0)</f>
        <v>0</v>
      </c>
      <c r="AH57" s="86">
        <f>IF(Kalk2!$AA$11=FALSE,'STK2'!$B27,0)</f>
        <v>0</v>
      </c>
      <c r="AI57" s="86">
        <f>IF(Kalk3!$AA$11=FALSE,'STK3'!$B27,0)</f>
        <v>0</v>
      </c>
      <c r="AJ57" s="86">
        <f>IF(Kalk4!$AA$11=FALSE,'STK4'!$B27,0)</f>
        <v>0</v>
      </c>
      <c r="AK57" s="86">
        <f>IF(Kalk5!$AA$11=FALSE,'STK5'!$B27,0)</f>
        <v>0</v>
      </c>
      <c r="AL57" s="86">
        <f t="shared" ref="AL57:AL62" si="21">SUM(AG57:AK57)</f>
        <v>0</v>
      </c>
    </row>
    <row r="58" spans="2:38" ht="24.95" customHeight="1">
      <c r="B58" s="92">
        <f t="shared" ref="B58:B61" si="22">AL58</f>
        <v>0</v>
      </c>
      <c r="C58" s="60">
        <v>1750</v>
      </c>
      <c r="D58" s="60"/>
      <c r="E58" s="60" t="str">
        <f>VLOOKUP(1600,Sprachindex!$A:$Z,Erhebungsbogen!$Y$20,FALSE)</f>
        <v>[Stk]</v>
      </c>
      <c r="F58" s="60" t="s">
        <v>21965</v>
      </c>
      <c r="G58" s="514" t="str">
        <f>VLOOKUP(1610,Sprachindex!$A:$Z,Erhebungsbogen!$Y$20,FALSE) &amp; ", " &amp; VLOOKUP(1645,Sprachindex!$A:$Z,Erhebungsbogen!$Y$20,FALSE) &amp; " " &amp; $AG$18</f>
        <v xml:space="preserve">Abdeckung V 50, gebohrt und entgratet, beschichtet </v>
      </c>
      <c r="H58" s="514"/>
      <c r="I58" s="514"/>
      <c r="J58" s="514"/>
      <c r="K58" s="514"/>
      <c r="L58" s="514"/>
      <c r="M58" s="514"/>
      <c r="N58" s="514"/>
      <c r="O58" s="514"/>
      <c r="P58" s="514"/>
      <c r="Q58" s="514"/>
      <c r="R58" s="514"/>
      <c r="S58" s="514"/>
      <c r="T58" s="514"/>
      <c r="U58" s="353">
        <f>VLOOKUP(F58,Preisliste!C:G,5,FALSE)</f>
        <v>41.25</v>
      </c>
      <c r="V58" s="352">
        <f t="shared" si="20"/>
        <v>0</v>
      </c>
      <c r="W58" s="146"/>
      <c r="X58" s="146"/>
      <c r="Y58" s="86"/>
      <c r="Z58" s="143">
        <f>(VLOOKUP(F58,Preisliste!C:G,5,FALSE)-VLOOKUP(F58,Preisliste!C:G,4,FALSE))*B58</f>
        <v>0</v>
      </c>
      <c r="AB58" s="86"/>
      <c r="AC58" s="86"/>
      <c r="AD58" s="86"/>
      <c r="AE58" s="86"/>
      <c r="AF58" s="86"/>
      <c r="AG58" s="86">
        <f>IF(Kalk1!$AA$11,'STK1'!$B27,0)</f>
        <v>0</v>
      </c>
      <c r="AL58" s="86">
        <f>SUM(AG58:AK58)</f>
        <v>0</v>
      </c>
    </row>
    <row r="59" spans="2:38" ht="24.95" customHeight="1">
      <c r="B59" s="92">
        <f t="shared" si="22"/>
        <v>0</v>
      </c>
      <c r="C59" s="60">
        <v>1750</v>
      </c>
      <c r="D59" s="60"/>
      <c r="E59" s="60" t="str">
        <f>VLOOKUP(1600,Sprachindex!$A:$Z,Erhebungsbogen!$Y$20,FALSE)</f>
        <v>[Stk]</v>
      </c>
      <c r="F59" s="60" t="s">
        <v>21965</v>
      </c>
      <c r="G59" s="514" t="str">
        <f>VLOOKUP(1610,Sprachindex!$A:$Z,Erhebungsbogen!$Y$20,FALSE) &amp; ", " &amp; VLOOKUP(1645,Sprachindex!$A:$Z,Erhebungsbogen!$Y$20,FALSE) &amp; " " &amp; $AH$18</f>
        <v>Abdeckung V 50, gebohrt und entgratet, beschichtet 0</v>
      </c>
      <c r="H59" s="514"/>
      <c r="I59" s="514"/>
      <c r="J59" s="514"/>
      <c r="K59" s="514"/>
      <c r="L59" s="514"/>
      <c r="M59" s="514"/>
      <c r="N59" s="514"/>
      <c r="O59" s="514"/>
      <c r="P59" s="514"/>
      <c r="Q59" s="514"/>
      <c r="R59" s="514"/>
      <c r="S59" s="514"/>
      <c r="T59" s="514"/>
      <c r="U59" s="353">
        <f>VLOOKUP(F59,Preisliste!C:G,5,FALSE)</f>
        <v>41.25</v>
      </c>
      <c r="V59" s="352">
        <f t="shared" si="20"/>
        <v>0</v>
      </c>
      <c r="W59" s="146"/>
      <c r="X59" s="146"/>
      <c r="Y59" s="86"/>
      <c r="Z59" s="143">
        <f>(VLOOKUP(F59,Preisliste!C:G,5,FALSE)-VLOOKUP(F59,Preisliste!C:G,4,FALSE))*B59</f>
        <v>0</v>
      </c>
      <c r="AB59" s="86"/>
      <c r="AC59" s="86"/>
      <c r="AD59" s="86"/>
      <c r="AE59" s="86"/>
      <c r="AF59" s="86"/>
      <c r="AH59" s="86">
        <f>IF(Kalk2!$AA$11,'STK2'!$B27,0)</f>
        <v>0</v>
      </c>
      <c r="AL59" s="86">
        <f t="shared" si="21"/>
        <v>0</v>
      </c>
    </row>
    <row r="60" spans="2:38" ht="24.95" customHeight="1">
      <c r="B60" s="92">
        <f t="shared" si="22"/>
        <v>0</v>
      </c>
      <c r="C60" s="60">
        <v>1750</v>
      </c>
      <c r="D60" s="60"/>
      <c r="E60" s="60" t="str">
        <f>VLOOKUP(1600,Sprachindex!$A:$Z,Erhebungsbogen!$Y$20,FALSE)</f>
        <v>[Stk]</v>
      </c>
      <c r="F60" s="60" t="s">
        <v>21965</v>
      </c>
      <c r="G60" s="514" t="str">
        <f>VLOOKUP(1610,Sprachindex!$A:$Z,Erhebungsbogen!$Y$20,FALSE) &amp; ", " &amp; VLOOKUP(1645,Sprachindex!$A:$Z,Erhebungsbogen!$Y$20,FALSE) &amp; " " &amp; $AI$18</f>
        <v>Abdeckung V 50, gebohrt und entgratet, beschichtet 0</v>
      </c>
      <c r="H60" s="514"/>
      <c r="I60" s="514"/>
      <c r="J60" s="514"/>
      <c r="K60" s="514"/>
      <c r="L60" s="514"/>
      <c r="M60" s="514"/>
      <c r="N60" s="514"/>
      <c r="O60" s="514"/>
      <c r="P60" s="514"/>
      <c r="Q60" s="514"/>
      <c r="R60" s="514"/>
      <c r="S60" s="514"/>
      <c r="T60" s="514"/>
      <c r="U60" s="353">
        <f>VLOOKUP(F60,Preisliste!C:G,5,FALSE)</f>
        <v>41.25</v>
      </c>
      <c r="V60" s="352">
        <f t="shared" si="20"/>
        <v>0</v>
      </c>
      <c r="W60" s="146"/>
      <c r="X60" s="146"/>
      <c r="Y60" s="86"/>
      <c r="Z60" s="143">
        <f>(VLOOKUP(F60,Preisliste!C:G,5,FALSE)-VLOOKUP(F60,Preisliste!C:G,4,FALSE))*B60</f>
        <v>0</v>
      </c>
      <c r="AB60" s="86"/>
      <c r="AC60" s="86"/>
      <c r="AD60" s="86"/>
      <c r="AE60" s="86"/>
      <c r="AF60" s="86"/>
      <c r="AI60" s="86">
        <f>IF(Kalk3!$AA$11,'STK3'!$B27,0)</f>
        <v>0</v>
      </c>
      <c r="AL60" s="86">
        <f t="shared" si="21"/>
        <v>0</v>
      </c>
    </row>
    <row r="61" spans="2:38" ht="24.95" customHeight="1">
      <c r="B61" s="92">
        <f t="shared" si="22"/>
        <v>0</v>
      </c>
      <c r="C61" s="60">
        <v>1750</v>
      </c>
      <c r="D61" s="60"/>
      <c r="E61" s="60" t="str">
        <f>VLOOKUP(1600,Sprachindex!$A:$Z,Erhebungsbogen!$Y$20,FALSE)</f>
        <v>[Stk]</v>
      </c>
      <c r="F61" s="60" t="s">
        <v>21965</v>
      </c>
      <c r="G61" s="514" t="str">
        <f>VLOOKUP(1610,Sprachindex!$A:$Z,Erhebungsbogen!$Y$20,FALSE) &amp; ", " &amp; VLOOKUP(1645,Sprachindex!$A:$Z,Erhebungsbogen!$Y$20,FALSE) &amp; " " &amp; $AJ$18</f>
        <v>Abdeckung V 50, gebohrt und entgratet, beschichtet 0</v>
      </c>
      <c r="H61" s="514"/>
      <c r="I61" s="514"/>
      <c r="J61" s="514"/>
      <c r="K61" s="514"/>
      <c r="L61" s="514"/>
      <c r="M61" s="514"/>
      <c r="N61" s="514"/>
      <c r="O61" s="514"/>
      <c r="P61" s="514"/>
      <c r="Q61" s="514"/>
      <c r="R61" s="514"/>
      <c r="S61" s="514"/>
      <c r="T61" s="514"/>
      <c r="U61" s="353">
        <f>VLOOKUP(F61,Preisliste!C:G,5,FALSE)</f>
        <v>41.25</v>
      </c>
      <c r="V61" s="352">
        <f t="shared" si="20"/>
        <v>0</v>
      </c>
      <c r="W61" s="146"/>
      <c r="X61" s="146"/>
      <c r="Y61" s="86"/>
      <c r="Z61" s="143">
        <f>(VLOOKUP(F61,Preisliste!C:G,5,FALSE)-VLOOKUP(F61,Preisliste!C:G,4,FALSE))*B61</f>
        <v>0</v>
      </c>
      <c r="AB61" s="86"/>
      <c r="AC61" s="86"/>
      <c r="AD61" s="86"/>
      <c r="AE61" s="86"/>
      <c r="AF61" s="86"/>
      <c r="AJ61" s="86">
        <f>IF(Kalk4!$AA$11,'STK4'!$B27,0)</f>
        <v>0</v>
      </c>
      <c r="AL61" s="86">
        <f t="shared" si="21"/>
        <v>0</v>
      </c>
    </row>
    <row r="62" spans="2:38" ht="24.95" customHeight="1">
      <c r="B62" s="92">
        <f t="shared" si="3"/>
        <v>0</v>
      </c>
      <c r="C62" s="60">
        <v>1750</v>
      </c>
      <c r="D62" s="60"/>
      <c r="E62" s="60" t="str">
        <f>VLOOKUP(1600,Sprachindex!$A:$Z,Erhebungsbogen!$Y$20,FALSE)</f>
        <v>[Stk]</v>
      </c>
      <c r="F62" s="60" t="s">
        <v>21965</v>
      </c>
      <c r="G62" s="514" t="str">
        <f>VLOOKUP(1610,Sprachindex!$A:$Z,Erhebungsbogen!$Y$20,FALSE) &amp; ", " &amp; VLOOKUP(1645,Sprachindex!$A:$Z,Erhebungsbogen!$Y$20,FALSE) &amp; " " &amp; $AK$18</f>
        <v>Abdeckung V 50, gebohrt und entgratet, beschichtet 0</v>
      </c>
      <c r="H62" s="514"/>
      <c r="I62" s="514"/>
      <c r="J62" s="514"/>
      <c r="K62" s="514"/>
      <c r="L62" s="514"/>
      <c r="M62" s="514"/>
      <c r="N62" s="514"/>
      <c r="O62" s="514"/>
      <c r="P62" s="514"/>
      <c r="Q62" s="514"/>
      <c r="R62" s="514"/>
      <c r="S62" s="514"/>
      <c r="T62" s="514"/>
      <c r="U62" s="353">
        <f>VLOOKUP(F62,Preisliste!C:G,5,FALSE)</f>
        <v>41.25</v>
      </c>
      <c r="V62" s="352">
        <f t="shared" si="10"/>
        <v>0</v>
      </c>
      <c r="W62" s="146"/>
      <c r="X62" s="146"/>
      <c r="Y62" s="86"/>
      <c r="Z62" s="143">
        <f>(VLOOKUP(F62,Preisliste!C:G,5,FALSE)-VLOOKUP(F62,Preisliste!C:G,4,FALSE))*B62</f>
        <v>0</v>
      </c>
      <c r="AB62" s="86"/>
      <c r="AC62" s="86"/>
      <c r="AD62" s="86"/>
      <c r="AE62" s="86"/>
      <c r="AF62" s="86"/>
      <c r="AK62" s="86">
        <f>IF(Kalk5!$AA$11,'STK5'!$B27,0)</f>
        <v>0</v>
      </c>
      <c r="AL62" s="86">
        <f t="shared" si="21"/>
        <v>0</v>
      </c>
    </row>
    <row r="63" spans="2:38" ht="24.95" customHeight="1">
      <c r="B63" s="92">
        <f t="shared" si="3"/>
        <v>0</v>
      </c>
      <c r="C63" s="60">
        <v>2150</v>
      </c>
      <c r="D63" s="60"/>
      <c r="E63" s="60" t="str">
        <f>VLOOKUP(1600,Sprachindex!$A:$Z,Erhebungsbogen!$Y$20,FALSE)</f>
        <v>[Stk]</v>
      </c>
      <c r="F63" s="60" t="s">
        <v>21966</v>
      </c>
      <c r="G63" s="514" t="str">
        <f>VLOOKUP(1610,Sprachindex!$A:$Z,Erhebungsbogen!$Y$20,FALSE) &amp; ", " &amp; VLOOKUP(1648,Sprachindex!$A:$Z,Erhebungsbogen!$Y$20,FALSE)</f>
        <v>Abdeckung V 50, gebohrt und entgratet, blank</v>
      </c>
      <c r="H63" s="514"/>
      <c r="I63" s="514"/>
      <c r="J63" s="514"/>
      <c r="K63" s="514"/>
      <c r="L63" s="514"/>
      <c r="M63" s="514"/>
      <c r="N63" s="514"/>
      <c r="O63" s="514"/>
      <c r="P63" s="514"/>
      <c r="Q63" s="514"/>
      <c r="R63" s="514"/>
      <c r="S63" s="514"/>
      <c r="T63" s="514"/>
      <c r="U63" s="352">
        <f>VLOOKUP(F63,Preisliste!C:F,4,FALSE)</f>
        <v>41.4</v>
      </c>
      <c r="V63" s="352">
        <f t="shared" ref="V63:V67" si="23">U63*B63</f>
        <v>0</v>
      </c>
      <c r="W63" s="146"/>
      <c r="X63" s="146"/>
      <c r="Y63" s="86"/>
      <c r="Z63" s="143"/>
      <c r="AB63" s="86"/>
      <c r="AC63" s="86"/>
      <c r="AD63" s="86"/>
      <c r="AE63" s="86"/>
      <c r="AF63" s="86"/>
      <c r="AG63" s="86">
        <f>IF(Kalk1!$AA$11=FALSE,'STK1'!$B28,0)</f>
        <v>0</v>
      </c>
      <c r="AH63" s="86">
        <f>IF(Kalk2!$AA$11=FALSE,'STK2'!$B28,0)</f>
        <v>0</v>
      </c>
      <c r="AI63" s="86">
        <f>IF(Kalk3!$AA$11=FALSE,'STK3'!$B28,0)</f>
        <v>0</v>
      </c>
      <c r="AJ63" s="86">
        <f>IF(Kalk4!$AA$11=FALSE,'STK4'!$B28,0)</f>
        <v>0</v>
      </c>
      <c r="AK63" s="86">
        <f>IF(Kalk5!$AA$11=FALSE,'STK5'!$B28,0)</f>
        <v>0</v>
      </c>
      <c r="AL63" s="86">
        <f t="shared" ref="AL63:AL68" si="24">SUM(AG63:AK63)</f>
        <v>0</v>
      </c>
    </row>
    <row r="64" spans="2:38" ht="24.95" customHeight="1">
      <c r="B64" s="92">
        <f t="shared" ref="B64:B67" si="25">AL64</f>
        <v>0</v>
      </c>
      <c r="C64" s="60">
        <v>2150</v>
      </c>
      <c r="D64" s="60"/>
      <c r="E64" s="60" t="str">
        <f>VLOOKUP(1600,Sprachindex!$A:$Z,Erhebungsbogen!$Y$20,FALSE)</f>
        <v>[Stk]</v>
      </c>
      <c r="F64" s="60" t="s">
        <v>21966</v>
      </c>
      <c r="G64" s="514" t="str">
        <f>VLOOKUP(1610,Sprachindex!$A:$Z,Erhebungsbogen!$Y$20,FALSE) &amp; ", " &amp; VLOOKUP(1645,Sprachindex!$A:$Z,Erhebungsbogen!$Y$20,FALSE) &amp; " " &amp; $AG$18</f>
        <v xml:space="preserve">Abdeckung V 50, gebohrt und entgratet, beschichtet </v>
      </c>
      <c r="H64" s="514"/>
      <c r="I64" s="514"/>
      <c r="J64" s="514"/>
      <c r="K64" s="514"/>
      <c r="L64" s="514"/>
      <c r="M64" s="514"/>
      <c r="N64" s="514"/>
      <c r="O64" s="514"/>
      <c r="P64" s="514"/>
      <c r="Q64" s="514"/>
      <c r="R64" s="514"/>
      <c r="S64" s="514"/>
      <c r="T64" s="514"/>
      <c r="U64" s="353">
        <f>VLOOKUP(F64,Preisliste!C:G,5,FALSE)</f>
        <v>45.54</v>
      </c>
      <c r="V64" s="352">
        <f t="shared" si="23"/>
        <v>0</v>
      </c>
      <c r="W64" s="146"/>
      <c r="X64" s="146"/>
      <c r="Y64" s="86"/>
      <c r="Z64" s="143">
        <f>(VLOOKUP(F64,Preisliste!C:G,5,FALSE)-VLOOKUP(F64,Preisliste!C:G,4,FALSE))*B64</f>
        <v>0</v>
      </c>
      <c r="AB64" s="86"/>
      <c r="AC64" s="86"/>
      <c r="AD64" s="86"/>
      <c r="AE64" s="86"/>
      <c r="AF64" s="86"/>
      <c r="AG64" s="86">
        <f>IF(Kalk1!$AA$11,'STK1'!$B28,0)</f>
        <v>0</v>
      </c>
      <c r="AL64" s="86">
        <f>SUM(AG64:AK64)</f>
        <v>0</v>
      </c>
    </row>
    <row r="65" spans="2:38" ht="24.95" customHeight="1">
      <c r="B65" s="92">
        <f t="shared" si="25"/>
        <v>0</v>
      </c>
      <c r="C65" s="60">
        <v>2150</v>
      </c>
      <c r="D65" s="60"/>
      <c r="E65" s="60" t="str">
        <f>VLOOKUP(1600,Sprachindex!$A:$Z,Erhebungsbogen!$Y$20,FALSE)</f>
        <v>[Stk]</v>
      </c>
      <c r="F65" s="60" t="s">
        <v>21966</v>
      </c>
      <c r="G65" s="514" t="str">
        <f>VLOOKUP(1610,Sprachindex!$A:$Z,Erhebungsbogen!$Y$20,FALSE) &amp; ", " &amp; VLOOKUP(1645,Sprachindex!$A:$Z,Erhebungsbogen!$Y$20,FALSE) &amp; " " &amp; $AH$18</f>
        <v>Abdeckung V 50, gebohrt und entgratet, beschichtet 0</v>
      </c>
      <c r="H65" s="514"/>
      <c r="I65" s="514"/>
      <c r="J65" s="514"/>
      <c r="K65" s="514"/>
      <c r="L65" s="514"/>
      <c r="M65" s="514"/>
      <c r="N65" s="514"/>
      <c r="O65" s="514"/>
      <c r="P65" s="514"/>
      <c r="Q65" s="514"/>
      <c r="R65" s="514"/>
      <c r="S65" s="514"/>
      <c r="T65" s="514"/>
      <c r="U65" s="353">
        <f>VLOOKUP(F65,Preisliste!C:G,5,FALSE)</f>
        <v>45.54</v>
      </c>
      <c r="V65" s="352">
        <f t="shared" si="23"/>
        <v>0</v>
      </c>
      <c r="W65" s="146"/>
      <c r="X65" s="146"/>
      <c r="Y65" s="86"/>
      <c r="Z65" s="143">
        <f>(VLOOKUP(F65,Preisliste!C:G,5,FALSE)-VLOOKUP(F65,Preisliste!C:G,4,FALSE))*B65</f>
        <v>0</v>
      </c>
      <c r="AB65" s="86"/>
      <c r="AC65" s="86"/>
      <c r="AD65" s="86"/>
      <c r="AE65" s="86"/>
      <c r="AF65" s="86"/>
      <c r="AH65" s="86">
        <f>IF(Kalk2!$AA$11,'STK2'!$B28,0)</f>
        <v>0</v>
      </c>
      <c r="AL65" s="86">
        <f t="shared" si="24"/>
        <v>0</v>
      </c>
    </row>
    <row r="66" spans="2:38" ht="24.95" customHeight="1">
      <c r="B66" s="92">
        <f t="shared" si="25"/>
        <v>0</v>
      </c>
      <c r="C66" s="60">
        <v>2150</v>
      </c>
      <c r="D66" s="60"/>
      <c r="E66" s="60" t="str">
        <f>VLOOKUP(1600,Sprachindex!$A:$Z,Erhebungsbogen!$Y$20,FALSE)</f>
        <v>[Stk]</v>
      </c>
      <c r="F66" s="60" t="s">
        <v>21966</v>
      </c>
      <c r="G66" s="514" t="str">
        <f>VLOOKUP(1610,Sprachindex!$A:$Z,Erhebungsbogen!$Y$20,FALSE) &amp; ", " &amp; VLOOKUP(1645,Sprachindex!$A:$Z,Erhebungsbogen!$Y$20,FALSE) &amp; " " &amp; $AI$18</f>
        <v>Abdeckung V 50, gebohrt und entgratet, beschichtet 0</v>
      </c>
      <c r="H66" s="514"/>
      <c r="I66" s="514"/>
      <c r="J66" s="514"/>
      <c r="K66" s="514"/>
      <c r="L66" s="514"/>
      <c r="M66" s="514"/>
      <c r="N66" s="514"/>
      <c r="O66" s="514"/>
      <c r="P66" s="514"/>
      <c r="Q66" s="514"/>
      <c r="R66" s="514"/>
      <c r="S66" s="514"/>
      <c r="T66" s="514"/>
      <c r="U66" s="353">
        <f>VLOOKUP(F66,Preisliste!C:G,5,FALSE)</f>
        <v>45.54</v>
      </c>
      <c r="V66" s="352">
        <f t="shared" si="23"/>
        <v>0</v>
      </c>
      <c r="W66" s="146"/>
      <c r="X66" s="146"/>
      <c r="Y66" s="86"/>
      <c r="Z66" s="143">
        <f>(VLOOKUP(F66,Preisliste!C:G,5,FALSE)-VLOOKUP(F66,Preisliste!C:G,4,FALSE))*B66</f>
        <v>0</v>
      </c>
      <c r="AB66" s="86"/>
      <c r="AC66" s="86"/>
      <c r="AD66" s="86"/>
      <c r="AE66" s="86"/>
      <c r="AF66" s="86"/>
      <c r="AI66" s="86">
        <f>IF(Kalk3!$AA$11,'STK3'!$B28,0)</f>
        <v>0</v>
      </c>
      <c r="AL66" s="86">
        <f t="shared" si="24"/>
        <v>0</v>
      </c>
    </row>
    <row r="67" spans="2:38" ht="24.95" customHeight="1">
      <c r="B67" s="92">
        <f t="shared" si="25"/>
        <v>0</v>
      </c>
      <c r="C67" s="60">
        <v>2150</v>
      </c>
      <c r="D67" s="60"/>
      <c r="E67" s="60" t="str">
        <f>VLOOKUP(1600,Sprachindex!$A:$Z,Erhebungsbogen!$Y$20,FALSE)</f>
        <v>[Stk]</v>
      </c>
      <c r="F67" s="60" t="s">
        <v>21966</v>
      </c>
      <c r="G67" s="514" t="str">
        <f>VLOOKUP(1610,Sprachindex!$A:$Z,Erhebungsbogen!$Y$20,FALSE) &amp; ", " &amp; VLOOKUP(1645,Sprachindex!$A:$Z,Erhebungsbogen!$Y$20,FALSE) &amp; " " &amp; $AJ$18</f>
        <v>Abdeckung V 50, gebohrt und entgratet, beschichtet 0</v>
      </c>
      <c r="H67" s="514"/>
      <c r="I67" s="514"/>
      <c r="J67" s="514"/>
      <c r="K67" s="514"/>
      <c r="L67" s="514"/>
      <c r="M67" s="514"/>
      <c r="N67" s="514"/>
      <c r="O67" s="514"/>
      <c r="P67" s="514"/>
      <c r="Q67" s="514"/>
      <c r="R67" s="514"/>
      <c r="S67" s="514"/>
      <c r="T67" s="514"/>
      <c r="U67" s="353">
        <f>VLOOKUP(F67,Preisliste!C:G,5,FALSE)</f>
        <v>45.54</v>
      </c>
      <c r="V67" s="352">
        <f t="shared" si="23"/>
        <v>0</v>
      </c>
      <c r="W67" s="146"/>
      <c r="X67" s="146"/>
      <c r="Y67" s="86"/>
      <c r="Z67" s="143">
        <f>(VLOOKUP(F67,Preisliste!C:G,5,FALSE)-VLOOKUP(F67,Preisliste!C:G,4,FALSE))*B67</f>
        <v>0</v>
      </c>
      <c r="AB67" s="86"/>
      <c r="AC67" s="86"/>
      <c r="AD67" s="86"/>
      <c r="AE67" s="86"/>
      <c r="AF67" s="86"/>
      <c r="AJ67" s="86">
        <f>IF(Kalk4!$AA$11,'STK4'!$B28,0)</f>
        <v>0</v>
      </c>
      <c r="AL67" s="86">
        <f t="shared" si="24"/>
        <v>0</v>
      </c>
    </row>
    <row r="68" spans="2:38" ht="24.95" customHeight="1">
      <c r="B68" s="92">
        <f t="shared" si="3"/>
        <v>0</v>
      </c>
      <c r="C68" s="60">
        <v>2150</v>
      </c>
      <c r="D68" s="60"/>
      <c r="E68" s="60" t="str">
        <f>VLOOKUP(1600,Sprachindex!$A:$Z,Erhebungsbogen!$Y$20,FALSE)</f>
        <v>[Stk]</v>
      </c>
      <c r="F68" s="60" t="s">
        <v>21966</v>
      </c>
      <c r="G68" s="514" t="str">
        <f>VLOOKUP(1610,Sprachindex!$A:$Z,Erhebungsbogen!$Y$20,FALSE) &amp; ", " &amp; VLOOKUP(1645,Sprachindex!$A:$Z,Erhebungsbogen!$Y$20,FALSE) &amp; " " &amp; $AK$18</f>
        <v>Abdeckung V 50, gebohrt und entgratet, beschichtet 0</v>
      </c>
      <c r="H68" s="514"/>
      <c r="I68" s="514"/>
      <c r="J68" s="514"/>
      <c r="K68" s="514"/>
      <c r="L68" s="514"/>
      <c r="M68" s="514"/>
      <c r="N68" s="514"/>
      <c r="O68" s="514"/>
      <c r="P68" s="514"/>
      <c r="Q68" s="514"/>
      <c r="R68" s="514"/>
      <c r="S68" s="514"/>
      <c r="T68" s="514"/>
      <c r="U68" s="353">
        <f>VLOOKUP(F68,Preisliste!C:G,5,FALSE)</f>
        <v>45.54</v>
      </c>
      <c r="V68" s="352">
        <f t="shared" si="10"/>
        <v>0</v>
      </c>
      <c r="W68" s="146"/>
      <c r="X68" s="146"/>
      <c r="Y68" s="86"/>
      <c r="Z68" s="143">
        <f>(VLOOKUP(F68,Preisliste!C:G,5,FALSE)-VLOOKUP(F68,Preisliste!C:G,4,FALSE))*B68</f>
        <v>0</v>
      </c>
      <c r="AB68" s="86"/>
      <c r="AC68" s="86"/>
      <c r="AD68" s="86"/>
      <c r="AE68" s="86"/>
      <c r="AF68" s="86"/>
      <c r="AK68" s="86">
        <f>IF(Kalk5!$AA$11,'STK5'!$B28,0)</f>
        <v>0</v>
      </c>
      <c r="AL68" s="86">
        <f t="shared" si="24"/>
        <v>0</v>
      </c>
    </row>
    <row r="69" spans="2:38" ht="24.95" customHeight="1">
      <c r="B69" s="92">
        <f t="shared" si="3"/>
        <v>0</v>
      </c>
      <c r="C69" s="60">
        <v>750</v>
      </c>
      <c r="D69" s="60"/>
      <c r="E69" s="60" t="str">
        <f>VLOOKUP(1600,Sprachindex!$A:$Z,Erhebungsbogen!$Y$20,FALSE)</f>
        <v>[Stk]</v>
      </c>
      <c r="F69" s="60" t="s">
        <v>21967</v>
      </c>
      <c r="G69" s="514" t="str">
        <f>VLOOKUP(1611,Sprachindex!$A:$Z,Erhebungsbogen!$Y$20,FALSE) &amp; ", " &amp; VLOOKUP(1648,Sprachindex!$A:$Z,Erhebungsbogen!$Y$20,FALSE)</f>
        <v>Abdeckung V 80, gebohrt und entgratet, blank</v>
      </c>
      <c r="H69" s="514"/>
      <c r="I69" s="514"/>
      <c r="J69" s="514"/>
      <c r="K69" s="514"/>
      <c r="L69" s="514"/>
      <c r="M69" s="514"/>
      <c r="N69" s="514"/>
      <c r="O69" s="514"/>
      <c r="P69" s="514"/>
      <c r="Q69" s="514"/>
      <c r="R69" s="514"/>
      <c r="S69" s="514"/>
      <c r="T69" s="514"/>
      <c r="U69" s="352">
        <f>VLOOKUP(F69,Preisliste!C:F,4,FALSE)</f>
        <v>34.950000000000003</v>
      </c>
      <c r="V69" s="352">
        <f t="shared" ref="V69:V73" si="26">U69*B69</f>
        <v>0</v>
      </c>
      <c r="W69" s="146"/>
      <c r="X69" s="146"/>
      <c r="Y69" s="86"/>
      <c r="Z69" s="143"/>
      <c r="AB69" s="86"/>
      <c r="AC69" s="86"/>
      <c r="AD69" s="86"/>
      <c r="AE69" s="86"/>
      <c r="AF69" s="86"/>
      <c r="AG69" s="86">
        <f>IF(Kalk1!$AA$11=FALSE,'STK1'!$B29,0)</f>
        <v>0</v>
      </c>
      <c r="AH69" s="86">
        <f>IF(Kalk2!$AA$11=FALSE,'STK2'!$B29,0)</f>
        <v>0</v>
      </c>
      <c r="AI69" s="86">
        <f>IF(Kalk3!$AA$11=FALSE,'STK3'!$B29,0)</f>
        <v>0</v>
      </c>
      <c r="AJ69" s="86">
        <f>IF(Kalk4!$AA$11=FALSE,'STK4'!$B29,0)</f>
        <v>0</v>
      </c>
      <c r="AK69" s="86">
        <f>IF(Kalk5!$AA$11=FALSE,'STK5'!$B29,0)</f>
        <v>0</v>
      </c>
      <c r="AL69" s="86">
        <f t="shared" ref="AL69:AL74" si="27">SUM(AG69:AK69)</f>
        <v>0</v>
      </c>
    </row>
    <row r="70" spans="2:38" ht="24.95" customHeight="1">
      <c r="B70" s="92">
        <f t="shared" ref="B70:B73" si="28">AL70</f>
        <v>0</v>
      </c>
      <c r="C70" s="60">
        <v>750</v>
      </c>
      <c r="D70" s="60"/>
      <c r="E70" s="60" t="str">
        <f>VLOOKUP(1600,Sprachindex!$A:$Z,Erhebungsbogen!$Y$20,FALSE)</f>
        <v>[Stk]</v>
      </c>
      <c r="F70" s="60" t="s">
        <v>21967</v>
      </c>
      <c r="G70" s="514" t="str">
        <f>VLOOKUP(1611,Sprachindex!$A:$Z,Erhebungsbogen!$Y$20,FALSE) &amp; ", " &amp; VLOOKUP(1645,Sprachindex!$A:$Z,Erhebungsbogen!$Y$20,FALSE) &amp; " " &amp; $AG$18</f>
        <v xml:space="preserve">Abdeckung V 80, gebohrt und entgratet, beschichtet </v>
      </c>
      <c r="H70" s="514"/>
      <c r="I70" s="514"/>
      <c r="J70" s="514"/>
      <c r="K70" s="514"/>
      <c r="L70" s="514"/>
      <c r="M70" s="514"/>
      <c r="N70" s="514"/>
      <c r="O70" s="514"/>
      <c r="P70" s="514"/>
      <c r="Q70" s="514"/>
      <c r="R70" s="514"/>
      <c r="S70" s="514"/>
      <c r="T70" s="514"/>
      <c r="U70" s="353">
        <f>VLOOKUP(F70,Preisliste!C:G,5,FALSE)</f>
        <v>38.445000000000007</v>
      </c>
      <c r="V70" s="352">
        <f t="shared" si="26"/>
        <v>0</v>
      </c>
      <c r="W70" s="146"/>
      <c r="X70" s="146"/>
      <c r="Y70" s="86"/>
      <c r="Z70" s="143">
        <f>(VLOOKUP(F70,Preisliste!C:G,5,FALSE)-VLOOKUP(F70,Preisliste!C:G,4,FALSE))*B70</f>
        <v>0</v>
      </c>
      <c r="AB70" s="86"/>
      <c r="AC70" s="86"/>
      <c r="AD70" s="86"/>
      <c r="AE70" s="86"/>
      <c r="AF70" s="86"/>
      <c r="AG70" s="86">
        <f>IF(Kalk1!$AA$11,'STK1'!$B29,0)</f>
        <v>0</v>
      </c>
      <c r="AL70" s="86">
        <f>SUM(AG70:AK70)</f>
        <v>0</v>
      </c>
    </row>
    <row r="71" spans="2:38" ht="24.95" customHeight="1">
      <c r="B71" s="92">
        <f t="shared" si="28"/>
        <v>0</v>
      </c>
      <c r="C71" s="60">
        <v>750</v>
      </c>
      <c r="D71" s="60"/>
      <c r="E71" s="60" t="str">
        <f>VLOOKUP(1600,Sprachindex!$A:$Z,Erhebungsbogen!$Y$20,FALSE)</f>
        <v>[Stk]</v>
      </c>
      <c r="F71" s="60" t="s">
        <v>21967</v>
      </c>
      <c r="G71" s="514" t="str">
        <f>VLOOKUP(1611,Sprachindex!$A:$Z,Erhebungsbogen!$Y$20,FALSE) &amp; ", " &amp; VLOOKUP(1645,Sprachindex!$A:$Z,Erhebungsbogen!$Y$20,FALSE) &amp; " " &amp; $AH$18</f>
        <v>Abdeckung V 80, gebohrt und entgratet, beschichtet 0</v>
      </c>
      <c r="H71" s="514"/>
      <c r="I71" s="514"/>
      <c r="J71" s="514"/>
      <c r="K71" s="514"/>
      <c r="L71" s="514"/>
      <c r="M71" s="514"/>
      <c r="N71" s="514"/>
      <c r="O71" s="514"/>
      <c r="P71" s="514"/>
      <c r="Q71" s="514"/>
      <c r="R71" s="514"/>
      <c r="S71" s="514"/>
      <c r="T71" s="514"/>
      <c r="U71" s="353">
        <f>VLOOKUP(F71,Preisliste!C:G,5,FALSE)</f>
        <v>38.445000000000007</v>
      </c>
      <c r="V71" s="352">
        <f t="shared" si="26"/>
        <v>0</v>
      </c>
      <c r="W71" s="146"/>
      <c r="X71" s="146"/>
      <c r="Y71" s="86"/>
      <c r="Z71" s="143">
        <f>(VLOOKUP(F71,Preisliste!C:G,5,FALSE)-VLOOKUP(F71,Preisliste!C:G,4,FALSE))*B71</f>
        <v>0</v>
      </c>
      <c r="AB71" s="86"/>
      <c r="AC71" s="86"/>
      <c r="AD71" s="86"/>
      <c r="AE71" s="86"/>
      <c r="AF71" s="86"/>
      <c r="AH71" s="86">
        <f>IF(Kalk2!$AA$11,'STK2'!$B29,0)</f>
        <v>0</v>
      </c>
      <c r="AL71" s="86">
        <f t="shared" si="27"/>
        <v>0</v>
      </c>
    </row>
    <row r="72" spans="2:38" ht="24.95" customHeight="1">
      <c r="B72" s="92">
        <f t="shared" si="28"/>
        <v>0</v>
      </c>
      <c r="C72" s="60">
        <v>750</v>
      </c>
      <c r="D72" s="60"/>
      <c r="E72" s="60" t="str">
        <f>VLOOKUP(1600,Sprachindex!$A:$Z,Erhebungsbogen!$Y$20,FALSE)</f>
        <v>[Stk]</v>
      </c>
      <c r="F72" s="60" t="s">
        <v>21967</v>
      </c>
      <c r="G72" s="514" t="str">
        <f>VLOOKUP(1611,Sprachindex!$A:$Z,Erhebungsbogen!$Y$20,FALSE) &amp; ", " &amp; VLOOKUP(1645,Sprachindex!$A:$Z,Erhebungsbogen!$Y$20,FALSE) &amp; " " &amp; $AI$18</f>
        <v>Abdeckung V 80, gebohrt und entgratet, beschichtet 0</v>
      </c>
      <c r="H72" s="514"/>
      <c r="I72" s="514"/>
      <c r="J72" s="514"/>
      <c r="K72" s="514"/>
      <c r="L72" s="514"/>
      <c r="M72" s="514"/>
      <c r="N72" s="514"/>
      <c r="O72" s="514"/>
      <c r="P72" s="514"/>
      <c r="Q72" s="514"/>
      <c r="R72" s="514"/>
      <c r="S72" s="514"/>
      <c r="T72" s="514"/>
      <c r="U72" s="353">
        <f>VLOOKUP(F72,Preisliste!C:G,5,FALSE)</f>
        <v>38.445000000000007</v>
      </c>
      <c r="V72" s="352">
        <f t="shared" si="26"/>
        <v>0</v>
      </c>
      <c r="W72" s="146"/>
      <c r="X72" s="146"/>
      <c r="Y72" s="86"/>
      <c r="Z72" s="143">
        <f>(VLOOKUP(F72,Preisliste!C:G,5,FALSE)-VLOOKUP(F72,Preisliste!C:G,4,FALSE))*B72</f>
        <v>0</v>
      </c>
      <c r="AB72" s="86"/>
      <c r="AC72" s="86"/>
      <c r="AD72" s="86"/>
      <c r="AE72" s="86"/>
      <c r="AF72" s="86"/>
      <c r="AI72" s="86">
        <f>IF(Kalk3!$AA$11,'STK3'!$B29,0)</f>
        <v>0</v>
      </c>
      <c r="AL72" s="86">
        <f t="shared" si="27"/>
        <v>0</v>
      </c>
    </row>
    <row r="73" spans="2:38" ht="24.95" customHeight="1">
      <c r="B73" s="92">
        <f t="shared" si="28"/>
        <v>0</v>
      </c>
      <c r="C73" s="60">
        <v>750</v>
      </c>
      <c r="D73" s="60"/>
      <c r="E73" s="60" t="str">
        <f>VLOOKUP(1600,Sprachindex!$A:$Z,Erhebungsbogen!$Y$20,FALSE)</f>
        <v>[Stk]</v>
      </c>
      <c r="F73" s="60" t="s">
        <v>21967</v>
      </c>
      <c r="G73" s="514" t="str">
        <f>VLOOKUP(1611,Sprachindex!$A:$Z,Erhebungsbogen!$Y$20,FALSE) &amp; ", " &amp; VLOOKUP(1645,Sprachindex!$A:$Z,Erhebungsbogen!$Y$20,FALSE) &amp; " " &amp; $AJ$18</f>
        <v>Abdeckung V 80, gebohrt und entgratet, beschichtet 0</v>
      </c>
      <c r="H73" s="514"/>
      <c r="I73" s="514"/>
      <c r="J73" s="514"/>
      <c r="K73" s="514"/>
      <c r="L73" s="514"/>
      <c r="M73" s="514"/>
      <c r="N73" s="514"/>
      <c r="O73" s="514"/>
      <c r="P73" s="514"/>
      <c r="Q73" s="514"/>
      <c r="R73" s="514"/>
      <c r="S73" s="514"/>
      <c r="T73" s="514"/>
      <c r="U73" s="353">
        <f>VLOOKUP(F73,Preisliste!C:G,5,FALSE)</f>
        <v>38.445000000000007</v>
      </c>
      <c r="V73" s="352">
        <f t="shared" si="26"/>
        <v>0</v>
      </c>
      <c r="W73" s="146"/>
      <c r="X73" s="146"/>
      <c r="Y73" s="86"/>
      <c r="Z73" s="143">
        <f>(VLOOKUP(F73,Preisliste!C:G,5,FALSE)-VLOOKUP(F73,Preisliste!C:G,4,FALSE))*B73</f>
        <v>0</v>
      </c>
      <c r="AB73" s="86"/>
      <c r="AC73" s="86"/>
      <c r="AD73" s="86"/>
      <c r="AE73" s="86"/>
      <c r="AF73" s="86"/>
      <c r="AJ73" s="86">
        <f>IF(Kalk4!$AA$11,'STK4'!$B29,0)</f>
        <v>0</v>
      </c>
      <c r="AL73" s="86">
        <f t="shared" si="27"/>
        <v>0</v>
      </c>
    </row>
    <row r="74" spans="2:38" ht="24.95" customHeight="1">
      <c r="B74" s="92">
        <f t="shared" si="3"/>
        <v>0</v>
      </c>
      <c r="C74" s="60">
        <v>750</v>
      </c>
      <c r="D74" s="60"/>
      <c r="E74" s="60" t="str">
        <f>VLOOKUP(1600,Sprachindex!$A:$Z,Erhebungsbogen!$Y$20,FALSE)</f>
        <v>[Stk]</v>
      </c>
      <c r="F74" s="60" t="s">
        <v>21967</v>
      </c>
      <c r="G74" s="514" t="str">
        <f>VLOOKUP(1611,Sprachindex!$A:$Z,Erhebungsbogen!$Y$20,FALSE) &amp; ", " &amp; VLOOKUP(1645,Sprachindex!$A:$Z,Erhebungsbogen!$Y$20,FALSE) &amp; " " &amp; $AK$18</f>
        <v>Abdeckung V 80, gebohrt und entgratet, beschichtet 0</v>
      </c>
      <c r="H74" s="514"/>
      <c r="I74" s="514"/>
      <c r="J74" s="514"/>
      <c r="K74" s="514"/>
      <c r="L74" s="514"/>
      <c r="M74" s="514"/>
      <c r="N74" s="514"/>
      <c r="O74" s="514"/>
      <c r="P74" s="514"/>
      <c r="Q74" s="514"/>
      <c r="R74" s="514"/>
      <c r="S74" s="514"/>
      <c r="T74" s="514"/>
      <c r="U74" s="353">
        <f>VLOOKUP(F74,Preisliste!C:G,5,FALSE)</f>
        <v>38.445000000000007</v>
      </c>
      <c r="V74" s="352">
        <f t="shared" si="10"/>
        <v>0</v>
      </c>
      <c r="W74" s="146"/>
      <c r="X74" s="146"/>
      <c r="Y74" s="86"/>
      <c r="Z74" s="143">
        <f>(VLOOKUP(F74,Preisliste!C:G,5,FALSE)-VLOOKUP(F74,Preisliste!C:G,4,FALSE))*B74</f>
        <v>0</v>
      </c>
      <c r="AB74" s="86"/>
      <c r="AC74" s="86"/>
      <c r="AD74" s="86"/>
      <c r="AE74" s="86"/>
      <c r="AF74" s="86"/>
      <c r="AK74" s="86">
        <f>IF(Kalk5!$AA$11,'STK5'!$B29,0)</f>
        <v>0</v>
      </c>
      <c r="AL74" s="86">
        <f t="shared" si="27"/>
        <v>0</v>
      </c>
    </row>
    <row r="75" spans="2:38" ht="24.95" customHeight="1">
      <c r="B75" s="92">
        <f t="shared" si="3"/>
        <v>0</v>
      </c>
      <c r="C75" s="60">
        <v>1350</v>
      </c>
      <c r="D75" s="60"/>
      <c r="E75" s="60" t="str">
        <f>VLOOKUP(1600,Sprachindex!$A:$Z,Erhebungsbogen!$Y$20,FALSE)</f>
        <v>[Stk]</v>
      </c>
      <c r="F75" s="60" t="s">
        <v>21968</v>
      </c>
      <c r="G75" s="514" t="str">
        <f>VLOOKUP(1611,Sprachindex!$A:$Z,Erhebungsbogen!$Y$20,FALSE) &amp; ", " &amp; VLOOKUP(1648,Sprachindex!$A:$Z,Erhebungsbogen!$Y$20,FALSE)</f>
        <v>Abdeckung V 80, gebohrt und entgratet, blank</v>
      </c>
      <c r="H75" s="514"/>
      <c r="I75" s="514"/>
      <c r="J75" s="514"/>
      <c r="K75" s="514"/>
      <c r="L75" s="514"/>
      <c r="M75" s="514"/>
      <c r="N75" s="514"/>
      <c r="O75" s="514"/>
      <c r="P75" s="514"/>
      <c r="Q75" s="514"/>
      <c r="R75" s="514"/>
      <c r="S75" s="514"/>
      <c r="T75" s="514"/>
      <c r="U75" s="352">
        <f>VLOOKUP(F75,Preisliste!C:F,4,FALSE)</f>
        <v>46.4</v>
      </c>
      <c r="V75" s="352">
        <f t="shared" ref="V75:V79" si="29">U75*B75</f>
        <v>0</v>
      </c>
      <c r="W75" s="146"/>
      <c r="X75" s="146"/>
      <c r="Y75" s="86"/>
      <c r="Z75" s="143"/>
      <c r="AB75" s="86"/>
      <c r="AC75" s="86"/>
      <c r="AD75" s="86"/>
      <c r="AE75" s="86"/>
      <c r="AF75" s="86"/>
      <c r="AG75" s="86">
        <f>IF(Kalk1!$AA$11=FALSE,'STK1'!$B30,0)</f>
        <v>0</v>
      </c>
      <c r="AH75" s="86">
        <f>IF(Kalk2!$AA$11=FALSE,'STK2'!$B30,0)</f>
        <v>0</v>
      </c>
      <c r="AI75" s="86">
        <f>IF(Kalk3!$AA$11=FALSE,'STK3'!$B30,0)</f>
        <v>0</v>
      </c>
      <c r="AJ75" s="86">
        <f>IF(Kalk4!$AA$11=FALSE,'STK4'!$B30,0)</f>
        <v>0</v>
      </c>
      <c r="AK75" s="86">
        <f>IF(Kalk5!$AA$11=FALSE,'STK5'!$B30,0)</f>
        <v>0</v>
      </c>
      <c r="AL75" s="86">
        <f t="shared" ref="AL75:AL80" si="30">SUM(AG75:AK75)</f>
        <v>0</v>
      </c>
    </row>
    <row r="76" spans="2:38" ht="24.95" customHeight="1">
      <c r="B76" s="92">
        <f t="shared" ref="B76:B79" si="31">AL76</f>
        <v>0</v>
      </c>
      <c r="C76" s="60">
        <v>1350</v>
      </c>
      <c r="D76" s="60"/>
      <c r="E76" s="60" t="str">
        <f>VLOOKUP(1600,Sprachindex!$A:$Z,Erhebungsbogen!$Y$20,FALSE)</f>
        <v>[Stk]</v>
      </c>
      <c r="F76" s="60" t="s">
        <v>21968</v>
      </c>
      <c r="G76" s="514" t="str">
        <f>VLOOKUP(1611,Sprachindex!$A:$Z,Erhebungsbogen!$Y$20,FALSE) &amp; ", " &amp; VLOOKUP(1645,Sprachindex!$A:$Z,Erhebungsbogen!$Y$20,FALSE) &amp; " " &amp; $AG$18</f>
        <v xml:space="preserve">Abdeckung V 80, gebohrt und entgratet, beschichtet </v>
      </c>
      <c r="H76" s="514"/>
      <c r="I76" s="514"/>
      <c r="J76" s="514"/>
      <c r="K76" s="514"/>
      <c r="L76" s="514"/>
      <c r="M76" s="514"/>
      <c r="N76" s="514"/>
      <c r="O76" s="514"/>
      <c r="P76" s="514"/>
      <c r="Q76" s="514"/>
      <c r="R76" s="514"/>
      <c r="S76" s="514"/>
      <c r="T76" s="514"/>
      <c r="U76" s="353">
        <f>VLOOKUP(F76,Preisliste!C:G,5,FALSE)</f>
        <v>51.04</v>
      </c>
      <c r="V76" s="352">
        <f t="shared" si="29"/>
        <v>0</v>
      </c>
      <c r="W76" s="146"/>
      <c r="X76" s="146"/>
      <c r="Y76" s="86"/>
      <c r="Z76" s="143">
        <f>(VLOOKUP(F76,Preisliste!C:G,5,FALSE)-VLOOKUP(F76,Preisliste!C:G,4,FALSE))*B76</f>
        <v>0</v>
      </c>
      <c r="AB76" s="86"/>
      <c r="AC76" s="86"/>
      <c r="AD76" s="86"/>
      <c r="AE76" s="86"/>
      <c r="AF76" s="86"/>
      <c r="AG76" s="86">
        <f>IF(Kalk1!$AA$11,'STK1'!$B30,0)</f>
        <v>0</v>
      </c>
      <c r="AL76" s="86">
        <f>SUM(AG76:AK76)</f>
        <v>0</v>
      </c>
    </row>
    <row r="77" spans="2:38" ht="24.95" customHeight="1">
      <c r="B77" s="92">
        <f t="shared" si="31"/>
        <v>0</v>
      </c>
      <c r="C77" s="60">
        <v>1350</v>
      </c>
      <c r="D77" s="60"/>
      <c r="E77" s="60" t="str">
        <f>VLOOKUP(1600,Sprachindex!$A:$Z,Erhebungsbogen!$Y$20,FALSE)</f>
        <v>[Stk]</v>
      </c>
      <c r="F77" s="60" t="s">
        <v>21968</v>
      </c>
      <c r="G77" s="514" t="str">
        <f>VLOOKUP(1611,Sprachindex!$A:$Z,Erhebungsbogen!$Y$20,FALSE) &amp; ", " &amp; VLOOKUP(1645,Sprachindex!$A:$Z,Erhebungsbogen!$Y$20,FALSE) &amp; " " &amp; $AH$18</f>
        <v>Abdeckung V 80, gebohrt und entgratet, beschichtet 0</v>
      </c>
      <c r="H77" s="514"/>
      <c r="I77" s="514"/>
      <c r="J77" s="514"/>
      <c r="K77" s="514"/>
      <c r="L77" s="514"/>
      <c r="M77" s="514"/>
      <c r="N77" s="514"/>
      <c r="O77" s="514"/>
      <c r="P77" s="514"/>
      <c r="Q77" s="514"/>
      <c r="R77" s="514"/>
      <c r="S77" s="514"/>
      <c r="T77" s="514"/>
      <c r="U77" s="353">
        <f>VLOOKUP(F77,Preisliste!C:G,5,FALSE)</f>
        <v>51.04</v>
      </c>
      <c r="V77" s="352">
        <f t="shared" si="29"/>
        <v>0</v>
      </c>
      <c r="W77" s="146"/>
      <c r="X77" s="146"/>
      <c r="Y77" s="86"/>
      <c r="Z77" s="143">
        <f>(VLOOKUP(F77,Preisliste!C:G,5,FALSE)-VLOOKUP(F77,Preisliste!C:G,4,FALSE))*B77</f>
        <v>0</v>
      </c>
      <c r="AB77" s="86"/>
      <c r="AC77" s="86"/>
      <c r="AD77" s="86"/>
      <c r="AE77" s="86"/>
      <c r="AF77" s="86"/>
      <c r="AH77" s="86">
        <f>IF(Kalk2!$AA$11,'STK2'!$B30,0)</f>
        <v>0</v>
      </c>
      <c r="AL77" s="86">
        <f t="shared" si="30"/>
        <v>0</v>
      </c>
    </row>
    <row r="78" spans="2:38" ht="24.95" customHeight="1">
      <c r="B78" s="92">
        <f t="shared" si="31"/>
        <v>0</v>
      </c>
      <c r="C78" s="60">
        <v>1350</v>
      </c>
      <c r="D78" s="60"/>
      <c r="E78" s="60" t="str">
        <f>VLOOKUP(1600,Sprachindex!$A:$Z,Erhebungsbogen!$Y$20,FALSE)</f>
        <v>[Stk]</v>
      </c>
      <c r="F78" s="60" t="s">
        <v>21968</v>
      </c>
      <c r="G78" s="514" t="str">
        <f>VLOOKUP(1611,Sprachindex!$A:$Z,Erhebungsbogen!$Y$20,FALSE) &amp; ", " &amp; VLOOKUP(1645,Sprachindex!$A:$Z,Erhebungsbogen!$Y$20,FALSE) &amp; " " &amp; $AI$18</f>
        <v>Abdeckung V 80, gebohrt und entgratet, beschichtet 0</v>
      </c>
      <c r="H78" s="514"/>
      <c r="I78" s="514"/>
      <c r="J78" s="514"/>
      <c r="K78" s="514"/>
      <c r="L78" s="514"/>
      <c r="M78" s="514"/>
      <c r="N78" s="514"/>
      <c r="O78" s="514"/>
      <c r="P78" s="514"/>
      <c r="Q78" s="514"/>
      <c r="R78" s="514"/>
      <c r="S78" s="514"/>
      <c r="T78" s="514"/>
      <c r="U78" s="353">
        <f>VLOOKUP(F78,Preisliste!C:G,5,FALSE)</f>
        <v>51.04</v>
      </c>
      <c r="V78" s="352">
        <f t="shared" si="29"/>
        <v>0</v>
      </c>
      <c r="W78" s="146"/>
      <c r="X78" s="146"/>
      <c r="Y78" s="86"/>
      <c r="Z78" s="143">
        <f>(VLOOKUP(F78,Preisliste!C:G,5,FALSE)-VLOOKUP(F78,Preisliste!C:G,4,FALSE))*B78</f>
        <v>0</v>
      </c>
      <c r="AB78" s="86"/>
      <c r="AC78" s="86"/>
      <c r="AD78" s="86"/>
      <c r="AE78" s="86"/>
      <c r="AF78" s="86"/>
      <c r="AI78" s="86">
        <f>IF(Kalk3!$AA$11,'STK3'!$B30,0)</f>
        <v>0</v>
      </c>
      <c r="AL78" s="86">
        <f t="shared" si="30"/>
        <v>0</v>
      </c>
    </row>
    <row r="79" spans="2:38" ht="24.95" customHeight="1">
      <c r="B79" s="92">
        <f t="shared" si="31"/>
        <v>0</v>
      </c>
      <c r="C79" s="60">
        <v>1350</v>
      </c>
      <c r="D79" s="60"/>
      <c r="E79" s="60" t="str">
        <f>VLOOKUP(1600,Sprachindex!$A:$Z,Erhebungsbogen!$Y$20,FALSE)</f>
        <v>[Stk]</v>
      </c>
      <c r="F79" s="60" t="s">
        <v>21968</v>
      </c>
      <c r="G79" s="514" t="str">
        <f>VLOOKUP(1611,Sprachindex!$A:$Z,Erhebungsbogen!$Y$20,FALSE) &amp; ", " &amp; VLOOKUP(1645,Sprachindex!$A:$Z,Erhebungsbogen!$Y$20,FALSE) &amp; " " &amp; $AJ$18</f>
        <v>Abdeckung V 80, gebohrt und entgratet, beschichtet 0</v>
      </c>
      <c r="H79" s="514"/>
      <c r="I79" s="514"/>
      <c r="J79" s="514"/>
      <c r="K79" s="514"/>
      <c r="L79" s="514"/>
      <c r="M79" s="514"/>
      <c r="N79" s="514"/>
      <c r="O79" s="514"/>
      <c r="P79" s="514"/>
      <c r="Q79" s="514"/>
      <c r="R79" s="514"/>
      <c r="S79" s="514"/>
      <c r="T79" s="514"/>
      <c r="U79" s="353">
        <f>VLOOKUP(F79,Preisliste!C:G,5,FALSE)</f>
        <v>51.04</v>
      </c>
      <c r="V79" s="352">
        <f t="shared" si="29"/>
        <v>0</v>
      </c>
      <c r="W79" s="146"/>
      <c r="X79" s="146"/>
      <c r="Y79" s="86"/>
      <c r="Z79" s="143">
        <f>(VLOOKUP(F79,Preisliste!C:G,5,FALSE)-VLOOKUP(F79,Preisliste!C:G,4,FALSE))*B79</f>
        <v>0</v>
      </c>
      <c r="AB79" s="86"/>
      <c r="AC79" s="86"/>
      <c r="AD79" s="86"/>
      <c r="AE79" s="86"/>
      <c r="AF79" s="86"/>
      <c r="AJ79" s="86">
        <f>IF(Kalk4!$AA$11,'STK4'!$B30,0)</f>
        <v>0</v>
      </c>
      <c r="AL79" s="86">
        <f t="shared" si="30"/>
        <v>0</v>
      </c>
    </row>
    <row r="80" spans="2:38" ht="24.95" customHeight="1">
      <c r="B80" s="92">
        <f t="shared" si="3"/>
        <v>0</v>
      </c>
      <c r="C80" s="60">
        <v>1350</v>
      </c>
      <c r="D80" s="60"/>
      <c r="E80" s="60" t="str">
        <f>VLOOKUP(1600,Sprachindex!$A:$Z,Erhebungsbogen!$Y$20,FALSE)</f>
        <v>[Stk]</v>
      </c>
      <c r="F80" s="60" t="s">
        <v>21968</v>
      </c>
      <c r="G80" s="514" t="str">
        <f>VLOOKUP(1611,Sprachindex!$A:$Z,Erhebungsbogen!$Y$20,FALSE) &amp; ", " &amp; VLOOKUP(1645,Sprachindex!$A:$Z,Erhebungsbogen!$Y$20,FALSE) &amp; " " &amp; $AK$18</f>
        <v>Abdeckung V 80, gebohrt und entgratet, beschichtet 0</v>
      </c>
      <c r="H80" s="514"/>
      <c r="I80" s="514"/>
      <c r="J80" s="514"/>
      <c r="K80" s="514"/>
      <c r="L80" s="514"/>
      <c r="M80" s="514"/>
      <c r="N80" s="514"/>
      <c r="O80" s="514"/>
      <c r="P80" s="514"/>
      <c r="Q80" s="514"/>
      <c r="R80" s="514"/>
      <c r="S80" s="514"/>
      <c r="T80" s="514"/>
      <c r="U80" s="353">
        <f>VLOOKUP(F80,Preisliste!C:G,5,FALSE)</f>
        <v>51.04</v>
      </c>
      <c r="V80" s="352">
        <f t="shared" si="10"/>
        <v>0</v>
      </c>
      <c r="W80" s="146"/>
      <c r="X80" s="146"/>
      <c r="Y80" s="86"/>
      <c r="Z80" s="143">
        <f>(VLOOKUP(F80,Preisliste!C:G,5,FALSE)-VLOOKUP(F80,Preisliste!C:G,4,FALSE))*B80</f>
        <v>0</v>
      </c>
      <c r="AB80" s="86"/>
      <c r="AC80" s="86"/>
      <c r="AD80" s="86"/>
      <c r="AE80" s="86"/>
      <c r="AF80" s="86"/>
      <c r="AK80" s="86">
        <f>IF(Kalk5!$AA$11,'STK5'!$B30,0)</f>
        <v>0</v>
      </c>
      <c r="AL80" s="86">
        <f t="shared" si="30"/>
        <v>0</v>
      </c>
    </row>
    <row r="81" spans="2:38" ht="24.95" customHeight="1">
      <c r="B81" s="92">
        <f t="shared" si="3"/>
        <v>0</v>
      </c>
      <c r="C81" s="60">
        <v>1750</v>
      </c>
      <c r="D81" s="60"/>
      <c r="E81" s="60" t="str">
        <f>VLOOKUP(1600,Sprachindex!$A:$Z,Erhebungsbogen!$Y$20,FALSE)</f>
        <v>[Stk]</v>
      </c>
      <c r="F81" s="60" t="s">
        <v>21969</v>
      </c>
      <c r="G81" s="514" t="str">
        <f>VLOOKUP(1611,Sprachindex!$A:$Z,Erhebungsbogen!$Y$20,FALSE) &amp; ", " &amp; VLOOKUP(1648,Sprachindex!$A:$Z,Erhebungsbogen!$Y$20,FALSE)</f>
        <v>Abdeckung V 80, gebohrt und entgratet, blank</v>
      </c>
      <c r="H81" s="514"/>
      <c r="I81" s="514"/>
      <c r="J81" s="514"/>
      <c r="K81" s="514"/>
      <c r="L81" s="514"/>
      <c r="M81" s="514"/>
      <c r="N81" s="514"/>
      <c r="O81" s="514"/>
      <c r="P81" s="514"/>
      <c r="Q81" s="514"/>
      <c r="R81" s="514"/>
      <c r="S81" s="514"/>
      <c r="T81" s="514"/>
      <c r="U81" s="352">
        <f>VLOOKUP(F81,Preisliste!C:F,4,FALSE)</f>
        <v>54.05</v>
      </c>
      <c r="V81" s="352">
        <f t="shared" ref="V81:V85" si="32">U81*B81</f>
        <v>0</v>
      </c>
      <c r="W81" s="146"/>
      <c r="X81" s="146"/>
      <c r="Y81" s="86"/>
      <c r="Z81" s="143"/>
      <c r="AB81" s="86"/>
      <c r="AC81" s="86"/>
      <c r="AD81" s="86"/>
      <c r="AE81" s="86"/>
      <c r="AF81" s="86"/>
      <c r="AG81" s="86">
        <f>IF(Kalk1!$AA$11=FALSE,'STK1'!$B31,0)</f>
        <v>0</v>
      </c>
      <c r="AH81" s="86">
        <f>IF(Kalk2!$AA$11=FALSE,'STK2'!$B31,0)</f>
        <v>0</v>
      </c>
      <c r="AI81" s="86">
        <f>IF(Kalk3!$AA$11=FALSE,'STK3'!$B31,0)</f>
        <v>0</v>
      </c>
      <c r="AJ81" s="86">
        <f>IF(Kalk4!$AA$11=FALSE,'STK4'!$B31,0)</f>
        <v>0</v>
      </c>
      <c r="AK81" s="86">
        <f>IF(Kalk5!$AA$11=FALSE,'STK5'!$B31,0)</f>
        <v>0</v>
      </c>
      <c r="AL81" s="86">
        <f t="shared" ref="AL81:AL86" si="33">SUM(AG81:AK81)</f>
        <v>0</v>
      </c>
    </row>
    <row r="82" spans="2:38" ht="24.95" customHeight="1">
      <c r="B82" s="92">
        <f t="shared" ref="B82:B85" si="34">AL82</f>
        <v>0</v>
      </c>
      <c r="C82" s="60">
        <v>1750</v>
      </c>
      <c r="D82" s="60"/>
      <c r="E82" s="60" t="str">
        <f>VLOOKUP(1600,Sprachindex!$A:$Z,Erhebungsbogen!$Y$20,FALSE)</f>
        <v>[Stk]</v>
      </c>
      <c r="F82" s="60" t="s">
        <v>21969</v>
      </c>
      <c r="G82" s="514" t="str">
        <f>VLOOKUP(1611,Sprachindex!$A:$Z,Erhebungsbogen!$Y$20,FALSE) &amp; ", " &amp; VLOOKUP(1645,Sprachindex!$A:$Z,Erhebungsbogen!$Y$20,FALSE) &amp; " " &amp; $AG$18</f>
        <v xml:space="preserve">Abdeckung V 80, gebohrt und entgratet, beschichtet </v>
      </c>
      <c r="H82" s="514"/>
      <c r="I82" s="514"/>
      <c r="J82" s="514"/>
      <c r="K82" s="514"/>
      <c r="L82" s="514"/>
      <c r="M82" s="514"/>
      <c r="N82" s="514"/>
      <c r="O82" s="514"/>
      <c r="P82" s="514"/>
      <c r="Q82" s="514"/>
      <c r="R82" s="514"/>
      <c r="S82" s="514"/>
      <c r="T82" s="514"/>
      <c r="U82" s="353">
        <f>VLOOKUP(F82,Preisliste!C:G,5,FALSE)</f>
        <v>59.454999999999998</v>
      </c>
      <c r="V82" s="352">
        <f t="shared" si="32"/>
        <v>0</v>
      </c>
      <c r="W82" s="146"/>
      <c r="X82" s="146"/>
      <c r="Y82" s="86"/>
      <c r="Z82" s="143">
        <f>(VLOOKUP(F82,Preisliste!C:G,5,FALSE)-VLOOKUP(F82,Preisliste!C:G,4,FALSE))*B82</f>
        <v>0</v>
      </c>
      <c r="AB82" s="86"/>
      <c r="AC82" s="86"/>
      <c r="AD82" s="86"/>
      <c r="AE82" s="86"/>
      <c r="AF82" s="86"/>
      <c r="AG82" s="86">
        <f>IF(Kalk1!$AA$11,'STK1'!$B31,0)</f>
        <v>0</v>
      </c>
      <c r="AL82" s="86">
        <f>SUM(AG82:AK82)</f>
        <v>0</v>
      </c>
    </row>
    <row r="83" spans="2:38" ht="24.95" customHeight="1">
      <c r="B83" s="92">
        <f t="shared" si="34"/>
        <v>0</v>
      </c>
      <c r="C83" s="60">
        <v>1750</v>
      </c>
      <c r="D83" s="60"/>
      <c r="E83" s="60" t="str">
        <f>VLOOKUP(1600,Sprachindex!$A:$Z,Erhebungsbogen!$Y$20,FALSE)</f>
        <v>[Stk]</v>
      </c>
      <c r="F83" s="60" t="s">
        <v>21969</v>
      </c>
      <c r="G83" s="514" t="str">
        <f>VLOOKUP(1611,Sprachindex!$A:$Z,Erhebungsbogen!$Y$20,FALSE) &amp; ", " &amp; VLOOKUP(1645,Sprachindex!$A:$Z,Erhebungsbogen!$Y$20,FALSE) &amp; " " &amp; $AH$18</f>
        <v>Abdeckung V 80, gebohrt und entgratet, beschichtet 0</v>
      </c>
      <c r="H83" s="514"/>
      <c r="I83" s="514"/>
      <c r="J83" s="514"/>
      <c r="K83" s="514"/>
      <c r="L83" s="514"/>
      <c r="M83" s="514"/>
      <c r="N83" s="514"/>
      <c r="O83" s="514"/>
      <c r="P83" s="514"/>
      <c r="Q83" s="514"/>
      <c r="R83" s="514"/>
      <c r="S83" s="514"/>
      <c r="T83" s="514"/>
      <c r="U83" s="353">
        <f>VLOOKUP(F83,Preisliste!C:G,5,FALSE)</f>
        <v>59.454999999999998</v>
      </c>
      <c r="V83" s="352">
        <f t="shared" si="32"/>
        <v>0</v>
      </c>
      <c r="W83" s="146"/>
      <c r="X83" s="146"/>
      <c r="Y83" s="86"/>
      <c r="Z83" s="143">
        <f>(VLOOKUP(F83,Preisliste!C:G,5,FALSE)-VLOOKUP(F83,Preisliste!C:G,4,FALSE))*B83</f>
        <v>0</v>
      </c>
      <c r="AB83" s="86"/>
      <c r="AC83" s="86"/>
      <c r="AD83" s="86"/>
      <c r="AE83" s="86"/>
      <c r="AF83" s="86"/>
      <c r="AH83" s="86">
        <f>IF(Kalk2!$AA$11,'STK2'!$B31,0)</f>
        <v>0</v>
      </c>
      <c r="AL83" s="86">
        <f t="shared" si="33"/>
        <v>0</v>
      </c>
    </row>
    <row r="84" spans="2:38" ht="24.95" customHeight="1">
      <c r="B84" s="92">
        <f t="shared" si="34"/>
        <v>0</v>
      </c>
      <c r="C84" s="60">
        <v>1750</v>
      </c>
      <c r="D84" s="60"/>
      <c r="E84" s="60" t="str">
        <f>VLOOKUP(1600,Sprachindex!$A:$Z,Erhebungsbogen!$Y$20,FALSE)</f>
        <v>[Stk]</v>
      </c>
      <c r="F84" s="60" t="s">
        <v>21969</v>
      </c>
      <c r="G84" s="514" t="str">
        <f>VLOOKUP(1611,Sprachindex!$A:$Z,Erhebungsbogen!$Y$20,FALSE) &amp; ", " &amp; VLOOKUP(1645,Sprachindex!$A:$Z,Erhebungsbogen!$Y$20,FALSE) &amp; " " &amp; $AI$18</f>
        <v>Abdeckung V 80, gebohrt und entgratet, beschichtet 0</v>
      </c>
      <c r="H84" s="514"/>
      <c r="I84" s="514"/>
      <c r="J84" s="514"/>
      <c r="K84" s="514"/>
      <c r="L84" s="514"/>
      <c r="M84" s="514"/>
      <c r="N84" s="514"/>
      <c r="O84" s="514"/>
      <c r="P84" s="514"/>
      <c r="Q84" s="514"/>
      <c r="R84" s="514"/>
      <c r="S84" s="514"/>
      <c r="T84" s="514"/>
      <c r="U84" s="353">
        <f>VLOOKUP(F84,Preisliste!C:G,5,FALSE)</f>
        <v>59.454999999999998</v>
      </c>
      <c r="V84" s="352">
        <f t="shared" si="32"/>
        <v>0</v>
      </c>
      <c r="W84" s="146"/>
      <c r="X84" s="146"/>
      <c r="Y84" s="86"/>
      <c r="Z84" s="143">
        <f>(VLOOKUP(F84,Preisliste!C:G,5,FALSE)-VLOOKUP(F84,Preisliste!C:G,4,FALSE))*B84</f>
        <v>0</v>
      </c>
      <c r="AB84" s="86"/>
      <c r="AC84" s="86"/>
      <c r="AD84" s="86"/>
      <c r="AE84" s="86"/>
      <c r="AF84" s="86"/>
      <c r="AI84" s="86">
        <f>IF(Kalk3!$AA$11,'STK3'!$B31,0)</f>
        <v>0</v>
      </c>
      <c r="AL84" s="86">
        <f t="shared" si="33"/>
        <v>0</v>
      </c>
    </row>
    <row r="85" spans="2:38" ht="24.95" customHeight="1">
      <c r="B85" s="92">
        <f t="shared" si="34"/>
        <v>0</v>
      </c>
      <c r="C85" s="60">
        <v>1750</v>
      </c>
      <c r="D85" s="60"/>
      <c r="E85" s="60" t="str">
        <f>VLOOKUP(1600,Sprachindex!$A:$Z,Erhebungsbogen!$Y$20,FALSE)</f>
        <v>[Stk]</v>
      </c>
      <c r="F85" s="60" t="s">
        <v>21969</v>
      </c>
      <c r="G85" s="514" t="str">
        <f>VLOOKUP(1611,Sprachindex!$A:$Z,Erhebungsbogen!$Y$20,FALSE) &amp; ", " &amp; VLOOKUP(1645,Sprachindex!$A:$Z,Erhebungsbogen!$Y$20,FALSE) &amp; " " &amp; $AJ$18</f>
        <v>Abdeckung V 80, gebohrt und entgratet, beschichtet 0</v>
      </c>
      <c r="H85" s="514"/>
      <c r="I85" s="514"/>
      <c r="J85" s="514"/>
      <c r="K85" s="514"/>
      <c r="L85" s="514"/>
      <c r="M85" s="514"/>
      <c r="N85" s="514"/>
      <c r="O85" s="514"/>
      <c r="P85" s="514"/>
      <c r="Q85" s="514"/>
      <c r="R85" s="514"/>
      <c r="S85" s="514"/>
      <c r="T85" s="514"/>
      <c r="U85" s="353">
        <f>VLOOKUP(F85,Preisliste!C:G,5,FALSE)</f>
        <v>59.454999999999998</v>
      </c>
      <c r="V85" s="352">
        <f t="shared" si="32"/>
        <v>0</v>
      </c>
      <c r="W85" s="146"/>
      <c r="X85" s="146"/>
      <c r="Y85" s="86"/>
      <c r="Z85" s="143">
        <f>(VLOOKUP(F85,Preisliste!C:G,5,FALSE)-VLOOKUP(F85,Preisliste!C:G,4,FALSE))*B85</f>
        <v>0</v>
      </c>
      <c r="AB85" s="86"/>
      <c r="AC85" s="86"/>
      <c r="AD85" s="86"/>
      <c r="AE85" s="86"/>
      <c r="AF85" s="86"/>
      <c r="AJ85" s="86">
        <f>IF(Kalk4!$AA$11,'STK4'!$B31,0)</f>
        <v>0</v>
      </c>
      <c r="AL85" s="86">
        <f t="shared" si="33"/>
        <v>0</v>
      </c>
    </row>
    <row r="86" spans="2:38" ht="24.95" customHeight="1">
      <c r="B86" s="92">
        <f t="shared" si="3"/>
        <v>0</v>
      </c>
      <c r="C86" s="60">
        <v>1750</v>
      </c>
      <c r="D86" s="60"/>
      <c r="E86" s="60" t="str">
        <f>VLOOKUP(1600,Sprachindex!$A:$Z,Erhebungsbogen!$Y$20,FALSE)</f>
        <v>[Stk]</v>
      </c>
      <c r="F86" s="60" t="s">
        <v>21969</v>
      </c>
      <c r="G86" s="514" t="str">
        <f>VLOOKUP(1611,Sprachindex!$A:$Z,Erhebungsbogen!$Y$20,FALSE) &amp; ", " &amp; VLOOKUP(1645,Sprachindex!$A:$Z,Erhebungsbogen!$Y$20,FALSE) &amp; " " &amp; $AK$18</f>
        <v>Abdeckung V 80, gebohrt und entgratet, beschichtet 0</v>
      </c>
      <c r="H86" s="514"/>
      <c r="I86" s="514"/>
      <c r="J86" s="514"/>
      <c r="K86" s="514"/>
      <c r="L86" s="514"/>
      <c r="M86" s="514"/>
      <c r="N86" s="514"/>
      <c r="O86" s="514"/>
      <c r="P86" s="514"/>
      <c r="Q86" s="514"/>
      <c r="R86" s="514"/>
      <c r="S86" s="514"/>
      <c r="T86" s="514"/>
      <c r="U86" s="353">
        <f>VLOOKUP(F86,Preisliste!C:G,5,FALSE)</f>
        <v>59.454999999999998</v>
      </c>
      <c r="V86" s="352">
        <f t="shared" si="10"/>
        <v>0</v>
      </c>
      <c r="W86" s="146"/>
      <c r="X86" s="146"/>
      <c r="Y86" s="86"/>
      <c r="Z86" s="143">
        <f>(VLOOKUP(F86,Preisliste!C:G,5,FALSE)-VLOOKUP(F86,Preisliste!C:G,4,FALSE))*B86</f>
        <v>0</v>
      </c>
      <c r="AB86" s="86"/>
      <c r="AC86" s="86"/>
      <c r="AD86" s="86"/>
      <c r="AE86" s="86"/>
      <c r="AF86" s="86"/>
      <c r="AK86" s="86">
        <f>IF(Kalk5!$AA$11,'STK5'!$B31,0)</f>
        <v>0</v>
      </c>
      <c r="AL86" s="86">
        <f t="shared" si="33"/>
        <v>0</v>
      </c>
    </row>
    <row r="87" spans="2:38" ht="24.95" customHeight="1">
      <c r="B87" s="92">
        <f t="shared" si="3"/>
        <v>0</v>
      </c>
      <c r="C87" s="60">
        <v>2150</v>
      </c>
      <c r="D87" s="60"/>
      <c r="E87" s="60" t="str">
        <f>VLOOKUP(1600,Sprachindex!$A:$Z,Erhebungsbogen!$Y$20,FALSE)</f>
        <v>[Stk]</v>
      </c>
      <c r="F87" s="60" t="s">
        <v>21970</v>
      </c>
      <c r="G87" s="514" t="str">
        <f>VLOOKUP(1611,Sprachindex!$A:$Z,Erhebungsbogen!$Y$20,FALSE) &amp; ", " &amp; VLOOKUP(1648,Sprachindex!$A:$Z,Erhebungsbogen!$Y$20,FALSE)</f>
        <v>Abdeckung V 80, gebohrt und entgratet, blank</v>
      </c>
      <c r="H87" s="514"/>
      <c r="I87" s="514"/>
      <c r="J87" s="514"/>
      <c r="K87" s="514"/>
      <c r="L87" s="514"/>
      <c r="M87" s="514"/>
      <c r="N87" s="514"/>
      <c r="O87" s="514"/>
      <c r="P87" s="514"/>
      <c r="Q87" s="514"/>
      <c r="R87" s="514"/>
      <c r="S87" s="514"/>
      <c r="T87" s="514"/>
      <c r="U87" s="352">
        <f>VLOOKUP(F87,Preisliste!C:F,4,FALSE)</f>
        <v>61.65</v>
      </c>
      <c r="V87" s="352">
        <f t="shared" ref="V87:V91" si="35">U87*B87</f>
        <v>0</v>
      </c>
      <c r="W87" s="146"/>
      <c r="X87" s="146"/>
      <c r="Y87" s="86"/>
      <c r="Z87" s="143"/>
      <c r="AB87" s="86"/>
      <c r="AC87" s="86"/>
      <c r="AD87" s="86"/>
      <c r="AE87" s="86"/>
      <c r="AF87" s="86"/>
      <c r="AG87" s="86">
        <f>IF(Kalk1!$AA$11=FALSE,'STK1'!$B32,0)</f>
        <v>0</v>
      </c>
      <c r="AH87" s="86">
        <f>IF(Kalk2!$AA$11=FALSE,'STK2'!$B32,0)</f>
        <v>0</v>
      </c>
      <c r="AI87" s="86">
        <f>IF(Kalk3!$AA$11=FALSE,'STK3'!$B32,0)</f>
        <v>0</v>
      </c>
      <c r="AJ87" s="86">
        <f>IF(Kalk4!$AA$11=FALSE,'STK4'!$B32,0)</f>
        <v>0</v>
      </c>
      <c r="AK87" s="86">
        <f>IF(Kalk5!$AA$11=FALSE,'STK5'!$B32,0)</f>
        <v>0</v>
      </c>
      <c r="AL87" s="86">
        <f t="shared" ref="AL87:AL92" si="36">SUM(AG87:AK87)</f>
        <v>0</v>
      </c>
    </row>
    <row r="88" spans="2:38" ht="24.95" customHeight="1">
      <c r="B88" s="92">
        <f t="shared" ref="B88:B91" si="37">AL88</f>
        <v>0</v>
      </c>
      <c r="C88" s="60">
        <v>2150</v>
      </c>
      <c r="D88" s="60"/>
      <c r="E88" s="60" t="str">
        <f>VLOOKUP(1600,Sprachindex!$A:$Z,Erhebungsbogen!$Y$20,FALSE)</f>
        <v>[Stk]</v>
      </c>
      <c r="F88" s="60" t="s">
        <v>21970</v>
      </c>
      <c r="G88" s="514" t="str">
        <f>VLOOKUP(1611,Sprachindex!$A:$Z,Erhebungsbogen!$Y$20,FALSE) &amp; ", " &amp; VLOOKUP(1645,Sprachindex!$A:$Z,Erhebungsbogen!$Y$20,FALSE) &amp; " " &amp; $AG$18</f>
        <v xml:space="preserve">Abdeckung V 80, gebohrt und entgratet, beschichtet </v>
      </c>
      <c r="H88" s="514"/>
      <c r="I88" s="514"/>
      <c r="J88" s="514"/>
      <c r="K88" s="514"/>
      <c r="L88" s="514"/>
      <c r="M88" s="514"/>
      <c r="N88" s="514"/>
      <c r="O88" s="514"/>
      <c r="P88" s="514"/>
      <c r="Q88" s="514"/>
      <c r="R88" s="514"/>
      <c r="S88" s="514"/>
      <c r="T88" s="514"/>
      <c r="U88" s="353">
        <f>VLOOKUP(F88,Preisliste!C:G,5,FALSE)</f>
        <v>67.814999999999998</v>
      </c>
      <c r="V88" s="352">
        <f t="shared" si="35"/>
        <v>0</v>
      </c>
      <c r="W88" s="146"/>
      <c r="X88" s="146"/>
      <c r="Y88" s="86"/>
      <c r="Z88" s="143">
        <f>(VLOOKUP(F88,Preisliste!C:G,5,FALSE)-VLOOKUP(F88,Preisliste!C:G,4,FALSE))*B88</f>
        <v>0</v>
      </c>
      <c r="AB88" s="86"/>
      <c r="AC88" s="86"/>
      <c r="AD88" s="86"/>
      <c r="AE88" s="86"/>
      <c r="AF88" s="86"/>
      <c r="AG88" s="86">
        <f>IF(Kalk1!$AA$11,'STK1'!$B32,0)</f>
        <v>0</v>
      </c>
      <c r="AL88" s="86">
        <f>SUM(AG88:AK88)</f>
        <v>0</v>
      </c>
    </row>
    <row r="89" spans="2:38" ht="24.95" customHeight="1">
      <c r="B89" s="92">
        <f t="shared" si="37"/>
        <v>0</v>
      </c>
      <c r="C89" s="60">
        <v>2150</v>
      </c>
      <c r="D89" s="60"/>
      <c r="E89" s="60" t="str">
        <f>VLOOKUP(1600,Sprachindex!$A:$Z,Erhebungsbogen!$Y$20,FALSE)</f>
        <v>[Stk]</v>
      </c>
      <c r="F89" s="60" t="s">
        <v>21970</v>
      </c>
      <c r="G89" s="514" t="str">
        <f>VLOOKUP(1611,Sprachindex!$A:$Z,Erhebungsbogen!$Y$20,FALSE) &amp; ", " &amp; VLOOKUP(1645,Sprachindex!$A:$Z,Erhebungsbogen!$Y$20,FALSE) &amp; " " &amp; $AH$18</f>
        <v>Abdeckung V 80, gebohrt und entgratet, beschichtet 0</v>
      </c>
      <c r="H89" s="514"/>
      <c r="I89" s="514"/>
      <c r="J89" s="514"/>
      <c r="K89" s="514"/>
      <c r="L89" s="514"/>
      <c r="M89" s="514"/>
      <c r="N89" s="514"/>
      <c r="O89" s="514"/>
      <c r="P89" s="514"/>
      <c r="Q89" s="514"/>
      <c r="R89" s="514"/>
      <c r="S89" s="514"/>
      <c r="T89" s="514"/>
      <c r="U89" s="353">
        <f>VLOOKUP(F89,Preisliste!C:G,5,FALSE)</f>
        <v>67.814999999999998</v>
      </c>
      <c r="V89" s="352">
        <f t="shared" si="35"/>
        <v>0</v>
      </c>
      <c r="W89" s="146"/>
      <c r="X89" s="146"/>
      <c r="Y89" s="86"/>
      <c r="Z89" s="143">
        <f>(VLOOKUP(F89,Preisliste!C:G,5,FALSE)-VLOOKUP(F89,Preisliste!C:G,4,FALSE))*B89</f>
        <v>0</v>
      </c>
      <c r="AB89" s="86"/>
      <c r="AC89" s="86"/>
      <c r="AD89" s="86"/>
      <c r="AE89" s="86"/>
      <c r="AF89" s="86"/>
      <c r="AH89" s="86">
        <f>IF(Kalk2!$AA$11,'STK2'!$B32,0)</f>
        <v>0</v>
      </c>
      <c r="AL89" s="86">
        <f t="shared" si="36"/>
        <v>0</v>
      </c>
    </row>
    <row r="90" spans="2:38" ht="24.95" customHeight="1">
      <c r="B90" s="92">
        <f t="shared" si="37"/>
        <v>0</v>
      </c>
      <c r="C90" s="60">
        <v>2150</v>
      </c>
      <c r="D90" s="60"/>
      <c r="E90" s="60" t="str">
        <f>VLOOKUP(1600,Sprachindex!$A:$Z,Erhebungsbogen!$Y$20,FALSE)</f>
        <v>[Stk]</v>
      </c>
      <c r="F90" s="60" t="s">
        <v>21970</v>
      </c>
      <c r="G90" s="514" t="str">
        <f>VLOOKUP(1611,Sprachindex!$A:$Z,Erhebungsbogen!$Y$20,FALSE) &amp; ", " &amp; VLOOKUP(1645,Sprachindex!$A:$Z,Erhebungsbogen!$Y$20,FALSE) &amp; " " &amp; $AI$18</f>
        <v>Abdeckung V 80, gebohrt und entgratet, beschichtet 0</v>
      </c>
      <c r="H90" s="514"/>
      <c r="I90" s="514"/>
      <c r="J90" s="514"/>
      <c r="K90" s="514"/>
      <c r="L90" s="514"/>
      <c r="M90" s="514"/>
      <c r="N90" s="514"/>
      <c r="O90" s="514"/>
      <c r="P90" s="514"/>
      <c r="Q90" s="514"/>
      <c r="R90" s="514"/>
      <c r="S90" s="514"/>
      <c r="T90" s="514"/>
      <c r="U90" s="353">
        <f>VLOOKUP(F90,Preisliste!C:G,5,FALSE)</f>
        <v>67.814999999999998</v>
      </c>
      <c r="V90" s="352">
        <f t="shared" si="35"/>
        <v>0</v>
      </c>
      <c r="W90" s="146"/>
      <c r="X90" s="146"/>
      <c r="Y90" s="86"/>
      <c r="Z90" s="143">
        <f>(VLOOKUP(F90,Preisliste!C:G,5,FALSE)-VLOOKUP(F90,Preisliste!C:G,4,FALSE))*B90</f>
        <v>0</v>
      </c>
      <c r="AB90" s="86"/>
      <c r="AC90" s="86"/>
      <c r="AD90" s="86"/>
      <c r="AE90" s="86"/>
      <c r="AF90" s="86"/>
      <c r="AI90" s="86">
        <f>IF(Kalk3!$AA$11,'STK3'!$B32,0)</f>
        <v>0</v>
      </c>
      <c r="AL90" s="86">
        <f t="shared" si="36"/>
        <v>0</v>
      </c>
    </row>
    <row r="91" spans="2:38" ht="24.95" customHeight="1">
      <c r="B91" s="92">
        <f t="shared" si="37"/>
        <v>0</v>
      </c>
      <c r="C91" s="60">
        <v>2150</v>
      </c>
      <c r="D91" s="60"/>
      <c r="E91" s="60" t="str">
        <f>VLOOKUP(1600,Sprachindex!$A:$Z,Erhebungsbogen!$Y$20,FALSE)</f>
        <v>[Stk]</v>
      </c>
      <c r="F91" s="60" t="s">
        <v>21970</v>
      </c>
      <c r="G91" s="514" t="str">
        <f>VLOOKUP(1611,Sprachindex!$A:$Z,Erhebungsbogen!$Y$20,FALSE) &amp; ", " &amp; VLOOKUP(1645,Sprachindex!$A:$Z,Erhebungsbogen!$Y$20,FALSE) &amp; " " &amp; $AJ$18</f>
        <v>Abdeckung V 80, gebohrt und entgratet, beschichtet 0</v>
      </c>
      <c r="H91" s="514"/>
      <c r="I91" s="514"/>
      <c r="J91" s="514"/>
      <c r="K91" s="514"/>
      <c r="L91" s="514"/>
      <c r="M91" s="514"/>
      <c r="N91" s="514"/>
      <c r="O91" s="514"/>
      <c r="P91" s="514"/>
      <c r="Q91" s="514"/>
      <c r="R91" s="514"/>
      <c r="S91" s="514"/>
      <c r="T91" s="514"/>
      <c r="U91" s="353">
        <f>VLOOKUP(F91,Preisliste!C:G,5,FALSE)</f>
        <v>67.814999999999998</v>
      </c>
      <c r="V91" s="352">
        <f t="shared" si="35"/>
        <v>0</v>
      </c>
      <c r="W91" s="146"/>
      <c r="X91" s="146"/>
      <c r="Y91" s="86"/>
      <c r="Z91" s="143">
        <f>(VLOOKUP(F91,Preisliste!C:G,5,FALSE)-VLOOKUP(F91,Preisliste!C:G,4,FALSE))*B91</f>
        <v>0</v>
      </c>
      <c r="AB91" s="86"/>
      <c r="AC91" s="86"/>
      <c r="AD91" s="86"/>
      <c r="AE91" s="86"/>
      <c r="AF91" s="86"/>
      <c r="AJ91" s="86">
        <f>IF(Kalk4!$AA$11,'STK4'!$B32,0)</f>
        <v>0</v>
      </c>
      <c r="AL91" s="86">
        <f t="shared" si="36"/>
        <v>0</v>
      </c>
    </row>
    <row r="92" spans="2:38" ht="24.95" customHeight="1">
      <c r="B92" s="92">
        <f t="shared" si="3"/>
        <v>0</v>
      </c>
      <c r="C92" s="60">
        <v>2150</v>
      </c>
      <c r="D92" s="60"/>
      <c r="E92" s="60" t="str">
        <f>VLOOKUP(1600,Sprachindex!$A:$Z,Erhebungsbogen!$Y$20,FALSE)</f>
        <v>[Stk]</v>
      </c>
      <c r="F92" s="60" t="s">
        <v>21970</v>
      </c>
      <c r="G92" s="514" t="str">
        <f>VLOOKUP(1611,Sprachindex!$A:$Z,Erhebungsbogen!$Y$20,FALSE) &amp; ", " &amp; VLOOKUP(1645,Sprachindex!$A:$Z,Erhebungsbogen!$Y$20,FALSE) &amp; " " &amp; $AK$18</f>
        <v>Abdeckung V 80, gebohrt und entgratet, beschichtet 0</v>
      </c>
      <c r="H92" s="514"/>
      <c r="I92" s="514"/>
      <c r="J92" s="514"/>
      <c r="K92" s="514"/>
      <c r="L92" s="514"/>
      <c r="M92" s="514"/>
      <c r="N92" s="514"/>
      <c r="O92" s="514"/>
      <c r="P92" s="514"/>
      <c r="Q92" s="514"/>
      <c r="R92" s="514"/>
      <c r="S92" s="514"/>
      <c r="T92" s="514"/>
      <c r="U92" s="353">
        <f>VLOOKUP(F92,Preisliste!C:G,5,FALSE)</f>
        <v>67.814999999999998</v>
      </c>
      <c r="V92" s="352">
        <f t="shared" si="10"/>
        <v>0</v>
      </c>
      <c r="W92" s="146"/>
      <c r="X92" s="146"/>
      <c r="Y92" s="86"/>
      <c r="Z92" s="143">
        <f>(VLOOKUP(F92,Preisliste!C:G,5,FALSE)-VLOOKUP(F92,Preisliste!C:G,4,FALSE))*B92</f>
        <v>0</v>
      </c>
      <c r="AB92" s="86"/>
      <c r="AC92" s="86"/>
      <c r="AD92" s="86"/>
      <c r="AE92" s="86"/>
      <c r="AF92" s="86"/>
      <c r="AK92" s="86">
        <f>IF(Kalk5!$AA$11,'STK5'!$B32,0)</f>
        <v>0</v>
      </c>
      <c r="AL92" s="86">
        <f t="shared" si="36"/>
        <v>0</v>
      </c>
    </row>
    <row r="93" spans="2:38" ht="24.95" customHeight="1">
      <c r="B93" s="92">
        <f t="shared" si="3"/>
        <v>0</v>
      </c>
      <c r="C93" s="60">
        <v>750</v>
      </c>
      <c r="D93" s="60"/>
      <c r="E93" s="60" t="str">
        <f>VLOOKUP(1600,Sprachindex!$A:$Z,Erhebungsbogen!$Y$20,FALSE)</f>
        <v>[Stk]</v>
      </c>
      <c r="F93" s="60" t="s">
        <v>21951</v>
      </c>
      <c r="G93" s="514" t="str">
        <f>VLOOKUP(1593,Sprachindex!$A:$Z,Erhebungsbogen!$Y$20,FALSE) &amp; ", " &amp; VLOOKUP(1648,Sprachindex!$A:$Z,Erhebungsbogen!$Y$20,FALSE)</f>
        <v>Abdeckung VO 25, entgratet, blank</v>
      </c>
      <c r="H93" s="514"/>
      <c r="I93" s="514"/>
      <c r="J93" s="514"/>
      <c r="K93" s="514"/>
      <c r="L93" s="514"/>
      <c r="M93" s="514"/>
      <c r="N93" s="514"/>
      <c r="O93" s="514"/>
      <c r="P93" s="514"/>
      <c r="Q93" s="514"/>
      <c r="R93" s="514"/>
      <c r="S93" s="514"/>
      <c r="T93" s="514"/>
      <c r="U93" s="352">
        <f>VLOOKUP(F93,Preisliste!C:F,4,FALSE)</f>
        <v>103.1</v>
      </c>
      <c r="V93" s="352">
        <f t="shared" ref="V93:V97" si="38">U93*B93</f>
        <v>0</v>
      </c>
      <c r="W93" s="146"/>
      <c r="X93" s="146"/>
      <c r="Y93" s="86"/>
      <c r="Z93" s="143"/>
      <c r="AB93" s="86"/>
      <c r="AC93" s="86"/>
      <c r="AD93" s="86"/>
      <c r="AE93" s="86"/>
      <c r="AF93" s="86"/>
      <c r="AG93" s="86">
        <f>IF(Kalk1!$AA$11=FALSE,'STK1'!$B33,0)</f>
        <v>0</v>
      </c>
      <c r="AH93" s="86">
        <f>IF(Kalk2!$AA$11=FALSE,'STK2'!$B33,0)</f>
        <v>0</v>
      </c>
      <c r="AI93" s="86">
        <f>IF(Kalk3!$AA$11=FALSE,'STK3'!$B33,0)</f>
        <v>0</v>
      </c>
      <c r="AJ93" s="86">
        <f>IF(Kalk4!$AA$11=FALSE,'STK4'!$B33,0)</f>
        <v>0</v>
      </c>
      <c r="AK93" s="86">
        <f>IF(Kalk5!$AA$11=FALSE,'STK5'!$B33,0)</f>
        <v>0</v>
      </c>
      <c r="AL93" s="86">
        <f t="shared" ref="AL93:AL98" si="39">SUM(AG93:AK93)</f>
        <v>0</v>
      </c>
    </row>
    <row r="94" spans="2:38" ht="24.95" customHeight="1">
      <c r="B94" s="92">
        <f t="shared" ref="B94:B97" si="40">AL94</f>
        <v>0</v>
      </c>
      <c r="C94" s="60">
        <v>750</v>
      </c>
      <c r="D94" s="60"/>
      <c r="E94" s="60" t="str">
        <f>VLOOKUP(1600,Sprachindex!$A:$Z,Erhebungsbogen!$Y$20,FALSE)</f>
        <v>[Stk]</v>
      </c>
      <c r="F94" s="60" t="s">
        <v>21951</v>
      </c>
      <c r="G94" s="514" t="str">
        <f>VLOOKUP(1593,Sprachindex!$A:$Z,Erhebungsbogen!$Y$20,FALSE) &amp; ", " &amp; VLOOKUP(1645,Sprachindex!$A:$Z,Erhebungsbogen!$Y$20,FALSE) &amp; " " &amp; $AG$18</f>
        <v xml:space="preserve">Abdeckung VO 25, entgratet, beschichtet </v>
      </c>
      <c r="H94" s="514"/>
      <c r="I94" s="514"/>
      <c r="J94" s="514"/>
      <c r="K94" s="514"/>
      <c r="L94" s="514"/>
      <c r="M94" s="514"/>
      <c r="N94" s="514"/>
      <c r="O94" s="514"/>
      <c r="P94" s="514"/>
      <c r="Q94" s="514"/>
      <c r="R94" s="514"/>
      <c r="S94" s="514"/>
      <c r="T94" s="514"/>
      <c r="U94" s="353">
        <f>VLOOKUP(F94,Preisliste!C:G,5,FALSE)</f>
        <v>113.41</v>
      </c>
      <c r="V94" s="352">
        <f t="shared" si="38"/>
        <v>0</v>
      </c>
      <c r="W94" s="146"/>
      <c r="X94" s="146"/>
      <c r="Y94" s="86"/>
      <c r="Z94" s="143">
        <f>(VLOOKUP(F94,Preisliste!C:G,5,FALSE)-VLOOKUP(F94,Preisliste!C:G,4,FALSE))*B94</f>
        <v>0</v>
      </c>
      <c r="AB94" s="86"/>
      <c r="AC94" s="86"/>
      <c r="AD94" s="86"/>
      <c r="AE94" s="86"/>
      <c r="AF94" s="86"/>
      <c r="AG94" s="86">
        <f>IF(Kalk1!$AA$11,'STK1'!$B33,0)</f>
        <v>0</v>
      </c>
      <c r="AL94" s="86">
        <f>SUM(AG94:AK94)</f>
        <v>0</v>
      </c>
    </row>
    <row r="95" spans="2:38" ht="24.95" customHeight="1">
      <c r="B95" s="92">
        <f t="shared" si="40"/>
        <v>0</v>
      </c>
      <c r="C95" s="60">
        <v>750</v>
      </c>
      <c r="D95" s="60"/>
      <c r="E95" s="60" t="str">
        <f>VLOOKUP(1600,Sprachindex!$A:$Z,Erhebungsbogen!$Y$20,FALSE)</f>
        <v>[Stk]</v>
      </c>
      <c r="F95" s="60" t="s">
        <v>21951</v>
      </c>
      <c r="G95" s="514" t="str">
        <f>VLOOKUP(1593,Sprachindex!$A:$Z,Erhebungsbogen!$Y$20,FALSE) &amp; ", " &amp; VLOOKUP(1645,Sprachindex!$A:$Z,Erhebungsbogen!$Y$20,FALSE) &amp; " " &amp; $AH$18</f>
        <v>Abdeckung VO 25, entgratet, beschichtet 0</v>
      </c>
      <c r="H95" s="514"/>
      <c r="I95" s="514"/>
      <c r="J95" s="514"/>
      <c r="K95" s="514"/>
      <c r="L95" s="514"/>
      <c r="M95" s="514"/>
      <c r="N95" s="514"/>
      <c r="O95" s="514"/>
      <c r="P95" s="514"/>
      <c r="Q95" s="514"/>
      <c r="R95" s="514"/>
      <c r="S95" s="514"/>
      <c r="T95" s="514"/>
      <c r="U95" s="353">
        <f>VLOOKUP(F95,Preisliste!C:G,5,FALSE)</f>
        <v>113.41</v>
      </c>
      <c r="V95" s="352">
        <f t="shared" si="38"/>
        <v>0</v>
      </c>
      <c r="W95" s="146"/>
      <c r="X95" s="146"/>
      <c r="Y95" s="86"/>
      <c r="Z95" s="143">
        <f>(VLOOKUP(F95,Preisliste!C:G,5,FALSE)-VLOOKUP(F95,Preisliste!C:G,4,FALSE))*B95</f>
        <v>0</v>
      </c>
      <c r="AB95" s="86"/>
      <c r="AC95" s="86"/>
      <c r="AD95" s="86"/>
      <c r="AE95" s="86"/>
      <c r="AF95" s="86"/>
      <c r="AH95" s="86">
        <f>IF(Kalk2!$AA$11,'STK2'!$B33,0)</f>
        <v>0</v>
      </c>
      <c r="AL95" s="86">
        <f t="shared" si="39"/>
        <v>0</v>
      </c>
    </row>
    <row r="96" spans="2:38" ht="24.95" customHeight="1">
      <c r="B96" s="92">
        <f t="shared" si="40"/>
        <v>0</v>
      </c>
      <c r="C96" s="60">
        <v>750</v>
      </c>
      <c r="D96" s="60"/>
      <c r="E96" s="60" t="str">
        <f>VLOOKUP(1600,Sprachindex!$A:$Z,Erhebungsbogen!$Y$20,FALSE)</f>
        <v>[Stk]</v>
      </c>
      <c r="F96" s="60" t="s">
        <v>21951</v>
      </c>
      <c r="G96" s="514" t="str">
        <f>VLOOKUP(1593,Sprachindex!$A:$Z,Erhebungsbogen!$Y$20,FALSE) &amp; ", " &amp; VLOOKUP(1645,Sprachindex!$A:$Z,Erhebungsbogen!$Y$20,FALSE) &amp; " " &amp; $AI$18</f>
        <v>Abdeckung VO 25, entgratet, beschichtet 0</v>
      </c>
      <c r="H96" s="514"/>
      <c r="I96" s="514"/>
      <c r="J96" s="514"/>
      <c r="K96" s="514"/>
      <c r="L96" s="514"/>
      <c r="M96" s="514"/>
      <c r="N96" s="514"/>
      <c r="O96" s="514"/>
      <c r="P96" s="514"/>
      <c r="Q96" s="514"/>
      <c r="R96" s="514"/>
      <c r="S96" s="514"/>
      <c r="T96" s="514"/>
      <c r="U96" s="353">
        <f>VLOOKUP(F96,Preisliste!C:G,5,FALSE)</f>
        <v>113.41</v>
      </c>
      <c r="V96" s="352">
        <f t="shared" si="38"/>
        <v>0</v>
      </c>
      <c r="W96" s="146"/>
      <c r="X96" s="146"/>
      <c r="Y96" s="86"/>
      <c r="Z96" s="143">
        <f>(VLOOKUP(F96,Preisliste!C:G,5,FALSE)-VLOOKUP(F96,Preisliste!C:G,4,FALSE))*B96</f>
        <v>0</v>
      </c>
      <c r="AB96" s="86"/>
      <c r="AC96" s="86"/>
      <c r="AD96" s="86"/>
      <c r="AE96" s="86"/>
      <c r="AF96" s="86"/>
      <c r="AI96" s="86">
        <f>IF(Kalk3!$AA$11,'STK3'!$B33,0)</f>
        <v>0</v>
      </c>
      <c r="AL96" s="86">
        <f t="shared" si="39"/>
        <v>0</v>
      </c>
    </row>
    <row r="97" spans="2:38" ht="24.95" customHeight="1">
      <c r="B97" s="92">
        <f t="shared" si="40"/>
        <v>0</v>
      </c>
      <c r="C97" s="60">
        <v>750</v>
      </c>
      <c r="D97" s="60"/>
      <c r="E97" s="60" t="str">
        <f>VLOOKUP(1600,Sprachindex!$A:$Z,Erhebungsbogen!$Y$20,FALSE)</f>
        <v>[Stk]</v>
      </c>
      <c r="F97" s="60" t="s">
        <v>21951</v>
      </c>
      <c r="G97" s="514" t="str">
        <f>VLOOKUP(1593,Sprachindex!$A:$Z,Erhebungsbogen!$Y$20,FALSE) &amp; ", " &amp; VLOOKUP(1645,Sprachindex!$A:$Z,Erhebungsbogen!$Y$20,FALSE) &amp; " " &amp; $AJ$18</f>
        <v>Abdeckung VO 25, entgratet, beschichtet 0</v>
      </c>
      <c r="H97" s="514"/>
      <c r="I97" s="514"/>
      <c r="J97" s="514"/>
      <c r="K97" s="514"/>
      <c r="L97" s="514"/>
      <c r="M97" s="514"/>
      <c r="N97" s="514"/>
      <c r="O97" s="514"/>
      <c r="P97" s="514"/>
      <c r="Q97" s="514"/>
      <c r="R97" s="514"/>
      <c r="S97" s="514"/>
      <c r="T97" s="514"/>
      <c r="U97" s="353">
        <f>VLOOKUP(F97,Preisliste!C:G,5,FALSE)</f>
        <v>113.41</v>
      </c>
      <c r="V97" s="352">
        <f t="shared" si="38"/>
        <v>0</v>
      </c>
      <c r="W97" s="146"/>
      <c r="X97" s="146"/>
      <c r="Y97" s="86"/>
      <c r="Z97" s="143">
        <f>(VLOOKUP(F97,Preisliste!C:G,5,FALSE)-VLOOKUP(F97,Preisliste!C:G,4,FALSE))*B97</f>
        <v>0</v>
      </c>
      <c r="AB97" s="86"/>
      <c r="AC97" s="86"/>
      <c r="AD97" s="86"/>
      <c r="AE97" s="86"/>
      <c r="AF97" s="86"/>
      <c r="AJ97" s="86">
        <f>IF(Kalk4!$AA$11,'STK4'!$B33,0)</f>
        <v>0</v>
      </c>
      <c r="AL97" s="86">
        <f t="shared" si="39"/>
        <v>0</v>
      </c>
    </row>
    <row r="98" spans="2:38" ht="24.95" customHeight="1">
      <c r="B98" s="92">
        <f t="shared" si="3"/>
        <v>0</v>
      </c>
      <c r="C98" s="60">
        <v>750</v>
      </c>
      <c r="D98" s="60"/>
      <c r="E98" s="60" t="str">
        <f>VLOOKUP(1600,Sprachindex!$A:$Z,Erhebungsbogen!$Y$20,FALSE)</f>
        <v>[Stk]</v>
      </c>
      <c r="F98" s="60" t="s">
        <v>21951</v>
      </c>
      <c r="G98" s="514" t="str">
        <f>VLOOKUP(1593,Sprachindex!$A:$Z,Erhebungsbogen!$Y$20,FALSE) &amp; ", " &amp; VLOOKUP(1645,Sprachindex!$A:$Z,Erhebungsbogen!$Y$20,FALSE) &amp; " " &amp; $AK$18</f>
        <v>Abdeckung VO 25, entgratet, beschichtet 0</v>
      </c>
      <c r="H98" s="514"/>
      <c r="I98" s="514"/>
      <c r="J98" s="514"/>
      <c r="K98" s="514"/>
      <c r="L98" s="514"/>
      <c r="M98" s="514"/>
      <c r="N98" s="514"/>
      <c r="O98" s="514"/>
      <c r="P98" s="514"/>
      <c r="Q98" s="514"/>
      <c r="R98" s="514"/>
      <c r="S98" s="514"/>
      <c r="T98" s="514"/>
      <c r="U98" s="353">
        <f>VLOOKUP(F98,Preisliste!C:G,5,FALSE)</f>
        <v>113.41</v>
      </c>
      <c r="V98" s="352">
        <f t="shared" si="10"/>
        <v>0</v>
      </c>
      <c r="W98" s="146"/>
      <c r="X98" s="146"/>
      <c r="Y98" s="86"/>
      <c r="Z98" s="143">
        <f>(VLOOKUP(F98,Preisliste!C:G,5,FALSE)-VLOOKUP(F98,Preisliste!C:G,4,FALSE))*B98</f>
        <v>0</v>
      </c>
      <c r="AB98" s="86"/>
      <c r="AC98" s="86"/>
      <c r="AD98" s="86"/>
      <c r="AE98" s="86"/>
      <c r="AF98" s="86"/>
      <c r="AK98" s="86">
        <f>IF(Kalk5!$AA$11,'STK5'!$B33,0)</f>
        <v>0</v>
      </c>
      <c r="AL98" s="86">
        <f t="shared" si="39"/>
        <v>0</v>
      </c>
    </row>
    <row r="99" spans="2:38" ht="24.95" customHeight="1">
      <c r="B99" s="92">
        <f t="shared" si="3"/>
        <v>0</v>
      </c>
      <c r="C99" s="60">
        <v>1350</v>
      </c>
      <c r="D99" s="60"/>
      <c r="E99" s="60" t="str">
        <f>VLOOKUP(1600,Sprachindex!$A:$Z,Erhebungsbogen!$Y$20,FALSE)</f>
        <v>[Stk]</v>
      </c>
      <c r="F99" s="60" t="s">
        <v>21952</v>
      </c>
      <c r="G99" s="514" t="str">
        <f>VLOOKUP(1593,Sprachindex!$A:$Z,Erhebungsbogen!$Y$20,FALSE) &amp; ", " &amp; VLOOKUP(1648,Sprachindex!$A:$Z,Erhebungsbogen!$Y$20,FALSE)</f>
        <v>Abdeckung VO 25, entgratet, blank</v>
      </c>
      <c r="H99" s="514"/>
      <c r="I99" s="514"/>
      <c r="J99" s="514"/>
      <c r="K99" s="514"/>
      <c r="L99" s="514"/>
      <c r="M99" s="514"/>
      <c r="N99" s="514"/>
      <c r="O99" s="514"/>
      <c r="P99" s="514"/>
      <c r="Q99" s="514"/>
      <c r="R99" s="514"/>
      <c r="S99" s="514"/>
      <c r="T99" s="514"/>
      <c r="U99" s="352">
        <f>VLOOKUP(F99,Preisliste!C:F,4,FALSE)</f>
        <v>108</v>
      </c>
      <c r="V99" s="352">
        <f t="shared" ref="V99:V103" si="41">U99*B99</f>
        <v>0</v>
      </c>
      <c r="W99" s="146"/>
      <c r="X99" s="146"/>
      <c r="Y99" s="86"/>
      <c r="Z99" s="143"/>
      <c r="AB99" s="86"/>
      <c r="AC99" s="86"/>
      <c r="AD99" s="86"/>
      <c r="AE99" s="86"/>
      <c r="AF99" s="86"/>
      <c r="AG99" s="86">
        <f>IF(Kalk1!$AA$11=FALSE,'STK1'!$B34,0)</f>
        <v>0</v>
      </c>
      <c r="AH99" s="86">
        <f>IF(Kalk2!$AA$11=FALSE,'STK2'!$B34,0)</f>
        <v>0</v>
      </c>
      <c r="AI99" s="86">
        <f>IF(Kalk3!$AA$11=FALSE,'STK3'!$B34,0)</f>
        <v>0</v>
      </c>
      <c r="AJ99" s="86">
        <f>IF(Kalk4!$AA$11=FALSE,'STK4'!$B34,0)</f>
        <v>0</v>
      </c>
      <c r="AK99" s="86">
        <f>IF(Kalk5!$AA$11=FALSE,'STK5'!$B34,0)</f>
        <v>0</v>
      </c>
      <c r="AL99" s="86">
        <f t="shared" ref="AL99:AL111" si="42">SUM(AG99:AK99)</f>
        <v>0</v>
      </c>
    </row>
    <row r="100" spans="2:38" ht="24.95" customHeight="1">
      <c r="B100" s="92">
        <f t="shared" ref="B100:B103" si="43">AL100</f>
        <v>0</v>
      </c>
      <c r="C100" s="60">
        <v>1350</v>
      </c>
      <c r="D100" s="60"/>
      <c r="E100" s="60" t="str">
        <f>VLOOKUP(1600,Sprachindex!$A:$Z,Erhebungsbogen!$Y$20,FALSE)</f>
        <v>[Stk]</v>
      </c>
      <c r="F100" s="60" t="s">
        <v>21952</v>
      </c>
      <c r="G100" s="514" t="str">
        <f>VLOOKUP(1593,Sprachindex!$A:$Z,Erhebungsbogen!$Y$20,FALSE) &amp; ", " &amp; VLOOKUP(1645,Sprachindex!$A:$Z,Erhebungsbogen!$Y$20,FALSE) &amp; " " &amp; $AG$18</f>
        <v xml:space="preserve">Abdeckung VO 25, entgratet, beschichtet </v>
      </c>
      <c r="H100" s="514"/>
      <c r="I100" s="514"/>
      <c r="J100" s="514"/>
      <c r="K100" s="514"/>
      <c r="L100" s="514"/>
      <c r="M100" s="514"/>
      <c r="N100" s="514"/>
      <c r="O100" s="514"/>
      <c r="P100" s="514"/>
      <c r="Q100" s="514"/>
      <c r="R100" s="514"/>
      <c r="S100" s="514"/>
      <c r="T100" s="514"/>
      <c r="U100" s="353">
        <f>VLOOKUP(F100,Preisliste!C:G,5,FALSE)</f>
        <v>118.80000000000001</v>
      </c>
      <c r="V100" s="352">
        <f t="shared" si="41"/>
        <v>0</v>
      </c>
      <c r="W100" s="146"/>
      <c r="X100" s="146"/>
      <c r="Y100" s="86"/>
      <c r="Z100" s="143">
        <f>IF(AND(Kalk5!$AA$5=2,Kalk5!$AA$11),(VLOOKUP(F100,Preisliste!C:G,5,FALSE)-VLOOKUP(F100,Preisliste!C:G,4,FALSE))*B100,0)</f>
        <v>0</v>
      </c>
      <c r="AB100" s="86"/>
      <c r="AC100" s="86"/>
      <c r="AD100" s="86"/>
      <c r="AE100" s="86"/>
      <c r="AF100" s="86"/>
      <c r="AG100" s="86">
        <f>IF(Kalk1!$AA$11,'STK1'!$B34,0)</f>
        <v>0</v>
      </c>
      <c r="AL100" s="86">
        <f>SUM(AG100:AK100)</f>
        <v>0</v>
      </c>
    </row>
    <row r="101" spans="2:38" ht="24.95" customHeight="1">
      <c r="B101" s="92">
        <f t="shared" si="43"/>
        <v>0</v>
      </c>
      <c r="C101" s="60">
        <v>1350</v>
      </c>
      <c r="D101" s="60"/>
      <c r="E101" s="60" t="str">
        <f>VLOOKUP(1600,Sprachindex!$A:$Z,Erhebungsbogen!$Y$20,FALSE)</f>
        <v>[Stk]</v>
      </c>
      <c r="F101" s="60" t="s">
        <v>21952</v>
      </c>
      <c r="G101" s="514" t="str">
        <f>VLOOKUP(1593,Sprachindex!$A:$Z,Erhebungsbogen!$Y$20,FALSE) &amp; ", " &amp; VLOOKUP(1645,Sprachindex!$A:$Z,Erhebungsbogen!$Y$20,FALSE) &amp; " " &amp; $AH$18</f>
        <v>Abdeckung VO 25, entgratet, beschichtet 0</v>
      </c>
      <c r="H101" s="514"/>
      <c r="I101" s="514"/>
      <c r="J101" s="514"/>
      <c r="K101" s="514"/>
      <c r="L101" s="514"/>
      <c r="M101" s="514"/>
      <c r="N101" s="514"/>
      <c r="O101" s="514"/>
      <c r="P101" s="514"/>
      <c r="Q101" s="514"/>
      <c r="R101" s="514"/>
      <c r="S101" s="514"/>
      <c r="T101" s="514"/>
      <c r="U101" s="353">
        <f>VLOOKUP(F101,Preisliste!C:G,5,FALSE)</f>
        <v>118.80000000000001</v>
      </c>
      <c r="V101" s="352">
        <f t="shared" si="41"/>
        <v>0</v>
      </c>
      <c r="W101" s="146"/>
      <c r="X101" s="146"/>
      <c r="Y101" s="86"/>
      <c r="Z101" s="143">
        <f>IF(AND(Kalk5!$AA$5=2,Kalk5!$AA$11),(VLOOKUP(F101,Preisliste!C:G,5,FALSE)-VLOOKUP(F101,Preisliste!C:G,4,FALSE))*B101,0)</f>
        <v>0</v>
      </c>
      <c r="AB101" s="86"/>
      <c r="AC101" s="86"/>
      <c r="AD101" s="86"/>
      <c r="AE101" s="86"/>
      <c r="AF101" s="86"/>
      <c r="AH101" s="86">
        <f>IF(Kalk2!$AA$11,'STK2'!$B34,0)</f>
        <v>0</v>
      </c>
      <c r="AL101" s="86">
        <f t="shared" si="42"/>
        <v>0</v>
      </c>
    </row>
    <row r="102" spans="2:38" ht="24.95" customHeight="1">
      <c r="B102" s="92">
        <f t="shared" si="43"/>
        <v>0</v>
      </c>
      <c r="C102" s="60">
        <v>1350</v>
      </c>
      <c r="D102" s="60"/>
      <c r="E102" s="60" t="str">
        <f>VLOOKUP(1600,Sprachindex!$A:$Z,Erhebungsbogen!$Y$20,FALSE)</f>
        <v>[Stk]</v>
      </c>
      <c r="F102" s="60" t="s">
        <v>21952</v>
      </c>
      <c r="G102" s="514" t="str">
        <f>VLOOKUP(1593,Sprachindex!$A:$Z,Erhebungsbogen!$Y$20,FALSE) &amp; ", " &amp; VLOOKUP(1645,Sprachindex!$A:$Z,Erhebungsbogen!$Y$20,FALSE) &amp; " " &amp; $AI$18</f>
        <v>Abdeckung VO 25, entgratet, beschichtet 0</v>
      </c>
      <c r="H102" s="514"/>
      <c r="I102" s="514"/>
      <c r="J102" s="514"/>
      <c r="K102" s="514"/>
      <c r="L102" s="514"/>
      <c r="M102" s="514"/>
      <c r="N102" s="514"/>
      <c r="O102" s="514"/>
      <c r="P102" s="514"/>
      <c r="Q102" s="514"/>
      <c r="R102" s="514"/>
      <c r="S102" s="514"/>
      <c r="T102" s="514"/>
      <c r="U102" s="353">
        <f>VLOOKUP(F102,Preisliste!C:G,5,FALSE)</f>
        <v>118.80000000000001</v>
      </c>
      <c r="V102" s="352">
        <f t="shared" si="41"/>
        <v>0</v>
      </c>
      <c r="W102" s="146"/>
      <c r="X102" s="146"/>
      <c r="Y102" s="86"/>
      <c r="Z102" s="143">
        <f>IF(AND(Kalk5!$AA$5=2,Kalk5!$AA$11),(VLOOKUP(F102,Preisliste!C:G,5,FALSE)-VLOOKUP(F102,Preisliste!C:G,4,FALSE))*B102,0)</f>
        <v>0</v>
      </c>
      <c r="AB102" s="86"/>
      <c r="AC102" s="86"/>
      <c r="AD102" s="86"/>
      <c r="AE102" s="86"/>
      <c r="AF102" s="86"/>
      <c r="AI102" s="86">
        <f>IF(Kalk3!$AA$11,'STK3'!$B34,0)</f>
        <v>0</v>
      </c>
      <c r="AL102" s="86">
        <f t="shared" si="42"/>
        <v>0</v>
      </c>
    </row>
    <row r="103" spans="2:38" ht="24.95" customHeight="1">
      <c r="B103" s="92">
        <f t="shared" si="43"/>
        <v>0</v>
      </c>
      <c r="C103" s="60">
        <v>1350</v>
      </c>
      <c r="D103" s="60"/>
      <c r="E103" s="60" t="str">
        <f>VLOOKUP(1600,Sprachindex!$A:$Z,Erhebungsbogen!$Y$20,FALSE)</f>
        <v>[Stk]</v>
      </c>
      <c r="F103" s="60" t="s">
        <v>21952</v>
      </c>
      <c r="G103" s="514" t="str">
        <f>VLOOKUP(1593,Sprachindex!$A:$Z,Erhebungsbogen!$Y$20,FALSE) &amp; ", " &amp; VLOOKUP(1645,Sprachindex!$A:$Z,Erhebungsbogen!$Y$20,FALSE) &amp; " " &amp; $AJ$18</f>
        <v>Abdeckung VO 25, entgratet, beschichtet 0</v>
      </c>
      <c r="H103" s="514"/>
      <c r="I103" s="514"/>
      <c r="J103" s="514"/>
      <c r="K103" s="514"/>
      <c r="L103" s="514"/>
      <c r="M103" s="514"/>
      <c r="N103" s="514"/>
      <c r="O103" s="514"/>
      <c r="P103" s="514"/>
      <c r="Q103" s="514"/>
      <c r="R103" s="514"/>
      <c r="S103" s="514"/>
      <c r="T103" s="514"/>
      <c r="U103" s="353">
        <f>VLOOKUP(F103,Preisliste!C:G,5,FALSE)</f>
        <v>118.80000000000001</v>
      </c>
      <c r="V103" s="352">
        <f t="shared" si="41"/>
        <v>0</v>
      </c>
      <c r="W103" s="146"/>
      <c r="X103" s="146"/>
      <c r="Y103" s="86"/>
      <c r="Z103" s="143">
        <f>IF(AND(Kalk5!$AA$5=2,Kalk5!$AA$11),(VLOOKUP(F103,Preisliste!C:G,5,FALSE)-VLOOKUP(F103,Preisliste!C:G,4,FALSE))*B103,0)</f>
        <v>0</v>
      </c>
      <c r="AB103" s="86"/>
      <c r="AC103" s="86"/>
      <c r="AD103" s="86"/>
      <c r="AE103" s="86"/>
      <c r="AF103" s="86"/>
      <c r="AJ103" s="86">
        <f>IF(Kalk4!$AA$11,'STK4'!$B34,0)</f>
        <v>0</v>
      </c>
      <c r="AL103" s="86">
        <f t="shared" si="42"/>
        <v>0</v>
      </c>
    </row>
    <row r="104" spans="2:38" ht="24.95" customHeight="1">
      <c r="B104" s="92">
        <f t="shared" si="3"/>
        <v>0</v>
      </c>
      <c r="C104" s="60">
        <v>1350</v>
      </c>
      <c r="D104" s="60"/>
      <c r="E104" s="60" t="str">
        <f>VLOOKUP(1600,Sprachindex!$A:$Z,Erhebungsbogen!$Y$20,FALSE)</f>
        <v>[Stk]</v>
      </c>
      <c r="F104" s="60" t="s">
        <v>21952</v>
      </c>
      <c r="G104" s="514" t="str">
        <f>VLOOKUP(1593,Sprachindex!$A:$Z,Erhebungsbogen!$Y$20,FALSE) &amp; ", " &amp; VLOOKUP(1645,Sprachindex!$A:$Z,Erhebungsbogen!$Y$20,FALSE) &amp; " " &amp; $AK$18</f>
        <v>Abdeckung VO 25, entgratet, beschichtet 0</v>
      </c>
      <c r="H104" s="514"/>
      <c r="I104" s="514"/>
      <c r="J104" s="514"/>
      <c r="K104" s="514"/>
      <c r="L104" s="514"/>
      <c r="M104" s="514"/>
      <c r="N104" s="514"/>
      <c r="O104" s="514"/>
      <c r="P104" s="514"/>
      <c r="Q104" s="514"/>
      <c r="R104" s="514"/>
      <c r="S104" s="514"/>
      <c r="T104" s="514"/>
      <c r="U104" s="353">
        <f>VLOOKUP(F104,Preisliste!C:G,5,FALSE)</f>
        <v>118.80000000000001</v>
      </c>
      <c r="V104" s="352">
        <f t="shared" si="10"/>
        <v>0</v>
      </c>
      <c r="W104" s="146"/>
      <c r="X104" s="146"/>
      <c r="Y104" s="86"/>
      <c r="Z104" s="143">
        <f>IF(AND(Kalk5!$AA$5=2,Kalk5!$AA$11),(VLOOKUP(F104,Preisliste!C:G,5,FALSE)-VLOOKUP(F104,Preisliste!C:G,4,FALSE))*B104,0)</f>
        <v>0</v>
      </c>
      <c r="AB104" s="86"/>
      <c r="AC104" s="86"/>
      <c r="AD104" s="86"/>
      <c r="AE104" s="86"/>
      <c r="AF104" s="86"/>
      <c r="AK104" s="86">
        <f>IF(Kalk5!$AA$11,'STK5'!$B34,0)</f>
        <v>0</v>
      </c>
      <c r="AL104" s="86">
        <f t="shared" si="42"/>
        <v>0</v>
      </c>
    </row>
    <row r="105" spans="2:38" ht="24.95" customHeight="1">
      <c r="B105" s="92">
        <f t="shared" si="3"/>
        <v>0</v>
      </c>
      <c r="C105" s="60">
        <v>1750</v>
      </c>
      <c r="D105" s="60"/>
      <c r="E105" s="60" t="str">
        <f>VLOOKUP(1600,Sprachindex!$A:$Z,Erhebungsbogen!$Y$20,FALSE)</f>
        <v>[Stk]</v>
      </c>
      <c r="F105" s="60" t="s">
        <v>21988</v>
      </c>
      <c r="G105" s="514" t="str">
        <f>VLOOKUP(1593,Sprachindex!$A:$Z,Erhebungsbogen!$Y$20,FALSE) &amp; ", " &amp; VLOOKUP(1648,Sprachindex!$A:$Z,Erhebungsbogen!$Y$20,FALSE)</f>
        <v>Abdeckung VO 25, entgratet, blank</v>
      </c>
      <c r="H105" s="514"/>
      <c r="I105" s="514"/>
      <c r="J105" s="514"/>
      <c r="K105" s="514"/>
      <c r="L105" s="514"/>
      <c r="M105" s="514"/>
      <c r="N105" s="514"/>
      <c r="O105" s="514"/>
      <c r="P105" s="514"/>
      <c r="Q105" s="514"/>
      <c r="R105" s="514"/>
      <c r="S105" s="514"/>
      <c r="T105" s="514"/>
      <c r="U105" s="352">
        <f>VLOOKUP(F105,Preisliste!C:F,4,FALSE)</f>
        <v>113.85</v>
      </c>
      <c r="V105" s="352">
        <f t="shared" ref="V105:V109" si="44">U105*B105</f>
        <v>0</v>
      </c>
      <c r="W105" s="146"/>
      <c r="X105" s="146"/>
      <c r="Y105" s="86"/>
      <c r="Z105" s="143"/>
      <c r="AB105" s="86"/>
      <c r="AC105" s="86"/>
      <c r="AD105" s="86"/>
      <c r="AE105" s="86"/>
      <c r="AF105" s="86"/>
      <c r="AG105" s="86">
        <f>IF(Kalk1!$AA$11=FALSE,'STK1'!$B35,0)</f>
        <v>0</v>
      </c>
      <c r="AH105" s="86">
        <f>IF(Kalk2!$AA$11=FALSE,'STK2'!$B35,0)</f>
        <v>0</v>
      </c>
      <c r="AI105" s="86">
        <f>IF(Kalk3!$AA$11=FALSE,'STK3'!$B35,0)</f>
        <v>0</v>
      </c>
      <c r="AJ105" s="86">
        <f>IF(Kalk4!$AA$11=FALSE,'STK4'!$B35,0)</f>
        <v>0</v>
      </c>
      <c r="AK105" s="86">
        <f>IF(Kalk5!$AA$11=FALSE,'STK5'!$B35,0)</f>
        <v>0</v>
      </c>
      <c r="AL105" s="86">
        <f t="shared" ref="AL105" si="45">SUM(AG105:AK105)</f>
        <v>0</v>
      </c>
    </row>
    <row r="106" spans="2:38" ht="24.95" customHeight="1">
      <c r="B106" s="92">
        <f t="shared" ref="B106:B109" si="46">AL106</f>
        <v>0</v>
      </c>
      <c r="C106" s="60">
        <v>1750</v>
      </c>
      <c r="D106" s="60"/>
      <c r="E106" s="60" t="str">
        <f>VLOOKUP(1600,Sprachindex!$A:$Z,Erhebungsbogen!$Y$20,FALSE)</f>
        <v>[Stk]</v>
      </c>
      <c r="F106" s="60" t="s">
        <v>21988</v>
      </c>
      <c r="G106" s="514" t="str">
        <f>VLOOKUP(1593,Sprachindex!$A:$Z,Erhebungsbogen!$Y$20,FALSE) &amp; ", " &amp; VLOOKUP(1645,Sprachindex!$A:$Z,Erhebungsbogen!$Y$20,FALSE) &amp; " " &amp; $AG$18</f>
        <v xml:space="preserve">Abdeckung VO 25, entgratet, beschichtet </v>
      </c>
      <c r="H106" s="514"/>
      <c r="I106" s="514"/>
      <c r="J106" s="514"/>
      <c r="K106" s="514"/>
      <c r="L106" s="514"/>
      <c r="M106" s="514"/>
      <c r="N106" s="514"/>
      <c r="O106" s="514"/>
      <c r="P106" s="514"/>
      <c r="Q106" s="514"/>
      <c r="R106" s="514"/>
      <c r="S106" s="514"/>
      <c r="T106" s="514"/>
      <c r="U106" s="353">
        <f>VLOOKUP(F106,Preisliste!C:G,5,FALSE)</f>
        <v>125.235</v>
      </c>
      <c r="V106" s="352">
        <f t="shared" si="44"/>
        <v>0</v>
      </c>
      <c r="W106" s="146"/>
      <c r="X106" s="146"/>
      <c r="Y106" s="86"/>
      <c r="Z106" s="143">
        <f>(VLOOKUP(F106,Preisliste!C:G,5,FALSE)-VLOOKUP(F106,Preisliste!C:G,4,FALSE))*B106</f>
        <v>0</v>
      </c>
      <c r="AB106" s="86"/>
      <c r="AC106" s="86"/>
      <c r="AD106" s="86"/>
      <c r="AE106" s="86"/>
      <c r="AF106" s="86"/>
      <c r="AG106" s="86">
        <f>IF(Kalk1!$AA$11,'STK1'!$B35,0)</f>
        <v>0</v>
      </c>
      <c r="AL106" s="86">
        <f>SUM(AG106:AK106)</f>
        <v>0</v>
      </c>
    </row>
    <row r="107" spans="2:38" ht="24.95" customHeight="1">
      <c r="B107" s="92">
        <f t="shared" si="46"/>
        <v>0</v>
      </c>
      <c r="C107" s="60">
        <v>1750</v>
      </c>
      <c r="D107" s="60"/>
      <c r="E107" s="60" t="str">
        <f>VLOOKUP(1600,Sprachindex!$A:$Z,Erhebungsbogen!$Y$20,FALSE)</f>
        <v>[Stk]</v>
      </c>
      <c r="F107" s="60" t="s">
        <v>21988</v>
      </c>
      <c r="G107" s="514" t="str">
        <f>VLOOKUP(1593,Sprachindex!$A:$Z,Erhebungsbogen!$Y$20,FALSE) &amp; ", " &amp; VLOOKUP(1645,Sprachindex!$A:$Z,Erhebungsbogen!$Y$20,FALSE) &amp; " " &amp; $AH$18</f>
        <v>Abdeckung VO 25, entgratet, beschichtet 0</v>
      </c>
      <c r="H107" s="514"/>
      <c r="I107" s="514"/>
      <c r="J107" s="514"/>
      <c r="K107" s="514"/>
      <c r="L107" s="514"/>
      <c r="M107" s="514"/>
      <c r="N107" s="514"/>
      <c r="O107" s="514"/>
      <c r="P107" s="514"/>
      <c r="Q107" s="514"/>
      <c r="R107" s="514"/>
      <c r="S107" s="514"/>
      <c r="T107" s="514"/>
      <c r="U107" s="353">
        <f>VLOOKUP(F107,Preisliste!C:G,5,FALSE)</f>
        <v>125.235</v>
      </c>
      <c r="V107" s="352">
        <f t="shared" si="44"/>
        <v>0</v>
      </c>
      <c r="W107" s="146"/>
      <c r="X107" s="146"/>
      <c r="Y107" s="86"/>
      <c r="Z107" s="143">
        <f>(VLOOKUP(F107,Preisliste!C:G,5,FALSE)-VLOOKUP(F107,Preisliste!C:G,4,FALSE))*B107</f>
        <v>0</v>
      </c>
      <c r="AB107" s="86"/>
      <c r="AC107" s="86"/>
      <c r="AD107" s="86"/>
      <c r="AE107" s="86"/>
      <c r="AF107" s="86"/>
      <c r="AH107" s="86">
        <f>IF(Kalk2!$AA$11,'STK2'!$B35,0)</f>
        <v>0</v>
      </c>
      <c r="AL107" s="86">
        <f t="shared" si="42"/>
        <v>0</v>
      </c>
    </row>
    <row r="108" spans="2:38" ht="24.95" customHeight="1">
      <c r="B108" s="92">
        <f t="shared" si="46"/>
        <v>0</v>
      </c>
      <c r="C108" s="60">
        <v>1750</v>
      </c>
      <c r="D108" s="60"/>
      <c r="E108" s="60" t="str">
        <f>VLOOKUP(1600,Sprachindex!$A:$Z,Erhebungsbogen!$Y$20,FALSE)</f>
        <v>[Stk]</v>
      </c>
      <c r="F108" s="60" t="s">
        <v>21988</v>
      </c>
      <c r="G108" s="514" t="str">
        <f>VLOOKUP(1593,Sprachindex!$A:$Z,Erhebungsbogen!$Y$20,FALSE) &amp; ", " &amp; VLOOKUP(1645,Sprachindex!$A:$Z,Erhebungsbogen!$Y$20,FALSE) &amp; " " &amp; $AI$18</f>
        <v>Abdeckung VO 25, entgratet, beschichtet 0</v>
      </c>
      <c r="H108" s="514"/>
      <c r="I108" s="514"/>
      <c r="J108" s="514"/>
      <c r="K108" s="514"/>
      <c r="L108" s="514"/>
      <c r="M108" s="514"/>
      <c r="N108" s="514"/>
      <c r="O108" s="514"/>
      <c r="P108" s="514"/>
      <c r="Q108" s="514"/>
      <c r="R108" s="514"/>
      <c r="S108" s="514"/>
      <c r="T108" s="514"/>
      <c r="U108" s="353">
        <f>VLOOKUP(F108,Preisliste!C:G,5,FALSE)</f>
        <v>125.235</v>
      </c>
      <c r="V108" s="352">
        <f t="shared" si="44"/>
        <v>0</v>
      </c>
      <c r="W108" s="146"/>
      <c r="X108" s="146"/>
      <c r="Y108" s="86"/>
      <c r="Z108" s="143">
        <f>(VLOOKUP(F108,Preisliste!C:G,5,FALSE)-VLOOKUP(F108,Preisliste!C:G,4,FALSE))*B108</f>
        <v>0</v>
      </c>
      <c r="AB108" s="86"/>
      <c r="AC108" s="86"/>
      <c r="AD108" s="86"/>
      <c r="AE108" s="86"/>
      <c r="AF108" s="86"/>
      <c r="AI108" s="86">
        <f>IF(Kalk3!$AA$11,'STK3'!$B35,0)</f>
        <v>0</v>
      </c>
      <c r="AL108" s="86">
        <f t="shared" si="42"/>
        <v>0</v>
      </c>
    </row>
    <row r="109" spans="2:38" ht="24.95" customHeight="1">
      <c r="B109" s="92">
        <f t="shared" si="46"/>
        <v>0</v>
      </c>
      <c r="C109" s="60">
        <v>1750</v>
      </c>
      <c r="D109" s="60"/>
      <c r="E109" s="60" t="str">
        <f>VLOOKUP(1600,Sprachindex!$A:$Z,Erhebungsbogen!$Y$20,FALSE)</f>
        <v>[Stk]</v>
      </c>
      <c r="F109" s="60" t="s">
        <v>21988</v>
      </c>
      <c r="G109" s="514" t="str">
        <f>VLOOKUP(1593,Sprachindex!$A:$Z,Erhebungsbogen!$Y$20,FALSE) &amp; ", " &amp; VLOOKUP(1645,Sprachindex!$A:$Z,Erhebungsbogen!$Y$20,FALSE) &amp; " " &amp; $AJ$18</f>
        <v>Abdeckung VO 25, entgratet, beschichtet 0</v>
      </c>
      <c r="H109" s="514"/>
      <c r="I109" s="514"/>
      <c r="J109" s="514"/>
      <c r="K109" s="514"/>
      <c r="L109" s="514"/>
      <c r="M109" s="514"/>
      <c r="N109" s="514"/>
      <c r="O109" s="514"/>
      <c r="P109" s="514"/>
      <c r="Q109" s="514"/>
      <c r="R109" s="514"/>
      <c r="S109" s="514"/>
      <c r="T109" s="514"/>
      <c r="U109" s="353">
        <f>VLOOKUP(F109,Preisliste!C:G,5,FALSE)</f>
        <v>125.235</v>
      </c>
      <c r="V109" s="352">
        <f t="shared" si="44"/>
        <v>0</v>
      </c>
      <c r="W109" s="146"/>
      <c r="X109" s="146"/>
      <c r="Y109" s="86"/>
      <c r="Z109" s="143">
        <f>(VLOOKUP(F109,Preisliste!C:G,5,FALSE)-VLOOKUP(F109,Preisliste!C:G,4,FALSE))*B109</f>
        <v>0</v>
      </c>
      <c r="AB109" s="86"/>
      <c r="AC109" s="86"/>
      <c r="AD109" s="86"/>
      <c r="AE109" s="86"/>
      <c r="AF109" s="86"/>
      <c r="AJ109" s="86">
        <f>IF(Kalk4!$AA$11,'STK4'!$B35,0)</f>
        <v>0</v>
      </c>
      <c r="AL109" s="86">
        <f t="shared" si="42"/>
        <v>0</v>
      </c>
    </row>
    <row r="110" spans="2:38" ht="24.95" customHeight="1">
      <c r="B110" s="92">
        <f t="shared" si="3"/>
        <v>0</v>
      </c>
      <c r="C110" s="60">
        <v>1750</v>
      </c>
      <c r="D110" s="60"/>
      <c r="E110" s="60" t="str">
        <f>VLOOKUP(1600,Sprachindex!$A:$Z,Erhebungsbogen!$Y$20,FALSE)</f>
        <v>[Stk]</v>
      </c>
      <c r="F110" s="60" t="s">
        <v>21988</v>
      </c>
      <c r="G110" s="514" t="str">
        <f>VLOOKUP(1593,Sprachindex!$A:$Z,Erhebungsbogen!$Y$20,FALSE) &amp; ", " &amp; VLOOKUP(1645,Sprachindex!$A:$Z,Erhebungsbogen!$Y$20,FALSE) &amp; " " &amp; $AK$18</f>
        <v>Abdeckung VO 25, entgratet, beschichtet 0</v>
      </c>
      <c r="H110" s="514"/>
      <c r="I110" s="514"/>
      <c r="J110" s="514"/>
      <c r="K110" s="514"/>
      <c r="L110" s="514"/>
      <c r="M110" s="514"/>
      <c r="N110" s="514"/>
      <c r="O110" s="514"/>
      <c r="P110" s="514"/>
      <c r="Q110" s="514"/>
      <c r="R110" s="514"/>
      <c r="S110" s="514"/>
      <c r="T110" s="514"/>
      <c r="U110" s="353">
        <f>VLOOKUP(F110,Preisliste!C:G,5,FALSE)</f>
        <v>125.235</v>
      </c>
      <c r="V110" s="352">
        <f t="shared" si="10"/>
        <v>0</v>
      </c>
      <c r="W110" s="146"/>
      <c r="X110" s="146"/>
      <c r="Y110" s="86"/>
      <c r="Z110" s="143">
        <f>(VLOOKUP(F110,Preisliste!C:G,5,FALSE)-VLOOKUP(F110,Preisliste!C:G,4,FALSE))*B110</f>
        <v>0</v>
      </c>
      <c r="AB110" s="86"/>
      <c r="AC110" s="86"/>
      <c r="AD110" s="86"/>
      <c r="AE110" s="86"/>
      <c r="AF110" s="86"/>
      <c r="AK110" s="86">
        <f>IF(Kalk5!$AA$11,'STK5'!$B35,0)</f>
        <v>0</v>
      </c>
      <c r="AL110" s="86">
        <f t="shared" si="42"/>
        <v>0</v>
      </c>
    </row>
    <row r="111" spans="2:38" ht="24.95" customHeight="1">
      <c r="B111" s="92">
        <f t="shared" si="3"/>
        <v>0</v>
      </c>
      <c r="C111" s="60">
        <v>2150</v>
      </c>
      <c r="D111" s="60"/>
      <c r="E111" s="60" t="str">
        <f>VLOOKUP(1600,Sprachindex!$A:$Z,Erhebungsbogen!$Y$20,FALSE)</f>
        <v>[Stk]</v>
      </c>
      <c r="F111" s="60" t="s">
        <v>22642</v>
      </c>
      <c r="G111" s="514" t="str">
        <f>VLOOKUP(1593,Sprachindex!$A:$Z,Erhebungsbogen!$Y$20,FALSE) &amp; ", " &amp; VLOOKUP(1648,Sprachindex!$A:$Z,Erhebungsbogen!$Y$20,FALSE)</f>
        <v>Abdeckung VO 25, entgratet, blank</v>
      </c>
      <c r="H111" s="514"/>
      <c r="I111" s="514"/>
      <c r="J111" s="514"/>
      <c r="K111" s="514"/>
      <c r="L111" s="514"/>
      <c r="M111" s="514"/>
      <c r="N111" s="514"/>
      <c r="O111" s="514"/>
      <c r="P111" s="514"/>
      <c r="Q111" s="514"/>
      <c r="R111" s="514"/>
      <c r="S111" s="514"/>
      <c r="T111" s="514"/>
      <c r="U111" s="352">
        <f>VLOOKUP(F111,Preisliste!C:F,4,FALSE)</f>
        <v>119.8</v>
      </c>
      <c r="V111" s="352">
        <f t="shared" ref="V111:V115" si="47">U111*B111</f>
        <v>0</v>
      </c>
      <c r="W111" s="146"/>
      <c r="X111" s="146"/>
      <c r="Y111" s="86"/>
      <c r="Z111" s="143"/>
      <c r="AB111" s="86"/>
      <c r="AC111" s="86"/>
      <c r="AD111" s="86"/>
      <c r="AE111" s="86"/>
      <c r="AF111" s="86"/>
      <c r="AG111" s="86">
        <f>IF(Kalk1!$AA$11=FALSE,'STK1'!$B36,0)</f>
        <v>0</v>
      </c>
      <c r="AH111" s="86">
        <f>IF(Kalk2!$AA$11=FALSE,'STK2'!$B36,0)</f>
        <v>0</v>
      </c>
      <c r="AI111" s="86">
        <f>IF(Kalk3!$AA$11=FALSE,'STK3'!$B36,0)</f>
        <v>0</v>
      </c>
      <c r="AJ111" s="86">
        <f>IF(Kalk4!$AA$11=FALSE,'STK4'!$B36,0)</f>
        <v>0</v>
      </c>
      <c r="AK111" s="86">
        <f>IF(Kalk5!$AA$11=FALSE,'STK5'!$B36,0)</f>
        <v>0</v>
      </c>
      <c r="AL111" s="86">
        <f t="shared" si="42"/>
        <v>0</v>
      </c>
    </row>
    <row r="112" spans="2:38" ht="24.95" customHeight="1">
      <c r="B112" s="92">
        <f t="shared" ref="B112:B115" si="48">AL112</f>
        <v>0</v>
      </c>
      <c r="C112" s="60">
        <v>2150</v>
      </c>
      <c r="D112" s="60"/>
      <c r="E112" s="60" t="str">
        <f>VLOOKUP(1600,Sprachindex!$A:$Z,Erhebungsbogen!$Y$20,FALSE)</f>
        <v>[Stk]</v>
      </c>
      <c r="F112" s="60" t="s">
        <v>22642</v>
      </c>
      <c r="G112" s="514" t="str">
        <f>VLOOKUP(1593,Sprachindex!$A:$Z,Erhebungsbogen!$Y$20,FALSE) &amp; ", " &amp; VLOOKUP(1645,Sprachindex!$A:$Z,Erhebungsbogen!$Y$20,FALSE) &amp; " " &amp; $AG$18</f>
        <v xml:space="preserve">Abdeckung VO 25, entgratet, beschichtet </v>
      </c>
      <c r="H112" s="514"/>
      <c r="I112" s="514"/>
      <c r="J112" s="514"/>
      <c r="K112" s="514"/>
      <c r="L112" s="514"/>
      <c r="M112" s="514"/>
      <c r="N112" s="514"/>
      <c r="O112" s="514"/>
      <c r="P112" s="514"/>
      <c r="Q112" s="514"/>
      <c r="R112" s="514"/>
      <c r="S112" s="514"/>
      <c r="T112" s="514"/>
      <c r="U112" s="353">
        <f>VLOOKUP(F112,Preisliste!C:G,5,FALSE)</f>
        <v>131.78</v>
      </c>
      <c r="V112" s="352">
        <f t="shared" si="47"/>
        <v>0</v>
      </c>
      <c r="W112" s="146"/>
      <c r="X112" s="146"/>
      <c r="Y112" s="86"/>
      <c r="Z112" s="143">
        <f>(VLOOKUP(F112,Preisliste!C:G,5,FALSE)-VLOOKUP(F112,Preisliste!C:G,4,FALSE))*B112</f>
        <v>0</v>
      </c>
      <c r="AB112" s="86"/>
      <c r="AC112" s="86"/>
      <c r="AD112" s="86"/>
      <c r="AE112" s="86"/>
      <c r="AF112" s="86"/>
      <c r="AG112" s="86">
        <f>IF(Kalk1!$AA$11,'STK1'!$B36,0)</f>
        <v>0</v>
      </c>
      <c r="AL112" s="86">
        <f>SUM(AG112:AK112)</f>
        <v>0</v>
      </c>
    </row>
    <row r="113" spans="2:38" ht="24.95" customHeight="1">
      <c r="B113" s="92">
        <f t="shared" si="48"/>
        <v>0</v>
      </c>
      <c r="C113" s="60">
        <v>2150</v>
      </c>
      <c r="D113" s="60"/>
      <c r="E113" s="60" t="str">
        <f>VLOOKUP(1600,Sprachindex!$A:$Z,Erhebungsbogen!$Y$20,FALSE)</f>
        <v>[Stk]</v>
      </c>
      <c r="F113" s="60" t="s">
        <v>22642</v>
      </c>
      <c r="G113" s="514" t="str">
        <f>VLOOKUP(1593,Sprachindex!$A:$Z,Erhebungsbogen!$Y$20,FALSE) &amp; ", " &amp; VLOOKUP(1645,Sprachindex!$A:$Z,Erhebungsbogen!$Y$20,FALSE) &amp; " " &amp; $AH$18</f>
        <v>Abdeckung VO 25, entgratet, beschichtet 0</v>
      </c>
      <c r="H113" s="514"/>
      <c r="I113" s="514"/>
      <c r="J113" s="514"/>
      <c r="K113" s="514"/>
      <c r="L113" s="514"/>
      <c r="M113" s="514"/>
      <c r="N113" s="514"/>
      <c r="O113" s="514"/>
      <c r="P113" s="514"/>
      <c r="Q113" s="514"/>
      <c r="R113" s="514"/>
      <c r="S113" s="514"/>
      <c r="T113" s="514"/>
      <c r="U113" s="353">
        <f>VLOOKUP(F113,Preisliste!C:G,5,FALSE)</f>
        <v>131.78</v>
      </c>
      <c r="V113" s="352">
        <f t="shared" si="47"/>
        <v>0</v>
      </c>
      <c r="W113" s="146"/>
      <c r="X113" s="146"/>
      <c r="Y113" s="86"/>
      <c r="Z113" s="143">
        <f>(VLOOKUP(F113,Preisliste!C:G,5,FALSE)-VLOOKUP(F113,Preisliste!C:G,4,FALSE))*B113</f>
        <v>0</v>
      </c>
      <c r="AB113" s="86"/>
      <c r="AC113" s="86"/>
      <c r="AD113" s="86"/>
      <c r="AE113" s="86"/>
      <c r="AF113" s="86"/>
      <c r="AH113" s="86">
        <f>IF(Kalk2!$AA$11,'STK2'!$B36,0)</f>
        <v>0</v>
      </c>
      <c r="AL113" s="86">
        <f t="shared" ref="AL113:AL116" si="49">SUM(AG113:AK113)</f>
        <v>0</v>
      </c>
    </row>
    <row r="114" spans="2:38" ht="24.95" customHeight="1">
      <c r="B114" s="92">
        <f t="shared" si="48"/>
        <v>0</v>
      </c>
      <c r="C114" s="60">
        <v>2150</v>
      </c>
      <c r="D114" s="60"/>
      <c r="E114" s="60" t="str">
        <f>VLOOKUP(1600,Sprachindex!$A:$Z,Erhebungsbogen!$Y$20,FALSE)</f>
        <v>[Stk]</v>
      </c>
      <c r="F114" s="60" t="s">
        <v>22642</v>
      </c>
      <c r="G114" s="514" t="str">
        <f>VLOOKUP(1593,Sprachindex!$A:$Z,Erhebungsbogen!$Y$20,FALSE) &amp; ", " &amp; VLOOKUP(1645,Sprachindex!$A:$Z,Erhebungsbogen!$Y$20,FALSE) &amp; " " &amp; $AI$18</f>
        <v>Abdeckung VO 25, entgratet, beschichtet 0</v>
      </c>
      <c r="H114" s="514"/>
      <c r="I114" s="514"/>
      <c r="J114" s="514"/>
      <c r="K114" s="514"/>
      <c r="L114" s="514"/>
      <c r="M114" s="514"/>
      <c r="N114" s="514"/>
      <c r="O114" s="514"/>
      <c r="P114" s="514"/>
      <c r="Q114" s="514"/>
      <c r="R114" s="514"/>
      <c r="S114" s="514"/>
      <c r="T114" s="514"/>
      <c r="U114" s="353">
        <f>VLOOKUP(F114,Preisliste!C:G,5,FALSE)</f>
        <v>131.78</v>
      </c>
      <c r="V114" s="352">
        <f t="shared" si="47"/>
        <v>0</v>
      </c>
      <c r="W114" s="146"/>
      <c r="X114" s="146"/>
      <c r="Y114" s="86"/>
      <c r="Z114" s="143">
        <f>(VLOOKUP(F114,Preisliste!C:G,5,FALSE)-VLOOKUP(F114,Preisliste!C:G,4,FALSE))*B114</f>
        <v>0</v>
      </c>
      <c r="AB114" s="86"/>
      <c r="AC114" s="86"/>
      <c r="AD114" s="86"/>
      <c r="AE114" s="86"/>
      <c r="AF114" s="86"/>
      <c r="AI114" s="86">
        <f>IF(Kalk3!$AA$11,'STK3'!$B36,0)</f>
        <v>0</v>
      </c>
      <c r="AL114" s="86">
        <f t="shared" si="49"/>
        <v>0</v>
      </c>
    </row>
    <row r="115" spans="2:38" ht="24.95" customHeight="1">
      <c r="B115" s="92">
        <f t="shared" si="48"/>
        <v>0</v>
      </c>
      <c r="C115" s="60">
        <v>2150</v>
      </c>
      <c r="D115" s="60"/>
      <c r="E115" s="60" t="str">
        <f>VLOOKUP(1600,Sprachindex!$A:$Z,Erhebungsbogen!$Y$20,FALSE)</f>
        <v>[Stk]</v>
      </c>
      <c r="F115" s="60" t="s">
        <v>22642</v>
      </c>
      <c r="G115" s="514" t="str">
        <f>VLOOKUP(1593,Sprachindex!$A:$Z,Erhebungsbogen!$Y$20,FALSE) &amp; ", " &amp; VLOOKUP(1645,Sprachindex!$A:$Z,Erhebungsbogen!$Y$20,FALSE) &amp; " " &amp; $AJ$18</f>
        <v>Abdeckung VO 25, entgratet, beschichtet 0</v>
      </c>
      <c r="H115" s="514"/>
      <c r="I115" s="514"/>
      <c r="J115" s="514"/>
      <c r="K115" s="514"/>
      <c r="L115" s="514"/>
      <c r="M115" s="514"/>
      <c r="N115" s="514"/>
      <c r="O115" s="514"/>
      <c r="P115" s="514"/>
      <c r="Q115" s="514"/>
      <c r="R115" s="514"/>
      <c r="S115" s="514"/>
      <c r="T115" s="514"/>
      <c r="U115" s="353">
        <f>VLOOKUP(F115,Preisliste!C:G,5,FALSE)</f>
        <v>131.78</v>
      </c>
      <c r="V115" s="352">
        <f t="shared" si="47"/>
        <v>0</v>
      </c>
      <c r="W115" s="146"/>
      <c r="X115" s="146"/>
      <c r="Y115" s="86"/>
      <c r="Z115" s="143">
        <f>(VLOOKUP(F115,Preisliste!C:G,5,FALSE)-VLOOKUP(F115,Preisliste!C:G,4,FALSE))*B115</f>
        <v>0</v>
      </c>
      <c r="AB115" s="86"/>
      <c r="AC115" s="86"/>
      <c r="AD115" s="86"/>
      <c r="AE115" s="86"/>
      <c r="AF115" s="86"/>
      <c r="AJ115" s="86">
        <f>IF(Kalk4!$AA$11,'STK4'!$B36,0)</f>
        <v>0</v>
      </c>
      <c r="AL115" s="86">
        <f t="shared" si="49"/>
        <v>0</v>
      </c>
    </row>
    <row r="116" spans="2:38" ht="24.95" customHeight="1">
      <c r="B116" s="92">
        <f t="shared" si="3"/>
        <v>0</v>
      </c>
      <c r="C116" s="60">
        <v>2150</v>
      </c>
      <c r="D116" s="60"/>
      <c r="E116" s="60" t="str">
        <f>VLOOKUP(1600,Sprachindex!$A:$Z,Erhebungsbogen!$Y$20,FALSE)</f>
        <v>[Stk]</v>
      </c>
      <c r="F116" s="60" t="s">
        <v>22642</v>
      </c>
      <c r="G116" s="514" t="str">
        <f>VLOOKUP(1593,Sprachindex!$A:$Z,Erhebungsbogen!$Y$20,FALSE) &amp; ", " &amp; VLOOKUP(1645,Sprachindex!$A:$Z,Erhebungsbogen!$Y$20,FALSE) &amp; " " &amp; $AK$18</f>
        <v>Abdeckung VO 25, entgratet, beschichtet 0</v>
      </c>
      <c r="H116" s="514"/>
      <c r="I116" s="514"/>
      <c r="J116" s="514"/>
      <c r="K116" s="514"/>
      <c r="L116" s="514"/>
      <c r="M116" s="514"/>
      <c r="N116" s="514"/>
      <c r="O116" s="514"/>
      <c r="P116" s="514"/>
      <c r="Q116" s="514"/>
      <c r="R116" s="514"/>
      <c r="S116" s="514"/>
      <c r="T116" s="514"/>
      <c r="U116" s="353">
        <f>VLOOKUP(F116,Preisliste!C:G,5,FALSE)</f>
        <v>131.78</v>
      </c>
      <c r="V116" s="352">
        <f t="shared" si="10"/>
        <v>0</v>
      </c>
      <c r="W116" s="146"/>
      <c r="X116" s="146"/>
      <c r="Y116" s="86"/>
      <c r="Z116" s="143">
        <f>(VLOOKUP(F116,Preisliste!C:G,5,FALSE)-VLOOKUP(F116,Preisliste!C:G,4,FALSE))*B116</f>
        <v>0</v>
      </c>
      <c r="AB116" s="86"/>
      <c r="AC116" s="86"/>
      <c r="AD116" s="86"/>
      <c r="AE116" s="86"/>
      <c r="AF116" s="86"/>
      <c r="AK116" s="86">
        <f>IF(Kalk5!$AA$11,'STK5'!$B36,0)</f>
        <v>0</v>
      </c>
      <c r="AL116" s="86">
        <f t="shared" si="49"/>
        <v>0</v>
      </c>
    </row>
    <row r="117" spans="2:38" ht="24.95" customHeight="1">
      <c r="B117" s="92">
        <f t="shared" si="3"/>
        <v>0</v>
      </c>
      <c r="C117" s="60">
        <v>750</v>
      </c>
      <c r="D117" s="60"/>
      <c r="E117" s="60" t="str">
        <f>VLOOKUP(1600,Sprachindex!$A:$Z,Erhebungsbogen!$Y$20,FALSE)</f>
        <v>[Stk]</v>
      </c>
      <c r="F117" s="60" t="s">
        <v>21953</v>
      </c>
      <c r="G117" s="514" t="str">
        <f>VLOOKUP(1613,Sprachindex!$A:$Z,Erhebungsbogen!$Y$20,FALSE) &amp; ", " &amp; VLOOKUP(1648,Sprachindex!$A:$Z,Erhebungsbogen!$Y$20,FALSE)</f>
        <v>Abdeckung VO 50, gebohrt und entgratet, blank</v>
      </c>
      <c r="H117" s="514"/>
      <c r="I117" s="514"/>
      <c r="J117" s="514"/>
      <c r="K117" s="514"/>
      <c r="L117" s="514"/>
      <c r="M117" s="514"/>
      <c r="N117" s="514"/>
      <c r="O117" s="514"/>
      <c r="P117" s="514"/>
      <c r="Q117" s="514"/>
      <c r="R117" s="514"/>
      <c r="S117" s="514"/>
      <c r="T117" s="514"/>
      <c r="U117" s="352">
        <f>VLOOKUP(F117,Preisliste!C:F,4,FALSE)</f>
        <v>109.25</v>
      </c>
      <c r="V117" s="352">
        <f t="shared" ref="V117:V121" si="50">U117*B117</f>
        <v>0</v>
      </c>
      <c r="W117" s="146"/>
      <c r="X117" s="146"/>
      <c r="Y117" s="86"/>
      <c r="Z117" s="143"/>
      <c r="AB117" s="86"/>
      <c r="AC117" s="86"/>
      <c r="AD117" s="86"/>
      <c r="AE117" s="86"/>
      <c r="AF117" s="86"/>
      <c r="AG117" s="86">
        <f>IF(Kalk1!$AA$11=FALSE,'STK1'!$B37,0)</f>
        <v>0</v>
      </c>
      <c r="AH117" s="86">
        <f>IF(Kalk2!$AA$11=FALSE,'STK2'!$B37,0)</f>
        <v>0</v>
      </c>
      <c r="AI117" s="86">
        <f>IF(Kalk3!$AA$11=FALSE,'STK3'!$B37,0)</f>
        <v>0</v>
      </c>
      <c r="AJ117" s="86">
        <f>IF(Kalk4!$AA$11=FALSE,'STK4'!$B37,0)</f>
        <v>0</v>
      </c>
      <c r="AK117" s="86">
        <f>IF(Kalk5!$AA$11=FALSE,'STK5'!$B37,0)</f>
        <v>0</v>
      </c>
      <c r="AL117" s="86">
        <f t="shared" ref="AL117:AL122" si="51">SUM(AG117:AK117)</f>
        <v>0</v>
      </c>
    </row>
    <row r="118" spans="2:38" ht="24.95" customHeight="1">
      <c r="B118" s="92">
        <f t="shared" ref="B118:B121" si="52">AL118</f>
        <v>0</v>
      </c>
      <c r="C118" s="60">
        <v>750</v>
      </c>
      <c r="D118" s="60"/>
      <c r="E118" s="60" t="str">
        <f>VLOOKUP(1600,Sprachindex!$A:$Z,Erhebungsbogen!$Y$20,FALSE)</f>
        <v>[Stk]</v>
      </c>
      <c r="F118" s="60" t="s">
        <v>21953</v>
      </c>
      <c r="G118" s="514" t="str">
        <f>VLOOKUP(1613,Sprachindex!$A:$Z,Erhebungsbogen!$Y$20,FALSE) &amp; ", " &amp; VLOOKUP(1645,Sprachindex!$A:$Z,Erhebungsbogen!$Y$20,FALSE) &amp; " " &amp; $AG$18</f>
        <v xml:space="preserve">Abdeckung VO 50, gebohrt und entgratet, beschichtet </v>
      </c>
      <c r="H118" s="514"/>
      <c r="I118" s="514"/>
      <c r="J118" s="514"/>
      <c r="K118" s="514"/>
      <c r="L118" s="514"/>
      <c r="M118" s="514"/>
      <c r="N118" s="514"/>
      <c r="O118" s="514"/>
      <c r="P118" s="514"/>
      <c r="Q118" s="514"/>
      <c r="R118" s="514"/>
      <c r="S118" s="514"/>
      <c r="T118" s="514"/>
      <c r="U118" s="353">
        <f>VLOOKUP(F118,Preisliste!C:G,5,FALSE)</f>
        <v>120.17500000000001</v>
      </c>
      <c r="V118" s="352">
        <f t="shared" si="50"/>
        <v>0</v>
      </c>
      <c r="W118" s="146"/>
      <c r="X118" s="146"/>
      <c r="Y118" s="86"/>
      <c r="Z118" s="143">
        <f>(VLOOKUP(F118,Preisliste!C:G,5,FALSE)-VLOOKUP(F118,Preisliste!C:G,4,FALSE))*B118</f>
        <v>0</v>
      </c>
      <c r="AB118" s="86"/>
      <c r="AC118" s="86"/>
      <c r="AD118" s="86"/>
      <c r="AE118" s="86"/>
      <c r="AF118" s="86"/>
      <c r="AG118" s="86">
        <f>IF(Kalk1!$AA$11,'STK1'!$B37,0)</f>
        <v>0</v>
      </c>
      <c r="AL118" s="86">
        <f>SUM(AG118:AK118)</f>
        <v>0</v>
      </c>
    </row>
    <row r="119" spans="2:38" ht="24.95" customHeight="1">
      <c r="B119" s="92">
        <f t="shared" si="52"/>
        <v>0</v>
      </c>
      <c r="C119" s="60">
        <v>750</v>
      </c>
      <c r="D119" s="60"/>
      <c r="E119" s="60" t="str">
        <f>VLOOKUP(1600,Sprachindex!$A:$Z,Erhebungsbogen!$Y$20,FALSE)</f>
        <v>[Stk]</v>
      </c>
      <c r="F119" s="60" t="s">
        <v>21953</v>
      </c>
      <c r="G119" s="514" t="str">
        <f>VLOOKUP(1613,Sprachindex!$A:$Z,Erhebungsbogen!$Y$20,FALSE) &amp; ", " &amp; VLOOKUP(1645,Sprachindex!$A:$Z,Erhebungsbogen!$Y$20,FALSE) &amp; " " &amp; $AH$18</f>
        <v>Abdeckung VO 50, gebohrt und entgratet, beschichtet 0</v>
      </c>
      <c r="H119" s="514"/>
      <c r="I119" s="514"/>
      <c r="J119" s="514"/>
      <c r="K119" s="514"/>
      <c r="L119" s="514"/>
      <c r="M119" s="514"/>
      <c r="N119" s="514"/>
      <c r="O119" s="514"/>
      <c r="P119" s="514"/>
      <c r="Q119" s="514"/>
      <c r="R119" s="514"/>
      <c r="S119" s="514"/>
      <c r="T119" s="514"/>
      <c r="U119" s="353">
        <f>VLOOKUP(F119,Preisliste!C:G,5,FALSE)</f>
        <v>120.17500000000001</v>
      </c>
      <c r="V119" s="352">
        <f t="shared" si="50"/>
        <v>0</v>
      </c>
      <c r="W119" s="146"/>
      <c r="X119" s="146"/>
      <c r="Y119" s="86"/>
      <c r="Z119" s="143">
        <f>(VLOOKUP(F119,Preisliste!C:G,5,FALSE)-VLOOKUP(F119,Preisliste!C:G,4,FALSE))*B119</f>
        <v>0</v>
      </c>
      <c r="AB119" s="86"/>
      <c r="AC119" s="86"/>
      <c r="AD119" s="86"/>
      <c r="AE119" s="86"/>
      <c r="AF119" s="86"/>
      <c r="AH119" s="86">
        <f>IF(Kalk2!$AA$11,'STK2'!$B37,0)</f>
        <v>0</v>
      </c>
      <c r="AL119" s="86">
        <f t="shared" si="51"/>
        <v>0</v>
      </c>
    </row>
    <row r="120" spans="2:38" ht="24.95" customHeight="1">
      <c r="B120" s="92">
        <f t="shared" si="52"/>
        <v>0</v>
      </c>
      <c r="C120" s="60">
        <v>750</v>
      </c>
      <c r="D120" s="60"/>
      <c r="E120" s="60" t="str">
        <f>VLOOKUP(1600,Sprachindex!$A:$Z,Erhebungsbogen!$Y$20,FALSE)</f>
        <v>[Stk]</v>
      </c>
      <c r="F120" s="60" t="s">
        <v>21953</v>
      </c>
      <c r="G120" s="514" t="str">
        <f>VLOOKUP(1613,Sprachindex!$A:$Z,Erhebungsbogen!$Y$20,FALSE) &amp; ", " &amp; VLOOKUP(1645,Sprachindex!$A:$Z,Erhebungsbogen!$Y$20,FALSE) &amp; " " &amp; $AI$18</f>
        <v>Abdeckung VO 50, gebohrt und entgratet, beschichtet 0</v>
      </c>
      <c r="H120" s="514"/>
      <c r="I120" s="514"/>
      <c r="J120" s="514"/>
      <c r="K120" s="514"/>
      <c r="L120" s="514"/>
      <c r="M120" s="514"/>
      <c r="N120" s="514"/>
      <c r="O120" s="514"/>
      <c r="P120" s="514"/>
      <c r="Q120" s="514"/>
      <c r="R120" s="514"/>
      <c r="S120" s="514"/>
      <c r="T120" s="514"/>
      <c r="U120" s="353">
        <f>VLOOKUP(F120,Preisliste!C:G,5,FALSE)</f>
        <v>120.17500000000001</v>
      </c>
      <c r="V120" s="352">
        <f t="shared" si="50"/>
        <v>0</v>
      </c>
      <c r="W120" s="146"/>
      <c r="X120" s="146"/>
      <c r="Y120" s="86"/>
      <c r="Z120" s="143">
        <f>(VLOOKUP(F120,Preisliste!C:G,5,FALSE)-VLOOKUP(F120,Preisliste!C:G,4,FALSE))*B120</f>
        <v>0</v>
      </c>
      <c r="AB120" s="86"/>
      <c r="AC120" s="86"/>
      <c r="AD120" s="86"/>
      <c r="AE120" s="86"/>
      <c r="AF120" s="86"/>
      <c r="AI120" s="86">
        <f>IF(Kalk3!$AA$11,'STK3'!$B37,0)</f>
        <v>0</v>
      </c>
      <c r="AL120" s="86">
        <f t="shared" si="51"/>
        <v>0</v>
      </c>
    </row>
    <row r="121" spans="2:38" ht="24.95" customHeight="1">
      <c r="B121" s="92">
        <f t="shared" si="52"/>
        <v>0</v>
      </c>
      <c r="C121" s="60">
        <v>750</v>
      </c>
      <c r="D121" s="60"/>
      <c r="E121" s="60" t="str">
        <f>VLOOKUP(1600,Sprachindex!$A:$Z,Erhebungsbogen!$Y$20,FALSE)</f>
        <v>[Stk]</v>
      </c>
      <c r="F121" s="60" t="s">
        <v>21953</v>
      </c>
      <c r="G121" s="514" t="str">
        <f>VLOOKUP(1613,Sprachindex!$A:$Z,Erhebungsbogen!$Y$20,FALSE) &amp; ", " &amp; VLOOKUP(1645,Sprachindex!$A:$Z,Erhebungsbogen!$Y$20,FALSE) &amp; " " &amp; $AJ$18</f>
        <v>Abdeckung VO 50, gebohrt und entgratet, beschichtet 0</v>
      </c>
      <c r="H121" s="514"/>
      <c r="I121" s="514"/>
      <c r="J121" s="514"/>
      <c r="K121" s="514"/>
      <c r="L121" s="514"/>
      <c r="M121" s="514"/>
      <c r="N121" s="514"/>
      <c r="O121" s="514"/>
      <c r="P121" s="514"/>
      <c r="Q121" s="514"/>
      <c r="R121" s="514"/>
      <c r="S121" s="514"/>
      <c r="T121" s="514"/>
      <c r="U121" s="353">
        <f>VLOOKUP(F121,Preisliste!C:G,5,FALSE)</f>
        <v>120.17500000000001</v>
      </c>
      <c r="V121" s="352">
        <f t="shared" si="50"/>
        <v>0</v>
      </c>
      <c r="W121" s="146"/>
      <c r="X121" s="146"/>
      <c r="Y121" s="86"/>
      <c r="Z121" s="143">
        <f>(VLOOKUP(F121,Preisliste!C:G,5,FALSE)-VLOOKUP(F121,Preisliste!C:G,4,FALSE))*B121</f>
        <v>0</v>
      </c>
      <c r="AB121" s="86"/>
      <c r="AC121" s="86"/>
      <c r="AD121" s="86"/>
      <c r="AE121" s="86"/>
      <c r="AF121" s="86"/>
      <c r="AJ121" s="86">
        <f>IF(Kalk4!$AA$11,'STK4'!$B37,0)</f>
        <v>0</v>
      </c>
      <c r="AL121" s="86">
        <f t="shared" si="51"/>
        <v>0</v>
      </c>
    </row>
    <row r="122" spans="2:38" ht="24.95" customHeight="1">
      <c r="B122" s="92">
        <f t="shared" si="3"/>
        <v>0</v>
      </c>
      <c r="C122" s="60">
        <v>750</v>
      </c>
      <c r="D122" s="60"/>
      <c r="E122" s="60" t="str">
        <f>VLOOKUP(1600,Sprachindex!$A:$Z,Erhebungsbogen!$Y$20,FALSE)</f>
        <v>[Stk]</v>
      </c>
      <c r="F122" s="60" t="s">
        <v>21953</v>
      </c>
      <c r="G122" s="514" t="str">
        <f>VLOOKUP(1613,Sprachindex!$A:$Z,Erhebungsbogen!$Y$20,FALSE) &amp; ", " &amp; VLOOKUP(1645,Sprachindex!$A:$Z,Erhebungsbogen!$Y$20,FALSE) &amp; " " &amp; $AK$18</f>
        <v>Abdeckung VO 50, gebohrt und entgratet, beschichtet 0</v>
      </c>
      <c r="H122" s="514"/>
      <c r="I122" s="514"/>
      <c r="J122" s="514"/>
      <c r="K122" s="514"/>
      <c r="L122" s="514"/>
      <c r="M122" s="514"/>
      <c r="N122" s="514"/>
      <c r="O122" s="514"/>
      <c r="P122" s="514"/>
      <c r="Q122" s="514"/>
      <c r="R122" s="514"/>
      <c r="S122" s="514"/>
      <c r="T122" s="514"/>
      <c r="U122" s="353">
        <f>VLOOKUP(F122,Preisliste!C:G,5,FALSE)</f>
        <v>120.17500000000001</v>
      </c>
      <c r="V122" s="352">
        <f t="shared" si="10"/>
        <v>0</v>
      </c>
      <c r="W122" s="146"/>
      <c r="X122" s="146"/>
      <c r="Y122" s="86"/>
      <c r="Z122" s="143">
        <f>(VLOOKUP(F122,Preisliste!C:G,5,FALSE)-VLOOKUP(F122,Preisliste!C:G,4,FALSE))*B122</f>
        <v>0</v>
      </c>
      <c r="AB122" s="86"/>
      <c r="AC122" s="86"/>
      <c r="AD122" s="86"/>
      <c r="AE122" s="86"/>
      <c r="AF122" s="86"/>
      <c r="AK122" s="86">
        <f>IF(Kalk5!$AA$11,'STK5'!$B37,0)</f>
        <v>0</v>
      </c>
      <c r="AL122" s="86">
        <f t="shared" si="51"/>
        <v>0</v>
      </c>
    </row>
    <row r="123" spans="2:38" ht="24.95" customHeight="1">
      <c r="B123" s="92">
        <f t="shared" si="3"/>
        <v>0</v>
      </c>
      <c r="C123" s="60">
        <v>1350</v>
      </c>
      <c r="D123" s="60"/>
      <c r="E123" s="60" t="str">
        <f>VLOOKUP(1600,Sprachindex!$A:$Z,Erhebungsbogen!$Y$20,FALSE)</f>
        <v>[Stk]</v>
      </c>
      <c r="F123" s="60" t="s">
        <v>21954</v>
      </c>
      <c r="G123" s="514" t="str">
        <f>VLOOKUP(1613,Sprachindex!$A:$Z,Erhebungsbogen!$Y$20,FALSE) &amp; ", " &amp; VLOOKUP(1648,Sprachindex!$A:$Z,Erhebungsbogen!$Y$20,FALSE)</f>
        <v>Abdeckung VO 50, gebohrt und entgratet, blank</v>
      </c>
      <c r="H123" s="514"/>
      <c r="I123" s="514"/>
      <c r="J123" s="514"/>
      <c r="K123" s="514"/>
      <c r="L123" s="514"/>
      <c r="M123" s="514"/>
      <c r="N123" s="514"/>
      <c r="O123" s="514"/>
      <c r="P123" s="514"/>
      <c r="Q123" s="514"/>
      <c r="R123" s="514"/>
      <c r="S123" s="514"/>
      <c r="T123" s="514"/>
      <c r="U123" s="352">
        <f>VLOOKUP(F123,Preisliste!C:F,4,FALSE)</f>
        <v>115.25</v>
      </c>
      <c r="V123" s="352">
        <f t="shared" ref="V123:V127" si="53">U123*B123</f>
        <v>0</v>
      </c>
      <c r="W123" s="146"/>
      <c r="X123" s="146"/>
      <c r="Y123" s="86"/>
      <c r="Z123" s="143"/>
      <c r="AB123" s="86"/>
      <c r="AC123" s="86"/>
      <c r="AD123" s="86"/>
      <c r="AE123" s="86"/>
      <c r="AF123" s="86"/>
      <c r="AG123" s="86">
        <f>IF(Kalk1!$AA$11=FALSE,'STK1'!$B38,0)</f>
        <v>0</v>
      </c>
      <c r="AH123" s="86">
        <f>IF(Kalk2!$AA$11=FALSE,'STK2'!$B38,0)</f>
        <v>0</v>
      </c>
      <c r="AI123" s="86">
        <f>IF(Kalk3!$AA$11=FALSE,'STK3'!$B38,0)</f>
        <v>0</v>
      </c>
      <c r="AJ123" s="86">
        <f>IF(Kalk4!$AA$11=FALSE,'STK4'!$B38,0)</f>
        <v>0</v>
      </c>
      <c r="AK123" s="86">
        <f>IF(Kalk5!$AA$11=FALSE,'STK5'!$B38,0)</f>
        <v>0</v>
      </c>
      <c r="AL123" s="86">
        <f t="shared" ref="AL123:AL128" si="54">SUM(AG123:AK123)</f>
        <v>0</v>
      </c>
    </row>
    <row r="124" spans="2:38" ht="24.95" customHeight="1">
      <c r="B124" s="92">
        <f t="shared" ref="B124:B127" si="55">AL124</f>
        <v>0</v>
      </c>
      <c r="C124" s="60">
        <v>1350</v>
      </c>
      <c r="D124" s="60"/>
      <c r="E124" s="60" t="str">
        <f>VLOOKUP(1600,Sprachindex!$A:$Z,Erhebungsbogen!$Y$20,FALSE)</f>
        <v>[Stk]</v>
      </c>
      <c r="F124" s="60" t="s">
        <v>21954</v>
      </c>
      <c r="G124" s="514" t="str">
        <f>VLOOKUP(1613,Sprachindex!$A:$Z,Erhebungsbogen!$Y$20,FALSE) &amp; ", " &amp; VLOOKUP(1645,Sprachindex!$A:$Z,Erhebungsbogen!$Y$20,FALSE) &amp; " " &amp; $AG$18</f>
        <v xml:space="preserve">Abdeckung VO 50, gebohrt und entgratet, beschichtet </v>
      </c>
      <c r="H124" s="514"/>
      <c r="I124" s="514"/>
      <c r="J124" s="514"/>
      <c r="K124" s="514"/>
      <c r="L124" s="514"/>
      <c r="M124" s="514"/>
      <c r="N124" s="514"/>
      <c r="O124" s="514"/>
      <c r="P124" s="514"/>
      <c r="Q124" s="514"/>
      <c r="R124" s="514"/>
      <c r="S124" s="514"/>
      <c r="T124" s="514"/>
      <c r="U124" s="353">
        <f>VLOOKUP(F124,Preisliste!C:G,5,FALSE)</f>
        <v>126.77500000000001</v>
      </c>
      <c r="V124" s="352">
        <f t="shared" si="53"/>
        <v>0</v>
      </c>
      <c r="W124" s="146"/>
      <c r="X124" s="146"/>
      <c r="Y124" s="86"/>
      <c r="Z124" s="143">
        <f>(VLOOKUP(F124,Preisliste!C:G,5,FALSE)-VLOOKUP(F124,Preisliste!C:G,4,FALSE))*B124</f>
        <v>0</v>
      </c>
      <c r="AB124" s="86"/>
      <c r="AC124" s="86"/>
      <c r="AD124" s="86"/>
      <c r="AE124" s="86"/>
      <c r="AF124" s="86"/>
      <c r="AG124" s="86">
        <f>IF(Kalk1!$AA$11,'STK1'!$B38,0)</f>
        <v>0</v>
      </c>
      <c r="AL124" s="86">
        <f>SUM(AG124:AK124)</f>
        <v>0</v>
      </c>
    </row>
    <row r="125" spans="2:38" ht="24.95" customHeight="1">
      <c r="B125" s="92">
        <f t="shared" si="55"/>
        <v>0</v>
      </c>
      <c r="C125" s="60">
        <v>1350</v>
      </c>
      <c r="D125" s="60"/>
      <c r="E125" s="60" t="str">
        <f>VLOOKUP(1600,Sprachindex!$A:$Z,Erhebungsbogen!$Y$20,FALSE)</f>
        <v>[Stk]</v>
      </c>
      <c r="F125" s="60" t="s">
        <v>21954</v>
      </c>
      <c r="G125" s="514" t="str">
        <f>VLOOKUP(1613,Sprachindex!$A:$Z,Erhebungsbogen!$Y$20,FALSE) &amp; ", " &amp; VLOOKUP(1645,Sprachindex!$A:$Z,Erhebungsbogen!$Y$20,FALSE) &amp; " " &amp; $AH$18</f>
        <v>Abdeckung VO 50, gebohrt und entgratet, beschichtet 0</v>
      </c>
      <c r="H125" s="514"/>
      <c r="I125" s="514"/>
      <c r="J125" s="514"/>
      <c r="K125" s="514"/>
      <c r="L125" s="514"/>
      <c r="M125" s="514"/>
      <c r="N125" s="514"/>
      <c r="O125" s="514"/>
      <c r="P125" s="514"/>
      <c r="Q125" s="514"/>
      <c r="R125" s="514"/>
      <c r="S125" s="514"/>
      <c r="T125" s="514"/>
      <c r="U125" s="353">
        <f>VLOOKUP(F125,Preisliste!C:G,5,FALSE)</f>
        <v>126.77500000000001</v>
      </c>
      <c r="V125" s="352">
        <f t="shared" si="53"/>
        <v>0</v>
      </c>
      <c r="W125" s="146"/>
      <c r="X125" s="146"/>
      <c r="Y125" s="86"/>
      <c r="Z125" s="143">
        <f>(VLOOKUP(F125,Preisliste!C:G,5,FALSE)-VLOOKUP(F125,Preisliste!C:G,4,FALSE))*B125</f>
        <v>0</v>
      </c>
      <c r="AB125" s="86"/>
      <c r="AC125" s="86"/>
      <c r="AD125" s="86"/>
      <c r="AE125" s="86"/>
      <c r="AF125" s="86"/>
      <c r="AH125" s="86">
        <f>IF(Kalk2!$AA$11,'STK2'!$B38,0)</f>
        <v>0</v>
      </c>
      <c r="AL125" s="86">
        <f t="shared" si="54"/>
        <v>0</v>
      </c>
    </row>
    <row r="126" spans="2:38" ht="24.95" customHeight="1">
      <c r="B126" s="92">
        <f t="shared" si="55"/>
        <v>0</v>
      </c>
      <c r="C126" s="60">
        <v>1350</v>
      </c>
      <c r="D126" s="60"/>
      <c r="E126" s="60" t="str">
        <f>VLOOKUP(1600,Sprachindex!$A:$Z,Erhebungsbogen!$Y$20,FALSE)</f>
        <v>[Stk]</v>
      </c>
      <c r="F126" s="60" t="s">
        <v>21954</v>
      </c>
      <c r="G126" s="514" t="str">
        <f>VLOOKUP(1613,Sprachindex!$A:$Z,Erhebungsbogen!$Y$20,FALSE) &amp; ", " &amp; VLOOKUP(1645,Sprachindex!$A:$Z,Erhebungsbogen!$Y$20,FALSE) &amp; " " &amp; $AI$18</f>
        <v>Abdeckung VO 50, gebohrt und entgratet, beschichtet 0</v>
      </c>
      <c r="H126" s="514"/>
      <c r="I126" s="514"/>
      <c r="J126" s="514"/>
      <c r="K126" s="514"/>
      <c r="L126" s="514"/>
      <c r="M126" s="514"/>
      <c r="N126" s="514"/>
      <c r="O126" s="514"/>
      <c r="P126" s="514"/>
      <c r="Q126" s="514"/>
      <c r="R126" s="514"/>
      <c r="S126" s="514"/>
      <c r="T126" s="514"/>
      <c r="U126" s="353">
        <f>VLOOKUP(F126,Preisliste!C:G,5,FALSE)</f>
        <v>126.77500000000001</v>
      </c>
      <c r="V126" s="352">
        <f t="shared" si="53"/>
        <v>0</v>
      </c>
      <c r="W126" s="146"/>
      <c r="X126" s="146"/>
      <c r="Y126" s="86"/>
      <c r="Z126" s="143">
        <f>(VLOOKUP(F126,Preisliste!C:G,5,FALSE)-VLOOKUP(F126,Preisliste!C:G,4,FALSE))*B126</f>
        <v>0</v>
      </c>
      <c r="AB126" s="86"/>
      <c r="AC126" s="86"/>
      <c r="AD126" s="86"/>
      <c r="AE126" s="86"/>
      <c r="AF126" s="86"/>
      <c r="AI126" s="86">
        <f>IF(Kalk3!$AA$11,'STK3'!$B38,0)</f>
        <v>0</v>
      </c>
      <c r="AL126" s="86">
        <f t="shared" si="54"/>
        <v>0</v>
      </c>
    </row>
    <row r="127" spans="2:38" ht="24.95" customHeight="1">
      <c r="B127" s="92">
        <f t="shared" si="55"/>
        <v>0</v>
      </c>
      <c r="C127" s="60">
        <v>1350</v>
      </c>
      <c r="D127" s="60"/>
      <c r="E127" s="60" t="str">
        <f>VLOOKUP(1600,Sprachindex!$A:$Z,Erhebungsbogen!$Y$20,FALSE)</f>
        <v>[Stk]</v>
      </c>
      <c r="F127" s="60" t="s">
        <v>21954</v>
      </c>
      <c r="G127" s="514" t="str">
        <f>VLOOKUP(1613,Sprachindex!$A:$Z,Erhebungsbogen!$Y$20,FALSE) &amp; ", " &amp; VLOOKUP(1645,Sprachindex!$A:$Z,Erhebungsbogen!$Y$20,FALSE) &amp; " " &amp; $AJ$18</f>
        <v>Abdeckung VO 50, gebohrt und entgratet, beschichtet 0</v>
      </c>
      <c r="H127" s="514"/>
      <c r="I127" s="514"/>
      <c r="J127" s="514"/>
      <c r="K127" s="514"/>
      <c r="L127" s="514"/>
      <c r="M127" s="514"/>
      <c r="N127" s="514"/>
      <c r="O127" s="514"/>
      <c r="P127" s="514"/>
      <c r="Q127" s="514"/>
      <c r="R127" s="514"/>
      <c r="S127" s="514"/>
      <c r="T127" s="514"/>
      <c r="U127" s="353">
        <f>VLOOKUP(F127,Preisliste!C:G,5,FALSE)</f>
        <v>126.77500000000001</v>
      </c>
      <c r="V127" s="352">
        <f t="shared" si="53"/>
        <v>0</v>
      </c>
      <c r="W127" s="146"/>
      <c r="X127" s="146"/>
      <c r="Y127" s="86"/>
      <c r="Z127" s="143">
        <f>(VLOOKUP(F127,Preisliste!C:G,5,FALSE)-VLOOKUP(F127,Preisliste!C:G,4,FALSE))*B127</f>
        <v>0</v>
      </c>
      <c r="AB127" s="86"/>
      <c r="AC127" s="86"/>
      <c r="AD127" s="86"/>
      <c r="AE127" s="86"/>
      <c r="AF127" s="86"/>
      <c r="AJ127" s="86">
        <f>IF(Kalk4!$AA$11,'STK4'!$B38,0)</f>
        <v>0</v>
      </c>
      <c r="AL127" s="86">
        <f t="shared" si="54"/>
        <v>0</v>
      </c>
    </row>
    <row r="128" spans="2:38" ht="24.95" customHeight="1">
      <c r="B128" s="92">
        <f t="shared" si="3"/>
        <v>0</v>
      </c>
      <c r="C128" s="60">
        <v>1350</v>
      </c>
      <c r="D128" s="60"/>
      <c r="E128" s="60" t="str">
        <f>VLOOKUP(1600,Sprachindex!$A:$Z,Erhebungsbogen!$Y$20,FALSE)</f>
        <v>[Stk]</v>
      </c>
      <c r="F128" s="60" t="s">
        <v>21954</v>
      </c>
      <c r="G128" s="514" t="str">
        <f>VLOOKUP(1613,Sprachindex!$A:$Z,Erhebungsbogen!$Y$20,FALSE) &amp; ", " &amp; VLOOKUP(1645,Sprachindex!$A:$Z,Erhebungsbogen!$Y$20,FALSE) &amp; " " &amp; $AK$18</f>
        <v>Abdeckung VO 50, gebohrt und entgratet, beschichtet 0</v>
      </c>
      <c r="H128" s="514"/>
      <c r="I128" s="514"/>
      <c r="J128" s="514"/>
      <c r="K128" s="514"/>
      <c r="L128" s="514"/>
      <c r="M128" s="514"/>
      <c r="N128" s="514"/>
      <c r="O128" s="514"/>
      <c r="P128" s="514"/>
      <c r="Q128" s="514"/>
      <c r="R128" s="514"/>
      <c r="S128" s="514"/>
      <c r="T128" s="514"/>
      <c r="U128" s="353">
        <f>VLOOKUP(F128,Preisliste!C:G,5,FALSE)</f>
        <v>126.77500000000001</v>
      </c>
      <c r="V128" s="352">
        <f t="shared" si="10"/>
        <v>0</v>
      </c>
      <c r="W128" s="146"/>
      <c r="X128" s="146"/>
      <c r="Y128" s="86"/>
      <c r="Z128" s="143">
        <f>(VLOOKUP(F128,Preisliste!C:G,5,FALSE)-VLOOKUP(F128,Preisliste!C:G,4,FALSE))*B128</f>
        <v>0</v>
      </c>
      <c r="AB128" s="86"/>
      <c r="AC128" s="86"/>
      <c r="AD128" s="86"/>
      <c r="AE128" s="86"/>
      <c r="AF128" s="86"/>
      <c r="AK128" s="86">
        <f>IF(Kalk5!$AA$11,'STK5'!$B38,0)</f>
        <v>0</v>
      </c>
      <c r="AL128" s="86">
        <f t="shared" si="54"/>
        <v>0</v>
      </c>
    </row>
    <row r="129" spans="2:38" ht="24.95" customHeight="1">
      <c r="B129" s="92">
        <f t="shared" si="3"/>
        <v>0</v>
      </c>
      <c r="C129" s="60">
        <v>1750</v>
      </c>
      <c r="D129" s="60"/>
      <c r="E129" s="60" t="str">
        <f>VLOOKUP(1600,Sprachindex!$A:$Z,Erhebungsbogen!$Y$20,FALSE)</f>
        <v>[Stk]</v>
      </c>
      <c r="F129" s="60" t="s">
        <v>21955</v>
      </c>
      <c r="G129" s="514" t="str">
        <f>VLOOKUP(1613,Sprachindex!$A:$Z,Erhebungsbogen!$Y$20,FALSE) &amp; ", " &amp; VLOOKUP(1648,Sprachindex!$A:$Z,Erhebungsbogen!$Y$20,FALSE)</f>
        <v>Abdeckung VO 50, gebohrt und entgratet, blank</v>
      </c>
      <c r="H129" s="514"/>
      <c r="I129" s="514"/>
      <c r="J129" s="514"/>
      <c r="K129" s="514"/>
      <c r="L129" s="514"/>
      <c r="M129" s="514"/>
      <c r="N129" s="514"/>
      <c r="O129" s="514"/>
      <c r="P129" s="514"/>
      <c r="Q129" s="514"/>
      <c r="R129" s="514"/>
      <c r="S129" s="514"/>
      <c r="T129" s="514"/>
      <c r="U129" s="352">
        <f>VLOOKUP(F129,Preisliste!C:F,4,FALSE)</f>
        <v>118.9</v>
      </c>
      <c r="V129" s="352">
        <f t="shared" ref="V129:V133" si="56">U129*B129</f>
        <v>0</v>
      </c>
      <c r="W129" s="146"/>
      <c r="X129" s="146"/>
      <c r="Y129" s="86"/>
      <c r="Z129" s="143"/>
      <c r="AB129" s="86"/>
      <c r="AC129" s="86"/>
      <c r="AD129" s="86"/>
      <c r="AE129" s="86"/>
      <c r="AF129" s="86"/>
      <c r="AG129" s="86">
        <f>IF(Kalk1!$AA$11=FALSE,'STK1'!$B39,0)</f>
        <v>0</v>
      </c>
      <c r="AH129" s="86">
        <f>IF(Kalk2!$AA$11=FALSE,'STK2'!$B39,0)</f>
        <v>0</v>
      </c>
      <c r="AI129" s="86">
        <f>IF(Kalk3!$AA$11=FALSE,'STK3'!$B39,0)</f>
        <v>0</v>
      </c>
      <c r="AJ129" s="86">
        <f>IF(Kalk4!$AA$11=FALSE,'STK4'!$B39,0)</f>
        <v>0</v>
      </c>
      <c r="AK129" s="86">
        <f>IF(Kalk5!$AA$11=FALSE,'STK5'!$B39,0)</f>
        <v>0</v>
      </c>
      <c r="AL129" s="86">
        <f t="shared" ref="AL129:AL134" si="57">SUM(AG129:AK129)</f>
        <v>0</v>
      </c>
    </row>
    <row r="130" spans="2:38" ht="24.95" customHeight="1">
      <c r="B130" s="92">
        <f t="shared" ref="B130:B133" si="58">AL130</f>
        <v>0</v>
      </c>
      <c r="C130" s="60">
        <v>1750</v>
      </c>
      <c r="D130" s="60"/>
      <c r="E130" s="60" t="str">
        <f>VLOOKUP(1600,Sprachindex!$A:$Z,Erhebungsbogen!$Y$20,FALSE)</f>
        <v>[Stk]</v>
      </c>
      <c r="F130" s="60" t="s">
        <v>21955</v>
      </c>
      <c r="G130" s="514" t="str">
        <f>VLOOKUP(1613,Sprachindex!$A:$Z,Erhebungsbogen!$Y$20,FALSE) &amp; ", " &amp; VLOOKUP(1645,Sprachindex!$A:$Z,Erhebungsbogen!$Y$20,FALSE) &amp; " " &amp; $AG$18</f>
        <v xml:space="preserve">Abdeckung VO 50, gebohrt und entgratet, beschichtet </v>
      </c>
      <c r="H130" s="514"/>
      <c r="I130" s="514"/>
      <c r="J130" s="514"/>
      <c r="K130" s="514"/>
      <c r="L130" s="514"/>
      <c r="M130" s="514"/>
      <c r="N130" s="514"/>
      <c r="O130" s="514"/>
      <c r="P130" s="514"/>
      <c r="Q130" s="514"/>
      <c r="R130" s="514"/>
      <c r="S130" s="514"/>
      <c r="T130" s="514"/>
      <c r="U130" s="353">
        <f>VLOOKUP(F130,Preisliste!C:G,5,FALSE)</f>
        <v>130.79000000000002</v>
      </c>
      <c r="V130" s="352">
        <f t="shared" si="56"/>
        <v>0</v>
      </c>
      <c r="W130" s="146"/>
      <c r="X130" s="146"/>
      <c r="Y130" s="86"/>
      <c r="Z130" s="143">
        <f>(VLOOKUP(F130,Preisliste!C:G,5,FALSE)-VLOOKUP(F130,Preisliste!C:G,4,FALSE))*B130</f>
        <v>0</v>
      </c>
      <c r="AB130" s="86"/>
      <c r="AC130" s="86"/>
      <c r="AD130" s="86"/>
      <c r="AE130" s="86"/>
      <c r="AF130" s="86"/>
      <c r="AG130" s="86">
        <f>IF(Kalk1!$AA$11,'STK1'!$B39,0)</f>
        <v>0</v>
      </c>
      <c r="AL130" s="86">
        <f>SUM(AG130:AK130)</f>
        <v>0</v>
      </c>
    </row>
    <row r="131" spans="2:38" ht="24.95" customHeight="1">
      <c r="B131" s="92">
        <f t="shared" si="58"/>
        <v>0</v>
      </c>
      <c r="C131" s="60">
        <v>1750</v>
      </c>
      <c r="D131" s="60"/>
      <c r="E131" s="60" t="str">
        <f>VLOOKUP(1600,Sprachindex!$A:$Z,Erhebungsbogen!$Y$20,FALSE)</f>
        <v>[Stk]</v>
      </c>
      <c r="F131" s="60" t="s">
        <v>21955</v>
      </c>
      <c r="G131" s="514" t="str">
        <f>VLOOKUP(1613,Sprachindex!$A:$Z,Erhebungsbogen!$Y$20,FALSE) &amp; ", " &amp; VLOOKUP(1645,Sprachindex!$A:$Z,Erhebungsbogen!$Y$20,FALSE) &amp; " " &amp; $AH$18</f>
        <v>Abdeckung VO 50, gebohrt und entgratet, beschichtet 0</v>
      </c>
      <c r="H131" s="514"/>
      <c r="I131" s="514"/>
      <c r="J131" s="514"/>
      <c r="K131" s="514"/>
      <c r="L131" s="514"/>
      <c r="M131" s="514"/>
      <c r="N131" s="514"/>
      <c r="O131" s="514"/>
      <c r="P131" s="514"/>
      <c r="Q131" s="514"/>
      <c r="R131" s="514"/>
      <c r="S131" s="514"/>
      <c r="T131" s="514"/>
      <c r="U131" s="353">
        <f>VLOOKUP(F131,Preisliste!C:G,5,FALSE)</f>
        <v>130.79000000000002</v>
      </c>
      <c r="V131" s="352">
        <f t="shared" si="56"/>
        <v>0</v>
      </c>
      <c r="W131" s="146"/>
      <c r="X131" s="146"/>
      <c r="Y131" s="86"/>
      <c r="Z131" s="143">
        <f>(VLOOKUP(F131,Preisliste!C:G,5,FALSE)-VLOOKUP(F131,Preisliste!C:G,4,FALSE))*B131</f>
        <v>0</v>
      </c>
      <c r="AB131" s="86"/>
      <c r="AC131" s="86"/>
      <c r="AD131" s="86"/>
      <c r="AE131" s="86"/>
      <c r="AF131" s="86"/>
      <c r="AH131" s="86">
        <f>IF(Kalk2!$AA$11,'STK2'!$B39,0)</f>
        <v>0</v>
      </c>
      <c r="AL131" s="86">
        <f t="shared" si="57"/>
        <v>0</v>
      </c>
    </row>
    <row r="132" spans="2:38" ht="24.95" customHeight="1">
      <c r="B132" s="92">
        <f t="shared" si="58"/>
        <v>0</v>
      </c>
      <c r="C132" s="60">
        <v>1750</v>
      </c>
      <c r="D132" s="60"/>
      <c r="E132" s="60" t="str">
        <f>VLOOKUP(1600,Sprachindex!$A:$Z,Erhebungsbogen!$Y$20,FALSE)</f>
        <v>[Stk]</v>
      </c>
      <c r="F132" s="60" t="s">
        <v>21955</v>
      </c>
      <c r="G132" s="514" t="str">
        <f>VLOOKUP(1613,Sprachindex!$A:$Z,Erhebungsbogen!$Y$20,FALSE) &amp; ", " &amp; VLOOKUP(1645,Sprachindex!$A:$Z,Erhebungsbogen!$Y$20,FALSE) &amp; " " &amp; $AI$18</f>
        <v>Abdeckung VO 50, gebohrt und entgratet, beschichtet 0</v>
      </c>
      <c r="H132" s="514"/>
      <c r="I132" s="514"/>
      <c r="J132" s="514"/>
      <c r="K132" s="514"/>
      <c r="L132" s="514"/>
      <c r="M132" s="514"/>
      <c r="N132" s="514"/>
      <c r="O132" s="514"/>
      <c r="P132" s="514"/>
      <c r="Q132" s="514"/>
      <c r="R132" s="514"/>
      <c r="S132" s="514"/>
      <c r="T132" s="514"/>
      <c r="U132" s="353">
        <f>VLOOKUP(F132,Preisliste!C:G,5,FALSE)</f>
        <v>130.79000000000002</v>
      </c>
      <c r="V132" s="352">
        <f t="shared" si="56"/>
        <v>0</v>
      </c>
      <c r="W132" s="146"/>
      <c r="X132" s="146"/>
      <c r="Y132" s="86"/>
      <c r="Z132" s="143">
        <f>(VLOOKUP(F132,Preisliste!C:G,5,FALSE)-VLOOKUP(F132,Preisliste!C:G,4,FALSE))*B132</f>
        <v>0</v>
      </c>
      <c r="AB132" s="86"/>
      <c r="AC132" s="86"/>
      <c r="AD132" s="86"/>
      <c r="AE132" s="86"/>
      <c r="AF132" s="86"/>
      <c r="AI132" s="86">
        <f>IF(Kalk3!$AA$11,'STK3'!$B39,0)</f>
        <v>0</v>
      </c>
      <c r="AL132" s="86">
        <f t="shared" si="57"/>
        <v>0</v>
      </c>
    </row>
    <row r="133" spans="2:38" ht="24.95" customHeight="1">
      <c r="B133" s="92">
        <f t="shared" si="58"/>
        <v>0</v>
      </c>
      <c r="C133" s="60">
        <v>1750</v>
      </c>
      <c r="D133" s="60"/>
      <c r="E133" s="60" t="str">
        <f>VLOOKUP(1600,Sprachindex!$A:$Z,Erhebungsbogen!$Y$20,FALSE)</f>
        <v>[Stk]</v>
      </c>
      <c r="F133" s="60" t="s">
        <v>21955</v>
      </c>
      <c r="G133" s="514" t="str">
        <f>VLOOKUP(1613,Sprachindex!$A:$Z,Erhebungsbogen!$Y$20,FALSE) &amp; ", " &amp; VLOOKUP(1645,Sprachindex!$A:$Z,Erhebungsbogen!$Y$20,FALSE) &amp; " " &amp; $AJ$18</f>
        <v>Abdeckung VO 50, gebohrt und entgratet, beschichtet 0</v>
      </c>
      <c r="H133" s="514"/>
      <c r="I133" s="514"/>
      <c r="J133" s="514"/>
      <c r="K133" s="514"/>
      <c r="L133" s="514"/>
      <c r="M133" s="514"/>
      <c r="N133" s="514"/>
      <c r="O133" s="514"/>
      <c r="P133" s="514"/>
      <c r="Q133" s="514"/>
      <c r="R133" s="514"/>
      <c r="S133" s="514"/>
      <c r="T133" s="514"/>
      <c r="U133" s="353">
        <f>VLOOKUP(F133,Preisliste!C:G,5,FALSE)</f>
        <v>130.79000000000002</v>
      </c>
      <c r="V133" s="352">
        <f t="shared" si="56"/>
        <v>0</v>
      </c>
      <c r="W133" s="146"/>
      <c r="X133" s="146"/>
      <c r="Y133" s="86"/>
      <c r="Z133" s="143">
        <f>(VLOOKUP(F133,Preisliste!C:G,5,FALSE)-VLOOKUP(F133,Preisliste!C:G,4,FALSE))*B133</f>
        <v>0</v>
      </c>
      <c r="AB133" s="86"/>
      <c r="AC133" s="86"/>
      <c r="AD133" s="86"/>
      <c r="AE133" s="86"/>
      <c r="AF133" s="86"/>
      <c r="AJ133" s="86">
        <f>IF(Kalk4!$AA$11,'STK4'!$B39,0)</f>
        <v>0</v>
      </c>
      <c r="AL133" s="86">
        <f t="shared" si="57"/>
        <v>0</v>
      </c>
    </row>
    <row r="134" spans="2:38" ht="24.95" customHeight="1">
      <c r="B134" s="92">
        <f t="shared" si="3"/>
        <v>0</v>
      </c>
      <c r="C134" s="60">
        <v>1750</v>
      </c>
      <c r="D134" s="60"/>
      <c r="E134" s="60" t="str">
        <f>VLOOKUP(1600,Sprachindex!$A:$Z,Erhebungsbogen!$Y$20,FALSE)</f>
        <v>[Stk]</v>
      </c>
      <c r="F134" s="60" t="s">
        <v>21955</v>
      </c>
      <c r="G134" s="514" t="str">
        <f>VLOOKUP(1613,Sprachindex!$A:$Z,Erhebungsbogen!$Y$20,FALSE) &amp; ", " &amp; VLOOKUP(1645,Sprachindex!$A:$Z,Erhebungsbogen!$Y$20,FALSE) &amp; " " &amp; $AK$18</f>
        <v>Abdeckung VO 50, gebohrt und entgratet, beschichtet 0</v>
      </c>
      <c r="H134" s="514"/>
      <c r="I134" s="514"/>
      <c r="J134" s="514"/>
      <c r="K134" s="514"/>
      <c r="L134" s="514"/>
      <c r="M134" s="514"/>
      <c r="N134" s="514"/>
      <c r="O134" s="514"/>
      <c r="P134" s="514"/>
      <c r="Q134" s="514"/>
      <c r="R134" s="514"/>
      <c r="S134" s="514"/>
      <c r="T134" s="514"/>
      <c r="U134" s="353">
        <f>VLOOKUP(F134,Preisliste!C:G,5,FALSE)</f>
        <v>130.79000000000002</v>
      </c>
      <c r="V134" s="352">
        <f t="shared" si="10"/>
        <v>0</v>
      </c>
      <c r="W134" s="146"/>
      <c r="X134" s="146"/>
      <c r="Y134" s="86"/>
      <c r="Z134" s="143">
        <f>(VLOOKUP(F134,Preisliste!C:G,5,FALSE)-VLOOKUP(F134,Preisliste!C:G,4,FALSE))*B134</f>
        <v>0</v>
      </c>
      <c r="AB134" s="86"/>
      <c r="AC134" s="86"/>
      <c r="AD134" s="86"/>
      <c r="AE134" s="86"/>
      <c r="AF134" s="86"/>
      <c r="AK134" s="86">
        <f>IF(Kalk5!$AA$11,'STK5'!$B39,0)</f>
        <v>0</v>
      </c>
      <c r="AL134" s="86">
        <f t="shared" si="57"/>
        <v>0</v>
      </c>
    </row>
    <row r="135" spans="2:38" ht="24.95" customHeight="1">
      <c r="B135" s="92">
        <f t="shared" si="3"/>
        <v>0</v>
      </c>
      <c r="C135" s="60">
        <v>2150</v>
      </c>
      <c r="D135" s="60"/>
      <c r="E135" s="60" t="str">
        <f>VLOOKUP(1600,Sprachindex!$A:$Z,Erhebungsbogen!$Y$20,FALSE)</f>
        <v>[Stk]</v>
      </c>
      <c r="F135" s="60" t="s">
        <v>21956</v>
      </c>
      <c r="G135" s="514" t="str">
        <f>VLOOKUP(1613,Sprachindex!$A:$Z,Erhebungsbogen!$Y$20,FALSE) &amp; ", " &amp; VLOOKUP(1648,Sprachindex!$A:$Z,Erhebungsbogen!$Y$20,FALSE)</f>
        <v>Abdeckung VO 50, gebohrt und entgratet, blank</v>
      </c>
      <c r="H135" s="514"/>
      <c r="I135" s="514"/>
      <c r="J135" s="514"/>
      <c r="K135" s="514"/>
      <c r="L135" s="514"/>
      <c r="M135" s="514"/>
      <c r="N135" s="514"/>
      <c r="O135" s="514"/>
      <c r="P135" s="514"/>
      <c r="Q135" s="514"/>
      <c r="R135" s="514"/>
      <c r="S135" s="514"/>
      <c r="T135" s="514"/>
      <c r="U135" s="352">
        <f>VLOOKUP(F135,Preisliste!C:F,4,FALSE)</f>
        <v>122.75</v>
      </c>
      <c r="V135" s="352">
        <f t="shared" ref="V135:V139" si="59">U135*B135</f>
        <v>0</v>
      </c>
      <c r="W135" s="146"/>
      <c r="X135" s="146"/>
      <c r="Y135" s="86"/>
      <c r="Z135" s="143"/>
      <c r="AB135" s="86"/>
      <c r="AC135" s="86"/>
      <c r="AD135" s="86"/>
      <c r="AE135" s="86"/>
      <c r="AF135" s="86"/>
      <c r="AG135" s="86">
        <f>IF(Kalk1!$AA$11=FALSE,'STK1'!$B40,0)</f>
        <v>0</v>
      </c>
      <c r="AH135" s="86">
        <f>IF(Kalk2!$AA$11=FALSE,'STK2'!$B40,0)</f>
        <v>0</v>
      </c>
      <c r="AI135" s="86">
        <f>IF(Kalk3!$AA$11=FALSE,'STK3'!$B40,0)</f>
        <v>0</v>
      </c>
      <c r="AJ135" s="86">
        <f>IF(Kalk4!$AA$11=FALSE,'STK4'!$B40,0)</f>
        <v>0</v>
      </c>
      <c r="AK135" s="86">
        <f>IF(Kalk5!$AA$11=FALSE,'STK5'!$B40,0)</f>
        <v>0</v>
      </c>
      <c r="AL135" s="86">
        <f t="shared" ref="AL135:AL163" si="60">SUM(AG135:AK135)</f>
        <v>0</v>
      </c>
    </row>
    <row r="136" spans="2:38" ht="24.95" customHeight="1">
      <c r="B136" s="92">
        <f t="shared" ref="B136:B139" si="61">AL136</f>
        <v>0</v>
      </c>
      <c r="C136" s="60">
        <v>2150</v>
      </c>
      <c r="D136" s="60"/>
      <c r="E136" s="60" t="str">
        <f>VLOOKUP(1600,Sprachindex!$A:$Z,Erhebungsbogen!$Y$20,FALSE)</f>
        <v>[Stk]</v>
      </c>
      <c r="F136" s="60" t="s">
        <v>21956</v>
      </c>
      <c r="G136" s="514" t="str">
        <f>VLOOKUP(1613,Sprachindex!$A:$Z,Erhebungsbogen!$Y$20,FALSE) &amp; ", " &amp; VLOOKUP(1645,Sprachindex!$A:$Z,Erhebungsbogen!$Y$20,FALSE) &amp; " " &amp; $AG$18</f>
        <v xml:space="preserve">Abdeckung VO 50, gebohrt und entgratet, beschichtet </v>
      </c>
      <c r="H136" s="514"/>
      <c r="I136" s="514"/>
      <c r="J136" s="514"/>
      <c r="K136" s="514"/>
      <c r="L136" s="514"/>
      <c r="M136" s="514"/>
      <c r="N136" s="514"/>
      <c r="O136" s="514"/>
      <c r="P136" s="514"/>
      <c r="Q136" s="514"/>
      <c r="R136" s="514"/>
      <c r="S136" s="514"/>
      <c r="T136" s="514"/>
      <c r="U136" s="353">
        <f>VLOOKUP(F136,Preisliste!C:G,5,FALSE)</f>
        <v>135.02500000000001</v>
      </c>
      <c r="V136" s="352">
        <f t="shared" si="59"/>
        <v>0</v>
      </c>
      <c r="W136" s="146"/>
      <c r="X136" s="146"/>
      <c r="Y136" s="86"/>
      <c r="Z136" s="143">
        <f>(VLOOKUP(F136,Preisliste!C:G,5,FALSE)-VLOOKUP(F136,Preisliste!C:G,4,FALSE))*B136</f>
        <v>0</v>
      </c>
      <c r="AB136" s="86"/>
      <c r="AC136" s="86"/>
      <c r="AD136" s="86"/>
      <c r="AE136" s="86"/>
      <c r="AF136" s="86"/>
      <c r="AG136" s="86">
        <f>IF(Kalk1!$AA$11,'STK1'!$B40,0)</f>
        <v>0</v>
      </c>
      <c r="AL136" s="86">
        <f t="shared" si="60"/>
        <v>0</v>
      </c>
    </row>
    <row r="137" spans="2:38" ht="24.95" customHeight="1">
      <c r="B137" s="92">
        <f t="shared" si="61"/>
        <v>0</v>
      </c>
      <c r="C137" s="60">
        <v>2150</v>
      </c>
      <c r="D137" s="60"/>
      <c r="E137" s="60" t="str">
        <f>VLOOKUP(1600,Sprachindex!$A:$Z,Erhebungsbogen!$Y$20,FALSE)</f>
        <v>[Stk]</v>
      </c>
      <c r="F137" s="60" t="s">
        <v>21956</v>
      </c>
      <c r="G137" s="514" t="str">
        <f>VLOOKUP(1613,Sprachindex!$A:$Z,Erhebungsbogen!$Y$20,FALSE) &amp; ", " &amp; VLOOKUP(1645,Sprachindex!$A:$Z,Erhebungsbogen!$Y$20,FALSE) &amp; " " &amp; $AH$18</f>
        <v>Abdeckung VO 50, gebohrt und entgratet, beschichtet 0</v>
      </c>
      <c r="H137" s="514"/>
      <c r="I137" s="514"/>
      <c r="J137" s="514"/>
      <c r="K137" s="514"/>
      <c r="L137" s="514"/>
      <c r="M137" s="514"/>
      <c r="N137" s="514"/>
      <c r="O137" s="514"/>
      <c r="P137" s="514"/>
      <c r="Q137" s="514"/>
      <c r="R137" s="514"/>
      <c r="S137" s="514"/>
      <c r="T137" s="514"/>
      <c r="U137" s="353">
        <f>VLOOKUP(F137,Preisliste!C:G,5,FALSE)</f>
        <v>135.02500000000001</v>
      </c>
      <c r="V137" s="352">
        <f t="shared" si="59"/>
        <v>0</v>
      </c>
      <c r="W137" s="146"/>
      <c r="X137" s="146"/>
      <c r="Y137" s="86"/>
      <c r="Z137" s="143">
        <f>(VLOOKUP(F137,Preisliste!C:G,5,FALSE)-VLOOKUP(F137,Preisliste!C:G,4,FALSE))*B137</f>
        <v>0</v>
      </c>
      <c r="AB137" s="86"/>
      <c r="AC137" s="86"/>
      <c r="AD137" s="86"/>
      <c r="AE137" s="86"/>
      <c r="AF137" s="86"/>
      <c r="AH137" s="86">
        <f>IF(Kalk2!$AA$11,'STK2'!$B40,0)</f>
        <v>0</v>
      </c>
      <c r="AL137" s="86">
        <f t="shared" si="60"/>
        <v>0</v>
      </c>
    </row>
    <row r="138" spans="2:38" ht="24.95" customHeight="1">
      <c r="B138" s="92">
        <f t="shared" si="61"/>
        <v>0</v>
      </c>
      <c r="C138" s="60">
        <v>2150</v>
      </c>
      <c r="D138" s="60"/>
      <c r="E138" s="60" t="str">
        <f>VLOOKUP(1600,Sprachindex!$A:$Z,Erhebungsbogen!$Y$20,FALSE)</f>
        <v>[Stk]</v>
      </c>
      <c r="F138" s="60" t="s">
        <v>21956</v>
      </c>
      <c r="G138" s="514" t="str">
        <f>VLOOKUP(1613,Sprachindex!$A:$Z,Erhebungsbogen!$Y$20,FALSE) &amp; ", " &amp; VLOOKUP(1645,Sprachindex!$A:$Z,Erhebungsbogen!$Y$20,FALSE) &amp; " " &amp; $AI$18</f>
        <v>Abdeckung VO 50, gebohrt und entgratet, beschichtet 0</v>
      </c>
      <c r="H138" s="514"/>
      <c r="I138" s="514"/>
      <c r="J138" s="514"/>
      <c r="K138" s="514"/>
      <c r="L138" s="514"/>
      <c r="M138" s="514"/>
      <c r="N138" s="514"/>
      <c r="O138" s="514"/>
      <c r="P138" s="514"/>
      <c r="Q138" s="514"/>
      <c r="R138" s="514"/>
      <c r="S138" s="514"/>
      <c r="T138" s="514"/>
      <c r="U138" s="353">
        <f>VLOOKUP(F138,Preisliste!C:G,5,FALSE)</f>
        <v>135.02500000000001</v>
      </c>
      <c r="V138" s="352">
        <f t="shared" si="59"/>
        <v>0</v>
      </c>
      <c r="W138" s="146"/>
      <c r="X138" s="146"/>
      <c r="Y138" s="86"/>
      <c r="Z138" s="143">
        <f>(VLOOKUP(F138,Preisliste!C:G,5,FALSE)-VLOOKUP(F138,Preisliste!C:G,4,FALSE))*B138</f>
        <v>0</v>
      </c>
      <c r="AB138" s="86"/>
      <c r="AC138" s="86"/>
      <c r="AD138" s="86"/>
      <c r="AE138" s="86"/>
      <c r="AF138" s="86"/>
      <c r="AI138" s="86">
        <f>IF(Kalk3!$AA$11,'STK3'!$B40,0)</f>
        <v>0</v>
      </c>
      <c r="AL138" s="86">
        <f t="shared" si="60"/>
        <v>0</v>
      </c>
    </row>
    <row r="139" spans="2:38" ht="24.95" customHeight="1">
      <c r="B139" s="92">
        <f t="shared" si="61"/>
        <v>0</v>
      </c>
      <c r="C139" s="60">
        <v>2150</v>
      </c>
      <c r="D139" s="60"/>
      <c r="E139" s="60" t="str">
        <f>VLOOKUP(1600,Sprachindex!$A:$Z,Erhebungsbogen!$Y$20,FALSE)</f>
        <v>[Stk]</v>
      </c>
      <c r="F139" s="60" t="s">
        <v>21956</v>
      </c>
      <c r="G139" s="514" t="str">
        <f>VLOOKUP(1613,Sprachindex!$A:$Z,Erhebungsbogen!$Y$20,FALSE) &amp; ", " &amp; VLOOKUP(1645,Sprachindex!$A:$Z,Erhebungsbogen!$Y$20,FALSE) &amp; " " &amp; $AJ$18</f>
        <v>Abdeckung VO 50, gebohrt und entgratet, beschichtet 0</v>
      </c>
      <c r="H139" s="514"/>
      <c r="I139" s="514"/>
      <c r="J139" s="514"/>
      <c r="K139" s="514"/>
      <c r="L139" s="514"/>
      <c r="M139" s="514"/>
      <c r="N139" s="514"/>
      <c r="O139" s="514"/>
      <c r="P139" s="514"/>
      <c r="Q139" s="514"/>
      <c r="R139" s="514"/>
      <c r="S139" s="514"/>
      <c r="T139" s="514"/>
      <c r="U139" s="353">
        <f>VLOOKUP(F139,Preisliste!C:G,5,FALSE)</f>
        <v>135.02500000000001</v>
      </c>
      <c r="V139" s="352">
        <f t="shared" si="59"/>
        <v>0</v>
      </c>
      <c r="W139" s="146"/>
      <c r="X139" s="146"/>
      <c r="Y139" s="86"/>
      <c r="Z139" s="143">
        <f>(VLOOKUP(F139,Preisliste!C:G,5,FALSE)-VLOOKUP(F139,Preisliste!C:G,4,FALSE))*B139</f>
        <v>0</v>
      </c>
      <c r="AB139" s="86"/>
      <c r="AC139" s="86"/>
      <c r="AD139" s="86"/>
      <c r="AE139" s="86"/>
      <c r="AF139" s="86"/>
      <c r="AJ139" s="86">
        <f>IF(Kalk4!$AA$11,'STK4'!$B40,0)</f>
        <v>0</v>
      </c>
      <c r="AL139" s="86">
        <f t="shared" si="60"/>
        <v>0</v>
      </c>
    </row>
    <row r="140" spans="2:38" ht="24.95" customHeight="1">
      <c r="B140" s="92">
        <f t="shared" si="3"/>
        <v>0</v>
      </c>
      <c r="C140" s="60">
        <v>2150</v>
      </c>
      <c r="D140" s="60"/>
      <c r="E140" s="60" t="str">
        <f>VLOOKUP(1600,Sprachindex!$A:$Z,Erhebungsbogen!$Y$20,FALSE)</f>
        <v>[Stk]</v>
      </c>
      <c r="F140" s="60" t="s">
        <v>21956</v>
      </c>
      <c r="G140" s="514" t="str">
        <f>VLOOKUP(1613,Sprachindex!$A:$Z,Erhebungsbogen!$Y$20,FALSE) &amp; ", " &amp; VLOOKUP(1645,Sprachindex!$A:$Z,Erhebungsbogen!$Y$20,FALSE) &amp; " " &amp; $AK$18</f>
        <v>Abdeckung VO 50, gebohrt und entgratet, beschichtet 0</v>
      </c>
      <c r="H140" s="514"/>
      <c r="I140" s="514"/>
      <c r="J140" s="514"/>
      <c r="K140" s="514"/>
      <c r="L140" s="514"/>
      <c r="M140" s="514"/>
      <c r="N140" s="514"/>
      <c r="O140" s="514"/>
      <c r="P140" s="514"/>
      <c r="Q140" s="514"/>
      <c r="R140" s="514"/>
      <c r="S140" s="514"/>
      <c r="T140" s="514"/>
      <c r="U140" s="353">
        <f>VLOOKUP(F140,Preisliste!C:G,5,FALSE)</f>
        <v>135.02500000000001</v>
      </c>
      <c r="V140" s="352">
        <f t="shared" si="10"/>
        <v>0</v>
      </c>
      <c r="W140" s="146"/>
      <c r="X140" s="146"/>
      <c r="Y140" s="86"/>
      <c r="Z140" s="143">
        <f>(VLOOKUP(F140,Preisliste!C:G,5,FALSE)-VLOOKUP(F140,Preisliste!C:G,4,FALSE))*B140</f>
        <v>0</v>
      </c>
      <c r="AB140" s="86"/>
      <c r="AC140" s="86"/>
      <c r="AD140" s="86"/>
      <c r="AE140" s="86"/>
      <c r="AF140" s="86"/>
      <c r="AK140" s="86">
        <f>IF(Kalk5!$AA$11,'STK5'!$B40,0)</f>
        <v>0</v>
      </c>
      <c r="AL140" s="86">
        <f t="shared" si="60"/>
        <v>0</v>
      </c>
    </row>
    <row r="141" spans="2:38" ht="24.95" customHeight="1">
      <c r="B141" s="92">
        <f t="shared" si="3"/>
        <v>0</v>
      </c>
      <c r="C141" s="60">
        <v>750</v>
      </c>
      <c r="D141" s="60"/>
      <c r="E141" s="60" t="str">
        <f>VLOOKUP(1600,Sprachindex!$A:$Z,Erhebungsbogen!$Y$20,FALSE)</f>
        <v>[Stk]</v>
      </c>
      <c r="F141" s="60" t="s">
        <v>21957</v>
      </c>
      <c r="G141" s="514" t="str">
        <f>VLOOKUP(1614,Sprachindex!$A:$Z,Erhebungsbogen!$Y$20,FALSE) &amp; ", " &amp; VLOOKUP(1648,Sprachindex!$A:$Z,Erhebungsbogen!$Y$20,FALSE)</f>
        <v>Abdeckung VO 80, gebohrt und entgratet, blank</v>
      </c>
      <c r="H141" s="514"/>
      <c r="I141" s="514"/>
      <c r="J141" s="514"/>
      <c r="K141" s="514"/>
      <c r="L141" s="514"/>
      <c r="M141" s="514"/>
      <c r="N141" s="514"/>
      <c r="O141" s="514"/>
      <c r="P141" s="514"/>
      <c r="Q141" s="514"/>
      <c r="R141" s="514"/>
      <c r="S141" s="514"/>
      <c r="T141" s="514"/>
      <c r="U141" s="352">
        <f>VLOOKUP(F141,Preisliste!C:F,4,FALSE)</f>
        <v>116.35</v>
      </c>
      <c r="V141" s="352">
        <f t="shared" ref="V141:V145" si="62">U141*B141</f>
        <v>0</v>
      </c>
      <c r="W141" s="146"/>
      <c r="X141" s="146"/>
      <c r="Y141" s="86"/>
      <c r="Z141" s="143"/>
      <c r="AB141" s="86"/>
      <c r="AC141" s="86"/>
      <c r="AD141" s="86"/>
      <c r="AE141" s="86"/>
      <c r="AF141" s="86"/>
      <c r="AG141" s="86">
        <f>IF(Kalk1!$AA$11=FALSE,'STK1'!$B41,0)</f>
        <v>0</v>
      </c>
      <c r="AH141" s="86">
        <f>IF(Kalk2!$AA$11=FALSE,'STK2'!$B41,0)</f>
        <v>0</v>
      </c>
      <c r="AI141" s="86">
        <f>IF(Kalk3!$AA$11=FALSE,'STK3'!$B41,0)</f>
        <v>0</v>
      </c>
      <c r="AJ141" s="86">
        <f>IF(Kalk4!$AA$11=FALSE,'STK4'!$B41,0)</f>
        <v>0</v>
      </c>
      <c r="AK141" s="86">
        <f>IF(Kalk5!$AA$11=FALSE,'STK5'!$B41,0)</f>
        <v>0</v>
      </c>
      <c r="AL141" s="86">
        <f t="shared" si="60"/>
        <v>0</v>
      </c>
    </row>
    <row r="142" spans="2:38" ht="24.95" customHeight="1">
      <c r="B142" s="92">
        <f t="shared" ref="B142:B145" si="63">AL142</f>
        <v>0</v>
      </c>
      <c r="C142" s="60">
        <v>750</v>
      </c>
      <c r="D142" s="60"/>
      <c r="E142" s="60" t="str">
        <f>VLOOKUP(1600,Sprachindex!$A:$Z,Erhebungsbogen!$Y$20,FALSE)</f>
        <v>[Stk]</v>
      </c>
      <c r="F142" s="60" t="s">
        <v>21957</v>
      </c>
      <c r="G142" s="514" t="str">
        <f>VLOOKUP(1614,Sprachindex!$A:$Z,Erhebungsbogen!$Y$20,FALSE) &amp; ", " &amp; VLOOKUP(1645,Sprachindex!$A:$Z,Erhebungsbogen!$Y$20,FALSE) &amp; " " &amp; $AG$18</f>
        <v xml:space="preserve">Abdeckung VO 80, gebohrt und entgratet, beschichtet </v>
      </c>
      <c r="H142" s="514"/>
      <c r="I142" s="514"/>
      <c r="J142" s="514"/>
      <c r="K142" s="514"/>
      <c r="L142" s="514"/>
      <c r="M142" s="514"/>
      <c r="N142" s="514"/>
      <c r="O142" s="514"/>
      <c r="P142" s="514"/>
      <c r="Q142" s="514"/>
      <c r="R142" s="514"/>
      <c r="S142" s="514"/>
      <c r="T142" s="514"/>
      <c r="U142" s="353">
        <f>VLOOKUP(F142,Preisliste!C:G,5,FALSE)</f>
        <v>127.985</v>
      </c>
      <c r="V142" s="352">
        <f t="shared" si="62"/>
        <v>0</v>
      </c>
      <c r="W142" s="146"/>
      <c r="X142" s="146"/>
      <c r="Y142" s="86"/>
      <c r="Z142" s="143">
        <f>(VLOOKUP(F142,Preisliste!C:G,5,FALSE)-VLOOKUP(F142,Preisliste!C:G,4,FALSE))*B142</f>
        <v>0</v>
      </c>
      <c r="AB142" s="86"/>
      <c r="AC142" s="86"/>
      <c r="AD142" s="86"/>
      <c r="AE142" s="86"/>
      <c r="AF142" s="86"/>
      <c r="AG142" s="86">
        <f>IF(Kalk1!$AA$11,'STK1'!$B41,0)</f>
        <v>0</v>
      </c>
      <c r="AL142" s="86">
        <f t="shared" si="60"/>
        <v>0</v>
      </c>
    </row>
    <row r="143" spans="2:38" ht="24.95" customHeight="1">
      <c r="B143" s="92">
        <f t="shared" si="63"/>
        <v>0</v>
      </c>
      <c r="C143" s="60">
        <v>750</v>
      </c>
      <c r="D143" s="60"/>
      <c r="E143" s="60" t="str">
        <f>VLOOKUP(1600,Sprachindex!$A:$Z,Erhebungsbogen!$Y$20,FALSE)</f>
        <v>[Stk]</v>
      </c>
      <c r="F143" s="60" t="s">
        <v>21957</v>
      </c>
      <c r="G143" s="514" t="str">
        <f>VLOOKUP(1614,Sprachindex!$A:$Z,Erhebungsbogen!$Y$20,FALSE) &amp; ", " &amp; VLOOKUP(1645,Sprachindex!$A:$Z,Erhebungsbogen!$Y$20,FALSE) &amp; " " &amp; $AH$18</f>
        <v>Abdeckung VO 80, gebohrt und entgratet, beschichtet 0</v>
      </c>
      <c r="H143" s="514"/>
      <c r="I143" s="514"/>
      <c r="J143" s="514"/>
      <c r="K143" s="514"/>
      <c r="L143" s="514"/>
      <c r="M143" s="514"/>
      <c r="N143" s="514"/>
      <c r="O143" s="514"/>
      <c r="P143" s="514"/>
      <c r="Q143" s="514"/>
      <c r="R143" s="514"/>
      <c r="S143" s="514"/>
      <c r="T143" s="514"/>
      <c r="U143" s="353">
        <f>VLOOKUP(F143,Preisliste!C:G,5,FALSE)</f>
        <v>127.985</v>
      </c>
      <c r="V143" s="352">
        <f t="shared" si="62"/>
        <v>0</v>
      </c>
      <c r="W143" s="146"/>
      <c r="X143" s="146"/>
      <c r="Y143" s="86"/>
      <c r="Z143" s="143">
        <f>(VLOOKUP(F143,Preisliste!C:G,5,FALSE)-VLOOKUP(F143,Preisliste!C:G,4,FALSE))*B143</f>
        <v>0</v>
      </c>
      <c r="AB143" s="86"/>
      <c r="AC143" s="86"/>
      <c r="AD143" s="86"/>
      <c r="AE143" s="86"/>
      <c r="AF143" s="86"/>
      <c r="AH143" s="86">
        <f>IF(Kalk2!$AA$11,'STK2'!$B41,0)</f>
        <v>0</v>
      </c>
      <c r="AL143" s="86">
        <f t="shared" si="60"/>
        <v>0</v>
      </c>
    </row>
    <row r="144" spans="2:38" ht="24.95" customHeight="1">
      <c r="B144" s="92">
        <f t="shared" si="63"/>
        <v>0</v>
      </c>
      <c r="C144" s="60">
        <v>750</v>
      </c>
      <c r="D144" s="60"/>
      <c r="E144" s="60" t="str">
        <f>VLOOKUP(1600,Sprachindex!$A:$Z,Erhebungsbogen!$Y$20,FALSE)</f>
        <v>[Stk]</v>
      </c>
      <c r="F144" s="60" t="s">
        <v>21957</v>
      </c>
      <c r="G144" s="514" t="str">
        <f>VLOOKUP(1614,Sprachindex!$A:$Z,Erhebungsbogen!$Y$20,FALSE) &amp; ", " &amp; VLOOKUP(1645,Sprachindex!$A:$Z,Erhebungsbogen!$Y$20,FALSE) &amp; " " &amp; $AI$18</f>
        <v>Abdeckung VO 80, gebohrt und entgratet, beschichtet 0</v>
      </c>
      <c r="H144" s="514"/>
      <c r="I144" s="514"/>
      <c r="J144" s="514"/>
      <c r="K144" s="514"/>
      <c r="L144" s="514"/>
      <c r="M144" s="514"/>
      <c r="N144" s="514"/>
      <c r="O144" s="514"/>
      <c r="P144" s="514"/>
      <c r="Q144" s="514"/>
      <c r="R144" s="514"/>
      <c r="S144" s="514"/>
      <c r="T144" s="514"/>
      <c r="U144" s="353">
        <f>VLOOKUP(F144,Preisliste!C:G,5,FALSE)</f>
        <v>127.985</v>
      </c>
      <c r="V144" s="352">
        <f t="shared" si="62"/>
        <v>0</v>
      </c>
      <c r="W144" s="146"/>
      <c r="X144" s="146"/>
      <c r="Y144" s="86"/>
      <c r="Z144" s="143">
        <f>(VLOOKUP(F144,Preisliste!C:G,5,FALSE)-VLOOKUP(F144,Preisliste!C:G,4,FALSE))*B144</f>
        <v>0</v>
      </c>
      <c r="AB144" s="86"/>
      <c r="AC144" s="86"/>
      <c r="AD144" s="86"/>
      <c r="AE144" s="86"/>
      <c r="AF144" s="86"/>
      <c r="AI144" s="86">
        <f>IF(Kalk3!$AA$11,'STK3'!$B41,0)</f>
        <v>0</v>
      </c>
      <c r="AL144" s="86">
        <f t="shared" si="60"/>
        <v>0</v>
      </c>
    </row>
    <row r="145" spans="2:38" ht="24.95" customHeight="1">
      <c r="B145" s="92">
        <f t="shared" si="63"/>
        <v>0</v>
      </c>
      <c r="C145" s="60">
        <v>750</v>
      </c>
      <c r="D145" s="60"/>
      <c r="E145" s="60" t="str">
        <f>VLOOKUP(1600,Sprachindex!$A:$Z,Erhebungsbogen!$Y$20,FALSE)</f>
        <v>[Stk]</v>
      </c>
      <c r="F145" s="60" t="s">
        <v>21957</v>
      </c>
      <c r="G145" s="514" t="str">
        <f>VLOOKUP(1614,Sprachindex!$A:$Z,Erhebungsbogen!$Y$20,FALSE) &amp; ", " &amp; VLOOKUP(1645,Sprachindex!$A:$Z,Erhebungsbogen!$Y$20,FALSE) &amp; " " &amp; $AJ$18</f>
        <v>Abdeckung VO 80, gebohrt und entgratet, beschichtet 0</v>
      </c>
      <c r="H145" s="514"/>
      <c r="I145" s="514"/>
      <c r="J145" s="514"/>
      <c r="K145" s="514"/>
      <c r="L145" s="514"/>
      <c r="M145" s="514"/>
      <c r="N145" s="514"/>
      <c r="O145" s="514"/>
      <c r="P145" s="514"/>
      <c r="Q145" s="514"/>
      <c r="R145" s="514"/>
      <c r="S145" s="514"/>
      <c r="T145" s="514"/>
      <c r="U145" s="353">
        <f>VLOOKUP(F145,Preisliste!C:G,5,FALSE)</f>
        <v>127.985</v>
      </c>
      <c r="V145" s="352">
        <f t="shared" si="62"/>
        <v>0</v>
      </c>
      <c r="W145" s="146"/>
      <c r="X145" s="146"/>
      <c r="Y145" s="86"/>
      <c r="Z145" s="143">
        <f>(VLOOKUP(F145,Preisliste!C:G,5,FALSE)-VLOOKUP(F145,Preisliste!C:G,4,FALSE))*B145</f>
        <v>0</v>
      </c>
      <c r="AB145" s="86"/>
      <c r="AC145" s="86"/>
      <c r="AD145" s="86"/>
      <c r="AE145" s="86"/>
      <c r="AF145" s="86"/>
      <c r="AJ145" s="86">
        <f>IF(Kalk4!$AA$11,'STK4'!$B41,0)</f>
        <v>0</v>
      </c>
      <c r="AL145" s="86">
        <f t="shared" si="60"/>
        <v>0</v>
      </c>
    </row>
    <row r="146" spans="2:38" ht="24.95" customHeight="1">
      <c r="B146" s="92">
        <f t="shared" si="3"/>
        <v>0</v>
      </c>
      <c r="C146" s="60">
        <v>750</v>
      </c>
      <c r="D146" s="60"/>
      <c r="E146" s="60" t="str">
        <f>VLOOKUP(1600,Sprachindex!$A:$Z,Erhebungsbogen!$Y$20,FALSE)</f>
        <v>[Stk]</v>
      </c>
      <c r="F146" s="60" t="s">
        <v>21957</v>
      </c>
      <c r="G146" s="514" t="str">
        <f>VLOOKUP(1614,Sprachindex!$A:$Z,Erhebungsbogen!$Y$20,FALSE) &amp; ", " &amp; VLOOKUP(1645,Sprachindex!$A:$Z,Erhebungsbogen!$Y$20,FALSE) &amp; " " &amp; $AK$18</f>
        <v>Abdeckung VO 80, gebohrt und entgratet, beschichtet 0</v>
      </c>
      <c r="H146" s="514"/>
      <c r="I146" s="514"/>
      <c r="J146" s="514"/>
      <c r="K146" s="514"/>
      <c r="L146" s="514"/>
      <c r="M146" s="514"/>
      <c r="N146" s="514"/>
      <c r="O146" s="514"/>
      <c r="P146" s="514"/>
      <c r="Q146" s="514"/>
      <c r="R146" s="514"/>
      <c r="S146" s="514"/>
      <c r="T146" s="514"/>
      <c r="U146" s="353">
        <f>VLOOKUP(F146,Preisliste!C:G,5,FALSE)</f>
        <v>127.985</v>
      </c>
      <c r="V146" s="352">
        <f t="shared" si="10"/>
        <v>0</v>
      </c>
      <c r="W146" s="146"/>
      <c r="X146" s="146"/>
      <c r="Y146" s="86"/>
      <c r="Z146" s="143">
        <f>(VLOOKUP(F146,Preisliste!C:G,5,FALSE)-VLOOKUP(F146,Preisliste!C:G,4,FALSE))*B146</f>
        <v>0</v>
      </c>
      <c r="AB146" s="86"/>
      <c r="AC146" s="86"/>
      <c r="AD146" s="86"/>
      <c r="AE146" s="86"/>
      <c r="AF146" s="86"/>
      <c r="AK146" s="86">
        <f>IF(Kalk5!$AA$11,'STK5'!$B41,0)</f>
        <v>0</v>
      </c>
      <c r="AL146" s="86">
        <f t="shared" si="60"/>
        <v>0</v>
      </c>
    </row>
    <row r="147" spans="2:38" ht="24.95" customHeight="1">
      <c r="B147" s="92">
        <f t="shared" si="3"/>
        <v>0</v>
      </c>
      <c r="C147" s="60">
        <v>1350</v>
      </c>
      <c r="D147" s="60"/>
      <c r="E147" s="60" t="str">
        <f>VLOOKUP(1600,Sprachindex!$A:$Z,Erhebungsbogen!$Y$20,FALSE)</f>
        <v>[Stk]</v>
      </c>
      <c r="F147" s="60" t="s">
        <v>21958</v>
      </c>
      <c r="G147" s="514" t="str">
        <f>VLOOKUP(1614,Sprachindex!$A:$Z,Erhebungsbogen!$Y$20,FALSE) &amp; ", " &amp; VLOOKUP(1648,Sprachindex!$A:$Z,Erhebungsbogen!$Y$20,FALSE)</f>
        <v>Abdeckung VO 80, gebohrt und entgratet, blank</v>
      </c>
      <c r="H147" s="514"/>
      <c r="I147" s="514"/>
      <c r="J147" s="514"/>
      <c r="K147" s="514"/>
      <c r="L147" s="514"/>
      <c r="M147" s="514"/>
      <c r="N147" s="514"/>
      <c r="O147" s="514"/>
      <c r="P147" s="514"/>
      <c r="Q147" s="514"/>
      <c r="R147" s="514"/>
      <c r="S147" s="514"/>
      <c r="T147" s="514"/>
      <c r="U147" s="352">
        <f>VLOOKUP(F147,Preisliste!C:F,4,FALSE)</f>
        <v>127.7</v>
      </c>
      <c r="V147" s="352">
        <f t="shared" ref="V147:V151" si="64">U147*B147</f>
        <v>0</v>
      </c>
      <c r="W147" s="146"/>
      <c r="X147" s="146"/>
      <c r="Y147" s="86"/>
      <c r="Z147" s="143"/>
      <c r="AB147" s="86"/>
      <c r="AC147" s="86"/>
      <c r="AD147" s="86"/>
      <c r="AE147" s="86"/>
      <c r="AF147" s="86"/>
      <c r="AG147" s="86">
        <f>IF(Kalk1!$AA$11=FALSE,'STK1'!$B42,0)</f>
        <v>0</v>
      </c>
      <c r="AH147" s="86">
        <f>IF(Kalk2!$AA$11=FALSE,'STK2'!$B42,0)</f>
        <v>0</v>
      </c>
      <c r="AI147" s="86">
        <f>IF(Kalk3!$AA$11=FALSE,'STK3'!$B42,0)</f>
        <v>0</v>
      </c>
      <c r="AJ147" s="86">
        <f>IF(Kalk4!$AA$11=FALSE,'STK4'!$B42,0)</f>
        <v>0</v>
      </c>
      <c r="AK147" s="86">
        <f>IF(Kalk5!$AA$11=FALSE,'STK5'!$B42,0)</f>
        <v>0</v>
      </c>
      <c r="AL147" s="86">
        <f t="shared" si="60"/>
        <v>0</v>
      </c>
    </row>
    <row r="148" spans="2:38" ht="24.95" customHeight="1">
      <c r="B148" s="92">
        <f t="shared" ref="B148:B151" si="65">AL148</f>
        <v>0</v>
      </c>
      <c r="C148" s="60">
        <v>1350</v>
      </c>
      <c r="D148" s="60"/>
      <c r="E148" s="60" t="str">
        <f>VLOOKUP(1600,Sprachindex!$A:$Z,Erhebungsbogen!$Y$20,FALSE)</f>
        <v>[Stk]</v>
      </c>
      <c r="F148" s="60" t="s">
        <v>21958</v>
      </c>
      <c r="G148" s="514" t="str">
        <f>VLOOKUP(1614,Sprachindex!$A:$Z,Erhebungsbogen!$Y$20,FALSE) &amp; ", " &amp; VLOOKUP(1645,Sprachindex!$A:$Z,Erhebungsbogen!$Y$20,FALSE) &amp; " " &amp; $AG$18</f>
        <v xml:space="preserve">Abdeckung VO 80, gebohrt und entgratet, beschichtet </v>
      </c>
      <c r="H148" s="514"/>
      <c r="I148" s="514"/>
      <c r="J148" s="514"/>
      <c r="K148" s="514"/>
      <c r="L148" s="514"/>
      <c r="M148" s="514"/>
      <c r="N148" s="514"/>
      <c r="O148" s="514"/>
      <c r="P148" s="514"/>
      <c r="Q148" s="514"/>
      <c r="R148" s="514"/>
      <c r="S148" s="514"/>
      <c r="T148" s="514"/>
      <c r="U148" s="353">
        <f>VLOOKUP(F148,Preisliste!C:G,5,FALSE)</f>
        <v>140.47000000000003</v>
      </c>
      <c r="V148" s="352">
        <f t="shared" si="64"/>
        <v>0</v>
      </c>
      <c r="W148" s="146"/>
      <c r="X148" s="146"/>
      <c r="Y148" s="86"/>
      <c r="Z148" s="143">
        <f>(VLOOKUP(F148,Preisliste!C:G,5,FALSE)-VLOOKUP(F148,Preisliste!C:G,4,FALSE))*B148</f>
        <v>0</v>
      </c>
      <c r="AB148" s="86"/>
      <c r="AC148" s="86"/>
      <c r="AD148" s="86"/>
      <c r="AE148" s="86"/>
      <c r="AF148" s="86"/>
      <c r="AG148" s="86">
        <f>IF(Kalk1!$AA$11,'STK1'!$B42,0)</f>
        <v>0</v>
      </c>
      <c r="AL148" s="86">
        <f t="shared" si="60"/>
        <v>0</v>
      </c>
    </row>
    <row r="149" spans="2:38" ht="24.95" customHeight="1">
      <c r="B149" s="92">
        <f t="shared" si="65"/>
        <v>0</v>
      </c>
      <c r="C149" s="60">
        <v>1350</v>
      </c>
      <c r="D149" s="60"/>
      <c r="E149" s="60" t="str">
        <f>VLOOKUP(1600,Sprachindex!$A:$Z,Erhebungsbogen!$Y$20,FALSE)</f>
        <v>[Stk]</v>
      </c>
      <c r="F149" s="60" t="s">
        <v>21958</v>
      </c>
      <c r="G149" s="514" t="str">
        <f>VLOOKUP(1614,Sprachindex!$A:$Z,Erhebungsbogen!$Y$20,FALSE) &amp; ", " &amp; VLOOKUP(1645,Sprachindex!$A:$Z,Erhebungsbogen!$Y$20,FALSE) &amp; " " &amp; $AH$18</f>
        <v>Abdeckung VO 80, gebohrt und entgratet, beschichtet 0</v>
      </c>
      <c r="H149" s="514"/>
      <c r="I149" s="514"/>
      <c r="J149" s="514"/>
      <c r="K149" s="514"/>
      <c r="L149" s="514"/>
      <c r="M149" s="514"/>
      <c r="N149" s="514"/>
      <c r="O149" s="514"/>
      <c r="P149" s="514"/>
      <c r="Q149" s="514"/>
      <c r="R149" s="514"/>
      <c r="S149" s="514"/>
      <c r="T149" s="514"/>
      <c r="U149" s="353">
        <f>VLOOKUP(F149,Preisliste!C:G,5,FALSE)</f>
        <v>140.47000000000003</v>
      </c>
      <c r="V149" s="352">
        <f t="shared" si="64"/>
        <v>0</v>
      </c>
      <c r="W149" s="146"/>
      <c r="X149" s="146"/>
      <c r="Y149" s="86"/>
      <c r="Z149" s="143">
        <f>(VLOOKUP(F149,Preisliste!C:G,5,FALSE)-VLOOKUP(F149,Preisliste!C:G,4,FALSE))*B149</f>
        <v>0</v>
      </c>
      <c r="AB149" s="86"/>
      <c r="AC149" s="86"/>
      <c r="AD149" s="86"/>
      <c r="AE149" s="86"/>
      <c r="AF149" s="86"/>
      <c r="AH149" s="86">
        <f>IF(Kalk2!$AA$11,'STK2'!$B42,0)</f>
        <v>0</v>
      </c>
      <c r="AL149" s="86">
        <f t="shared" si="60"/>
        <v>0</v>
      </c>
    </row>
    <row r="150" spans="2:38" ht="24.95" customHeight="1">
      <c r="B150" s="92">
        <f t="shared" si="65"/>
        <v>0</v>
      </c>
      <c r="C150" s="60">
        <v>1350</v>
      </c>
      <c r="D150" s="60"/>
      <c r="E150" s="60" t="str">
        <f>VLOOKUP(1600,Sprachindex!$A:$Z,Erhebungsbogen!$Y$20,FALSE)</f>
        <v>[Stk]</v>
      </c>
      <c r="F150" s="60" t="s">
        <v>21958</v>
      </c>
      <c r="G150" s="514" t="str">
        <f>VLOOKUP(1614,Sprachindex!$A:$Z,Erhebungsbogen!$Y$20,FALSE) &amp; ", " &amp; VLOOKUP(1645,Sprachindex!$A:$Z,Erhebungsbogen!$Y$20,FALSE) &amp; " " &amp; $AI$18</f>
        <v>Abdeckung VO 80, gebohrt und entgratet, beschichtet 0</v>
      </c>
      <c r="H150" s="514"/>
      <c r="I150" s="514"/>
      <c r="J150" s="514"/>
      <c r="K150" s="514"/>
      <c r="L150" s="514"/>
      <c r="M150" s="514"/>
      <c r="N150" s="514"/>
      <c r="O150" s="514"/>
      <c r="P150" s="514"/>
      <c r="Q150" s="514"/>
      <c r="R150" s="514"/>
      <c r="S150" s="514"/>
      <c r="T150" s="514"/>
      <c r="U150" s="353">
        <f>VLOOKUP(F150,Preisliste!C:G,5,FALSE)</f>
        <v>140.47000000000003</v>
      </c>
      <c r="V150" s="352">
        <f t="shared" si="64"/>
        <v>0</v>
      </c>
      <c r="W150" s="146"/>
      <c r="X150" s="146"/>
      <c r="Y150" s="86"/>
      <c r="Z150" s="143">
        <f>(VLOOKUP(F150,Preisliste!C:G,5,FALSE)-VLOOKUP(F150,Preisliste!C:G,4,FALSE))*B150</f>
        <v>0</v>
      </c>
      <c r="AB150" s="86"/>
      <c r="AC150" s="86"/>
      <c r="AD150" s="86"/>
      <c r="AE150" s="86"/>
      <c r="AF150" s="86"/>
      <c r="AI150" s="86">
        <f>IF(Kalk3!$AA$11,'STK3'!$B42,0)</f>
        <v>0</v>
      </c>
      <c r="AL150" s="86">
        <f t="shared" si="60"/>
        <v>0</v>
      </c>
    </row>
    <row r="151" spans="2:38" ht="24.95" customHeight="1">
      <c r="B151" s="92">
        <f t="shared" si="65"/>
        <v>0</v>
      </c>
      <c r="C151" s="60">
        <v>1350</v>
      </c>
      <c r="D151" s="60"/>
      <c r="E151" s="60" t="str">
        <f>VLOOKUP(1600,Sprachindex!$A:$Z,Erhebungsbogen!$Y$20,FALSE)</f>
        <v>[Stk]</v>
      </c>
      <c r="F151" s="60" t="s">
        <v>21958</v>
      </c>
      <c r="G151" s="514" t="str">
        <f>VLOOKUP(1614,Sprachindex!$A:$Z,Erhebungsbogen!$Y$20,FALSE) &amp; ", " &amp; VLOOKUP(1645,Sprachindex!$A:$Z,Erhebungsbogen!$Y$20,FALSE) &amp; " " &amp; $AJ$18</f>
        <v>Abdeckung VO 80, gebohrt und entgratet, beschichtet 0</v>
      </c>
      <c r="H151" s="514"/>
      <c r="I151" s="514"/>
      <c r="J151" s="514"/>
      <c r="K151" s="514"/>
      <c r="L151" s="514"/>
      <c r="M151" s="514"/>
      <c r="N151" s="514"/>
      <c r="O151" s="514"/>
      <c r="P151" s="514"/>
      <c r="Q151" s="514"/>
      <c r="R151" s="514"/>
      <c r="S151" s="514"/>
      <c r="T151" s="514"/>
      <c r="U151" s="353">
        <f>VLOOKUP(F151,Preisliste!C:G,5,FALSE)</f>
        <v>140.47000000000003</v>
      </c>
      <c r="V151" s="352">
        <f t="shared" si="64"/>
        <v>0</v>
      </c>
      <c r="W151" s="146"/>
      <c r="X151" s="146"/>
      <c r="Y151" s="86"/>
      <c r="Z151" s="143">
        <f>(VLOOKUP(F151,Preisliste!C:G,5,FALSE)-VLOOKUP(F151,Preisliste!C:G,4,FALSE))*B151</f>
        <v>0</v>
      </c>
      <c r="AB151" s="86"/>
      <c r="AC151" s="86"/>
      <c r="AD151" s="86"/>
      <c r="AE151" s="86"/>
      <c r="AF151" s="86"/>
      <c r="AJ151" s="86">
        <f>IF(Kalk4!$AA$11,'STK4'!$B42,0)</f>
        <v>0</v>
      </c>
      <c r="AL151" s="86">
        <f t="shared" si="60"/>
        <v>0</v>
      </c>
    </row>
    <row r="152" spans="2:38" ht="24.95" customHeight="1">
      <c r="B152" s="92">
        <f t="shared" si="3"/>
        <v>0</v>
      </c>
      <c r="C152" s="60">
        <v>1350</v>
      </c>
      <c r="D152" s="60"/>
      <c r="E152" s="60" t="str">
        <f>VLOOKUP(1600,Sprachindex!$A:$Z,Erhebungsbogen!$Y$20,FALSE)</f>
        <v>[Stk]</v>
      </c>
      <c r="F152" s="60" t="s">
        <v>21958</v>
      </c>
      <c r="G152" s="514" t="str">
        <f>VLOOKUP(1614,Sprachindex!$A:$Z,Erhebungsbogen!$Y$20,FALSE) &amp; ", " &amp; VLOOKUP(1645,Sprachindex!$A:$Z,Erhebungsbogen!$Y$20,FALSE) &amp; " " &amp; $AK$18</f>
        <v>Abdeckung VO 80, gebohrt und entgratet, beschichtet 0</v>
      </c>
      <c r="H152" s="514"/>
      <c r="I152" s="514"/>
      <c r="J152" s="514"/>
      <c r="K152" s="514"/>
      <c r="L152" s="514"/>
      <c r="M152" s="514"/>
      <c r="N152" s="514"/>
      <c r="O152" s="514"/>
      <c r="P152" s="514"/>
      <c r="Q152" s="514"/>
      <c r="R152" s="514"/>
      <c r="S152" s="514"/>
      <c r="T152" s="514"/>
      <c r="U152" s="353">
        <f>VLOOKUP(F152,Preisliste!C:G,5,FALSE)</f>
        <v>140.47000000000003</v>
      </c>
      <c r="V152" s="352">
        <f t="shared" si="10"/>
        <v>0</v>
      </c>
      <c r="W152" s="146"/>
      <c r="X152" s="146"/>
      <c r="Y152" s="86"/>
      <c r="Z152" s="143">
        <f>(VLOOKUP(F152,Preisliste!C:G,5,FALSE)-VLOOKUP(F152,Preisliste!C:G,4,FALSE))*B152</f>
        <v>0</v>
      </c>
      <c r="AB152" s="86"/>
      <c r="AC152" s="86"/>
      <c r="AD152" s="86"/>
      <c r="AE152" s="86"/>
      <c r="AF152" s="86"/>
      <c r="AK152" s="86">
        <f>IF(Kalk5!$AA$11,'STK5'!$B42,0)</f>
        <v>0</v>
      </c>
      <c r="AL152" s="86">
        <f t="shared" si="60"/>
        <v>0</v>
      </c>
    </row>
    <row r="153" spans="2:38" ht="24.95" customHeight="1">
      <c r="B153" s="92">
        <f t="shared" si="3"/>
        <v>0</v>
      </c>
      <c r="C153" s="60">
        <v>1750</v>
      </c>
      <c r="D153" s="60"/>
      <c r="E153" s="60" t="str">
        <f>VLOOKUP(1600,Sprachindex!$A:$Z,Erhebungsbogen!$Y$20,FALSE)</f>
        <v>[Stk]</v>
      </c>
      <c r="F153" s="60" t="s">
        <v>21959</v>
      </c>
      <c r="G153" s="514" t="str">
        <f>VLOOKUP(1614,Sprachindex!$A:$Z,Erhebungsbogen!$Y$20,FALSE) &amp; ", " &amp; VLOOKUP(1648,Sprachindex!$A:$Z,Erhebungsbogen!$Y$20,FALSE)</f>
        <v>Abdeckung VO 80, gebohrt und entgratet, blank</v>
      </c>
      <c r="H153" s="514"/>
      <c r="I153" s="514"/>
      <c r="J153" s="514"/>
      <c r="K153" s="514"/>
      <c r="L153" s="514"/>
      <c r="M153" s="514"/>
      <c r="N153" s="514"/>
      <c r="O153" s="514"/>
      <c r="P153" s="514"/>
      <c r="Q153" s="514"/>
      <c r="R153" s="514"/>
      <c r="S153" s="514"/>
      <c r="T153" s="514"/>
      <c r="U153" s="352">
        <f>VLOOKUP(F153,Preisliste!C:F,4,FALSE)</f>
        <v>135.44999999999999</v>
      </c>
      <c r="V153" s="352">
        <f t="shared" ref="V153:V157" si="66">U153*B153</f>
        <v>0</v>
      </c>
      <c r="W153" s="146"/>
      <c r="X153" s="146"/>
      <c r="Y153" s="86"/>
      <c r="Z153" s="143"/>
      <c r="AB153" s="86"/>
      <c r="AC153" s="86"/>
      <c r="AD153" s="86"/>
      <c r="AE153" s="86"/>
      <c r="AF153" s="86"/>
      <c r="AG153" s="86">
        <f>IF(Kalk1!$AA$11=FALSE,'STK1'!$B43,0)</f>
        <v>0</v>
      </c>
      <c r="AH153" s="86">
        <f>IF(Kalk2!$AA$11=FALSE,'STK2'!$B43,0)</f>
        <v>0</v>
      </c>
      <c r="AI153" s="86">
        <f>IF(Kalk3!$AA$11=FALSE,'STK3'!$B43,0)</f>
        <v>0</v>
      </c>
      <c r="AJ153" s="86">
        <f>IF(Kalk4!$AA$11=FALSE,'STK4'!$B43,0)</f>
        <v>0</v>
      </c>
      <c r="AK153" s="86">
        <f>IF(Kalk5!$AA$11=FALSE,'STK5'!$B43,0)</f>
        <v>0</v>
      </c>
      <c r="AL153" s="86">
        <f t="shared" si="60"/>
        <v>0</v>
      </c>
    </row>
    <row r="154" spans="2:38" ht="24.95" customHeight="1">
      <c r="B154" s="92">
        <f t="shared" ref="B154:B157" si="67">AL154</f>
        <v>0</v>
      </c>
      <c r="C154" s="60">
        <v>1750</v>
      </c>
      <c r="D154" s="60"/>
      <c r="E154" s="60" t="str">
        <f>VLOOKUP(1600,Sprachindex!$A:$Z,Erhebungsbogen!$Y$20,FALSE)</f>
        <v>[Stk]</v>
      </c>
      <c r="F154" s="60" t="s">
        <v>21959</v>
      </c>
      <c r="G154" s="514" t="str">
        <f>VLOOKUP(1614,Sprachindex!$A:$Z,Erhebungsbogen!$Y$20,FALSE) &amp; ", " &amp; VLOOKUP(1645,Sprachindex!$A:$Z,Erhebungsbogen!$Y$20,FALSE) &amp; " " &amp; $AG$18</f>
        <v xml:space="preserve">Abdeckung VO 80, gebohrt und entgratet, beschichtet </v>
      </c>
      <c r="H154" s="514"/>
      <c r="I154" s="514"/>
      <c r="J154" s="514"/>
      <c r="K154" s="514"/>
      <c r="L154" s="514"/>
      <c r="M154" s="514"/>
      <c r="N154" s="514"/>
      <c r="O154" s="514"/>
      <c r="P154" s="514"/>
      <c r="Q154" s="514"/>
      <c r="R154" s="514"/>
      <c r="S154" s="514"/>
      <c r="T154" s="514"/>
      <c r="U154" s="353">
        <f>VLOOKUP(F154,Preisliste!C:G,5,FALSE)</f>
        <v>148.995</v>
      </c>
      <c r="V154" s="352">
        <f t="shared" si="66"/>
        <v>0</v>
      </c>
      <c r="W154" s="146"/>
      <c r="X154" s="146"/>
      <c r="Y154" s="86"/>
      <c r="Z154" s="143">
        <f>(VLOOKUP(F154,Preisliste!C:G,5,FALSE)-VLOOKUP(F154,Preisliste!C:G,4,FALSE))*B154</f>
        <v>0</v>
      </c>
      <c r="AB154" s="86"/>
      <c r="AC154" s="86"/>
      <c r="AD154" s="86"/>
      <c r="AE154" s="86"/>
      <c r="AF154" s="86"/>
      <c r="AG154" s="86">
        <f>IF(Kalk1!$AA$11,'STK1'!$B43,0)</f>
        <v>0</v>
      </c>
      <c r="AL154" s="86">
        <f t="shared" si="60"/>
        <v>0</v>
      </c>
    </row>
    <row r="155" spans="2:38" ht="24.95" customHeight="1">
      <c r="B155" s="92">
        <f t="shared" si="67"/>
        <v>0</v>
      </c>
      <c r="C155" s="60">
        <v>1750</v>
      </c>
      <c r="D155" s="60"/>
      <c r="E155" s="60" t="str">
        <f>VLOOKUP(1600,Sprachindex!$A:$Z,Erhebungsbogen!$Y$20,FALSE)</f>
        <v>[Stk]</v>
      </c>
      <c r="F155" s="60" t="s">
        <v>21959</v>
      </c>
      <c r="G155" s="514" t="str">
        <f>VLOOKUP(1614,Sprachindex!$A:$Z,Erhebungsbogen!$Y$20,FALSE) &amp; ", " &amp; VLOOKUP(1645,Sprachindex!$A:$Z,Erhebungsbogen!$Y$20,FALSE) &amp; " " &amp; $AH$18</f>
        <v>Abdeckung VO 80, gebohrt und entgratet, beschichtet 0</v>
      </c>
      <c r="H155" s="514"/>
      <c r="I155" s="514"/>
      <c r="J155" s="514"/>
      <c r="K155" s="514"/>
      <c r="L155" s="514"/>
      <c r="M155" s="514"/>
      <c r="N155" s="514"/>
      <c r="O155" s="514"/>
      <c r="P155" s="514"/>
      <c r="Q155" s="514"/>
      <c r="R155" s="514"/>
      <c r="S155" s="514"/>
      <c r="T155" s="514"/>
      <c r="U155" s="353">
        <f>VLOOKUP(F155,Preisliste!C:G,5,FALSE)</f>
        <v>148.995</v>
      </c>
      <c r="V155" s="352">
        <f t="shared" si="66"/>
        <v>0</v>
      </c>
      <c r="W155" s="146"/>
      <c r="X155" s="146"/>
      <c r="Y155" s="86"/>
      <c r="Z155" s="143">
        <f>(VLOOKUP(F155,Preisliste!C:G,5,FALSE)-VLOOKUP(F155,Preisliste!C:G,4,FALSE))*B155</f>
        <v>0</v>
      </c>
      <c r="AB155" s="86"/>
      <c r="AC155" s="86"/>
      <c r="AD155" s="86"/>
      <c r="AE155" s="86"/>
      <c r="AF155" s="86"/>
      <c r="AH155" s="86">
        <f>IF(Kalk2!$AA$11,'STK2'!$B43,0)</f>
        <v>0</v>
      </c>
      <c r="AL155" s="86">
        <f t="shared" si="60"/>
        <v>0</v>
      </c>
    </row>
    <row r="156" spans="2:38" ht="24.95" customHeight="1">
      <c r="B156" s="92">
        <f t="shared" si="67"/>
        <v>0</v>
      </c>
      <c r="C156" s="60">
        <v>1750</v>
      </c>
      <c r="D156" s="60"/>
      <c r="E156" s="60" t="str">
        <f>VLOOKUP(1600,Sprachindex!$A:$Z,Erhebungsbogen!$Y$20,FALSE)</f>
        <v>[Stk]</v>
      </c>
      <c r="F156" s="60" t="s">
        <v>21959</v>
      </c>
      <c r="G156" s="514" t="str">
        <f>VLOOKUP(1614,Sprachindex!$A:$Z,Erhebungsbogen!$Y$20,FALSE) &amp; ", " &amp; VLOOKUP(1645,Sprachindex!$A:$Z,Erhebungsbogen!$Y$20,FALSE) &amp; " " &amp; $AI$18</f>
        <v>Abdeckung VO 80, gebohrt und entgratet, beschichtet 0</v>
      </c>
      <c r="H156" s="514"/>
      <c r="I156" s="514"/>
      <c r="J156" s="514"/>
      <c r="K156" s="514"/>
      <c r="L156" s="514"/>
      <c r="M156" s="514"/>
      <c r="N156" s="514"/>
      <c r="O156" s="514"/>
      <c r="P156" s="514"/>
      <c r="Q156" s="514"/>
      <c r="R156" s="514"/>
      <c r="S156" s="514"/>
      <c r="T156" s="514"/>
      <c r="U156" s="353">
        <f>VLOOKUP(F156,Preisliste!C:G,5,FALSE)</f>
        <v>148.995</v>
      </c>
      <c r="V156" s="352">
        <f t="shared" si="66"/>
        <v>0</v>
      </c>
      <c r="W156" s="146"/>
      <c r="X156" s="146"/>
      <c r="Y156" s="86"/>
      <c r="Z156" s="143">
        <f>(VLOOKUP(F156,Preisliste!C:G,5,FALSE)-VLOOKUP(F156,Preisliste!C:G,4,FALSE))*B156</f>
        <v>0</v>
      </c>
      <c r="AB156" s="86"/>
      <c r="AC156" s="86"/>
      <c r="AD156" s="86"/>
      <c r="AE156" s="86"/>
      <c r="AF156" s="86"/>
      <c r="AI156" s="86">
        <f>IF(Kalk3!$AA$11,'STK3'!$B43,0)</f>
        <v>0</v>
      </c>
      <c r="AL156" s="86">
        <f t="shared" si="60"/>
        <v>0</v>
      </c>
    </row>
    <row r="157" spans="2:38" ht="24.95" customHeight="1">
      <c r="B157" s="92">
        <f t="shared" si="67"/>
        <v>0</v>
      </c>
      <c r="C157" s="60">
        <v>1750</v>
      </c>
      <c r="D157" s="60"/>
      <c r="E157" s="60" t="str">
        <f>VLOOKUP(1600,Sprachindex!$A:$Z,Erhebungsbogen!$Y$20,FALSE)</f>
        <v>[Stk]</v>
      </c>
      <c r="F157" s="60" t="s">
        <v>21959</v>
      </c>
      <c r="G157" s="514" t="str">
        <f>VLOOKUP(1614,Sprachindex!$A:$Z,Erhebungsbogen!$Y$20,FALSE) &amp; ", " &amp; VLOOKUP(1645,Sprachindex!$A:$Z,Erhebungsbogen!$Y$20,FALSE) &amp; " " &amp; $AJ$18</f>
        <v>Abdeckung VO 80, gebohrt und entgratet, beschichtet 0</v>
      </c>
      <c r="H157" s="514"/>
      <c r="I157" s="514"/>
      <c r="J157" s="514"/>
      <c r="K157" s="514"/>
      <c r="L157" s="514"/>
      <c r="M157" s="514"/>
      <c r="N157" s="514"/>
      <c r="O157" s="514"/>
      <c r="P157" s="514"/>
      <c r="Q157" s="514"/>
      <c r="R157" s="514"/>
      <c r="S157" s="514"/>
      <c r="T157" s="514"/>
      <c r="U157" s="353">
        <f>VLOOKUP(F157,Preisliste!C:G,5,FALSE)</f>
        <v>148.995</v>
      </c>
      <c r="V157" s="352">
        <f t="shared" si="66"/>
        <v>0</v>
      </c>
      <c r="W157" s="146"/>
      <c r="X157" s="146"/>
      <c r="Y157" s="86"/>
      <c r="Z157" s="143">
        <f>(VLOOKUP(F157,Preisliste!C:G,5,FALSE)-VLOOKUP(F157,Preisliste!C:G,4,FALSE))*B157</f>
        <v>0</v>
      </c>
      <c r="AB157" s="86"/>
      <c r="AC157" s="86"/>
      <c r="AD157" s="86"/>
      <c r="AE157" s="86"/>
      <c r="AF157" s="86"/>
      <c r="AJ157" s="86">
        <f>IF(Kalk4!$AA$11,'STK4'!$B43,0)</f>
        <v>0</v>
      </c>
      <c r="AL157" s="86">
        <f t="shared" si="60"/>
        <v>0</v>
      </c>
    </row>
    <row r="158" spans="2:38" ht="24.95" customHeight="1">
      <c r="B158" s="92">
        <f t="shared" si="3"/>
        <v>0</v>
      </c>
      <c r="C158" s="60">
        <v>1750</v>
      </c>
      <c r="D158" s="60"/>
      <c r="E158" s="60" t="str">
        <f>VLOOKUP(1600,Sprachindex!$A:$Z,Erhebungsbogen!$Y$20,FALSE)</f>
        <v>[Stk]</v>
      </c>
      <c r="F158" s="60" t="s">
        <v>21959</v>
      </c>
      <c r="G158" s="514" t="str">
        <f>VLOOKUP(1614,Sprachindex!$A:$Z,Erhebungsbogen!$Y$20,FALSE) &amp; ", " &amp; VLOOKUP(1645,Sprachindex!$A:$Z,Erhebungsbogen!$Y$20,FALSE) &amp; " " &amp; $AK$18</f>
        <v>Abdeckung VO 80, gebohrt und entgratet, beschichtet 0</v>
      </c>
      <c r="H158" s="514"/>
      <c r="I158" s="514"/>
      <c r="J158" s="514"/>
      <c r="K158" s="514"/>
      <c r="L158" s="514"/>
      <c r="M158" s="514"/>
      <c r="N158" s="514"/>
      <c r="O158" s="514"/>
      <c r="P158" s="514"/>
      <c r="Q158" s="514"/>
      <c r="R158" s="514"/>
      <c r="S158" s="514"/>
      <c r="T158" s="514"/>
      <c r="U158" s="353">
        <f>VLOOKUP(F158,Preisliste!C:G,5,FALSE)</f>
        <v>148.995</v>
      </c>
      <c r="V158" s="352">
        <f t="shared" si="10"/>
        <v>0</v>
      </c>
      <c r="W158" s="146"/>
      <c r="X158" s="146"/>
      <c r="Y158" s="86"/>
      <c r="Z158" s="143">
        <f>(VLOOKUP(F158,Preisliste!C:G,5,FALSE)-VLOOKUP(F158,Preisliste!C:G,4,FALSE))*B158</f>
        <v>0</v>
      </c>
      <c r="AB158" s="86"/>
      <c r="AC158" s="86"/>
      <c r="AD158" s="86"/>
      <c r="AE158" s="86"/>
      <c r="AF158" s="86"/>
      <c r="AK158" s="86">
        <f>IF(Kalk5!$AA$11,'STK5'!$B43,0)</f>
        <v>0</v>
      </c>
      <c r="AL158" s="86">
        <f t="shared" si="60"/>
        <v>0</v>
      </c>
    </row>
    <row r="159" spans="2:38" ht="24.95" customHeight="1">
      <c r="B159" s="92">
        <f t="shared" si="3"/>
        <v>0</v>
      </c>
      <c r="C159" s="60">
        <v>2150</v>
      </c>
      <c r="D159" s="60"/>
      <c r="E159" s="60" t="str">
        <f>VLOOKUP(1600,Sprachindex!$A:$Z,Erhebungsbogen!$Y$20,FALSE)</f>
        <v>[Stk]</v>
      </c>
      <c r="F159" s="60" t="s">
        <v>21960</v>
      </c>
      <c r="G159" s="514" t="str">
        <f>VLOOKUP(1614,Sprachindex!$A:$Z,Erhebungsbogen!$Y$20,FALSE) &amp; ", " &amp; VLOOKUP(1648,Sprachindex!$A:$Z,Erhebungsbogen!$Y$20,FALSE)</f>
        <v>Abdeckung VO 80, gebohrt und entgratet, blank</v>
      </c>
      <c r="H159" s="514"/>
      <c r="I159" s="514"/>
      <c r="J159" s="514"/>
      <c r="K159" s="514"/>
      <c r="L159" s="514"/>
      <c r="M159" s="514"/>
      <c r="N159" s="514"/>
      <c r="O159" s="514"/>
      <c r="P159" s="514"/>
      <c r="Q159" s="514"/>
      <c r="R159" s="514"/>
      <c r="S159" s="514"/>
      <c r="T159" s="514"/>
      <c r="U159" s="352">
        <f>VLOOKUP(F159,Preisliste!C:F,4,FALSE)</f>
        <v>143.05000000000001</v>
      </c>
      <c r="V159" s="352">
        <f t="shared" ref="V159:V163" si="68">U159*B159</f>
        <v>0</v>
      </c>
      <c r="W159" s="146"/>
      <c r="X159" s="146"/>
      <c r="Y159" s="86"/>
      <c r="Z159" s="143"/>
      <c r="AB159" s="86"/>
      <c r="AC159" s="86"/>
      <c r="AD159" s="86"/>
      <c r="AE159" s="86"/>
      <c r="AF159" s="86"/>
      <c r="AG159" s="86">
        <f>IF(Kalk1!$AA$11=FALSE,'STK1'!$B44,0)</f>
        <v>0</v>
      </c>
      <c r="AH159" s="86">
        <f>IF(Kalk2!$AA$11=FALSE,'STK2'!$B44,0)</f>
        <v>0</v>
      </c>
      <c r="AI159" s="86">
        <f>IF(Kalk3!$AA$11=FALSE,'STK3'!$B44,0)</f>
        <v>0</v>
      </c>
      <c r="AJ159" s="86">
        <f>IF(Kalk4!$AA$11=FALSE,'STK4'!$B44,0)</f>
        <v>0</v>
      </c>
      <c r="AK159" s="86">
        <f>IF(Kalk5!$AA$11=FALSE,'STK5'!$B44,0)</f>
        <v>0</v>
      </c>
      <c r="AL159" s="86">
        <f t="shared" si="60"/>
        <v>0</v>
      </c>
    </row>
    <row r="160" spans="2:38" ht="24.95" customHeight="1">
      <c r="B160" s="92">
        <f t="shared" ref="B160:B163" si="69">AL160</f>
        <v>0</v>
      </c>
      <c r="C160" s="60">
        <v>2150</v>
      </c>
      <c r="D160" s="60"/>
      <c r="E160" s="60" t="str">
        <f>VLOOKUP(1600,Sprachindex!$A:$Z,Erhebungsbogen!$Y$20,FALSE)</f>
        <v>[Stk]</v>
      </c>
      <c r="F160" s="60" t="s">
        <v>21960</v>
      </c>
      <c r="G160" s="514" t="str">
        <f>VLOOKUP(1614,Sprachindex!$A:$Z,Erhebungsbogen!$Y$20,FALSE) &amp; ", " &amp; VLOOKUP(1645,Sprachindex!$A:$Z,Erhebungsbogen!$Y$20,FALSE) &amp; " " &amp; $AG$18</f>
        <v xml:space="preserve">Abdeckung VO 80, gebohrt und entgratet, beschichtet </v>
      </c>
      <c r="H160" s="514"/>
      <c r="I160" s="514"/>
      <c r="J160" s="514"/>
      <c r="K160" s="514"/>
      <c r="L160" s="514"/>
      <c r="M160" s="514"/>
      <c r="N160" s="514"/>
      <c r="O160" s="514"/>
      <c r="P160" s="514"/>
      <c r="Q160" s="514"/>
      <c r="R160" s="514"/>
      <c r="S160" s="514"/>
      <c r="T160" s="514"/>
      <c r="U160" s="353">
        <f>VLOOKUP(F160,Preisliste!C:G,5,FALSE)</f>
        <v>157.35500000000002</v>
      </c>
      <c r="V160" s="352">
        <f t="shared" si="68"/>
        <v>0</v>
      </c>
      <c r="W160" s="146"/>
      <c r="X160" s="146"/>
      <c r="Y160" s="86"/>
      <c r="Z160" s="143">
        <f>(VLOOKUP(F160,Preisliste!C:G,5,FALSE)-VLOOKUP(F160,Preisliste!C:G,4,FALSE))*B160</f>
        <v>0</v>
      </c>
      <c r="AB160" s="86"/>
      <c r="AC160" s="86"/>
      <c r="AD160" s="86"/>
      <c r="AE160" s="86"/>
      <c r="AF160" s="86"/>
      <c r="AG160" s="86">
        <f>IF(Kalk1!$AA$11,'STK1'!$B44,0)</f>
        <v>0</v>
      </c>
      <c r="AL160" s="86">
        <f t="shared" si="60"/>
        <v>0</v>
      </c>
    </row>
    <row r="161" spans="2:89" ht="24.95" customHeight="1">
      <c r="B161" s="92">
        <f t="shared" si="69"/>
        <v>0</v>
      </c>
      <c r="C161" s="60">
        <v>2150</v>
      </c>
      <c r="D161" s="60"/>
      <c r="E161" s="60" t="str">
        <f>VLOOKUP(1600,Sprachindex!$A:$Z,Erhebungsbogen!$Y$20,FALSE)</f>
        <v>[Stk]</v>
      </c>
      <c r="F161" s="60" t="s">
        <v>21960</v>
      </c>
      <c r="G161" s="514" t="str">
        <f>VLOOKUP(1614,Sprachindex!$A:$Z,Erhebungsbogen!$Y$20,FALSE) &amp; ", " &amp; VLOOKUP(1645,Sprachindex!$A:$Z,Erhebungsbogen!$Y$20,FALSE) &amp; " " &amp; $AH$18</f>
        <v>Abdeckung VO 80, gebohrt und entgratet, beschichtet 0</v>
      </c>
      <c r="H161" s="514"/>
      <c r="I161" s="514"/>
      <c r="J161" s="514"/>
      <c r="K161" s="514"/>
      <c r="L161" s="514"/>
      <c r="M161" s="514"/>
      <c r="N161" s="514"/>
      <c r="O161" s="514"/>
      <c r="P161" s="514"/>
      <c r="Q161" s="514"/>
      <c r="R161" s="514"/>
      <c r="S161" s="514"/>
      <c r="T161" s="514"/>
      <c r="U161" s="353">
        <f>VLOOKUP(F161,Preisliste!C:G,5,FALSE)</f>
        <v>157.35500000000002</v>
      </c>
      <c r="V161" s="352">
        <f t="shared" si="68"/>
        <v>0</v>
      </c>
      <c r="W161" s="146"/>
      <c r="X161" s="146"/>
      <c r="Y161" s="86"/>
      <c r="Z161" s="143">
        <f>(VLOOKUP(F161,Preisliste!C:G,5,FALSE)-VLOOKUP(F161,Preisliste!C:G,4,FALSE))*B161</f>
        <v>0</v>
      </c>
      <c r="AB161" s="86"/>
      <c r="AC161" s="86"/>
      <c r="AD161" s="86"/>
      <c r="AE161" s="86"/>
      <c r="AF161" s="86"/>
      <c r="AH161" s="86">
        <f>IF(Kalk2!$AA$11,'STK2'!$B44,0)</f>
        <v>0</v>
      </c>
      <c r="AL161" s="86">
        <f t="shared" si="60"/>
        <v>0</v>
      </c>
    </row>
    <row r="162" spans="2:89" ht="24.95" customHeight="1">
      <c r="B162" s="92">
        <f t="shared" si="69"/>
        <v>0</v>
      </c>
      <c r="C162" s="60">
        <v>2150</v>
      </c>
      <c r="D162" s="60"/>
      <c r="E162" s="60" t="str">
        <f>VLOOKUP(1600,Sprachindex!$A:$Z,Erhebungsbogen!$Y$20,FALSE)</f>
        <v>[Stk]</v>
      </c>
      <c r="F162" s="60" t="s">
        <v>21960</v>
      </c>
      <c r="G162" s="514" t="str">
        <f>VLOOKUP(1614,Sprachindex!$A:$Z,Erhebungsbogen!$Y$20,FALSE) &amp; ", " &amp; VLOOKUP(1645,Sprachindex!$A:$Z,Erhebungsbogen!$Y$20,FALSE) &amp; " " &amp; $AI$18</f>
        <v>Abdeckung VO 80, gebohrt und entgratet, beschichtet 0</v>
      </c>
      <c r="H162" s="514"/>
      <c r="I162" s="514"/>
      <c r="J162" s="514"/>
      <c r="K162" s="514"/>
      <c r="L162" s="514"/>
      <c r="M162" s="514"/>
      <c r="N162" s="514"/>
      <c r="O162" s="514"/>
      <c r="P162" s="514"/>
      <c r="Q162" s="514"/>
      <c r="R162" s="514"/>
      <c r="S162" s="514"/>
      <c r="T162" s="514"/>
      <c r="U162" s="353">
        <f>VLOOKUP(F162,Preisliste!C:G,5,FALSE)</f>
        <v>157.35500000000002</v>
      </c>
      <c r="V162" s="352">
        <f t="shared" si="68"/>
        <v>0</v>
      </c>
      <c r="W162" s="146"/>
      <c r="X162" s="146"/>
      <c r="Y162" s="86"/>
      <c r="Z162" s="143">
        <f>(VLOOKUP(F162,Preisliste!C:G,5,FALSE)-VLOOKUP(F162,Preisliste!C:G,4,FALSE))*B162</f>
        <v>0</v>
      </c>
      <c r="AB162" s="86"/>
      <c r="AC162" s="86"/>
      <c r="AD162" s="86"/>
      <c r="AE162" s="86"/>
      <c r="AF162" s="86"/>
      <c r="AI162" s="86">
        <f>IF(Kalk3!$AA$11,'STK3'!$B44,0)</f>
        <v>0</v>
      </c>
      <c r="AL162" s="86">
        <f t="shared" si="60"/>
        <v>0</v>
      </c>
    </row>
    <row r="163" spans="2:89" ht="24.95" customHeight="1">
      <c r="B163" s="92">
        <f t="shared" si="69"/>
        <v>0</v>
      </c>
      <c r="C163" s="60">
        <v>2150</v>
      </c>
      <c r="D163" s="60"/>
      <c r="E163" s="60" t="str">
        <f>VLOOKUP(1600,Sprachindex!$A:$Z,Erhebungsbogen!$Y$20,FALSE)</f>
        <v>[Stk]</v>
      </c>
      <c r="F163" s="60" t="s">
        <v>21960</v>
      </c>
      <c r="G163" s="514" t="str">
        <f>VLOOKUP(1614,Sprachindex!$A:$Z,Erhebungsbogen!$Y$20,FALSE) &amp; ", " &amp; VLOOKUP(1645,Sprachindex!$A:$Z,Erhebungsbogen!$Y$20,FALSE) &amp; " " &amp; $AJ$18</f>
        <v>Abdeckung VO 80, gebohrt und entgratet, beschichtet 0</v>
      </c>
      <c r="H163" s="514"/>
      <c r="I163" s="514"/>
      <c r="J163" s="514"/>
      <c r="K163" s="514"/>
      <c r="L163" s="514"/>
      <c r="M163" s="514"/>
      <c r="N163" s="514"/>
      <c r="O163" s="514"/>
      <c r="P163" s="514"/>
      <c r="Q163" s="514"/>
      <c r="R163" s="514"/>
      <c r="S163" s="514"/>
      <c r="T163" s="514"/>
      <c r="U163" s="353">
        <f>VLOOKUP(F163,Preisliste!C:G,5,FALSE)</f>
        <v>157.35500000000002</v>
      </c>
      <c r="V163" s="352">
        <f t="shared" si="68"/>
        <v>0</v>
      </c>
      <c r="W163" s="146"/>
      <c r="X163" s="146"/>
      <c r="Y163" s="86"/>
      <c r="Z163" s="143">
        <f>(VLOOKUP(F163,Preisliste!C:G,5,FALSE)-VLOOKUP(F163,Preisliste!C:G,4,FALSE))*B163</f>
        <v>0</v>
      </c>
      <c r="AB163" s="86"/>
      <c r="AC163" s="86"/>
      <c r="AD163" s="86"/>
      <c r="AE163" s="86"/>
      <c r="AF163" s="86"/>
      <c r="AJ163" s="86">
        <f>IF(Kalk4!$AA$11,'STK4'!$B44,0)</f>
        <v>0</v>
      </c>
      <c r="AL163" s="86">
        <f t="shared" si="60"/>
        <v>0</v>
      </c>
    </row>
    <row r="164" spans="2:89" ht="24.95" customHeight="1">
      <c r="B164" s="92">
        <f t="shared" si="3"/>
        <v>0</v>
      </c>
      <c r="C164" s="60">
        <v>2150</v>
      </c>
      <c r="D164" s="60"/>
      <c r="E164" s="60" t="str">
        <f>VLOOKUP(1600,Sprachindex!$A:$Z,Erhebungsbogen!$Y$20,FALSE)</f>
        <v>[Stk]</v>
      </c>
      <c r="F164" s="60" t="s">
        <v>21960</v>
      </c>
      <c r="G164" s="514" t="str">
        <f>VLOOKUP(1614,Sprachindex!$A:$Z,Erhebungsbogen!$Y$20,FALSE) &amp; ", " &amp; VLOOKUP(1645,Sprachindex!$A:$Z,Erhebungsbogen!$Y$20,FALSE) &amp; " " &amp; $AK$18</f>
        <v>Abdeckung VO 80, gebohrt und entgratet, beschichtet 0</v>
      </c>
      <c r="H164" s="514"/>
      <c r="I164" s="514"/>
      <c r="J164" s="514"/>
      <c r="K164" s="514"/>
      <c r="L164" s="514"/>
      <c r="M164" s="514"/>
      <c r="N164" s="514"/>
      <c r="O164" s="514"/>
      <c r="P164" s="514"/>
      <c r="Q164" s="514"/>
      <c r="R164" s="514"/>
      <c r="S164" s="514"/>
      <c r="T164" s="514"/>
      <c r="U164" s="353">
        <f>VLOOKUP(F164,Preisliste!C:G,5,FALSE)</f>
        <v>157.35500000000002</v>
      </c>
      <c r="V164" s="352">
        <f t="shared" si="10"/>
        <v>0</v>
      </c>
      <c r="W164" s="146"/>
      <c r="X164" s="146"/>
      <c r="Y164" s="86"/>
      <c r="Z164" s="143">
        <f>(VLOOKUP(F164,Preisliste!C:G,5,FALSE)-VLOOKUP(F164,Preisliste!C:G,4,FALSE))*B164</f>
        <v>0</v>
      </c>
      <c r="AB164" s="86"/>
      <c r="AC164" s="86"/>
      <c r="AD164" s="86"/>
      <c r="AE164" s="86"/>
      <c r="AF164" s="86"/>
      <c r="AK164" s="86">
        <f>IF(Kalk5!$AA$11,'STK5'!$B44,0)</f>
        <v>0</v>
      </c>
      <c r="AL164" s="86">
        <f t="shared" ref="AL164:AL165" si="70">SUM(AG164:AK164)</f>
        <v>0</v>
      </c>
    </row>
    <row r="165" spans="2:89" ht="24.95" customHeight="1">
      <c r="B165" s="93">
        <f t="shared" ref="B165:B166" si="71">IF(AG165&gt;0,AL165,0)</f>
        <v>0</v>
      </c>
      <c r="C165" s="60"/>
      <c r="D165" s="60"/>
      <c r="E165" s="60" t="str">
        <f>VLOOKUP(1600,Sprachindex!$A:$Z,Erhebungsbogen!$Y$20,FALSE)</f>
        <v>[Stk]</v>
      </c>
      <c r="F165" s="60" t="s">
        <v>25459</v>
      </c>
      <c r="G165" s="514" t="str">
        <f>VLOOKUP(1625,Sprachindex!$A:$Z,Erhebungsbogen!$Y$20,FALSE) &amp; " (2 " &amp; VLOOKUP(1837,Sprachindex!$A:$Z,Erhebungsbogen!$Y$20,FALSE) &amp; ")"</f>
        <v>Aufpreis Ausfräsung Seitenteile für Dammbalken (2 Stk)</v>
      </c>
      <c r="H165" s="514"/>
      <c r="I165" s="514"/>
      <c r="J165" s="514"/>
      <c r="K165" s="514"/>
      <c r="L165" s="514"/>
      <c r="M165" s="514"/>
      <c r="N165" s="514"/>
      <c r="O165" s="514"/>
      <c r="P165" s="514"/>
      <c r="Q165" s="514"/>
      <c r="R165" s="514"/>
      <c r="S165" s="514"/>
      <c r="T165" s="514"/>
      <c r="U165" s="352">
        <f>Preisliste!F26</f>
        <v>0</v>
      </c>
      <c r="V165" s="352">
        <f t="shared" si="10"/>
        <v>0</v>
      </c>
      <c r="W165" s="86"/>
      <c r="X165" s="146"/>
      <c r="Y165" s="86"/>
      <c r="Z165" s="86"/>
      <c r="AA165" s="86"/>
      <c r="AB165" s="86"/>
      <c r="AC165" s="86"/>
      <c r="AD165" s="86"/>
      <c r="AE165" s="86"/>
      <c r="AF165" s="86"/>
      <c r="AG165" s="86">
        <f>'STK1'!$B45</f>
        <v>0</v>
      </c>
      <c r="AH165" s="86">
        <f>'STK2'!$B45</f>
        <v>0</v>
      </c>
      <c r="AI165" s="86">
        <f>'STK3'!$B45</f>
        <v>0</v>
      </c>
      <c r="AJ165" s="86">
        <f>'STK4'!$B45</f>
        <v>0</v>
      </c>
      <c r="AK165" s="86">
        <f>'STK5'!$B45</f>
        <v>0</v>
      </c>
      <c r="AL165" s="86">
        <f t="shared" si="70"/>
        <v>0</v>
      </c>
    </row>
    <row r="166" spans="2:89" ht="24.95" customHeight="1">
      <c r="B166" s="93">
        <f t="shared" si="71"/>
        <v>0</v>
      </c>
      <c r="C166" s="60"/>
      <c r="D166" s="60"/>
      <c r="E166" s="60" t="str">
        <f>VLOOKUP(1600,Sprachindex!$A:$Z,Erhebungsbogen!$Y$20,FALSE)</f>
        <v>[Stk]</v>
      </c>
      <c r="F166" s="60" t="s">
        <v>25460</v>
      </c>
      <c r="G166" s="514" t="str">
        <f>VLOOKUP(1626,Sprachindex!$A:$Z,Erhebungsbogen!$Y$20,FALSE) &amp; " + " &amp; VLOOKUP(1608,Sprachindex!$A:$Z,Erhebungsbogen!$Y$20,FALSE) &amp; " (2 " &amp; VLOOKUP(1837,Sprachindex!$A:$Z,Erhebungsbogen!$Y$20,FALSE) &amp; ")"</f>
        <v>Aufpreis Längenänderung Seitenteile + Abdeckung (2 Stk)</v>
      </c>
      <c r="H166" s="515"/>
      <c r="I166" s="515"/>
      <c r="J166" s="515"/>
      <c r="K166" s="515"/>
      <c r="L166" s="515"/>
      <c r="M166" s="515"/>
      <c r="N166" s="515"/>
      <c r="O166" s="515"/>
      <c r="P166" s="515"/>
      <c r="Q166" s="515"/>
      <c r="R166" s="515"/>
      <c r="S166" s="515"/>
      <c r="T166" s="516"/>
      <c r="U166" s="352">
        <f>Preisliste!F27</f>
        <v>0</v>
      </c>
      <c r="V166" s="352">
        <f t="shared" si="10"/>
        <v>0</v>
      </c>
      <c r="W166" s="86"/>
      <c r="X166" s="146"/>
      <c r="Y166" s="86"/>
      <c r="Z166" s="86"/>
      <c r="AA166" s="86"/>
      <c r="AB166" s="86"/>
      <c r="AC166" s="86"/>
      <c r="AD166" s="86"/>
      <c r="AE166" s="86"/>
      <c r="AF166" s="86"/>
      <c r="AG166" s="86">
        <f>'STK1'!$B46</f>
        <v>0</v>
      </c>
      <c r="AH166" s="86">
        <f>'STK2'!$B46</f>
        <v>0</v>
      </c>
      <c r="AI166" s="86">
        <f>'STK3'!$B46</f>
        <v>0</v>
      </c>
      <c r="AJ166" s="86">
        <f>'STK4'!$B46</f>
        <v>0</v>
      </c>
      <c r="AK166" s="86">
        <f>'STK5'!$B46</f>
        <v>0</v>
      </c>
      <c r="AL166" s="86">
        <f t="shared" ref="AL166:AL167" si="72">SUM(AG166:AK166)</f>
        <v>0</v>
      </c>
    </row>
    <row r="167" spans="2:89" ht="24.95" customHeight="1">
      <c r="B167" s="93">
        <f>IF(AG167&gt;0,AL167,0)</f>
        <v>0</v>
      </c>
      <c r="C167" s="60"/>
      <c r="D167" s="60"/>
      <c r="E167" s="60" t="str">
        <f>VLOOKUP(1594,Sprachindex!$A:$Z,Erhebungsbogen!$Y$20,FALSE)</f>
        <v>[EH]</v>
      </c>
      <c r="F167" s="60" t="s">
        <v>25458</v>
      </c>
      <c r="G167" s="514" t="str">
        <f>VLOOKUP(1627,Sprachindex!$A:$Z,Erhebungsbogen!$Y$20,FALSE)</f>
        <v>Aufpreis Planungsstunde</v>
      </c>
      <c r="H167" s="514"/>
      <c r="I167" s="514"/>
      <c r="J167" s="514"/>
      <c r="K167" s="514"/>
      <c r="L167" s="514"/>
      <c r="M167" s="514"/>
      <c r="N167" s="514"/>
      <c r="O167" s="514"/>
      <c r="P167" s="514"/>
      <c r="Q167" s="514"/>
      <c r="R167" s="514"/>
      <c r="S167" s="514"/>
      <c r="T167" s="514"/>
      <c r="U167" s="352">
        <f>Preisliste!F28</f>
        <v>0</v>
      </c>
      <c r="V167" s="352">
        <f t="shared" si="10"/>
        <v>0</v>
      </c>
      <c r="W167" s="86"/>
      <c r="X167" s="146"/>
      <c r="Y167" s="86"/>
      <c r="Z167" s="86"/>
      <c r="AA167" s="86"/>
      <c r="AB167" s="86"/>
      <c r="AC167" s="86"/>
      <c r="AD167" s="86"/>
      <c r="AE167" s="86"/>
      <c r="AF167" s="86"/>
      <c r="AG167" s="86">
        <f>'STK1'!$B47</f>
        <v>0</v>
      </c>
      <c r="AH167" s="86">
        <f>'STK2'!$B47</f>
        <v>0</v>
      </c>
      <c r="AI167" s="86">
        <f>'STK3'!$B47</f>
        <v>0</v>
      </c>
      <c r="AJ167" s="86">
        <f>'STK4'!$B47</f>
        <v>0</v>
      </c>
      <c r="AK167" s="86">
        <f>'STK5'!$B47</f>
        <v>0</v>
      </c>
      <c r="AL167" s="86">
        <f t="shared" si="72"/>
        <v>0</v>
      </c>
      <c r="BA167" s="56"/>
    </row>
    <row r="168" spans="2:89" ht="24.95" customHeight="1">
      <c r="B168" s="93">
        <f>IF(AG168&gt;0,AL168,0)</f>
        <v>0</v>
      </c>
      <c r="C168" s="60"/>
      <c r="D168" s="60"/>
      <c r="E168" s="60" t="str">
        <f>VLOOKUP(1594,Sprachindex!$A:$Z,Erhebungsbogen!$Y$20,FALSE)</f>
        <v>[EH]</v>
      </c>
      <c r="F168" s="60" t="s">
        <v>25461</v>
      </c>
      <c r="G168" s="514" t="str">
        <f>VLOOKUP(2259,Sprachindex!$A:$Z,Erhebungsbogen!$Y$20,FALSE)</f>
        <v>Ausfräsungen Dammbalken</v>
      </c>
      <c r="H168" s="514"/>
      <c r="I168" s="514"/>
      <c r="J168" s="514"/>
      <c r="K168" s="514"/>
      <c r="L168" s="514"/>
      <c r="M168" s="514"/>
      <c r="N168" s="514"/>
      <c r="O168" s="514"/>
      <c r="P168" s="514"/>
      <c r="Q168" s="514"/>
      <c r="R168" s="514"/>
      <c r="S168" s="514"/>
      <c r="T168" s="514"/>
      <c r="U168" s="352">
        <f>Preisliste!F161</f>
        <v>80</v>
      </c>
      <c r="V168" s="352">
        <f t="shared" ref="V168" si="73">U168*B168</f>
        <v>0</v>
      </c>
      <c r="W168" s="86"/>
      <c r="X168" s="146"/>
      <c r="Y168" s="86"/>
      <c r="Z168" s="86"/>
      <c r="AA168" s="86"/>
      <c r="AB168" s="86"/>
      <c r="AC168" s="86"/>
      <c r="AD168" s="86"/>
      <c r="AE168" s="86"/>
      <c r="AF168" s="86"/>
      <c r="AG168" s="86">
        <f>'STK1'!$B48</f>
        <v>0</v>
      </c>
      <c r="AH168" s="86">
        <f>'STK2'!$B48</f>
        <v>0</v>
      </c>
      <c r="AI168" s="86">
        <f>'STK3'!$B48</f>
        <v>0</v>
      </c>
      <c r="AJ168" s="86">
        <f>'STK4'!$B48</f>
        <v>0</v>
      </c>
      <c r="AK168" s="86">
        <f>'STK5'!$B48</f>
        <v>0</v>
      </c>
      <c r="AL168" s="86">
        <f t="shared" ref="AL168" si="74">SUM(AG168:AK168)</f>
        <v>0</v>
      </c>
      <c r="BA168" s="56"/>
    </row>
    <row r="169" spans="2:89" ht="24.95" customHeight="1">
      <c r="B169" s="92">
        <f t="shared" si="3"/>
        <v>0</v>
      </c>
      <c r="C169" s="60"/>
      <c r="D169" s="60">
        <f t="shared" ref="D169:D170" si="75">B169</f>
        <v>0</v>
      </c>
      <c r="E169" s="60" t="str">
        <f>VLOOKUP(1596,Sprachindex!$A:$Z,Erhebungsbogen!$Y$20,FALSE)</f>
        <v>[lfm]</v>
      </c>
      <c r="F169" s="60" t="s">
        <v>21943</v>
      </c>
      <c r="G169" s="514" t="str">
        <f>VLOOKUP(1649,Sprachindex!$A:$Z,Erhebungsbogen!$Y$20,FALSE) &amp; " [" &amp; VLOOKUP(992,Sprachindex!$A:$Z,Erhebungsbogen!$Y$20,FALSE) &amp; " =1 "&amp; VLOOKUP(1512,Sprachindex!$A:$Z,Erhebungsbogen!$Y$20,FALSE) &amp; "]"</f>
        <v>Bodendichtung 25 [VPE =1 lfm]</v>
      </c>
      <c r="H169" s="514"/>
      <c r="I169" s="514"/>
      <c r="J169" s="514"/>
      <c r="K169" s="514"/>
      <c r="L169" s="514"/>
      <c r="M169" s="514"/>
      <c r="N169" s="514"/>
      <c r="O169" s="514"/>
      <c r="P169" s="514"/>
      <c r="Q169" s="514"/>
      <c r="R169" s="514"/>
      <c r="S169" s="514"/>
      <c r="T169" s="514"/>
      <c r="U169" s="352">
        <f>VLOOKUP(F169,Preisliste!C:F,4,FALSE)</f>
        <v>29.7</v>
      </c>
      <c r="V169" s="352">
        <f>U169*D169</f>
        <v>0</v>
      </c>
      <c r="W169" s="86"/>
      <c r="X169" s="146"/>
      <c r="Y169" s="86"/>
      <c r="Z169" s="86"/>
      <c r="AA169" s="86"/>
      <c r="AB169" s="86"/>
      <c r="AC169" s="86"/>
      <c r="AD169" s="86"/>
      <c r="AE169" s="86"/>
      <c r="AF169" s="86"/>
      <c r="AG169" s="86">
        <f>IF('STK1'!$B49&gt;0,Kalk1!$AH$44,0)</f>
        <v>0</v>
      </c>
      <c r="AH169" s="86">
        <f>IF('STK2'!$B49&gt;0,Kalk2!$AH$44,0)</f>
        <v>0</v>
      </c>
      <c r="AI169" s="86">
        <f>IF('STK3'!$B49&gt;0,Kalk3!$AH$44,0)</f>
        <v>0</v>
      </c>
      <c r="AJ169" s="86">
        <f>IF('STK4'!$B49&gt;0,Kalk4!$AH$44,0)</f>
        <v>0</v>
      </c>
      <c r="AK169" s="86">
        <f>IF('STK5'!$B49&gt;0,Kalk5!$AH$44,0)</f>
        <v>0</v>
      </c>
      <c r="AL169" s="86">
        <f>ROUNDUP(SUM(AG169:AK169),0)</f>
        <v>0</v>
      </c>
      <c r="BA169" s="56"/>
    </row>
    <row r="170" spans="2:89" ht="24.95" customHeight="1">
      <c r="B170" s="92">
        <f t="shared" si="3"/>
        <v>0</v>
      </c>
      <c r="C170" s="60"/>
      <c r="D170" s="60">
        <f t="shared" si="75"/>
        <v>0</v>
      </c>
      <c r="E170" s="60" t="str">
        <f>VLOOKUP(1596,Sprachindex!$A:$Z,Erhebungsbogen!$Y$20,FALSE)</f>
        <v>[lfm]</v>
      </c>
      <c r="F170" s="60" t="s">
        <v>21944</v>
      </c>
      <c r="G170" s="514" t="str">
        <f>VLOOKUP(1650,Sprachindex!$A:$Z,Erhebungsbogen!$Y$20,FALSE) &amp; " [" &amp; VLOOKUP(992,Sprachindex!$A:$Z,Erhebungsbogen!$Y$20,FALSE) &amp; " =1 "&amp; VLOOKUP(1512,Sprachindex!$A:$Z,Erhebungsbogen!$Y$20,FALSE) &amp; "]"</f>
        <v>Bodendichtung 50 [VPE =1 lfm]</v>
      </c>
      <c r="H170" s="514"/>
      <c r="I170" s="514"/>
      <c r="J170" s="514"/>
      <c r="K170" s="514"/>
      <c r="L170" s="514"/>
      <c r="M170" s="514"/>
      <c r="N170" s="514"/>
      <c r="O170" s="514"/>
      <c r="P170" s="514"/>
      <c r="Q170" s="514"/>
      <c r="R170" s="514"/>
      <c r="S170" s="514"/>
      <c r="T170" s="514"/>
      <c r="U170" s="352">
        <f>VLOOKUP(F170,Preisliste!C:F,4,FALSE)</f>
        <v>29.7</v>
      </c>
      <c r="V170" s="352">
        <f t="shared" ref="V170:V171" si="76">U170*D170</f>
        <v>0</v>
      </c>
      <c r="W170" s="86"/>
      <c r="X170" s="146"/>
      <c r="Y170" s="86"/>
      <c r="Z170" s="86"/>
      <c r="AA170" s="86"/>
      <c r="AB170" s="86"/>
      <c r="AC170" s="86"/>
      <c r="AD170" s="86"/>
      <c r="AE170" s="86"/>
      <c r="AF170" s="86"/>
      <c r="AG170" s="86">
        <f>IF('STK1'!$B50&gt;0,Kalk1!$AH$44,0)</f>
        <v>0</v>
      </c>
      <c r="AH170" s="86">
        <f>IF('STK2'!$B50&gt;0,Kalk2!$AH$44,0)</f>
        <v>0</v>
      </c>
      <c r="AI170" s="86">
        <f>IF('STK3'!$B50&gt;0,Kalk3!$AH$44,0)</f>
        <v>0</v>
      </c>
      <c r="AJ170" s="86">
        <f>IF('STK4'!$B50&gt;0,Kalk4!$AH$44,0)</f>
        <v>0</v>
      </c>
      <c r="AK170" s="86">
        <f>IF('STK5'!$B50&gt;0,Kalk5!$AH$44,0)</f>
        <v>0</v>
      </c>
      <c r="AL170" s="86">
        <f t="shared" ref="AL170:AL171" si="77">ROUNDUP(SUM(AG170:AK170),0)</f>
        <v>0</v>
      </c>
    </row>
    <row r="171" spans="2:89" ht="24.95" customHeight="1">
      <c r="B171" s="92">
        <f t="shared" si="3"/>
        <v>0</v>
      </c>
      <c r="C171" s="60"/>
      <c r="D171" s="60">
        <f>B171</f>
        <v>0</v>
      </c>
      <c r="E171" s="60" t="str">
        <f>VLOOKUP(1596,Sprachindex!$A:$Z,Erhebungsbogen!$Y$20,FALSE)</f>
        <v>[lfm]</v>
      </c>
      <c r="F171" s="60" t="s">
        <v>21945</v>
      </c>
      <c r="G171" s="514" t="str">
        <f>VLOOKUP(1651,Sprachindex!$A:$Z,Erhebungsbogen!$Y$20,FALSE) &amp; " [" &amp; VLOOKUP(992,Sprachindex!$A:$Z,Erhebungsbogen!$Y$20,FALSE) &amp; " =1 "&amp; VLOOKUP(1512,Sprachindex!$A:$Z,Erhebungsbogen!$Y$20,FALSE) &amp; "]"</f>
        <v>Bodendichtung 80 [VPE =1 lfm]</v>
      </c>
      <c r="H171" s="514"/>
      <c r="I171" s="514"/>
      <c r="J171" s="514"/>
      <c r="K171" s="514"/>
      <c r="L171" s="514"/>
      <c r="M171" s="514"/>
      <c r="N171" s="514"/>
      <c r="O171" s="514"/>
      <c r="P171" s="514"/>
      <c r="Q171" s="514"/>
      <c r="R171" s="514"/>
      <c r="S171" s="514"/>
      <c r="T171" s="514"/>
      <c r="U171" s="352">
        <f>VLOOKUP(F171,Preisliste!C:F,4,FALSE)</f>
        <v>47.9</v>
      </c>
      <c r="V171" s="352">
        <f t="shared" si="76"/>
        <v>0</v>
      </c>
      <c r="W171" s="86"/>
      <c r="X171" s="146"/>
      <c r="Y171" s="86"/>
      <c r="Z171" s="86"/>
      <c r="AA171" s="86"/>
      <c r="AB171" s="86"/>
      <c r="AC171" s="86"/>
      <c r="AD171" s="86"/>
      <c r="AE171" s="86"/>
      <c r="AF171" s="86"/>
      <c r="AG171" s="86">
        <f>IF('STK1'!$B51&gt;0,Kalk1!$AH$44,0)</f>
        <v>0</v>
      </c>
      <c r="AH171" s="86">
        <f>IF('STK2'!$B51&gt;0,Kalk2!$AH$44,0)</f>
        <v>0</v>
      </c>
      <c r="AI171" s="86">
        <f>IF('STK3'!$B51&gt;0,Kalk3!$AH$44,0)</f>
        <v>0</v>
      </c>
      <c r="AJ171" s="86">
        <f>IF('STK4'!$B51&gt;0,Kalk4!$AH$44,0)</f>
        <v>0</v>
      </c>
      <c r="AK171" s="86">
        <f>IF('STK5'!$B51&gt;0,Kalk5!$AH$44,0)</f>
        <v>0</v>
      </c>
      <c r="AL171" s="86">
        <f t="shared" si="77"/>
        <v>0</v>
      </c>
    </row>
    <row r="172" spans="2:89" ht="24.95" customHeight="1">
      <c r="B172" s="92">
        <f t="shared" si="3"/>
        <v>0</v>
      </c>
      <c r="C172" s="60"/>
      <c r="D172" s="60"/>
      <c r="E172" s="60" t="str">
        <f>VLOOKUP(1600,Sprachindex!$A:$Z,Erhebungsbogen!$Y$20,FALSE)</f>
        <v>[Stk]</v>
      </c>
      <c r="F172" s="60" t="s">
        <v>21934</v>
      </c>
      <c r="G172" s="514" t="str">
        <f>VLOOKUP(1653,Sprachindex!$A:$Z,Erhebungsbogen!$Y$20,FALSE)</f>
        <v>Bodenhülse 50/80 Aluminium beschichtet inkl. Deckel mit Dichtung</v>
      </c>
      <c r="H172" s="514"/>
      <c r="I172" s="514"/>
      <c r="J172" s="514"/>
      <c r="K172" s="514"/>
      <c r="L172" s="514"/>
      <c r="M172" s="514"/>
      <c r="N172" s="514"/>
      <c r="O172" s="514"/>
      <c r="P172" s="514"/>
      <c r="Q172" s="514"/>
      <c r="R172" s="514"/>
      <c r="S172" s="514"/>
      <c r="T172" s="514"/>
      <c r="U172" s="352">
        <f>VLOOKUP(F172,Preisliste!C:F,4,FALSE)</f>
        <v>439.95</v>
      </c>
      <c r="V172" s="352">
        <f t="shared" ref="V172:V175" si="78">U172*B172</f>
        <v>0</v>
      </c>
      <c r="W172" s="86"/>
      <c r="X172" s="146"/>
      <c r="Y172" s="86"/>
      <c r="Z172" s="86"/>
      <c r="AA172" s="86"/>
      <c r="AB172" s="86"/>
      <c r="AC172" s="86"/>
      <c r="AD172" s="86"/>
      <c r="AE172" s="86"/>
      <c r="AF172" s="86"/>
      <c r="AG172" s="86">
        <f>'STK1'!$B52</f>
        <v>0</v>
      </c>
      <c r="AH172" s="86">
        <f>'STK2'!$B52</f>
        <v>0</v>
      </c>
      <c r="AI172" s="86">
        <f>'STK3'!$B52</f>
        <v>0</v>
      </c>
      <c r="AJ172" s="86">
        <f>'STK4'!$B52</f>
        <v>0</v>
      </c>
      <c r="AK172" s="86">
        <f>'STK5'!$B52</f>
        <v>0</v>
      </c>
      <c r="AL172" s="86">
        <f t="shared" ref="AL172" si="79">SUM(AG172:AK172)</f>
        <v>0</v>
      </c>
    </row>
    <row r="173" spans="2:89" ht="24.95" customHeight="1">
      <c r="B173" s="92">
        <f t="shared" si="3"/>
        <v>0</v>
      </c>
      <c r="C173" s="60"/>
      <c r="D173" s="60"/>
      <c r="E173" s="60" t="str">
        <f>VLOOKUP(1600,Sprachindex!$A:$Z,Erhebungsbogen!$Y$20,FALSE)</f>
        <v>[Stk]</v>
      </c>
      <c r="F173" s="60" t="s">
        <v>21935</v>
      </c>
      <c r="G173" s="514" t="str">
        <f>VLOOKUP(1654,Sprachindex!$A:$Z,Erhebungsbogen!$Y$20,FALSE)</f>
        <v>Bodenhülse 50/80 Edelstahl beschichtet inkl. Deckel mit Dichtung</v>
      </c>
      <c r="H173" s="514"/>
      <c r="I173" s="514"/>
      <c r="J173" s="514"/>
      <c r="K173" s="514"/>
      <c r="L173" s="514"/>
      <c r="M173" s="514"/>
      <c r="N173" s="514"/>
      <c r="O173" s="514"/>
      <c r="P173" s="514"/>
      <c r="Q173" s="514"/>
      <c r="R173" s="514"/>
      <c r="S173" s="514"/>
      <c r="T173" s="514"/>
      <c r="U173" s="352">
        <f>VLOOKUP(F173,Preisliste!C:F,4,FALSE)</f>
        <v>767.55</v>
      </c>
      <c r="V173" s="352">
        <f t="shared" si="78"/>
        <v>0</v>
      </c>
      <c r="W173" s="86"/>
      <c r="X173" s="146"/>
      <c r="Y173" s="86"/>
      <c r="Z173" s="86"/>
      <c r="AA173" s="86"/>
      <c r="AB173" s="86"/>
      <c r="AC173" s="86"/>
      <c r="AD173" s="86"/>
      <c r="AE173" s="86"/>
      <c r="AF173" s="86"/>
      <c r="AG173" s="86">
        <f>'STK1'!$B53</f>
        <v>0</v>
      </c>
      <c r="AH173" s="86">
        <f>'STK2'!$B53</f>
        <v>0</v>
      </c>
      <c r="AI173" s="86">
        <f>'STK3'!$B53</f>
        <v>0</v>
      </c>
      <c r="AJ173" s="86">
        <f>'STK4'!$B53</f>
        <v>0</v>
      </c>
      <c r="AK173" s="86">
        <f>'STK5'!$B53</f>
        <v>0</v>
      </c>
      <c r="AL173" s="86">
        <f t="shared" ref="AL173:AL175" si="80">SUM(AG173:AK173)</f>
        <v>0</v>
      </c>
    </row>
    <row r="174" spans="2:89" ht="24.95" customHeight="1">
      <c r="B174" s="92">
        <f t="shared" si="3"/>
        <v>0</v>
      </c>
      <c r="C174" s="60"/>
      <c r="D174" s="60"/>
      <c r="E174" s="60" t="str">
        <f>VLOOKUP(1600,Sprachindex!$A:$Z,Erhebungsbogen!$Y$20,FALSE)</f>
        <v>[Stk]</v>
      </c>
      <c r="F174" s="60" t="s">
        <v>21936</v>
      </c>
      <c r="G174" s="514" t="str">
        <f>VLOOKUP(2122,Sprachindex!$A:$Z,Erhebungsbogen!$Y$20,FALSE)</f>
        <v>Bodenhülse (GROSS) 50 Vario und 80 beschichtet inkl. Aluminiumdeckel und Dichtung</v>
      </c>
      <c r="H174" s="514"/>
      <c r="I174" s="514"/>
      <c r="J174" s="514"/>
      <c r="K174" s="514"/>
      <c r="L174" s="514"/>
      <c r="M174" s="514"/>
      <c r="N174" s="514"/>
      <c r="O174" s="514"/>
      <c r="P174" s="514"/>
      <c r="Q174" s="514"/>
      <c r="R174" s="514"/>
      <c r="S174" s="514"/>
      <c r="T174" s="514"/>
      <c r="U174" s="352">
        <f>VLOOKUP(F174,Preisliste!C:F,4,FALSE)</f>
        <v>850.8</v>
      </c>
      <c r="V174" s="352">
        <f t="shared" si="78"/>
        <v>0</v>
      </c>
      <c r="W174" s="86"/>
      <c r="X174" s="146"/>
      <c r="Y174" s="86"/>
      <c r="Z174" s="86"/>
      <c r="AA174" s="86"/>
      <c r="AB174" s="86"/>
      <c r="AC174" s="86"/>
      <c r="AD174" s="86"/>
      <c r="AE174" s="86"/>
      <c r="AF174" s="86"/>
      <c r="AG174" s="86">
        <f>'STK1'!$B54</f>
        <v>0</v>
      </c>
      <c r="AH174" s="86">
        <f>'STK2'!$B54</f>
        <v>0</v>
      </c>
      <c r="AI174" s="86">
        <f>'STK3'!$B54</f>
        <v>0</v>
      </c>
      <c r="AJ174" s="86">
        <f>'STK4'!$B54</f>
        <v>0</v>
      </c>
      <c r="AK174" s="86">
        <f>'STK5'!$B54</f>
        <v>0</v>
      </c>
      <c r="AL174" s="86">
        <f t="shared" si="80"/>
        <v>0</v>
      </c>
    </row>
    <row r="175" spans="2:89" ht="24.95" customHeight="1">
      <c r="B175" s="92">
        <f t="shared" si="3"/>
        <v>0</v>
      </c>
      <c r="C175" s="60"/>
      <c r="D175" s="60"/>
      <c r="E175" s="60" t="str">
        <f>VLOOKUP(1600,Sprachindex!$A:$Z,Erhebungsbogen!$Y$20,FALSE)</f>
        <v>[Stk]</v>
      </c>
      <c r="F175" s="60" t="s">
        <v>21937</v>
      </c>
      <c r="G175" s="514" t="str">
        <f>VLOOKUP(2123,Sprachindex!$A:$Z,Erhebungsbogen!$Y$20,FALSE)</f>
        <v>Bodenhülse (GROSS) 50 Vario und 80 beschichtet inkl. Edelstahldeckel und Dichtung</v>
      </c>
      <c r="H175" s="514"/>
      <c r="I175" s="514"/>
      <c r="J175" s="514"/>
      <c r="K175" s="514"/>
      <c r="L175" s="514"/>
      <c r="M175" s="514"/>
      <c r="N175" s="514"/>
      <c r="O175" s="514"/>
      <c r="P175" s="514"/>
      <c r="Q175" s="514"/>
      <c r="R175" s="514"/>
      <c r="S175" s="514"/>
      <c r="T175" s="514"/>
      <c r="U175" s="352">
        <f>VLOOKUP(F175,Preisliste!C:F,4,FALSE)</f>
        <v>1090.3</v>
      </c>
      <c r="V175" s="352">
        <f t="shared" si="78"/>
        <v>0</v>
      </c>
      <c r="W175" s="86"/>
      <c r="X175" s="146"/>
      <c r="Y175" s="86"/>
      <c r="Z175" s="86"/>
      <c r="AA175" s="86"/>
      <c r="AB175" s="86"/>
      <c r="AC175" s="86"/>
      <c r="AD175" s="86"/>
      <c r="AE175" s="86"/>
      <c r="AF175" s="86"/>
      <c r="AG175" s="86">
        <f>'STK1'!$B55</f>
        <v>0</v>
      </c>
      <c r="AH175" s="86">
        <f>'STK2'!$B55</f>
        <v>0</v>
      </c>
      <c r="AI175" s="86">
        <f>'STK3'!$B55</f>
        <v>0</v>
      </c>
      <c r="AJ175" s="86">
        <f>'STK4'!$B55</f>
        <v>0</v>
      </c>
      <c r="AK175" s="86">
        <f>'STK5'!$B55</f>
        <v>0</v>
      </c>
      <c r="AL175" s="86">
        <f t="shared" si="80"/>
        <v>0</v>
      </c>
    </row>
    <row r="176" spans="2:89" ht="24.95" customHeight="1">
      <c r="B176" s="92">
        <f>AM176</f>
        <v>0</v>
      </c>
      <c r="C176" s="138">
        <f>AN176</f>
        <v>0</v>
      </c>
      <c r="D176" s="60">
        <f>B176*C176/1000</f>
        <v>0</v>
      </c>
      <c r="E176" s="60" t="str">
        <f>VLOOKUP(1598,Sprachindex!$A:$Z,Erhebungsbogen!$Y$20,FALSE)</f>
        <v>[mm]</v>
      </c>
      <c r="F176" s="60" t="s">
        <v>21877</v>
      </c>
      <c r="G176" s="514" t="str">
        <f>VLOOKUP(1660,Sprachindex!$A:$Z,Erhebungsbogen!$Y$20,FALSE) &amp; ", " &amp; VLOOKUP(1648,Sprachindex!$A:$Z,Erhebungsbogen!$Y$20,FALSE) &amp; " (" &amp; ROUNDUP(C176/1000*Preisliste!I36,2) &amp; " " &amp; VLOOKUP(1744,Sprachindex!$A:$Z,Erhebungsbogen!$Y$20,FALSE) &amp; ")"</f>
        <v>Dammbalken 25/200 exkl. Dichtung, gesägt und entgratet, blank (0 kg/Stk)</v>
      </c>
      <c r="H176" s="514"/>
      <c r="I176" s="514"/>
      <c r="J176" s="514"/>
      <c r="K176" s="514"/>
      <c r="L176" s="514"/>
      <c r="M176" s="514"/>
      <c r="N176" s="514"/>
      <c r="O176" s="514"/>
      <c r="P176" s="514"/>
      <c r="Q176" s="514"/>
      <c r="R176" s="514"/>
      <c r="S176" s="514"/>
      <c r="T176" s="514"/>
      <c r="U176" s="352">
        <f>VLOOKUP(F176,Preisliste!C:F,4,FALSE)</f>
        <v>104.55</v>
      </c>
      <c r="V176" s="352">
        <f>U176*D176</f>
        <v>0</v>
      </c>
      <c r="W176" s="146"/>
      <c r="X176" s="146"/>
      <c r="Y176" s="86"/>
      <c r="Z176" s="143"/>
      <c r="AA176" s="86"/>
      <c r="AB176" s="86"/>
      <c r="AC176" s="86"/>
      <c r="AD176" s="86"/>
      <c r="AE176" s="86"/>
      <c r="AF176" s="86"/>
      <c r="AG176" s="86">
        <f>IF(Kalk1!$AA$15=FALSE,'STK1'!$B56,0)</f>
        <v>0</v>
      </c>
      <c r="AH176" s="86">
        <f>IF(Kalk1!$AA$15=FALSE,'STK1'!$C56,0)</f>
        <v>0</v>
      </c>
      <c r="AM176" s="86">
        <f>AG176</f>
        <v>0</v>
      </c>
      <c r="AN176" s="86">
        <f>AH176</f>
        <v>0</v>
      </c>
      <c r="CK176" s="245"/>
    </row>
    <row r="177" spans="2:89" ht="24.95" customHeight="1">
      <c r="B177" s="92">
        <f t="shared" ref="B177:B215" si="81">AM177</f>
        <v>0</v>
      </c>
      <c r="C177" s="138">
        <f t="shared" ref="C177:C215" si="82">AN177</f>
        <v>0</v>
      </c>
      <c r="D177" s="60">
        <f t="shared" ref="D177:D215" si="83">B177*C177/1000</f>
        <v>0</v>
      </c>
      <c r="E177" s="60" t="str">
        <f>VLOOKUP(1598,Sprachindex!$A:$Z,Erhebungsbogen!$Y$20,FALSE)</f>
        <v>[mm]</v>
      </c>
      <c r="F177" s="60" t="s">
        <v>21877</v>
      </c>
      <c r="G177" s="514" t="str">
        <f>VLOOKUP(1660,Sprachindex!$A:$Z,Erhebungsbogen!$Y$20,FALSE) &amp; ", " &amp; VLOOKUP(1645,Sprachindex!$A:$Z,Erhebungsbogen!$Y$20,FALSE) &amp; " " &amp; $AG$18 &amp; " (" &amp; ROUNDUP(C177/1000*Preisliste!I36,2) &amp; " " &amp; VLOOKUP(1744,Sprachindex!$A:$Z,Erhebungsbogen!$Y$20,FALSE) &amp; ")"</f>
        <v>Dammbalken 25/200 exkl. Dichtung, gesägt und entgratet, beschichtet  (0 kg/Stk)</v>
      </c>
      <c r="H177" s="514"/>
      <c r="I177" s="514"/>
      <c r="J177" s="514"/>
      <c r="K177" s="514"/>
      <c r="L177" s="514"/>
      <c r="M177" s="514"/>
      <c r="N177" s="514"/>
      <c r="O177" s="514"/>
      <c r="P177" s="514"/>
      <c r="Q177" s="514"/>
      <c r="R177" s="514"/>
      <c r="S177" s="514"/>
      <c r="T177" s="514"/>
      <c r="U177" s="353">
        <f>VLOOKUP(F177,Preisliste!C:G,5,FALSE)</f>
        <v>115.00500000000001</v>
      </c>
      <c r="V177" s="352">
        <f t="shared" ref="V177:V215" si="84">U177*D177</f>
        <v>0</v>
      </c>
      <c r="W177" s="146"/>
      <c r="X177" s="146"/>
      <c r="Y177" s="86"/>
      <c r="Z177" s="143">
        <f>(VLOOKUP(F177,Preisliste!C:G,5,FALSE)-VLOOKUP(F177,Preisliste!C:G,4,FALSE))*D177/1000</f>
        <v>0</v>
      </c>
      <c r="AA177" s="86"/>
      <c r="AB177" s="86"/>
      <c r="AC177" s="86"/>
      <c r="AD177" s="86"/>
      <c r="AE177" s="86"/>
      <c r="AF177" s="86"/>
      <c r="AG177" s="86">
        <f>IF(Kalk1!$AA$15,'STK1'!$B56,0)</f>
        <v>0</v>
      </c>
      <c r="AH177" s="86">
        <f>IF(Kalk1!$AA$15,'STK1'!$C56,0)</f>
        <v>0</v>
      </c>
      <c r="AM177" s="86">
        <f>AG177</f>
        <v>0</v>
      </c>
      <c r="AN177" s="86">
        <f>AH177</f>
        <v>0</v>
      </c>
      <c r="CK177" s="245"/>
    </row>
    <row r="178" spans="2:89" ht="24.95" customHeight="1">
      <c r="B178" s="92">
        <f t="shared" si="81"/>
        <v>0</v>
      </c>
      <c r="C178" s="138">
        <f t="shared" si="82"/>
        <v>0</v>
      </c>
      <c r="D178" s="60">
        <f t="shared" si="83"/>
        <v>0</v>
      </c>
      <c r="E178" s="60" t="str">
        <f>VLOOKUP(1598,Sprachindex!$A:$Z,Erhebungsbogen!$Y$20,FALSE)</f>
        <v>[mm]</v>
      </c>
      <c r="F178" s="60" t="s">
        <v>21877</v>
      </c>
      <c r="G178" s="514" t="str">
        <f>VLOOKUP(1660,Sprachindex!$A:$Z,Erhebungsbogen!$Y$20,FALSE) &amp; ", " &amp; VLOOKUP(1648,Sprachindex!$A:$Z,Erhebungsbogen!$Y$20,FALSE) &amp; " (" &amp; ROUNDUP(C178/1000*Preisliste!I36,2) &amp; " " &amp; VLOOKUP(1744,Sprachindex!$A:$Z,Erhebungsbogen!$Y$20,FALSE) &amp; ")"</f>
        <v>Dammbalken 25/200 exkl. Dichtung, gesägt und entgratet, blank (0 kg/Stk)</v>
      </c>
      <c r="H178" s="514"/>
      <c r="I178" s="514"/>
      <c r="J178" s="514"/>
      <c r="K178" s="514"/>
      <c r="L178" s="514"/>
      <c r="M178" s="514"/>
      <c r="N178" s="514"/>
      <c r="O178" s="514"/>
      <c r="P178" s="514"/>
      <c r="Q178" s="514"/>
      <c r="R178" s="514"/>
      <c r="S178" s="514"/>
      <c r="T178" s="514"/>
      <c r="U178" s="352">
        <f>VLOOKUP(F178,Preisliste!C:F,4,FALSE)</f>
        <v>104.55</v>
      </c>
      <c r="V178" s="352">
        <f t="shared" si="84"/>
        <v>0</v>
      </c>
      <c r="W178" s="146"/>
      <c r="X178" s="146"/>
      <c r="Y178" s="86"/>
      <c r="Z178" s="143"/>
      <c r="AA178" s="86"/>
      <c r="AB178" s="86"/>
      <c r="AC178" s="86"/>
      <c r="AD178" s="86"/>
      <c r="AE178" s="86"/>
      <c r="AF178" s="86"/>
      <c r="AH178" s="86">
        <f>IF(Kalk2!$AA$15=FALSE,'STK2'!$B56,0)</f>
        <v>0</v>
      </c>
      <c r="AI178" s="86">
        <f>IF(Kalk2!$AA$15=FALSE,'STK2'!$C56,0)</f>
        <v>0</v>
      </c>
      <c r="AM178" s="86">
        <f>AH178</f>
        <v>0</v>
      </c>
      <c r="AN178" s="86">
        <f>AI178</f>
        <v>0</v>
      </c>
      <c r="CK178" s="245"/>
    </row>
    <row r="179" spans="2:89" ht="24.95" customHeight="1">
      <c r="B179" s="92">
        <f t="shared" si="81"/>
        <v>0</v>
      </c>
      <c r="C179" s="138">
        <f t="shared" si="82"/>
        <v>0</v>
      </c>
      <c r="D179" s="60">
        <f t="shared" si="83"/>
        <v>0</v>
      </c>
      <c r="E179" s="60" t="str">
        <f>VLOOKUP(1598,Sprachindex!$A:$Z,Erhebungsbogen!$Y$20,FALSE)</f>
        <v>[mm]</v>
      </c>
      <c r="F179" s="60" t="s">
        <v>21877</v>
      </c>
      <c r="G179" s="514" t="str">
        <f>VLOOKUP(1660,Sprachindex!$A:$Z,Erhebungsbogen!$Y$20,FALSE) &amp; ", " &amp; VLOOKUP(1645,Sprachindex!$A:$Z,Erhebungsbogen!$Y$20,FALSE) &amp; " " &amp; $AH$18 &amp; " (" &amp; ROUNDUP(C179/1000*Preisliste!I36,2) &amp; " " &amp; VLOOKUP(1744,Sprachindex!$A:$Z,Erhebungsbogen!$Y$20,FALSE) &amp; ")"</f>
        <v>Dammbalken 25/200 exkl. Dichtung, gesägt und entgratet, beschichtet 0 (0 kg/Stk)</v>
      </c>
      <c r="H179" s="514"/>
      <c r="I179" s="514"/>
      <c r="J179" s="514"/>
      <c r="K179" s="514"/>
      <c r="L179" s="514"/>
      <c r="M179" s="514"/>
      <c r="N179" s="514"/>
      <c r="O179" s="514"/>
      <c r="P179" s="514"/>
      <c r="Q179" s="514"/>
      <c r="R179" s="514"/>
      <c r="S179" s="514"/>
      <c r="T179" s="514"/>
      <c r="U179" s="353">
        <f>VLOOKUP(F179,Preisliste!C:G,5,FALSE)</f>
        <v>115.00500000000001</v>
      </c>
      <c r="V179" s="352">
        <f t="shared" si="84"/>
        <v>0</v>
      </c>
      <c r="W179" s="146"/>
      <c r="X179" s="146"/>
      <c r="Y179" s="86"/>
      <c r="Z179" s="143">
        <f>(VLOOKUP(F179,Preisliste!C:G,5,FALSE)-VLOOKUP(F179,Preisliste!C:G,4,FALSE))*D179/1000</f>
        <v>0</v>
      </c>
      <c r="AA179" s="86"/>
      <c r="AB179" s="86"/>
      <c r="AC179" s="86"/>
      <c r="AD179" s="86"/>
      <c r="AE179" s="86"/>
      <c r="AF179" s="86"/>
      <c r="AH179" s="86">
        <f>IF(Kalk2!$AA$15,'STK2'!$B56,0)</f>
        <v>0</v>
      </c>
      <c r="AI179" s="86">
        <f>IF(Kalk2!$AA$15,'STK2'!$C56,0)</f>
        <v>0</v>
      </c>
      <c r="AM179" s="86">
        <f>AH179</f>
        <v>0</v>
      </c>
      <c r="AN179" s="86">
        <f>AI179</f>
        <v>0</v>
      </c>
      <c r="CK179" s="245"/>
    </row>
    <row r="180" spans="2:89" ht="24.95" customHeight="1">
      <c r="B180" s="92">
        <f t="shared" si="81"/>
        <v>0</v>
      </c>
      <c r="C180" s="138">
        <f t="shared" si="82"/>
        <v>0</v>
      </c>
      <c r="D180" s="60">
        <f t="shared" si="83"/>
        <v>0</v>
      </c>
      <c r="E180" s="60" t="str">
        <f>VLOOKUP(1598,Sprachindex!$A:$Z,Erhebungsbogen!$Y$20,FALSE)</f>
        <v>[mm]</v>
      </c>
      <c r="F180" s="60" t="s">
        <v>21877</v>
      </c>
      <c r="G180" s="514" t="str">
        <f>VLOOKUP(1660,Sprachindex!$A:$Z,Erhebungsbogen!$Y$20,FALSE) &amp; ", " &amp; VLOOKUP(1648,Sprachindex!$A:$Z,Erhebungsbogen!$Y$20,FALSE) &amp; " (" &amp; ROUNDUP(C180/1000*Preisliste!I36,2) &amp; " " &amp; VLOOKUP(1744,Sprachindex!$A:$Z,Erhebungsbogen!$Y$20,FALSE) &amp; ")"</f>
        <v>Dammbalken 25/200 exkl. Dichtung, gesägt und entgratet, blank (0 kg/Stk)</v>
      </c>
      <c r="H180" s="514"/>
      <c r="I180" s="514"/>
      <c r="J180" s="514"/>
      <c r="K180" s="514"/>
      <c r="L180" s="514"/>
      <c r="M180" s="514"/>
      <c r="N180" s="514"/>
      <c r="O180" s="514"/>
      <c r="P180" s="514"/>
      <c r="Q180" s="514"/>
      <c r="R180" s="514"/>
      <c r="S180" s="514"/>
      <c r="T180" s="514"/>
      <c r="U180" s="352">
        <f>VLOOKUP(F180,Preisliste!C:F,4,FALSE)</f>
        <v>104.55</v>
      </c>
      <c r="V180" s="352">
        <f t="shared" si="84"/>
        <v>0</v>
      </c>
      <c r="W180" s="146"/>
      <c r="X180" s="146"/>
      <c r="Y180" s="86"/>
      <c r="Z180" s="143"/>
      <c r="AA180" s="86"/>
      <c r="AB180" s="86"/>
      <c r="AC180" s="86"/>
      <c r="AD180" s="86"/>
      <c r="AE180" s="86"/>
      <c r="AF180" s="86"/>
      <c r="AI180" s="86">
        <f>IF(Kalk3!$AA$15=FALSE,'STK3'!$B56,0)</f>
        <v>0</v>
      </c>
      <c r="AJ180" s="86">
        <f>IF(Kalk3!$AA$15=FALSE,'STK3'!$C56,0)</f>
        <v>0</v>
      </c>
      <c r="AM180" s="86">
        <f>AI180</f>
        <v>0</v>
      </c>
      <c r="AN180" s="86">
        <f>AJ180</f>
        <v>0</v>
      </c>
      <c r="CK180" s="245"/>
    </row>
    <row r="181" spans="2:89" ht="24.95" customHeight="1">
      <c r="B181" s="92">
        <f t="shared" si="81"/>
        <v>0</v>
      </c>
      <c r="C181" s="138">
        <f t="shared" si="82"/>
        <v>0</v>
      </c>
      <c r="D181" s="60">
        <f t="shared" si="83"/>
        <v>0</v>
      </c>
      <c r="E181" s="60" t="str">
        <f>VLOOKUP(1598,Sprachindex!$A:$Z,Erhebungsbogen!$Y$20,FALSE)</f>
        <v>[mm]</v>
      </c>
      <c r="F181" s="60" t="s">
        <v>21877</v>
      </c>
      <c r="G181" s="514" t="str">
        <f>VLOOKUP(1660,Sprachindex!$A:$Z,Erhebungsbogen!$Y$20,FALSE) &amp; ", " &amp; VLOOKUP(1645,Sprachindex!$A:$Z,Erhebungsbogen!$Y$20,FALSE) &amp; " " &amp; $AI$18 &amp; " (" &amp; ROUNDUP(C181/1000*Preisliste!I36,2) &amp; " " &amp; VLOOKUP(1744,Sprachindex!$A:$Z,Erhebungsbogen!$Y$20,FALSE) &amp; ")"</f>
        <v>Dammbalken 25/200 exkl. Dichtung, gesägt und entgratet, beschichtet 0 (0 kg/Stk)</v>
      </c>
      <c r="H181" s="514"/>
      <c r="I181" s="514"/>
      <c r="J181" s="514"/>
      <c r="K181" s="514"/>
      <c r="L181" s="514"/>
      <c r="M181" s="514"/>
      <c r="N181" s="514"/>
      <c r="O181" s="514"/>
      <c r="P181" s="514"/>
      <c r="Q181" s="514"/>
      <c r="R181" s="514"/>
      <c r="S181" s="514"/>
      <c r="T181" s="514"/>
      <c r="U181" s="353">
        <f>VLOOKUP(F181,Preisliste!C:G,5,FALSE)</f>
        <v>115.00500000000001</v>
      </c>
      <c r="V181" s="352">
        <f t="shared" si="84"/>
        <v>0</v>
      </c>
      <c r="W181" s="146"/>
      <c r="X181" s="146"/>
      <c r="Y181" s="86"/>
      <c r="Z181" s="143">
        <f>(VLOOKUP(F181,Preisliste!C:G,5,FALSE)-VLOOKUP(F181,Preisliste!C:G,4,FALSE))*D181/1000</f>
        <v>0</v>
      </c>
      <c r="AA181" s="86"/>
      <c r="AB181" s="86"/>
      <c r="AC181" s="86"/>
      <c r="AD181" s="86"/>
      <c r="AE181" s="86"/>
      <c r="AF181" s="86"/>
      <c r="AI181" s="86">
        <f>IF(Kalk3!$AA$15,'STK3'!$B56,0)</f>
        <v>0</v>
      </c>
      <c r="AJ181" s="86">
        <f>IF(Kalk3!$AA$15,'STK3'!$C56,0)</f>
        <v>0</v>
      </c>
      <c r="AM181" s="86">
        <f>AI181</f>
        <v>0</v>
      </c>
      <c r="AN181" s="86">
        <f>AJ181</f>
        <v>0</v>
      </c>
      <c r="CK181" s="245"/>
    </row>
    <row r="182" spans="2:89" ht="24.95" customHeight="1">
      <c r="B182" s="92">
        <f t="shared" si="81"/>
        <v>0</v>
      </c>
      <c r="C182" s="138">
        <f t="shared" si="82"/>
        <v>0</v>
      </c>
      <c r="D182" s="60">
        <f t="shared" si="83"/>
        <v>0</v>
      </c>
      <c r="E182" s="60" t="str">
        <f>VLOOKUP(1598,Sprachindex!$A:$Z,Erhebungsbogen!$Y$20,FALSE)</f>
        <v>[mm]</v>
      </c>
      <c r="F182" s="60" t="s">
        <v>21877</v>
      </c>
      <c r="G182" s="514" t="str">
        <f>VLOOKUP(1660,Sprachindex!$A:$Z,Erhebungsbogen!$Y$20,FALSE) &amp; ", " &amp; VLOOKUP(1648,Sprachindex!$A:$Z,Erhebungsbogen!$Y$20,FALSE) &amp; " (" &amp; ROUNDUP(C182/1000*Preisliste!I36,2) &amp; " " &amp; VLOOKUP(1744,Sprachindex!$A:$Z,Erhebungsbogen!$Y$20,FALSE) &amp; ")"</f>
        <v>Dammbalken 25/200 exkl. Dichtung, gesägt und entgratet, blank (0 kg/Stk)</v>
      </c>
      <c r="H182" s="514"/>
      <c r="I182" s="514"/>
      <c r="J182" s="514"/>
      <c r="K182" s="514"/>
      <c r="L182" s="514"/>
      <c r="M182" s="514"/>
      <c r="N182" s="514"/>
      <c r="O182" s="514"/>
      <c r="P182" s="514"/>
      <c r="Q182" s="514"/>
      <c r="R182" s="514"/>
      <c r="S182" s="514"/>
      <c r="T182" s="514"/>
      <c r="U182" s="352">
        <f>VLOOKUP(F182,Preisliste!C:F,4,FALSE)</f>
        <v>104.55</v>
      </c>
      <c r="V182" s="352">
        <f t="shared" si="84"/>
        <v>0</v>
      </c>
      <c r="W182" s="146"/>
      <c r="X182" s="146"/>
      <c r="Y182" s="86"/>
      <c r="Z182" s="143"/>
      <c r="AA182" s="86"/>
      <c r="AB182" s="86"/>
      <c r="AC182" s="86"/>
      <c r="AD182" s="86"/>
      <c r="AE182" s="86"/>
      <c r="AF182" s="86"/>
      <c r="AJ182" s="86">
        <f>IF(Kalk4!$AA$15=FALSE,'STK4'!$B56,0)</f>
        <v>0</v>
      </c>
      <c r="AK182" s="86">
        <f>IF(Kalk4!$AA$15=FALSE,'STK4'!$C56,0)</f>
        <v>0</v>
      </c>
      <c r="AM182" s="86">
        <f>AJ182</f>
        <v>0</v>
      </c>
      <c r="AN182" s="86">
        <f>AK182</f>
        <v>0</v>
      </c>
      <c r="CK182" s="245"/>
    </row>
    <row r="183" spans="2:89" ht="24.95" customHeight="1">
      <c r="B183" s="92">
        <f t="shared" si="81"/>
        <v>0</v>
      </c>
      <c r="C183" s="138">
        <f t="shared" si="82"/>
        <v>0</v>
      </c>
      <c r="D183" s="60">
        <f t="shared" si="83"/>
        <v>0</v>
      </c>
      <c r="E183" s="60" t="str">
        <f>VLOOKUP(1598,Sprachindex!$A:$Z,Erhebungsbogen!$Y$20,FALSE)</f>
        <v>[mm]</v>
      </c>
      <c r="F183" s="60" t="s">
        <v>21877</v>
      </c>
      <c r="G183" s="514" t="str">
        <f>VLOOKUP(1660,Sprachindex!$A:$Z,Erhebungsbogen!$Y$20,FALSE) &amp; ", " &amp; VLOOKUP(1645,Sprachindex!$A:$Z,Erhebungsbogen!$Y$20,FALSE) &amp; " " &amp; $AJ$18 &amp; " (" &amp; ROUNDUP(C183/1000*Preisliste!I36,2) &amp; " " &amp; VLOOKUP(1744,Sprachindex!$A:$Z,Erhebungsbogen!$Y$20,FALSE) &amp; ")"</f>
        <v>Dammbalken 25/200 exkl. Dichtung, gesägt und entgratet, beschichtet 0 (0 kg/Stk)</v>
      </c>
      <c r="H183" s="514"/>
      <c r="I183" s="514"/>
      <c r="J183" s="514"/>
      <c r="K183" s="514"/>
      <c r="L183" s="514"/>
      <c r="M183" s="514"/>
      <c r="N183" s="514"/>
      <c r="O183" s="514"/>
      <c r="P183" s="514"/>
      <c r="Q183" s="514"/>
      <c r="R183" s="514"/>
      <c r="S183" s="514"/>
      <c r="T183" s="514"/>
      <c r="U183" s="353">
        <f>VLOOKUP(F183,Preisliste!C:G,5,FALSE)</f>
        <v>115.00500000000001</v>
      </c>
      <c r="V183" s="352">
        <f t="shared" si="84"/>
        <v>0</v>
      </c>
      <c r="W183" s="146"/>
      <c r="X183" s="146"/>
      <c r="Y183" s="86"/>
      <c r="Z183" s="143">
        <f>(VLOOKUP(F183,Preisliste!C:G,5,FALSE)-VLOOKUP(F183,Preisliste!C:G,4,FALSE))*D183/1000</f>
        <v>0</v>
      </c>
      <c r="AA183" s="86"/>
      <c r="AB183" s="86"/>
      <c r="AC183" s="86"/>
      <c r="AD183" s="86"/>
      <c r="AE183" s="86"/>
      <c r="AF183" s="86"/>
      <c r="AJ183" s="86">
        <f>IF(Kalk4!$AA$15,'STK4'!$B56,0)</f>
        <v>0</v>
      </c>
      <c r="AK183" s="86">
        <f>IF(Kalk4!$AA$15,'STK4'!$C56,0)</f>
        <v>0</v>
      </c>
      <c r="AM183" s="86">
        <f>AJ183</f>
        <v>0</v>
      </c>
      <c r="AN183" s="86">
        <f>AK183</f>
        <v>0</v>
      </c>
      <c r="CK183" s="245"/>
    </row>
    <row r="184" spans="2:89" ht="24.95" customHeight="1">
      <c r="B184" s="92">
        <f t="shared" si="81"/>
        <v>0</v>
      </c>
      <c r="C184" s="138">
        <f t="shared" si="82"/>
        <v>0</v>
      </c>
      <c r="D184" s="60">
        <f t="shared" si="83"/>
        <v>0</v>
      </c>
      <c r="E184" s="60" t="str">
        <f>VLOOKUP(1598,Sprachindex!$A:$Z,Erhebungsbogen!$Y$20,FALSE)</f>
        <v>[mm]</v>
      </c>
      <c r="F184" s="60" t="s">
        <v>21877</v>
      </c>
      <c r="G184" s="514" t="str">
        <f>VLOOKUP(1660,Sprachindex!$A:$Z,Erhebungsbogen!$Y$20,FALSE) &amp; ", " &amp; VLOOKUP(1648,Sprachindex!$A:$Z,Erhebungsbogen!$Y$20,FALSE) &amp; " (" &amp; ROUNDUP(C184/1000*Preisliste!I36,2) &amp; " " &amp; VLOOKUP(1744,Sprachindex!$A:$Z,Erhebungsbogen!$Y$20,FALSE) &amp; ")"</f>
        <v>Dammbalken 25/200 exkl. Dichtung, gesägt und entgratet, blank (0 kg/Stk)</v>
      </c>
      <c r="H184" s="514"/>
      <c r="I184" s="514"/>
      <c r="J184" s="514"/>
      <c r="K184" s="514"/>
      <c r="L184" s="514"/>
      <c r="M184" s="514"/>
      <c r="N184" s="514"/>
      <c r="O184" s="514"/>
      <c r="P184" s="514"/>
      <c r="Q184" s="514"/>
      <c r="R184" s="514"/>
      <c r="S184" s="514"/>
      <c r="T184" s="514"/>
      <c r="U184" s="352">
        <f>VLOOKUP(F184,Preisliste!C:F,4,FALSE)</f>
        <v>104.55</v>
      </c>
      <c r="V184" s="352">
        <f t="shared" si="84"/>
        <v>0</v>
      </c>
      <c r="W184" s="146"/>
      <c r="X184" s="146"/>
      <c r="Y184" s="86"/>
      <c r="Z184" s="143"/>
      <c r="AA184" s="86"/>
      <c r="AB184" s="86"/>
      <c r="AC184" s="86"/>
      <c r="AD184" s="86"/>
      <c r="AE184" s="86"/>
      <c r="AF184" s="86"/>
      <c r="AK184" s="86">
        <f>IF(Kalk5!$AA$15=FALSE,'STK5'!$B56,0)</f>
        <v>0</v>
      </c>
      <c r="AL184" s="86">
        <f>IF(Kalk5!$AA$15=FALSE,'STK5'!$C56,0)</f>
        <v>0</v>
      </c>
      <c r="AM184" s="86">
        <f>AK184</f>
        <v>0</v>
      </c>
      <c r="AN184" s="86">
        <f>AL184</f>
        <v>0</v>
      </c>
      <c r="CK184" s="245"/>
    </row>
    <row r="185" spans="2:89" ht="24.95" customHeight="1">
      <c r="B185" s="92">
        <f t="shared" si="81"/>
        <v>0</v>
      </c>
      <c r="C185" s="138">
        <f t="shared" si="82"/>
        <v>0</v>
      </c>
      <c r="D185" s="60">
        <f t="shared" si="83"/>
        <v>0</v>
      </c>
      <c r="E185" s="60" t="str">
        <f>VLOOKUP(1598,Sprachindex!$A:$Z,Erhebungsbogen!$Y$20,FALSE)</f>
        <v>[mm]</v>
      </c>
      <c r="F185" s="60" t="s">
        <v>21877</v>
      </c>
      <c r="G185" s="514" t="str">
        <f>VLOOKUP(1660,Sprachindex!$A:$Z,Erhebungsbogen!$Y$20,FALSE) &amp; ", " &amp; VLOOKUP(1645,Sprachindex!$A:$Z,Erhebungsbogen!$Y$20,FALSE) &amp; " " &amp; $AK$18 &amp; " (" &amp; ROUNDUP(C185/1000*Preisliste!I36,2) &amp; " " &amp; VLOOKUP(1744,Sprachindex!$A:$Z,Erhebungsbogen!$Y$20,FALSE) &amp; ")"</f>
        <v>Dammbalken 25/200 exkl. Dichtung, gesägt und entgratet, beschichtet 0 (0 kg/Stk)</v>
      </c>
      <c r="H185" s="514"/>
      <c r="I185" s="514"/>
      <c r="J185" s="514"/>
      <c r="K185" s="514"/>
      <c r="L185" s="514"/>
      <c r="M185" s="514"/>
      <c r="N185" s="514"/>
      <c r="O185" s="514"/>
      <c r="P185" s="514"/>
      <c r="Q185" s="514"/>
      <c r="R185" s="514"/>
      <c r="S185" s="514"/>
      <c r="T185" s="514"/>
      <c r="U185" s="353">
        <f>VLOOKUP(F185,Preisliste!C:G,5,FALSE)</f>
        <v>115.00500000000001</v>
      </c>
      <c r="V185" s="352">
        <f t="shared" si="84"/>
        <v>0</v>
      </c>
      <c r="W185" s="146"/>
      <c r="X185" s="146"/>
      <c r="Y185" s="86"/>
      <c r="Z185" s="143">
        <f>(VLOOKUP(F185,Preisliste!C:G,5,FALSE)-VLOOKUP(F185,Preisliste!C:G,4,FALSE))*D185/1000</f>
        <v>0</v>
      </c>
      <c r="AA185" s="86"/>
      <c r="AB185" s="86"/>
      <c r="AC185" s="86"/>
      <c r="AD185" s="86"/>
      <c r="AE185" s="86"/>
      <c r="AF185" s="86"/>
      <c r="AK185" s="86">
        <f>IF(Kalk5!$AA$15,'STK5'!$B56,0)</f>
        <v>0</v>
      </c>
      <c r="AL185" s="86">
        <f>IF(Kalk5!$AA$15,'STK5'!$C56,0)</f>
        <v>0</v>
      </c>
      <c r="AM185" s="86">
        <f>AK185</f>
        <v>0</v>
      </c>
      <c r="AN185" s="86">
        <f>AL185</f>
        <v>0</v>
      </c>
      <c r="CK185" s="245"/>
    </row>
    <row r="186" spans="2:89" ht="24.95" customHeight="1">
      <c r="B186" s="92">
        <f t="shared" si="81"/>
        <v>0</v>
      </c>
      <c r="C186" s="138">
        <f t="shared" si="82"/>
        <v>0</v>
      </c>
      <c r="D186" s="60">
        <f t="shared" si="83"/>
        <v>0</v>
      </c>
      <c r="E186" s="60" t="str">
        <f>VLOOKUP(1598,Sprachindex!$A:$Z,Erhebungsbogen!$Y$20,FALSE)</f>
        <v>[mm]</v>
      </c>
      <c r="F186" s="60" t="s">
        <v>21878</v>
      </c>
      <c r="G186" s="514" t="str">
        <f>VLOOKUP(1661,Sprachindex!$A:$Z,Erhebungsbogen!$Y$20,FALSE) &amp; ", " &amp; VLOOKUP(1648,Sprachindex!$A:$Z,Erhebungsbogen!$Y$20,FALSE) &amp; " (" &amp; ROUNDUP(C186/1000*Preisliste!I37,2) &amp; " " &amp; VLOOKUP(1744,Sprachindex!$A:$Z,Erhebungsbogen!$Y$20,FALSE) &amp; ")"</f>
        <v>Dammbalken 50/150 exkl. Dichtung, gesägt und entgratet, blank (0 kg/Stk)</v>
      </c>
      <c r="H186" s="514"/>
      <c r="I186" s="514"/>
      <c r="J186" s="514"/>
      <c r="K186" s="514"/>
      <c r="L186" s="514"/>
      <c r="M186" s="514"/>
      <c r="N186" s="514"/>
      <c r="O186" s="514"/>
      <c r="P186" s="514"/>
      <c r="Q186" s="514"/>
      <c r="R186" s="514"/>
      <c r="S186" s="514"/>
      <c r="T186" s="514"/>
      <c r="U186" s="352">
        <f>VLOOKUP(F186,Preisliste!C:F,4,FALSE)</f>
        <v>138.30000000000001</v>
      </c>
      <c r="V186" s="352">
        <f t="shared" si="84"/>
        <v>0</v>
      </c>
      <c r="W186" s="146"/>
      <c r="X186" s="146"/>
      <c r="Y186" s="86"/>
      <c r="Z186" s="143"/>
      <c r="AA186" s="86"/>
      <c r="AB186" s="86"/>
      <c r="AC186" s="86"/>
      <c r="AD186" s="86"/>
      <c r="AE186" s="86"/>
      <c r="AF186" s="86"/>
      <c r="AG186" s="86">
        <f>IF(Kalk1!$AA$15=FALSE,'STK1'!$B57,0)</f>
        <v>0</v>
      </c>
      <c r="AH186" s="86">
        <f>IF(Kalk1!$AA$15=FALSE,'STK1'!$C57,0)</f>
        <v>0</v>
      </c>
      <c r="AM186" s="86">
        <f>AG186</f>
        <v>0</v>
      </c>
      <c r="AN186" s="86">
        <f>AH186</f>
        <v>0</v>
      </c>
      <c r="CK186" s="245"/>
    </row>
    <row r="187" spans="2:89" ht="24.95" customHeight="1">
      <c r="B187" s="92">
        <f t="shared" si="81"/>
        <v>0</v>
      </c>
      <c r="C187" s="138">
        <f t="shared" si="82"/>
        <v>0</v>
      </c>
      <c r="D187" s="60">
        <f t="shared" si="83"/>
        <v>0</v>
      </c>
      <c r="E187" s="60" t="str">
        <f>VLOOKUP(1598,Sprachindex!$A:$Z,Erhebungsbogen!$Y$20,FALSE)</f>
        <v>[mm]</v>
      </c>
      <c r="F187" s="60" t="s">
        <v>21878</v>
      </c>
      <c r="G187" s="514" t="str">
        <f>VLOOKUP(1661,Sprachindex!$A:$Z,Erhebungsbogen!$Y$20,FALSE) &amp; ", " &amp; VLOOKUP(1645,Sprachindex!$A:$Z,Erhebungsbogen!$Y$20,FALSE) &amp; " " &amp; $AG$18 &amp; " (" &amp; ROUNDUP(C187/1000*Preisliste!I37,2) &amp; " " &amp; VLOOKUP(1744,Sprachindex!$A:$Z,Erhebungsbogen!$Y$20,FALSE) &amp; ")"</f>
        <v>Dammbalken 50/150 exkl. Dichtung, gesägt und entgratet, beschichtet  (0 kg/Stk)</v>
      </c>
      <c r="H187" s="514"/>
      <c r="I187" s="514"/>
      <c r="J187" s="514"/>
      <c r="K187" s="514"/>
      <c r="L187" s="514"/>
      <c r="M187" s="514"/>
      <c r="N187" s="514"/>
      <c r="O187" s="514"/>
      <c r="P187" s="514"/>
      <c r="Q187" s="514"/>
      <c r="R187" s="514"/>
      <c r="S187" s="514"/>
      <c r="T187" s="514"/>
      <c r="U187" s="353">
        <f>VLOOKUP(F187,Preisliste!C:G,5,FALSE)</f>
        <v>152.13000000000002</v>
      </c>
      <c r="V187" s="352">
        <f t="shared" si="84"/>
        <v>0</v>
      </c>
      <c r="W187" s="146"/>
      <c r="X187" s="146"/>
      <c r="Y187" s="86"/>
      <c r="Z187" s="143">
        <f>(VLOOKUP(F187,Preisliste!C:G,5,FALSE)-VLOOKUP(F187,Preisliste!C:G,4,FALSE))*D187/1000</f>
        <v>0</v>
      </c>
      <c r="AA187" s="86"/>
      <c r="AB187" s="86"/>
      <c r="AC187" s="86"/>
      <c r="AD187" s="86"/>
      <c r="AE187" s="86"/>
      <c r="AF187" s="86"/>
      <c r="AG187" s="86">
        <f>IF(Kalk1!$AA$15,'STK1'!$B57,0)</f>
        <v>0</v>
      </c>
      <c r="AH187" s="86">
        <f>IF(Kalk1!$AA$15,'STK1'!$C57,0)</f>
        <v>0</v>
      </c>
      <c r="AM187" s="86">
        <f>AG187</f>
        <v>0</v>
      </c>
      <c r="AN187" s="86">
        <f>AH187</f>
        <v>0</v>
      </c>
      <c r="CK187" s="245"/>
    </row>
    <row r="188" spans="2:89" ht="24.95" customHeight="1">
      <c r="B188" s="92">
        <f t="shared" si="81"/>
        <v>0</v>
      </c>
      <c r="C188" s="138">
        <f t="shared" si="82"/>
        <v>0</v>
      </c>
      <c r="D188" s="60">
        <f t="shared" si="83"/>
        <v>0</v>
      </c>
      <c r="E188" s="60" t="str">
        <f>VLOOKUP(1598,Sprachindex!$A:$Z,Erhebungsbogen!$Y$20,FALSE)</f>
        <v>[mm]</v>
      </c>
      <c r="F188" s="60" t="s">
        <v>21878</v>
      </c>
      <c r="G188" s="514" t="str">
        <f>VLOOKUP(1661,Sprachindex!$A:$Z,Erhebungsbogen!$Y$20,FALSE) &amp; ", " &amp; VLOOKUP(1648,Sprachindex!$A:$Z,Erhebungsbogen!$Y$20,FALSE) &amp; " (" &amp; ROUNDUP(C188/1000*Preisliste!I37,2) &amp; " " &amp; VLOOKUP(1744,Sprachindex!$A:$Z,Erhebungsbogen!$Y$20,FALSE) &amp; ")"</f>
        <v>Dammbalken 50/150 exkl. Dichtung, gesägt und entgratet, blank (0 kg/Stk)</v>
      </c>
      <c r="H188" s="514"/>
      <c r="I188" s="514"/>
      <c r="J188" s="514"/>
      <c r="K188" s="514"/>
      <c r="L188" s="514"/>
      <c r="M188" s="514"/>
      <c r="N188" s="514"/>
      <c r="O188" s="514"/>
      <c r="P188" s="514"/>
      <c r="Q188" s="514"/>
      <c r="R188" s="514"/>
      <c r="S188" s="514"/>
      <c r="T188" s="514"/>
      <c r="U188" s="352">
        <f>VLOOKUP(F188,Preisliste!C:F,4,FALSE)</f>
        <v>138.30000000000001</v>
      </c>
      <c r="V188" s="352">
        <f t="shared" si="84"/>
        <v>0</v>
      </c>
      <c r="W188" s="146"/>
      <c r="X188" s="146"/>
      <c r="Y188" s="86"/>
      <c r="Z188" s="143"/>
      <c r="AA188" s="86"/>
      <c r="AB188" s="86"/>
      <c r="AC188" s="86"/>
      <c r="AD188" s="86"/>
      <c r="AE188" s="86"/>
      <c r="AF188" s="86"/>
      <c r="AH188" s="86">
        <f>IF(Kalk2!$AA$15=FALSE,'STK2'!$B57,0)</f>
        <v>0</v>
      </c>
      <c r="AI188" s="86">
        <f>IF(Kalk2!$AA$15=FALSE,'STK2'!$C57,0)</f>
        <v>0</v>
      </c>
      <c r="AM188" s="86">
        <f>AH188</f>
        <v>0</v>
      </c>
      <c r="AN188" s="86">
        <f>AI188</f>
        <v>0</v>
      </c>
      <c r="CK188" s="245"/>
    </row>
    <row r="189" spans="2:89" ht="24.95" customHeight="1">
      <c r="B189" s="92">
        <f t="shared" si="81"/>
        <v>0</v>
      </c>
      <c r="C189" s="138">
        <f t="shared" si="82"/>
        <v>0</v>
      </c>
      <c r="D189" s="60">
        <f t="shared" si="83"/>
        <v>0</v>
      </c>
      <c r="E189" s="60" t="str">
        <f>VLOOKUP(1598,Sprachindex!$A:$Z,Erhebungsbogen!$Y$20,FALSE)</f>
        <v>[mm]</v>
      </c>
      <c r="F189" s="60" t="s">
        <v>21878</v>
      </c>
      <c r="G189" s="514" t="str">
        <f>VLOOKUP(1661,Sprachindex!$A:$Z,Erhebungsbogen!$Y$20,FALSE) &amp; ", " &amp; VLOOKUP(1645,Sprachindex!$A:$Z,Erhebungsbogen!$Y$20,FALSE) &amp; " " &amp; $AH$18 &amp; " (" &amp; ROUNDUP(C189/1000*Preisliste!I37,2) &amp; " " &amp; VLOOKUP(1744,Sprachindex!$A:$Z,Erhebungsbogen!$Y$20,FALSE) &amp; ")"</f>
        <v>Dammbalken 50/150 exkl. Dichtung, gesägt und entgratet, beschichtet 0 (0 kg/Stk)</v>
      </c>
      <c r="H189" s="514"/>
      <c r="I189" s="514"/>
      <c r="J189" s="514"/>
      <c r="K189" s="514"/>
      <c r="L189" s="514"/>
      <c r="M189" s="514"/>
      <c r="N189" s="514"/>
      <c r="O189" s="514"/>
      <c r="P189" s="514"/>
      <c r="Q189" s="514"/>
      <c r="R189" s="514"/>
      <c r="S189" s="514"/>
      <c r="T189" s="514"/>
      <c r="U189" s="353">
        <f>VLOOKUP(F189,Preisliste!C:G,5,FALSE)</f>
        <v>152.13000000000002</v>
      </c>
      <c r="V189" s="352">
        <f t="shared" si="84"/>
        <v>0</v>
      </c>
      <c r="W189" s="146"/>
      <c r="X189" s="146"/>
      <c r="Y189" s="86"/>
      <c r="Z189" s="143">
        <f>(VLOOKUP(F189,Preisliste!C:G,5,FALSE)-VLOOKUP(F189,Preisliste!C:G,4,FALSE))*D189/1000</f>
        <v>0</v>
      </c>
      <c r="AA189" s="86"/>
      <c r="AB189" s="86"/>
      <c r="AC189" s="86"/>
      <c r="AD189" s="86"/>
      <c r="AE189" s="86"/>
      <c r="AF189" s="86"/>
      <c r="AH189" s="86">
        <f>IF(Kalk2!$AA$15,'STK2'!$B57,0)</f>
        <v>0</v>
      </c>
      <c r="AI189" s="86">
        <f>IF(Kalk2!$AA$15,'STK2'!$C57,0)</f>
        <v>0</v>
      </c>
      <c r="AM189" s="86">
        <f>AH189</f>
        <v>0</v>
      </c>
      <c r="AN189" s="86">
        <f>AI189</f>
        <v>0</v>
      </c>
      <c r="CK189" s="245"/>
    </row>
    <row r="190" spans="2:89" ht="24.95" customHeight="1">
      <c r="B190" s="92">
        <f t="shared" si="81"/>
        <v>0</v>
      </c>
      <c r="C190" s="138">
        <f t="shared" si="82"/>
        <v>0</v>
      </c>
      <c r="D190" s="60">
        <f t="shared" si="83"/>
        <v>0</v>
      </c>
      <c r="E190" s="60" t="str">
        <f>VLOOKUP(1598,Sprachindex!$A:$Z,Erhebungsbogen!$Y$20,FALSE)</f>
        <v>[mm]</v>
      </c>
      <c r="F190" s="60" t="s">
        <v>21878</v>
      </c>
      <c r="G190" s="514" t="str">
        <f>VLOOKUP(1661,Sprachindex!$A:$Z,Erhebungsbogen!$Y$20,FALSE) &amp; ", " &amp; VLOOKUP(1648,Sprachindex!$A:$Z,Erhebungsbogen!$Y$20,FALSE) &amp; " (" &amp; ROUNDUP(C190/1000*Preisliste!I37,2) &amp; " " &amp; VLOOKUP(1744,Sprachindex!$A:$Z,Erhebungsbogen!$Y$20,FALSE) &amp; ")"</f>
        <v>Dammbalken 50/150 exkl. Dichtung, gesägt und entgratet, blank (0 kg/Stk)</v>
      </c>
      <c r="H190" s="514"/>
      <c r="I190" s="514"/>
      <c r="J190" s="514"/>
      <c r="K190" s="514"/>
      <c r="L190" s="514"/>
      <c r="M190" s="514"/>
      <c r="N190" s="514"/>
      <c r="O190" s="514"/>
      <c r="P190" s="514"/>
      <c r="Q190" s="514"/>
      <c r="R190" s="514"/>
      <c r="S190" s="514"/>
      <c r="T190" s="514"/>
      <c r="U190" s="352">
        <f>VLOOKUP(F190,Preisliste!C:F,4,FALSE)</f>
        <v>138.30000000000001</v>
      </c>
      <c r="V190" s="352">
        <f t="shared" si="84"/>
        <v>0</v>
      </c>
      <c r="W190" s="146"/>
      <c r="X190" s="146"/>
      <c r="Y190" s="86"/>
      <c r="Z190" s="143"/>
      <c r="AA190" s="86"/>
      <c r="AB190" s="86"/>
      <c r="AC190" s="86"/>
      <c r="AD190" s="86"/>
      <c r="AE190" s="86"/>
      <c r="AF190" s="86"/>
      <c r="AI190" s="86">
        <f>IF(Kalk3!$AA$15=FALSE,'STK3'!$B57,0)</f>
        <v>0</v>
      </c>
      <c r="AJ190" s="86">
        <f>IF(Kalk3!$AA$15=FALSE,'STK3'!$C57,0)</f>
        <v>0</v>
      </c>
      <c r="AM190" s="86">
        <f>AI190</f>
        <v>0</v>
      </c>
      <c r="AN190" s="86">
        <f>AJ190</f>
        <v>0</v>
      </c>
      <c r="CK190" s="245"/>
    </row>
    <row r="191" spans="2:89" ht="24.95" customHeight="1">
      <c r="B191" s="92">
        <f t="shared" si="81"/>
        <v>0</v>
      </c>
      <c r="C191" s="138">
        <f t="shared" si="82"/>
        <v>0</v>
      </c>
      <c r="D191" s="60">
        <f t="shared" si="83"/>
        <v>0</v>
      </c>
      <c r="E191" s="60" t="str">
        <f>VLOOKUP(1598,Sprachindex!$A:$Z,Erhebungsbogen!$Y$20,FALSE)</f>
        <v>[mm]</v>
      </c>
      <c r="F191" s="60" t="s">
        <v>21878</v>
      </c>
      <c r="G191" s="514" t="str">
        <f>VLOOKUP(1661,Sprachindex!$A:$Z,Erhebungsbogen!$Y$20,FALSE) &amp; ", " &amp; VLOOKUP(1645,Sprachindex!$A:$Z,Erhebungsbogen!$Y$20,FALSE) &amp; " " &amp; $AI$18 &amp; " (" &amp; ROUNDUP(C191/1000*Preisliste!I37,2) &amp; " " &amp; VLOOKUP(1744,Sprachindex!$A:$Z,Erhebungsbogen!$Y$20,FALSE) &amp; ")"</f>
        <v>Dammbalken 50/150 exkl. Dichtung, gesägt und entgratet, beschichtet 0 (0 kg/Stk)</v>
      </c>
      <c r="H191" s="514"/>
      <c r="I191" s="514"/>
      <c r="J191" s="514"/>
      <c r="K191" s="514"/>
      <c r="L191" s="514"/>
      <c r="M191" s="514"/>
      <c r="N191" s="514"/>
      <c r="O191" s="514"/>
      <c r="P191" s="514"/>
      <c r="Q191" s="514"/>
      <c r="R191" s="514"/>
      <c r="S191" s="514"/>
      <c r="T191" s="514"/>
      <c r="U191" s="353">
        <f>VLOOKUP(F191,Preisliste!C:G,5,FALSE)</f>
        <v>152.13000000000002</v>
      </c>
      <c r="V191" s="352">
        <f t="shared" si="84"/>
        <v>0</v>
      </c>
      <c r="W191" s="146"/>
      <c r="X191" s="146"/>
      <c r="Y191" s="86"/>
      <c r="Z191" s="143">
        <f>(VLOOKUP(F191,Preisliste!C:G,5,FALSE)-VLOOKUP(F191,Preisliste!C:G,4,FALSE))*D191/1000</f>
        <v>0</v>
      </c>
      <c r="AA191" s="86"/>
      <c r="AB191" s="255"/>
      <c r="AC191" s="86"/>
      <c r="AD191" s="86"/>
      <c r="AE191" s="86"/>
      <c r="AF191" s="86"/>
      <c r="AI191" s="86">
        <f>IF(Kalk3!$AA$15,'STK3'!$B57,0)</f>
        <v>0</v>
      </c>
      <c r="AJ191" s="86">
        <f>IF(Kalk3!$AA$15,'STK3'!$C57,0)</f>
        <v>0</v>
      </c>
      <c r="AM191" s="86">
        <f>AI191</f>
        <v>0</v>
      </c>
      <c r="AN191" s="86">
        <f>AJ191</f>
        <v>0</v>
      </c>
      <c r="CK191" s="245"/>
    </row>
    <row r="192" spans="2:89" ht="24.95" customHeight="1">
      <c r="B192" s="92">
        <f t="shared" si="81"/>
        <v>0</v>
      </c>
      <c r="C192" s="138">
        <f t="shared" si="82"/>
        <v>0</v>
      </c>
      <c r="D192" s="60">
        <f t="shared" si="83"/>
        <v>0</v>
      </c>
      <c r="E192" s="60" t="str">
        <f>VLOOKUP(1598,Sprachindex!$A:$Z,Erhebungsbogen!$Y$20,FALSE)</f>
        <v>[mm]</v>
      </c>
      <c r="F192" s="60" t="s">
        <v>21878</v>
      </c>
      <c r="G192" s="514" t="str">
        <f>VLOOKUP(1661,Sprachindex!$A:$Z,Erhebungsbogen!$Y$20,FALSE) &amp; ", " &amp; VLOOKUP(1648,Sprachindex!$A:$Z,Erhebungsbogen!$Y$20,FALSE) &amp; " (" &amp; ROUNDUP(C192/1000*Preisliste!I37,2) &amp; " " &amp; VLOOKUP(1744,Sprachindex!$A:$Z,Erhebungsbogen!$Y$20,FALSE) &amp; ")"</f>
        <v>Dammbalken 50/150 exkl. Dichtung, gesägt und entgratet, blank (0 kg/Stk)</v>
      </c>
      <c r="H192" s="514"/>
      <c r="I192" s="514"/>
      <c r="J192" s="514"/>
      <c r="K192" s="514"/>
      <c r="L192" s="514"/>
      <c r="M192" s="514"/>
      <c r="N192" s="514"/>
      <c r="O192" s="514"/>
      <c r="P192" s="514"/>
      <c r="Q192" s="514"/>
      <c r="R192" s="514"/>
      <c r="S192" s="514"/>
      <c r="T192" s="514"/>
      <c r="U192" s="352">
        <f>VLOOKUP(F192,Preisliste!C:F,4,FALSE)</f>
        <v>138.30000000000001</v>
      </c>
      <c r="V192" s="352">
        <f t="shared" si="84"/>
        <v>0</v>
      </c>
      <c r="W192" s="146"/>
      <c r="X192" s="146"/>
      <c r="Y192" s="86"/>
      <c r="Z192" s="143"/>
      <c r="AA192" s="86"/>
      <c r="AB192" s="86"/>
      <c r="AC192" s="86"/>
      <c r="AD192" s="86"/>
      <c r="AE192" s="86"/>
      <c r="AF192" s="86"/>
      <c r="AJ192" s="86">
        <f>IF(Kalk4!$AA$15=FALSE,'STK4'!$B57,0)</f>
        <v>0</v>
      </c>
      <c r="AK192" s="86">
        <f>IF(Kalk4!$AA$15=FALSE,'STK4'!$C57,0)</f>
        <v>0</v>
      </c>
      <c r="AM192" s="86">
        <f>AJ192</f>
        <v>0</v>
      </c>
      <c r="AN192" s="86">
        <f>AK192</f>
        <v>0</v>
      </c>
      <c r="CK192" s="245"/>
    </row>
    <row r="193" spans="2:89" ht="24.95" customHeight="1">
      <c r="B193" s="92">
        <f t="shared" si="81"/>
        <v>0</v>
      </c>
      <c r="C193" s="138">
        <f t="shared" si="82"/>
        <v>0</v>
      </c>
      <c r="D193" s="60">
        <f t="shared" si="83"/>
        <v>0</v>
      </c>
      <c r="E193" s="60" t="str">
        <f>VLOOKUP(1598,Sprachindex!$A:$Z,Erhebungsbogen!$Y$20,FALSE)</f>
        <v>[mm]</v>
      </c>
      <c r="F193" s="60" t="s">
        <v>21878</v>
      </c>
      <c r="G193" s="514" t="str">
        <f>VLOOKUP(1661,Sprachindex!$A:$Z,Erhebungsbogen!$Y$20,FALSE) &amp; ", " &amp; VLOOKUP(1645,Sprachindex!$A:$Z,Erhebungsbogen!$Y$20,FALSE) &amp; " " &amp; $AJ$18 &amp; " (" &amp; ROUNDUP(C193/1000*Preisliste!I37,2) &amp; " " &amp; VLOOKUP(1744,Sprachindex!$A:$Z,Erhebungsbogen!$Y$20,FALSE) &amp; ")"</f>
        <v>Dammbalken 50/150 exkl. Dichtung, gesägt und entgratet, beschichtet 0 (0 kg/Stk)</v>
      </c>
      <c r="H193" s="514"/>
      <c r="I193" s="514"/>
      <c r="J193" s="514"/>
      <c r="K193" s="514"/>
      <c r="L193" s="514"/>
      <c r="M193" s="514"/>
      <c r="N193" s="514"/>
      <c r="O193" s="514"/>
      <c r="P193" s="514"/>
      <c r="Q193" s="514"/>
      <c r="R193" s="514"/>
      <c r="S193" s="514"/>
      <c r="T193" s="514"/>
      <c r="U193" s="353">
        <f>VLOOKUP(F193,Preisliste!C:G,5,FALSE)</f>
        <v>152.13000000000002</v>
      </c>
      <c r="V193" s="352">
        <f t="shared" si="84"/>
        <v>0</v>
      </c>
      <c r="W193" s="146"/>
      <c r="X193" s="146"/>
      <c r="Y193" s="86"/>
      <c r="Z193" s="143">
        <f>(VLOOKUP(F193,Preisliste!C:G,5,FALSE)-VLOOKUP(F193,Preisliste!C:G,4,FALSE))*D193/1000</f>
        <v>0</v>
      </c>
      <c r="AA193" s="86"/>
      <c r="AB193" s="86"/>
      <c r="AC193" s="86"/>
      <c r="AD193" s="86"/>
      <c r="AE193" s="86"/>
      <c r="AF193" s="86"/>
      <c r="AJ193" s="86">
        <f>IF(Kalk4!$AA$15,'STK4'!$B57,0)</f>
        <v>0</v>
      </c>
      <c r="AK193" s="86">
        <f>IF(Kalk4!$AA$15,'STK4'!$C57,0)</f>
        <v>0</v>
      </c>
      <c r="AM193" s="86">
        <f>AJ193</f>
        <v>0</v>
      </c>
      <c r="AN193" s="86">
        <f>AK193</f>
        <v>0</v>
      </c>
      <c r="CK193" s="245"/>
    </row>
    <row r="194" spans="2:89" ht="24.95" customHeight="1">
      <c r="B194" s="92">
        <f t="shared" si="81"/>
        <v>0</v>
      </c>
      <c r="C194" s="138">
        <f t="shared" si="82"/>
        <v>0</v>
      </c>
      <c r="D194" s="60">
        <f t="shared" si="83"/>
        <v>0</v>
      </c>
      <c r="E194" s="60" t="str">
        <f>VLOOKUP(1598,Sprachindex!$A:$Z,Erhebungsbogen!$Y$20,FALSE)</f>
        <v>[mm]</v>
      </c>
      <c r="F194" s="60" t="s">
        <v>21878</v>
      </c>
      <c r="G194" s="514" t="str">
        <f>VLOOKUP(1661,Sprachindex!$A:$Z,Erhebungsbogen!$Y$20,FALSE) &amp; ", " &amp; VLOOKUP(1648,Sprachindex!$A:$Z,Erhebungsbogen!$Y$20,FALSE) &amp; " (" &amp; ROUNDUP(C194/1000*Preisliste!I37,2) &amp; " " &amp; VLOOKUP(1744,Sprachindex!$A:$Z,Erhebungsbogen!$Y$20,FALSE) &amp; ")"</f>
        <v>Dammbalken 50/150 exkl. Dichtung, gesägt und entgratet, blank (0 kg/Stk)</v>
      </c>
      <c r="H194" s="514"/>
      <c r="I194" s="514"/>
      <c r="J194" s="514"/>
      <c r="K194" s="514"/>
      <c r="L194" s="514"/>
      <c r="M194" s="514"/>
      <c r="N194" s="514"/>
      <c r="O194" s="514"/>
      <c r="P194" s="514"/>
      <c r="Q194" s="514"/>
      <c r="R194" s="514"/>
      <c r="S194" s="514"/>
      <c r="T194" s="514"/>
      <c r="U194" s="352">
        <f>VLOOKUP(F194,Preisliste!C:F,4,FALSE)</f>
        <v>138.30000000000001</v>
      </c>
      <c r="V194" s="352">
        <f t="shared" si="84"/>
        <v>0</v>
      </c>
      <c r="W194" s="146"/>
      <c r="X194" s="146"/>
      <c r="Y194" s="86"/>
      <c r="Z194" s="143"/>
      <c r="AA194" s="86"/>
      <c r="AB194" s="86"/>
      <c r="AC194" s="86"/>
      <c r="AD194" s="86"/>
      <c r="AE194" s="86"/>
      <c r="AF194" s="86"/>
      <c r="AK194" s="86">
        <f>IF(Kalk5!$AA$15=FALSE,'STK5'!$B57,0)</f>
        <v>0</v>
      </c>
      <c r="AL194" s="86">
        <f>IF(Kalk5!$AA$15=FALSE,'STK5'!$C57,0)</f>
        <v>0</v>
      </c>
      <c r="AM194" s="86">
        <f>AK194</f>
        <v>0</v>
      </c>
      <c r="AN194" s="86">
        <f>AL194</f>
        <v>0</v>
      </c>
      <c r="CK194" s="245"/>
    </row>
    <row r="195" spans="2:89" ht="24.95" customHeight="1">
      <c r="B195" s="92">
        <f t="shared" si="81"/>
        <v>0</v>
      </c>
      <c r="C195" s="138">
        <f t="shared" si="82"/>
        <v>0</v>
      </c>
      <c r="D195" s="60">
        <f t="shared" si="83"/>
        <v>0</v>
      </c>
      <c r="E195" s="60" t="str">
        <f>VLOOKUP(1598,Sprachindex!$A:$Z,Erhebungsbogen!$Y$20,FALSE)</f>
        <v>[mm]</v>
      </c>
      <c r="F195" s="60" t="s">
        <v>21878</v>
      </c>
      <c r="G195" s="514" t="str">
        <f>VLOOKUP(1661,Sprachindex!$A:$Z,Erhebungsbogen!$Y$20,FALSE) &amp; ", " &amp; VLOOKUP(1645,Sprachindex!$A:$Z,Erhebungsbogen!$Y$20,FALSE) &amp; " " &amp; $AK$18 &amp; " (" &amp; ROUNDUP(C195/1000*Preisliste!I37,2) &amp; " " &amp; VLOOKUP(1744,Sprachindex!$A:$Z,Erhebungsbogen!$Y$20,FALSE) &amp; ")"</f>
        <v>Dammbalken 50/150 exkl. Dichtung, gesägt und entgratet, beschichtet 0 (0 kg/Stk)</v>
      </c>
      <c r="H195" s="514"/>
      <c r="I195" s="514"/>
      <c r="J195" s="514"/>
      <c r="K195" s="514"/>
      <c r="L195" s="514"/>
      <c r="M195" s="514"/>
      <c r="N195" s="514"/>
      <c r="O195" s="514"/>
      <c r="P195" s="514"/>
      <c r="Q195" s="514"/>
      <c r="R195" s="514"/>
      <c r="S195" s="514"/>
      <c r="T195" s="514"/>
      <c r="U195" s="353">
        <f>VLOOKUP(F195,Preisliste!C:G,5,FALSE)</f>
        <v>152.13000000000002</v>
      </c>
      <c r="V195" s="352">
        <f t="shared" si="84"/>
        <v>0</v>
      </c>
      <c r="W195" s="146"/>
      <c r="X195" s="146"/>
      <c r="Y195" s="86"/>
      <c r="Z195" s="143">
        <f>(VLOOKUP(F195,Preisliste!C:G,5,FALSE)-VLOOKUP(F195,Preisliste!C:G,4,FALSE))*D195/1000</f>
        <v>0</v>
      </c>
      <c r="AA195" s="86"/>
      <c r="AB195" s="86"/>
      <c r="AC195" s="86"/>
      <c r="AD195" s="86"/>
      <c r="AE195" s="86"/>
      <c r="AF195" s="86"/>
      <c r="AK195" s="86">
        <f>IF(Kalk5!$AA$15,'STK5'!$B57,0)</f>
        <v>0</v>
      </c>
      <c r="AL195" s="86">
        <f>IF(Kalk5!$AA$15,'STK5'!$C57,0)</f>
        <v>0</v>
      </c>
      <c r="AM195" s="86">
        <f>AK195</f>
        <v>0</v>
      </c>
      <c r="AN195" s="86">
        <f>AL195</f>
        <v>0</v>
      </c>
      <c r="CK195" s="245"/>
    </row>
    <row r="196" spans="2:89" ht="24.95" customHeight="1">
      <c r="B196" s="92">
        <f t="shared" si="81"/>
        <v>0</v>
      </c>
      <c r="C196" s="138">
        <f t="shared" si="82"/>
        <v>0</v>
      </c>
      <c r="D196" s="60">
        <f t="shared" si="83"/>
        <v>0</v>
      </c>
      <c r="E196" s="60" t="str">
        <f>VLOOKUP(1598,Sprachindex!$A:$Z,Erhebungsbogen!$Y$20,FALSE)</f>
        <v>[mm]</v>
      </c>
      <c r="F196" s="60" t="s">
        <v>21879</v>
      </c>
      <c r="G196" s="514" t="str">
        <f>VLOOKUP(1662,Sprachindex!$A:$Z,Erhebungsbogen!$Y$20,FALSE) &amp; ", " &amp; VLOOKUP(1648,Sprachindex!$A:$Z,Erhebungsbogen!$Y$20,FALSE) &amp; " (" &amp; ROUNDUP(C196/1000*Preisliste!I38,2) &amp; " " &amp; VLOOKUP(1744,Sprachindex!$A:$Z,Erhebungsbogen!$Y$20,FALSE) &amp; ")"</f>
        <v>Dammbalken 50/200 exkl. Dichtung, gesägt und entgratet, blank (0 kg/Stk)</v>
      </c>
      <c r="H196" s="514"/>
      <c r="I196" s="514"/>
      <c r="J196" s="514"/>
      <c r="K196" s="514"/>
      <c r="L196" s="514"/>
      <c r="M196" s="514"/>
      <c r="N196" s="514"/>
      <c r="O196" s="514"/>
      <c r="P196" s="514"/>
      <c r="Q196" s="514"/>
      <c r="R196" s="514"/>
      <c r="S196" s="514"/>
      <c r="T196" s="514"/>
      <c r="U196" s="352">
        <f>VLOOKUP(F196,Preisliste!C:F,4,FALSE)</f>
        <v>132.1</v>
      </c>
      <c r="V196" s="352">
        <f t="shared" si="84"/>
        <v>0</v>
      </c>
      <c r="W196" s="146"/>
      <c r="X196" s="146"/>
      <c r="Y196" s="86"/>
      <c r="Z196" s="143"/>
      <c r="AA196" s="86"/>
      <c r="AB196" s="86"/>
      <c r="AC196" s="86"/>
      <c r="AD196" s="86"/>
      <c r="AE196" s="86"/>
      <c r="AF196" s="86"/>
      <c r="AG196" s="86">
        <f>IF(Kalk1!$AA$15=FALSE,'STK1'!$B58,0)</f>
        <v>0</v>
      </c>
      <c r="AH196" s="86">
        <f>IF(Kalk1!$AA$15=FALSE,'STK1'!$C58,0)</f>
        <v>0</v>
      </c>
      <c r="AM196" s="86">
        <f>AG196</f>
        <v>0</v>
      </c>
      <c r="AN196" s="86">
        <f>AH196</f>
        <v>0</v>
      </c>
      <c r="CK196" s="245"/>
    </row>
    <row r="197" spans="2:89" ht="24.95" customHeight="1">
      <c r="B197" s="92">
        <f t="shared" si="81"/>
        <v>0</v>
      </c>
      <c r="C197" s="138">
        <f t="shared" si="82"/>
        <v>0</v>
      </c>
      <c r="D197" s="60">
        <f t="shared" si="83"/>
        <v>0</v>
      </c>
      <c r="E197" s="60" t="str">
        <f>VLOOKUP(1598,Sprachindex!$A:$Z,Erhebungsbogen!$Y$20,FALSE)</f>
        <v>[mm]</v>
      </c>
      <c r="F197" s="60" t="s">
        <v>21879</v>
      </c>
      <c r="G197" s="514" t="str">
        <f>VLOOKUP(1662,Sprachindex!$A:$Z,Erhebungsbogen!$Y$20,FALSE) &amp; ", " &amp; VLOOKUP(1645,Sprachindex!$A:$Z,Erhebungsbogen!$Y$20,FALSE) &amp; " " &amp; $AG$18 &amp; " (" &amp; ROUNDUP(C197/1000*Preisliste!I38,2) &amp; " " &amp; VLOOKUP(1744,Sprachindex!$A:$Z,Erhebungsbogen!$Y$20,FALSE) &amp; ")"</f>
        <v>Dammbalken 50/200 exkl. Dichtung, gesägt und entgratet, beschichtet  (0 kg/Stk)</v>
      </c>
      <c r="H197" s="514"/>
      <c r="I197" s="514"/>
      <c r="J197" s="514"/>
      <c r="K197" s="514"/>
      <c r="L197" s="514"/>
      <c r="M197" s="514"/>
      <c r="N197" s="514"/>
      <c r="O197" s="514"/>
      <c r="P197" s="514"/>
      <c r="Q197" s="514"/>
      <c r="R197" s="514"/>
      <c r="S197" s="514"/>
      <c r="T197" s="514"/>
      <c r="U197" s="353">
        <f>VLOOKUP(F197,Preisliste!C:G,5,FALSE)</f>
        <v>145.31</v>
      </c>
      <c r="V197" s="352">
        <f t="shared" si="84"/>
        <v>0</v>
      </c>
      <c r="W197" s="146"/>
      <c r="X197" s="146"/>
      <c r="Y197" s="86"/>
      <c r="Z197" s="143">
        <f>(VLOOKUP(F197,Preisliste!C:G,5,FALSE)-VLOOKUP(F197,Preisliste!C:G,4,FALSE))*D197/1000</f>
        <v>0</v>
      </c>
      <c r="AA197" s="86"/>
      <c r="AB197" s="86"/>
      <c r="AC197" s="86"/>
      <c r="AD197" s="86"/>
      <c r="AE197" s="86"/>
      <c r="AF197" s="86"/>
      <c r="AG197" s="86">
        <f>IF(Kalk1!$AA$15,'STK1'!$B58,0)</f>
        <v>0</v>
      </c>
      <c r="AH197" s="86">
        <f>IF(Kalk1!$AA$15,'STK1'!$C58,0)</f>
        <v>0</v>
      </c>
      <c r="AM197" s="86">
        <f>AG197</f>
        <v>0</v>
      </c>
      <c r="AN197" s="86">
        <f>AH197</f>
        <v>0</v>
      </c>
      <c r="CK197" s="245"/>
    </row>
    <row r="198" spans="2:89" ht="24.95" customHeight="1">
      <c r="B198" s="92">
        <f t="shared" si="81"/>
        <v>0</v>
      </c>
      <c r="C198" s="138">
        <f t="shared" si="82"/>
        <v>0</v>
      </c>
      <c r="D198" s="60">
        <f t="shared" si="83"/>
        <v>0</v>
      </c>
      <c r="E198" s="60" t="str">
        <f>VLOOKUP(1598,Sprachindex!$A:$Z,Erhebungsbogen!$Y$20,FALSE)</f>
        <v>[mm]</v>
      </c>
      <c r="F198" s="60" t="s">
        <v>21879</v>
      </c>
      <c r="G198" s="514" t="str">
        <f>VLOOKUP(1662,Sprachindex!$A:$Z,Erhebungsbogen!$Y$20,FALSE) &amp; ", " &amp; VLOOKUP(1648,Sprachindex!$A:$Z,Erhebungsbogen!$Y$20,FALSE) &amp; " (" &amp; ROUNDUP(C198/1000*Preisliste!I38,2) &amp; " " &amp; VLOOKUP(1744,Sprachindex!$A:$Z,Erhebungsbogen!$Y$20,FALSE) &amp; ")"</f>
        <v>Dammbalken 50/200 exkl. Dichtung, gesägt und entgratet, blank (0 kg/Stk)</v>
      </c>
      <c r="H198" s="514"/>
      <c r="I198" s="514"/>
      <c r="J198" s="514"/>
      <c r="K198" s="514"/>
      <c r="L198" s="514"/>
      <c r="M198" s="514"/>
      <c r="N198" s="514"/>
      <c r="O198" s="514"/>
      <c r="P198" s="514"/>
      <c r="Q198" s="514"/>
      <c r="R198" s="514"/>
      <c r="S198" s="514"/>
      <c r="T198" s="514"/>
      <c r="U198" s="352">
        <f>VLOOKUP(F198,Preisliste!C:F,4,FALSE)</f>
        <v>132.1</v>
      </c>
      <c r="V198" s="352">
        <f t="shared" si="84"/>
        <v>0</v>
      </c>
      <c r="W198" s="146"/>
      <c r="X198" s="146"/>
      <c r="Y198" s="86"/>
      <c r="Z198" s="143"/>
      <c r="AA198" s="86"/>
      <c r="AB198" s="86"/>
      <c r="AC198" s="86"/>
      <c r="AD198" s="86"/>
      <c r="AE198" s="86"/>
      <c r="AF198" s="86"/>
      <c r="AH198" s="86">
        <f>IF(Kalk2!$AA$15=FALSE,'STK2'!$B58,0)</f>
        <v>0</v>
      </c>
      <c r="AI198" s="86">
        <f>IF(Kalk2!$AA$15=FALSE,'STK2'!$C58,0)</f>
        <v>0</v>
      </c>
      <c r="AM198" s="86">
        <f>AH198</f>
        <v>0</v>
      </c>
      <c r="AN198" s="86">
        <f>AI198</f>
        <v>0</v>
      </c>
      <c r="CK198" s="245"/>
    </row>
    <row r="199" spans="2:89" ht="24.95" customHeight="1">
      <c r="B199" s="92">
        <f t="shared" si="81"/>
        <v>0</v>
      </c>
      <c r="C199" s="138">
        <f t="shared" si="82"/>
        <v>0</v>
      </c>
      <c r="D199" s="60">
        <f t="shared" si="83"/>
        <v>0</v>
      </c>
      <c r="E199" s="60" t="str">
        <f>VLOOKUP(1598,Sprachindex!$A:$Z,Erhebungsbogen!$Y$20,FALSE)</f>
        <v>[mm]</v>
      </c>
      <c r="F199" s="60" t="s">
        <v>21879</v>
      </c>
      <c r="G199" s="514" t="str">
        <f>VLOOKUP(1662,Sprachindex!$A:$Z,Erhebungsbogen!$Y$20,FALSE) &amp; ", " &amp; VLOOKUP(1645,Sprachindex!$A:$Z,Erhebungsbogen!$Y$20,FALSE) &amp; " " &amp; $AI$18 &amp; " (" &amp; ROUNDUP(C199/1000*Preisliste!I38,2) &amp; " " &amp; VLOOKUP(1744,Sprachindex!$A:$Z,Erhebungsbogen!$Y$20,FALSE) &amp; ")"</f>
        <v>Dammbalken 50/200 exkl. Dichtung, gesägt und entgratet, beschichtet 0 (0 kg/Stk)</v>
      </c>
      <c r="H199" s="514"/>
      <c r="I199" s="514"/>
      <c r="J199" s="514"/>
      <c r="K199" s="514"/>
      <c r="L199" s="514"/>
      <c r="M199" s="514"/>
      <c r="N199" s="514"/>
      <c r="O199" s="514"/>
      <c r="P199" s="514"/>
      <c r="Q199" s="514"/>
      <c r="R199" s="514"/>
      <c r="S199" s="514"/>
      <c r="T199" s="514"/>
      <c r="U199" s="353">
        <f>VLOOKUP(F199,Preisliste!C:G,5,FALSE)</f>
        <v>145.31</v>
      </c>
      <c r="V199" s="352">
        <f t="shared" si="84"/>
        <v>0</v>
      </c>
      <c r="W199" s="146"/>
      <c r="X199" s="146"/>
      <c r="Y199" s="86"/>
      <c r="Z199" s="143">
        <f>(VLOOKUP(F199,Preisliste!C:G,5,FALSE)-VLOOKUP(F199,Preisliste!C:G,4,FALSE))*D199/1000</f>
        <v>0</v>
      </c>
      <c r="AA199" s="86"/>
      <c r="AB199" s="86"/>
      <c r="AC199" s="86"/>
      <c r="AD199" s="86"/>
      <c r="AE199" s="86"/>
      <c r="AF199" s="86"/>
      <c r="AH199" s="86">
        <f>IF(Kalk2!$AA$15,'STK2'!$B58,0)</f>
        <v>0</v>
      </c>
      <c r="AI199" s="86">
        <f>IF(Kalk2!$AA$15,'STK2'!$C58,0)</f>
        <v>0</v>
      </c>
      <c r="AM199" s="86">
        <f>AH199</f>
        <v>0</v>
      </c>
      <c r="AN199" s="86">
        <f>AI199</f>
        <v>0</v>
      </c>
      <c r="CK199" s="245"/>
    </row>
    <row r="200" spans="2:89" ht="24.95" customHeight="1">
      <c r="B200" s="92">
        <f t="shared" si="81"/>
        <v>0</v>
      </c>
      <c r="C200" s="138">
        <f t="shared" si="82"/>
        <v>0</v>
      </c>
      <c r="D200" s="60">
        <f t="shared" si="83"/>
        <v>0</v>
      </c>
      <c r="E200" s="60" t="str">
        <f>VLOOKUP(1598,Sprachindex!$A:$Z,Erhebungsbogen!$Y$20,FALSE)</f>
        <v>[mm]</v>
      </c>
      <c r="F200" s="60" t="s">
        <v>21879</v>
      </c>
      <c r="G200" s="514" t="str">
        <f>VLOOKUP(1662,Sprachindex!$A:$Z,Erhebungsbogen!$Y$20,FALSE) &amp; ", " &amp; VLOOKUP(1648,Sprachindex!$A:$Z,Erhebungsbogen!$Y$20,FALSE) &amp; " (" &amp; ROUNDUP(C200/1000*Preisliste!I38,2) &amp; " " &amp; VLOOKUP(1744,Sprachindex!$A:$Z,Erhebungsbogen!$Y$20,FALSE) &amp; ")"</f>
        <v>Dammbalken 50/200 exkl. Dichtung, gesägt und entgratet, blank (0 kg/Stk)</v>
      </c>
      <c r="H200" s="514"/>
      <c r="I200" s="514"/>
      <c r="J200" s="514"/>
      <c r="K200" s="514"/>
      <c r="L200" s="514"/>
      <c r="M200" s="514"/>
      <c r="N200" s="514"/>
      <c r="O200" s="514"/>
      <c r="P200" s="514"/>
      <c r="Q200" s="514"/>
      <c r="R200" s="514"/>
      <c r="S200" s="514"/>
      <c r="T200" s="514"/>
      <c r="U200" s="352">
        <f>VLOOKUP(F200,Preisliste!C:F,4,FALSE)</f>
        <v>132.1</v>
      </c>
      <c r="V200" s="352">
        <f t="shared" si="84"/>
        <v>0</v>
      </c>
      <c r="W200" s="146"/>
      <c r="X200" s="146"/>
      <c r="Y200" s="86"/>
      <c r="Z200" s="143"/>
      <c r="AA200" s="86"/>
      <c r="AB200" s="86"/>
      <c r="AC200" s="86"/>
      <c r="AD200" s="86"/>
      <c r="AE200" s="86"/>
      <c r="AF200" s="86"/>
      <c r="AI200" s="86">
        <f>IF(Kalk3!$AA$15=FALSE,'STK3'!$B58,0)</f>
        <v>0</v>
      </c>
      <c r="AJ200" s="86">
        <f>IF(Kalk3!$AA$15=FALSE,'STK3'!$C58,0)</f>
        <v>0</v>
      </c>
      <c r="AM200" s="86">
        <f>AI200</f>
        <v>0</v>
      </c>
      <c r="AN200" s="86">
        <f>AJ200</f>
        <v>0</v>
      </c>
      <c r="CK200" s="245"/>
    </row>
    <row r="201" spans="2:89" ht="24.95" customHeight="1">
      <c r="B201" s="92">
        <f t="shared" si="81"/>
        <v>0</v>
      </c>
      <c r="C201" s="138">
        <f t="shared" si="82"/>
        <v>0</v>
      </c>
      <c r="D201" s="60">
        <f t="shared" si="83"/>
        <v>0</v>
      </c>
      <c r="E201" s="60" t="str">
        <f>VLOOKUP(1598,Sprachindex!$A:$Z,Erhebungsbogen!$Y$20,FALSE)</f>
        <v>[mm]</v>
      </c>
      <c r="F201" s="60" t="s">
        <v>21879</v>
      </c>
      <c r="G201" s="514" t="str">
        <f>VLOOKUP(1662,Sprachindex!$A:$Z,Erhebungsbogen!$Y$20,FALSE) &amp; ", " &amp; VLOOKUP(1645,Sprachindex!$A:$Z,Erhebungsbogen!$Y$20,FALSE) &amp; " " &amp; $AJ$18 &amp; " (" &amp; ROUNDUP(C201/1000*Preisliste!I38,2) &amp; " " &amp; VLOOKUP(1744,Sprachindex!$A:$Z,Erhebungsbogen!$Y$20,FALSE) &amp; ")"</f>
        <v>Dammbalken 50/200 exkl. Dichtung, gesägt und entgratet, beschichtet 0 (0 kg/Stk)</v>
      </c>
      <c r="H201" s="514"/>
      <c r="I201" s="514"/>
      <c r="J201" s="514"/>
      <c r="K201" s="514"/>
      <c r="L201" s="514"/>
      <c r="M201" s="514"/>
      <c r="N201" s="514"/>
      <c r="O201" s="514"/>
      <c r="P201" s="514"/>
      <c r="Q201" s="514"/>
      <c r="R201" s="514"/>
      <c r="S201" s="514"/>
      <c r="T201" s="514"/>
      <c r="U201" s="353">
        <f>VLOOKUP(F201,Preisliste!C:G,5,FALSE)</f>
        <v>145.31</v>
      </c>
      <c r="V201" s="352">
        <f t="shared" si="84"/>
        <v>0</v>
      </c>
      <c r="W201" s="146"/>
      <c r="X201" s="146"/>
      <c r="Y201" s="86"/>
      <c r="Z201" s="143">
        <f>(VLOOKUP(F201,Preisliste!C:G,5,FALSE)-VLOOKUP(F201,Preisliste!C:G,4,FALSE))*D201/1000</f>
        <v>0</v>
      </c>
      <c r="AA201" s="86"/>
      <c r="AB201" s="86"/>
      <c r="AC201" s="86"/>
      <c r="AD201" s="86"/>
      <c r="AE201" s="86"/>
      <c r="AF201" s="86"/>
      <c r="AI201" s="86">
        <f>IF(Kalk3!$AA$15,'STK3'!$B58,0)</f>
        <v>0</v>
      </c>
      <c r="AJ201" s="86">
        <f>IF(Kalk3!$AA$15,'STK3'!$C58,0)</f>
        <v>0</v>
      </c>
      <c r="AM201" s="86">
        <f>AI201</f>
        <v>0</v>
      </c>
      <c r="AN201" s="86">
        <f>AJ201</f>
        <v>0</v>
      </c>
      <c r="CK201" s="245"/>
    </row>
    <row r="202" spans="2:89" ht="24.95" customHeight="1">
      <c r="B202" s="92">
        <f t="shared" si="81"/>
        <v>0</v>
      </c>
      <c r="C202" s="138">
        <f t="shared" si="82"/>
        <v>0</v>
      </c>
      <c r="D202" s="60">
        <f t="shared" si="83"/>
        <v>0</v>
      </c>
      <c r="E202" s="60" t="str">
        <f>VLOOKUP(1598,Sprachindex!$A:$Z,Erhebungsbogen!$Y$20,FALSE)</f>
        <v>[mm]</v>
      </c>
      <c r="F202" s="60" t="s">
        <v>21879</v>
      </c>
      <c r="G202" s="514" t="str">
        <f>VLOOKUP(1662,Sprachindex!$A:$Z,Erhebungsbogen!$Y$20,FALSE) &amp; ", " &amp; VLOOKUP(1648,Sprachindex!$A:$Z,Erhebungsbogen!$Y$20,FALSE) &amp; " (" &amp; ROUNDUP(C202/1000*Preisliste!I38,2) &amp; " " &amp; VLOOKUP(1744,Sprachindex!$A:$Z,Erhebungsbogen!$Y$20,FALSE) &amp; ")"</f>
        <v>Dammbalken 50/200 exkl. Dichtung, gesägt und entgratet, blank (0 kg/Stk)</v>
      </c>
      <c r="H202" s="514"/>
      <c r="I202" s="514"/>
      <c r="J202" s="514"/>
      <c r="K202" s="514"/>
      <c r="L202" s="514"/>
      <c r="M202" s="514"/>
      <c r="N202" s="514"/>
      <c r="O202" s="514"/>
      <c r="P202" s="514"/>
      <c r="Q202" s="514"/>
      <c r="R202" s="514"/>
      <c r="S202" s="514"/>
      <c r="T202" s="514"/>
      <c r="U202" s="352">
        <f>VLOOKUP(F202,Preisliste!C:F,4,FALSE)</f>
        <v>132.1</v>
      </c>
      <c r="V202" s="352">
        <f t="shared" si="84"/>
        <v>0</v>
      </c>
      <c r="W202" s="146"/>
      <c r="X202" s="146"/>
      <c r="Y202" s="86"/>
      <c r="Z202" s="143"/>
      <c r="AA202" s="86"/>
      <c r="AB202" s="86"/>
      <c r="AC202" s="86"/>
      <c r="AD202" s="86"/>
      <c r="AE202" s="86"/>
      <c r="AF202" s="86"/>
      <c r="AJ202" s="86">
        <f>IF(Kalk4!$AA$15=FALSE,'STK4'!$B58,0)</f>
        <v>0</v>
      </c>
      <c r="AK202" s="86">
        <f>IF(Kalk4!$AA$15=FALSE,'STK4'!$C58,0)</f>
        <v>0</v>
      </c>
      <c r="AM202" s="86">
        <f>AJ202</f>
        <v>0</v>
      </c>
      <c r="AN202" s="86">
        <f>AK202</f>
        <v>0</v>
      </c>
      <c r="CK202" s="245"/>
    </row>
    <row r="203" spans="2:89" ht="24.95" customHeight="1">
      <c r="B203" s="92">
        <f t="shared" si="81"/>
        <v>0</v>
      </c>
      <c r="C203" s="138">
        <f t="shared" si="82"/>
        <v>0</v>
      </c>
      <c r="D203" s="60">
        <f t="shared" si="83"/>
        <v>0</v>
      </c>
      <c r="E203" s="60" t="str">
        <f>VLOOKUP(1598,Sprachindex!$A:$Z,Erhebungsbogen!$Y$20,FALSE)</f>
        <v>[mm]</v>
      </c>
      <c r="F203" s="60" t="s">
        <v>21879</v>
      </c>
      <c r="G203" s="514" t="str">
        <f>VLOOKUP(1662,Sprachindex!$A:$Z,Erhebungsbogen!$Y$20,FALSE) &amp; ", " &amp; VLOOKUP(1645,Sprachindex!$A:$Z,Erhebungsbogen!$Y$20,FALSE) &amp; " " &amp; $AK$18 &amp; " (" &amp; ROUNDUP(C203/1000*Preisliste!I38,2) &amp; " " &amp; VLOOKUP(1744,Sprachindex!$A:$Z,Erhebungsbogen!$Y$20,FALSE) &amp; ")"</f>
        <v>Dammbalken 50/200 exkl. Dichtung, gesägt und entgratet, beschichtet 0 (0 kg/Stk)</v>
      </c>
      <c r="H203" s="514"/>
      <c r="I203" s="514"/>
      <c r="J203" s="514"/>
      <c r="K203" s="514"/>
      <c r="L203" s="514"/>
      <c r="M203" s="514"/>
      <c r="N203" s="514"/>
      <c r="O203" s="514"/>
      <c r="P203" s="514"/>
      <c r="Q203" s="514"/>
      <c r="R203" s="514"/>
      <c r="S203" s="514"/>
      <c r="T203" s="514"/>
      <c r="U203" s="353">
        <f>VLOOKUP(F203,Preisliste!C:G,5,FALSE)</f>
        <v>145.31</v>
      </c>
      <c r="V203" s="352">
        <f t="shared" si="84"/>
        <v>0</v>
      </c>
      <c r="W203" s="146"/>
      <c r="X203" s="146"/>
      <c r="Y203" s="86"/>
      <c r="Z203" s="143">
        <f>(VLOOKUP(F203,Preisliste!C:G,5,FALSE)-VLOOKUP(F203,Preisliste!C:G,4,FALSE))*D203/1000</f>
        <v>0</v>
      </c>
      <c r="AA203" s="86"/>
      <c r="AB203" s="86"/>
      <c r="AC203" s="86"/>
      <c r="AD203" s="86"/>
      <c r="AE203" s="86"/>
      <c r="AF203" s="86"/>
      <c r="AJ203" s="86">
        <f>IF(Kalk4!$AA$15,'STK4'!$B58,0)</f>
        <v>0</v>
      </c>
      <c r="AK203" s="86">
        <f>IF(Kalk4!$AA$15,'STK4'!$C58,0)</f>
        <v>0</v>
      </c>
      <c r="AM203" s="86">
        <f>AJ203</f>
        <v>0</v>
      </c>
      <c r="AN203" s="86">
        <f>AK203</f>
        <v>0</v>
      </c>
      <c r="CK203" s="245"/>
    </row>
    <row r="204" spans="2:89" ht="24.95" customHeight="1">
      <c r="B204" s="92">
        <f t="shared" si="81"/>
        <v>0</v>
      </c>
      <c r="C204" s="138">
        <f t="shared" si="82"/>
        <v>0</v>
      </c>
      <c r="D204" s="60">
        <f t="shared" si="83"/>
        <v>0</v>
      </c>
      <c r="E204" s="60" t="str">
        <f>VLOOKUP(1598,Sprachindex!$A:$Z,Erhebungsbogen!$Y$20,FALSE)</f>
        <v>[mm]</v>
      </c>
      <c r="F204" s="60" t="s">
        <v>21879</v>
      </c>
      <c r="G204" s="514" t="str">
        <f>VLOOKUP(1662,Sprachindex!$A:$Z,Erhebungsbogen!$Y$20,FALSE) &amp; ", " &amp; VLOOKUP(1648,Sprachindex!$A:$Z,Erhebungsbogen!$Y$20,FALSE) &amp; " (" &amp; ROUNDUP(C204/1000*Preisliste!I38,2) &amp; " " &amp; VLOOKUP(1744,Sprachindex!$A:$Z,Erhebungsbogen!$Y$20,FALSE) &amp; ")"</f>
        <v>Dammbalken 50/200 exkl. Dichtung, gesägt und entgratet, blank (0 kg/Stk)</v>
      </c>
      <c r="H204" s="514"/>
      <c r="I204" s="514"/>
      <c r="J204" s="514"/>
      <c r="K204" s="514"/>
      <c r="L204" s="514"/>
      <c r="M204" s="514"/>
      <c r="N204" s="514"/>
      <c r="O204" s="514"/>
      <c r="P204" s="514"/>
      <c r="Q204" s="514"/>
      <c r="R204" s="514"/>
      <c r="S204" s="514"/>
      <c r="T204" s="514"/>
      <c r="U204" s="352">
        <f>VLOOKUP(F204,Preisliste!C:F,4,FALSE)</f>
        <v>132.1</v>
      </c>
      <c r="V204" s="352">
        <f t="shared" si="84"/>
        <v>0</v>
      </c>
      <c r="W204" s="146"/>
      <c r="X204" s="146"/>
      <c r="Y204" s="86"/>
      <c r="Z204" s="143"/>
      <c r="AA204" s="86"/>
      <c r="AB204" s="86"/>
      <c r="AC204" s="86"/>
      <c r="AD204" s="86"/>
      <c r="AE204" s="86"/>
      <c r="AF204" s="86"/>
      <c r="AK204" s="86">
        <f>IF(Kalk5!$AA$15=FALSE,'STK5'!$B58,0)</f>
        <v>0</v>
      </c>
      <c r="AL204" s="86">
        <f>IF(Kalk5!$AA$15=FALSE,'STK5'!$C58,0)</f>
        <v>0</v>
      </c>
      <c r="AM204" s="86">
        <f>AK204</f>
        <v>0</v>
      </c>
      <c r="AN204" s="86">
        <f>AL204</f>
        <v>0</v>
      </c>
      <c r="CK204" s="245"/>
    </row>
    <row r="205" spans="2:89" ht="24.95" customHeight="1">
      <c r="B205" s="92">
        <f t="shared" si="81"/>
        <v>0</v>
      </c>
      <c r="C205" s="138">
        <f t="shared" si="82"/>
        <v>0</v>
      </c>
      <c r="D205" s="60">
        <f t="shared" si="83"/>
        <v>0</v>
      </c>
      <c r="E205" s="60" t="str">
        <f>VLOOKUP(1598,Sprachindex!$A:$Z,Erhebungsbogen!$Y$20,FALSE)</f>
        <v>[mm]</v>
      </c>
      <c r="F205" s="60" t="s">
        <v>21879</v>
      </c>
      <c r="G205" s="514" t="str">
        <f>VLOOKUP(1662,Sprachindex!$A:$Z,Erhebungsbogen!$Y$20,FALSE) &amp; ", " &amp; VLOOKUP(1645,Sprachindex!$A:$Z,Erhebungsbogen!$Y$20,FALSE) &amp; " " &amp; $AL$18 &amp; " (" &amp; ROUNDUP(C205/1000*Preisliste!I38,2) &amp; " " &amp; VLOOKUP(1744,Sprachindex!$A:$Z,Erhebungsbogen!$Y$20,FALSE) &amp; ")"</f>
        <v>Dammbalken 50/200 exkl. Dichtung, gesägt und entgratet, beschichtet  (0 kg/Stk)</v>
      </c>
      <c r="H205" s="514"/>
      <c r="I205" s="514"/>
      <c r="J205" s="514"/>
      <c r="K205" s="514"/>
      <c r="L205" s="514"/>
      <c r="M205" s="514"/>
      <c r="N205" s="514"/>
      <c r="O205" s="514"/>
      <c r="P205" s="514"/>
      <c r="Q205" s="514"/>
      <c r="R205" s="514"/>
      <c r="S205" s="514"/>
      <c r="T205" s="514"/>
      <c r="U205" s="353">
        <f>VLOOKUP(F205,Preisliste!C:G,5,FALSE)</f>
        <v>145.31</v>
      </c>
      <c r="V205" s="352">
        <f t="shared" si="84"/>
        <v>0</v>
      </c>
      <c r="W205" s="146"/>
      <c r="X205" s="146"/>
      <c r="Y205" s="86"/>
      <c r="Z205" s="143">
        <f>(VLOOKUP(F205,Preisliste!C:G,5,FALSE)-VLOOKUP(F205,Preisliste!C:G,4,FALSE))*D205/1000</f>
        <v>0</v>
      </c>
      <c r="AA205" s="86"/>
      <c r="AB205" s="86"/>
      <c r="AC205" s="86"/>
      <c r="AD205" s="86"/>
      <c r="AE205" s="86"/>
      <c r="AF205" s="86"/>
      <c r="AK205" s="86">
        <f>IF(Kalk5!$AA$15,'STK5'!$B58,0)</f>
        <v>0</v>
      </c>
      <c r="AL205" s="86">
        <f>IF(Kalk5!$AA$15,'STK5'!$C58,0)</f>
        <v>0</v>
      </c>
      <c r="AM205" s="86">
        <f>AK205</f>
        <v>0</v>
      </c>
      <c r="AN205" s="86">
        <f>AL205</f>
        <v>0</v>
      </c>
      <c r="CK205" s="245"/>
    </row>
    <row r="206" spans="2:89" ht="24.95" customHeight="1">
      <c r="B206" s="92">
        <f t="shared" si="81"/>
        <v>0</v>
      </c>
      <c r="C206" s="138">
        <f t="shared" si="82"/>
        <v>0</v>
      </c>
      <c r="D206" s="60">
        <f t="shared" si="83"/>
        <v>0</v>
      </c>
      <c r="E206" s="60" t="str">
        <f>VLOOKUP(1598,Sprachindex!$A:$Z,Erhebungsbogen!$Y$20,FALSE)</f>
        <v>[mm]</v>
      </c>
      <c r="F206" s="60" t="s">
        <v>21880</v>
      </c>
      <c r="G206" s="517" t="str">
        <f>VLOOKUP(1663,Sprachindex!$A:$Z,Erhebungsbogen!$Y$20,FALSE) &amp; ", " &amp; VLOOKUP(1648,Sprachindex!$A:$Z,Erhebungsbogen!$Y$20,FALSE) &amp; " (" &amp; ROUNDUP(C206/1000*Preisliste!I39,2) &amp; " " &amp; VLOOKUP(1744,Sprachindex!$A:$Z,Erhebungsbogen!$Y$20,FALSE) &amp; ")"</f>
        <v>Dammbalken 80/200 exkl. Dichtung, gesägt und entgratet, blank (0 kg/Stk)</v>
      </c>
      <c r="H206" s="515"/>
      <c r="I206" s="515"/>
      <c r="J206" s="515"/>
      <c r="K206" s="515"/>
      <c r="L206" s="515"/>
      <c r="M206" s="515"/>
      <c r="N206" s="515"/>
      <c r="O206" s="515"/>
      <c r="P206" s="515"/>
      <c r="Q206" s="515"/>
      <c r="R206" s="515"/>
      <c r="S206" s="515"/>
      <c r="T206" s="516"/>
      <c r="U206" s="352">
        <f>VLOOKUP(F206,Preisliste!C:F,4,FALSE)</f>
        <v>203.05</v>
      </c>
      <c r="V206" s="352">
        <f t="shared" si="84"/>
        <v>0</v>
      </c>
      <c r="W206" s="146"/>
      <c r="X206" s="146"/>
      <c r="Y206" s="86"/>
      <c r="Z206" s="143"/>
      <c r="AA206" s="86"/>
      <c r="AB206" s="86"/>
      <c r="AC206" s="86"/>
      <c r="AD206" s="86"/>
      <c r="AE206" s="86"/>
      <c r="AF206" s="86"/>
      <c r="AG206" s="86">
        <f>IF(Kalk1!$AA$15=FALSE,'STK1'!$B59,0)</f>
        <v>0</v>
      </c>
      <c r="AH206" s="86">
        <f>IF(Kalk1!$AA$15=FALSE,'STK1'!$C59,0)</f>
        <v>0</v>
      </c>
      <c r="AM206" s="86">
        <f>AG206</f>
        <v>0</v>
      </c>
      <c r="AN206" s="86">
        <f>AH206</f>
        <v>0</v>
      </c>
      <c r="CK206" s="245"/>
    </row>
    <row r="207" spans="2:89" ht="24.95" customHeight="1">
      <c r="B207" s="92">
        <f t="shared" si="81"/>
        <v>0</v>
      </c>
      <c r="C207" s="138">
        <f t="shared" si="82"/>
        <v>0</v>
      </c>
      <c r="D207" s="60">
        <f t="shared" si="83"/>
        <v>0</v>
      </c>
      <c r="E207" s="60" t="str">
        <f>VLOOKUP(1598,Sprachindex!$A:$Z,Erhebungsbogen!$Y$20,FALSE)</f>
        <v>[mm]</v>
      </c>
      <c r="F207" s="60" t="s">
        <v>21880</v>
      </c>
      <c r="G207" s="517" t="str">
        <f>VLOOKUP(1663,Sprachindex!$A:$Z,Erhebungsbogen!$Y$20,FALSE) &amp; ", " &amp; VLOOKUP(1645,Sprachindex!$A:$Z,Erhebungsbogen!$Y$20,FALSE) &amp; " " &amp; $AG$18 &amp; " (" &amp; ROUNDUP(C207/1000*Preisliste!I39,2) &amp; " " &amp; VLOOKUP(1744,Sprachindex!$A:$Z,Erhebungsbogen!$Y$20,FALSE) &amp; ")"</f>
        <v>Dammbalken 80/200 exkl. Dichtung, gesägt und entgratet, beschichtet  (0 kg/Stk)</v>
      </c>
      <c r="H207" s="515"/>
      <c r="I207" s="515"/>
      <c r="J207" s="515"/>
      <c r="K207" s="515"/>
      <c r="L207" s="515"/>
      <c r="M207" s="515"/>
      <c r="N207" s="515"/>
      <c r="O207" s="515"/>
      <c r="P207" s="515"/>
      <c r="Q207" s="515"/>
      <c r="R207" s="515"/>
      <c r="S207" s="515"/>
      <c r="T207" s="516"/>
      <c r="U207" s="353">
        <f>VLOOKUP(F207,Preisliste!C:G,5,FALSE)</f>
        <v>223.35500000000002</v>
      </c>
      <c r="V207" s="352">
        <f t="shared" si="84"/>
        <v>0</v>
      </c>
      <c r="W207" s="146"/>
      <c r="X207" s="146"/>
      <c r="Y207" s="86"/>
      <c r="Z207" s="143">
        <f>(VLOOKUP(F207,Preisliste!C:G,5,FALSE)-VLOOKUP(F207,Preisliste!C:G,4,FALSE))*D207/1000</f>
        <v>0</v>
      </c>
      <c r="AA207" s="86"/>
      <c r="AB207" s="86"/>
      <c r="AC207" s="86"/>
      <c r="AD207" s="86"/>
      <c r="AE207" s="86"/>
      <c r="AF207" s="86"/>
      <c r="AG207" s="86">
        <f>IF(Kalk1!$AA$15,'STK1'!$B59,0)</f>
        <v>0</v>
      </c>
      <c r="AH207" s="86">
        <f>IF(Kalk1!$AA$15,'STK1'!$C59,0)</f>
        <v>0</v>
      </c>
      <c r="AM207" s="86">
        <f>AG207</f>
        <v>0</v>
      </c>
      <c r="AN207" s="86">
        <f>AH207</f>
        <v>0</v>
      </c>
      <c r="CK207" s="245"/>
    </row>
    <row r="208" spans="2:89" ht="24.95" customHeight="1">
      <c r="B208" s="92">
        <f t="shared" si="81"/>
        <v>0</v>
      </c>
      <c r="C208" s="138">
        <f t="shared" si="82"/>
        <v>0</v>
      </c>
      <c r="D208" s="60">
        <f t="shared" si="83"/>
        <v>0</v>
      </c>
      <c r="E208" s="60" t="str">
        <f>VLOOKUP(1598,Sprachindex!$A:$Z,Erhebungsbogen!$Y$20,FALSE)</f>
        <v>[mm]</v>
      </c>
      <c r="F208" s="60" t="s">
        <v>21880</v>
      </c>
      <c r="G208" s="517" t="str">
        <f>VLOOKUP(1663,Sprachindex!$A:$Z,Erhebungsbogen!$Y$20,FALSE) &amp; ", " &amp; VLOOKUP(1648,Sprachindex!$A:$Z,Erhebungsbogen!$Y$20,FALSE) &amp; " (" &amp; ROUNDUP(C208/1000*Preisliste!I39,2) &amp; " " &amp; VLOOKUP(1744,Sprachindex!$A:$Z,Erhebungsbogen!$Y$20,FALSE) &amp; ")"</f>
        <v>Dammbalken 80/200 exkl. Dichtung, gesägt und entgratet, blank (0 kg/Stk)</v>
      </c>
      <c r="H208" s="515"/>
      <c r="I208" s="515"/>
      <c r="J208" s="515"/>
      <c r="K208" s="515"/>
      <c r="L208" s="515"/>
      <c r="M208" s="515"/>
      <c r="N208" s="515"/>
      <c r="O208" s="515"/>
      <c r="P208" s="515"/>
      <c r="Q208" s="515"/>
      <c r="R208" s="515"/>
      <c r="S208" s="515"/>
      <c r="T208" s="516"/>
      <c r="U208" s="352">
        <f>VLOOKUP(F208,Preisliste!C:F,4,FALSE)</f>
        <v>203.05</v>
      </c>
      <c r="V208" s="352">
        <f t="shared" si="84"/>
        <v>0</v>
      </c>
      <c r="W208" s="146"/>
      <c r="X208" s="146"/>
      <c r="Y208" s="86"/>
      <c r="Z208" s="143"/>
      <c r="AA208" s="86"/>
      <c r="AB208" s="86"/>
      <c r="AC208" s="86"/>
      <c r="AD208" s="86"/>
      <c r="AE208" s="86"/>
      <c r="AF208" s="86"/>
      <c r="AH208" s="86">
        <f>IF(Kalk2!$AA$15=FALSE,'STK2'!$B59,0)</f>
        <v>0</v>
      </c>
      <c r="AI208" s="86">
        <f>IF(Kalk2!$AA$15=FALSE,'STK2'!$C59,0)</f>
        <v>0</v>
      </c>
      <c r="AM208" s="86">
        <f>AH208</f>
        <v>0</v>
      </c>
      <c r="AN208" s="86">
        <f>AI208</f>
        <v>0</v>
      </c>
      <c r="CK208" s="245"/>
    </row>
    <row r="209" spans="2:89" ht="24.95" customHeight="1">
      <c r="B209" s="92">
        <f t="shared" si="81"/>
        <v>0</v>
      </c>
      <c r="C209" s="138">
        <f t="shared" si="82"/>
        <v>0</v>
      </c>
      <c r="D209" s="60">
        <f t="shared" si="83"/>
        <v>0</v>
      </c>
      <c r="E209" s="60" t="str">
        <f>VLOOKUP(1598,Sprachindex!$A:$Z,Erhebungsbogen!$Y$20,FALSE)</f>
        <v>[mm]</v>
      </c>
      <c r="F209" s="60" t="s">
        <v>21880</v>
      </c>
      <c r="G209" s="517" t="str">
        <f>VLOOKUP(1663,Sprachindex!$A:$Z,Erhebungsbogen!$Y$20,FALSE) &amp; ", " &amp; VLOOKUP(1645,Sprachindex!$A:$Z,Erhebungsbogen!$Y$20,FALSE) &amp; " " &amp; $AH$18 &amp; " (" &amp; ROUNDUP(C209/1000*Preisliste!I39,2) &amp; " " &amp; VLOOKUP(1744,Sprachindex!$A:$Z,Erhebungsbogen!$Y$20,FALSE) &amp; ")"</f>
        <v>Dammbalken 80/200 exkl. Dichtung, gesägt und entgratet, beschichtet 0 (0 kg/Stk)</v>
      </c>
      <c r="H209" s="515"/>
      <c r="I209" s="515"/>
      <c r="J209" s="515"/>
      <c r="K209" s="515"/>
      <c r="L209" s="515"/>
      <c r="M209" s="515"/>
      <c r="N209" s="515"/>
      <c r="O209" s="515"/>
      <c r="P209" s="515"/>
      <c r="Q209" s="515"/>
      <c r="R209" s="515"/>
      <c r="S209" s="515"/>
      <c r="T209" s="516"/>
      <c r="U209" s="353">
        <f>VLOOKUP(F209,Preisliste!C:G,5,FALSE)</f>
        <v>223.35500000000002</v>
      </c>
      <c r="V209" s="352">
        <f t="shared" si="84"/>
        <v>0</v>
      </c>
      <c r="W209" s="146"/>
      <c r="X209" s="146"/>
      <c r="Y209" s="86"/>
      <c r="Z209" s="143">
        <f>(VLOOKUP(F209,Preisliste!C:G,5,FALSE)-VLOOKUP(F209,Preisliste!C:G,4,FALSE))*D209/1000</f>
        <v>0</v>
      </c>
      <c r="AA209" s="86"/>
      <c r="AB209" s="86"/>
      <c r="AC209" s="86"/>
      <c r="AD209" s="86"/>
      <c r="AE209" s="86"/>
      <c r="AF209" s="86"/>
      <c r="AH209" s="86">
        <f>IF(Kalk2!$AA$15,'STK2'!$B59,0)</f>
        <v>0</v>
      </c>
      <c r="AI209" s="86">
        <f>IF(Kalk2!$AA$15,'STK2'!$C59,0)</f>
        <v>0</v>
      </c>
      <c r="AM209" s="86">
        <f>AH209</f>
        <v>0</v>
      </c>
      <c r="AN209" s="86">
        <f>AI209</f>
        <v>0</v>
      </c>
      <c r="CK209" s="245"/>
    </row>
    <row r="210" spans="2:89" ht="24.95" customHeight="1">
      <c r="B210" s="92">
        <f t="shared" si="81"/>
        <v>0</v>
      </c>
      <c r="C210" s="138">
        <f t="shared" si="82"/>
        <v>0</v>
      </c>
      <c r="D210" s="60">
        <f t="shared" si="83"/>
        <v>0</v>
      </c>
      <c r="E210" s="60" t="str">
        <f>VLOOKUP(1598,Sprachindex!$A:$Z,Erhebungsbogen!$Y$20,FALSE)</f>
        <v>[mm]</v>
      </c>
      <c r="F210" s="60" t="s">
        <v>21880</v>
      </c>
      <c r="G210" s="517" t="str">
        <f>VLOOKUP(1663,Sprachindex!$A:$Z,Erhebungsbogen!$Y$20,FALSE) &amp; ", " &amp; VLOOKUP(1648,Sprachindex!$A:$Z,Erhebungsbogen!$Y$20,FALSE) &amp; " (" &amp; ROUNDUP(C210/1000*Preisliste!I39,2) &amp; " " &amp; VLOOKUP(1744,Sprachindex!$A:$Z,Erhebungsbogen!$Y$20,FALSE) &amp; ")"</f>
        <v>Dammbalken 80/200 exkl. Dichtung, gesägt und entgratet, blank (0 kg/Stk)</v>
      </c>
      <c r="H210" s="515"/>
      <c r="I210" s="515"/>
      <c r="J210" s="515"/>
      <c r="K210" s="515"/>
      <c r="L210" s="515"/>
      <c r="M210" s="515"/>
      <c r="N210" s="515"/>
      <c r="O210" s="515"/>
      <c r="P210" s="515"/>
      <c r="Q210" s="515"/>
      <c r="R210" s="515"/>
      <c r="S210" s="515"/>
      <c r="T210" s="516"/>
      <c r="U210" s="352">
        <f>VLOOKUP(F210,Preisliste!C:F,4,FALSE)</f>
        <v>203.05</v>
      </c>
      <c r="V210" s="352">
        <f t="shared" si="84"/>
        <v>0</v>
      </c>
      <c r="W210" s="146"/>
      <c r="X210" s="146"/>
      <c r="Y210" s="86"/>
      <c r="Z210" s="143"/>
      <c r="AA210" s="86"/>
      <c r="AB210" s="86"/>
      <c r="AC210" s="86"/>
      <c r="AD210" s="86"/>
      <c r="AE210" s="86"/>
      <c r="AF210" s="86"/>
      <c r="AI210" s="86">
        <f>IF(Kalk3!$AA$15=FALSE,'STK3'!$B59,0)</f>
        <v>0</v>
      </c>
      <c r="AJ210" s="86">
        <f>IF(Kalk3!$AA$15=FALSE,'STK3'!$C59,0)</f>
        <v>0</v>
      </c>
      <c r="AM210" s="86">
        <f>AI210</f>
        <v>0</v>
      </c>
      <c r="AN210" s="86">
        <f>AJ210</f>
        <v>0</v>
      </c>
      <c r="CK210" s="245"/>
    </row>
    <row r="211" spans="2:89" ht="24.95" customHeight="1">
      <c r="B211" s="92">
        <f t="shared" si="81"/>
        <v>0</v>
      </c>
      <c r="C211" s="138">
        <f t="shared" si="82"/>
        <v>0</v>
      </c>
      <c r="D211" s="60">
        <f t="shared" si="83"/>
        <v>0</v>
      </c>
      <c r="E211" s="60" t="str">
        <f>VLOOKUP(1598,Sprachindex!$A:$Z,Erhebungsbogen!$Y$20,FALSE)</f>
        <v>[mm]</v>
      </c>
      <c r="F211" s="60" t="s">
        <v>21880</v>
      </c>
      <c r="G211" s="517" t="str">
        <f>VLOOKUP(1663,Sprachindex!$A:$Z,Erhebungsbogen!$Y$20,FALSE) &amp; ", " &amp; VLOOKUP(1645,Sprachindex!$A:$Z,Erhebungsbogen!$Y$20,FALSE) &amp; " " &amp; $AI$18 &amp; " (" &amp; ROUNDUP(C211/1000*Preisliste!I39,2) &amp; " " &amp; VLOOKUP(1744,Sprachindex!$A:$Z,Erhebungsbogen!$Y$20,FALSE) &amp; ")"</f>
        <v>Dammbalken 80/200 exkl. Dichtung, gesägt und entgratet, beschichtet 0 (0 kg/Stk)</v>
      </c>
      <c r="H211" s="515"/>
      <c r="I211" s="515"/>
      <c r="J211" s="515"/>
      <c r="K211" s="515"/>
      <c r="L211" s="515"/>
      <c r="M211" s="515"/>
      <c r="N211" s="515"/>
      <c r="O211" s="515"/>
      <c r="P211" s="515"/>
      <c r="Q211" s="515"/>
      <c r="R211" s="515"/>
      <c r="S211" s="515"/>
      <c r="T211" s="516"/>
      <c r="U211" s="353">
        <f>VLOOKUP(F211,Preisliste!C:G,5,FALSE)</f>
        <v>223.35500000000002</v>
      </c>
      <c r="V211" s="352">
        <f t="shared" si="84"/>
        <v>0</v>
      </c>
      <c r="W211" s="146"/>
      <c r="X211" s="146"/>
      <c r="Y211" s="86"/>
      <c r="Z211" s="143">
        <f>(VLOOKUP(F211,Preisliste!C:G,5,FALSE)-VLOOKUP(F211,Preisliste!C:G,4,FALSE))*D211/1000</f>
        <v>0</v>
      </c>
      <c r="AA211" s="86"/>
      <c r="AB211" s="86"/>
      <c r="AC211" s="86"/>
      <c r="AD211" s="86"/>
      <c r="AE211" s="86"/>
      <c r="AF211" s="86"/>
      <c r="AI211" s="86">
        <f>IF(Kalk3!$AA$15,'STK3'!$B59,0)</f>
        <v>0</v>
      </c>
      <c r="AJ211" s="86">
        <f>IF(Kalk3!$AA$15,'STK3'!$C59,0)</f>
        <v>0</v>
      </c>
      <c r="AM211" s="86">
        <f>AI211</f>
        <v>0</v>
      </c>
      <c r="AN211" s="86">
        <f>AJ211</f>
        <v>0</v>
      </c>
      <c r="CK211" s="245"/>
    </row>
    <row r="212" spans="2:89" ht="24.95" customHeight="1">
      <c r="B212" s="92">
        <f t="shared" si="81"/>
        <v>0</v>
      </c>
      <c r="C212" s="138">
        <f t="shared" si="82"/>
        <v>0</v>
      </c>
      <c r="D212" s="60">
        <f t="shared" si="83"/>
        <v>0</v>
      </c>
      <c r="E212" s="60" t="str">
        <f>VLOOKUP(1598,Sprachindex!$A:$Z,Erhebungsbogen!$Y$20,FALSE)</f>
        <v>[mm]</v>
      </c>
      <c r="F212" s="60" t="s">
        <v>21880</v>
      </c>
      <c r="G212" s="517" t="str">
        <f>VLOOKUP(1663,Sprachindex!$A:$Z,Erhebungsbogen!$Y$20,FALSE) &amp; ", " &amp; VLOOKUP(1648,Sprachindex!$A:$Z,Erhebungsbogen!$Y$20,FALSE) &amp; " (" &amp; ROUNDUP(C212/1000*Preisliste!I39,2) &amp; " " &amp; VLOOKUP(1744,Sprachindex!$A:$Z,Erhebungsbogen!$Y$20,FALSE) &amp; ")"</f>
        <v>Dammbalken 80/200 exkl. Dichtung, gesägt und entgratet, blank (0 kg/Stk)</v>
      </c>
      <c r="H212" s="515"/>
      <c r="I212" s="515"/>
      <c r="J212" s="515"/>
      <c r="K212" s="515"/>
      <c r="L212" s="515"/>
      <c r="M212" s="515"/>
      <c r="N212" s="515"/>
      <c r="O212" s="515"/>
      <c r="P212" s="515"/>
      <c r="Q212" s="515"/>
      <c r="R212" s="515"/>
      <c r="S212" s="515"/>
      <c r="T212" s="516"/>
      <c r="U212" s="352">
        <f>VLOOKUP(F212,Preisliste!C:F,4,FALSE)</f>
        <v>203.05</v>
      </c>
      <c r="V212" s="352">
        <f t="shared" si="84"/>
        <v>0</v>
      </c>
      <c r="W212" s="146"/>
      <c r="X212" s="146"/>
      <c r="Y212" s="86"/>
      <c r="Z212" s="143"/>
      <c r="AA212" s="86"/>
      <c r="AB212" s="86"/>
      <c r="AC212" s="86"/>
      <c r="AD212" s="86"/>
      <c r="AE212" s="86"/>
      <c r="AF212" s="86"/>
      <c r="AJ212" s="86">
        <f>IF(Kalk4!$AA$15=FALSE,'STK4'!$B59,0)</f>
        <v>0</v>
      </c>
      <c r="AK212" s="86">
        <f>IF(Kalk4!$AA$15=FALSE,'STK4'!$C59,0)</f>
        <v>0</v>
      </c>
      <c r="AM212" s="86">
        <f>AJ212</f>
        <v>0</v>
      </c>
      <c r="AN212" s="86">
        <f>AK212</f>
        <v>0</v>
      </c>
      <c r="CK212" s="245"/>
    </row>
    <row r="213" spans="2:89" ht="24.95" customHeight="1">
      <c r="B213" s="92">
        <f t="shared" si="81"/>
        <v>0</v>
      </c>
      <c r="C213" s="138">
        <f t="shared" si="82"/>
        <v>0</v>
      </c>
      <c r="D213" s="60">
        <f t="shared" si="83"/>
        <v>0</v>
      </c>
      <c r="E213" s="60" t="str">
        <f>VLOOKUP(1598,Sprachindex!$A:$Z,Erhebungsbogen!$Y$20,FALSE)</f>
        <v>[mm]</v>
      </c>
      <c r="F213" s="60" t="s">
        <v>21880</v>
      </c>
      <c r="G213" s="517" t="str">
        <f>VLOOKUP(1663,Sprachindex!$A:$Z,Erhebungsbogen!$Y$20,FALSE) &amp; ", " &amp; VLOOKUP(1645,Sprachindex!$A:$Z,Erhebungsbogen!$Y$20,FALSE) &amp; " " &amp; $AJ$18 &amp; " (" &amp; ROUNDUP(C213/1000*Preisliste!I39,2) &amp; " " &amp; VLOOKUP(1744,Sprachindex!$A:$Z,Erhebungsbogen!$Y$20,FALSE) &amp; ")"</f>
        <v>Dammbalken 80/200 exkl. Dichtung, gesägt und entgratet, beschichtet 0 (0 kg/Stk)</v>
      </c>
      <c r="H213" s="515"/>
      <c r="I213" s="515"/>
      <c r="J213" s="515"/>
      <c r="K213" s="515"/>
      <c r="L213" s="515"/>
      <c r="M213" s="515"/>
      <c r="N213" s="515"/>
      <c r="O213" s="515"/>
      <c r="P213" s="515"/>
      <c r="Q213" s="515"/>
      <c r="R213" s="515"/>
      <c r="S213" s="515"/>
      <c r="T213" s="516"/>
      <c r="U213" s="353">
        <f>VLOOKUP(F213,Preisliste!C:G,5,FALSE)</f>
        <v>223.35500000000002</v>
      </c>
      <c r="V213" s="352">
        <f t="shared" si="84"/>
        <v>0</v>
      </c>
      <c r="W213" s="146"/>
      <c r="X213" s="146"/>
      <c r="Y213" s="86"/>
      <c r="Z213" s="143">
        <f>(VLOOKUP(F213,Preisliste!C:G,5,FALSE)-VLOOKUP(F213,Preisliste!C:G,4,FALSE))*D213/1000</f>
        <v>0</v>
      </c>
      <c r="AA213" s="86"/>
      <c r="AB213" s="86"/>
      <c r="AC213" s="86"/>
      <c r="AD213" s="86"/>
      <c r="AE213" s="86"/>
      <c r="AF213" s="86"/>
      <c r="AJ213" s="86">
        <f>IF(Kalk4!$AA$15,'STK4'!$B59,0)</f>
        <v>0</v>
      </c>
      <c r="AK213" s="86">
        <f>IF(Kalk4!$AA$15,'STK4'!$C59,0)</f>
        <v>0</v>
      </c>
      <c r="AM213" s="86">
        <f>AJ213</f>
        <v>0</v>
      </c>
      <c r="AN213" s="86">
        <f>AK213</f>
        <v>0</v>
      </c>
      <c r="CK213" s="245"/>
    </row>
    <row r="214" spans="2:89" ht="24.95" customHeight="1">
      <c r="B214" s="92">
        <f t="shared" si="81"/>
        <v>0</v>
      </c>
      <c r="C214" s="138">
        <f t="shared" si="82"/>
        <v>0</v>
      </c>
      <c r="D214" s="60">
        <f t="shared" si="83"/>
        <v>0</v>
      </c>
      <c r="E214" s="60" t="str">
        <f>VLOOKUP(1598,Sprachindex!$A:$Z,Erhebungsbogen!$Y$20,FALSE)</f>
        <v>[mm]</v>
      </c>
      <c r="F214" s="60" t="s">
        <v>21880</v>
      </c>
      <c r="G214" s="517" t="str">
        <f>VLOOKUP(1663,Sprachindex!$A:$Z,Erhebungsbogen!$Y$20,FALSE) &amp; ", " &amp; VLOOKUP(1648,Sprachindex!$A:$Z,Erhebungsbogen!$Y$20,FALSE) &amp; " (" &amp; ROUNDUP(C214/1000*Preisliste!I39,2) &amp; " " &amp; VLOOKUP(1744,Sprachindex!$A:$Z,Erhebungsbogen!$Y$20,FALSE) &amp; ")"</f>
        <v>Dammbalken 80/200 exkl. Dichtung, gesägt und entgratet, blank (0 kg/Stk)</v>
      </c>
      <c r="H214" s="515"/>
      <c r="I214" s="515"/>
      <c r="J214" s="515"/>
      <c r="K214" s="515"/>
      <c r="L214" s="515"/>
      <c r="M214" s="515"/>
      <c r="N214" s="515"/>
      <c r="O214" s="515"/>
      <c r="P214" s="515"/>
      <c r="Q214" s="515"/>
      <c r="R214" s="515"/>
      <c r="S214" s="515"/>
      <c r="T214" s="516"/>
      <c r="U214" s="352">
        <f>VLOOKUP(F214,Preisliste!C:F,4,FALSE)</f>
        <v>203.05</v>
      </c>
      <c r="V214" s="352">
        <f t="shared" si="84"/>
        <v>0</v>
      </c>
      <c r="W214" s="146"/>
      <c r="X214" s="146"/>
      <c r="Y214" s="86"/>
      <c r="Z214" s="143"/>
      <c r="AA214" s="86"/>
      <c r="AB214" s="86"/>
      <c r="AC214" s="86"/>
      <c r="AD214" s="86"/>
      <c r="AE214" s="86"/>
      <c r="AF214" s="86"/>
      <c r="AK214" s="86">
        <f>IF(Kalk5!$AA$15=FALSE,'STK5'!$B59,0)</f>
        <v>0</v>
      </c>
      <c r="AL214" s="86">
        <f>IF(Kalk5!$AA$15=FALSE,'STK5'!$C59,0)</f>
        <v>0</v>
      </c>
      <c r="AM214" s="86">
        <f>AK214</f>
        <v>0</v>
      </c>
      <c r="AN214" s="86">
        <f>AL214</f>
        <v>0</v>
      </c>
      <c r="CK214" s="245"/>
    </row>
    <row r="215" spans="2:89" ht="24.95" customHeight="1">
      <c r="B215" s="92">
        <f t="shared" si="81"/>
        <v>0</v>
      </c>
      <c r="C215" s="138">
        <f t="shared" si="82"/>
        <v>0</v>
      </c>
      <c r="D215" s="60">
        <f t="shared" si="83"/>
        <v>0</v>
      </c>
      <c r="E215" s="60" t="str">
        <f>VLOOKUP(1598,Sprachindex!$A:$Z,Erhebungsbogen!$Y$20,FALSE)</f>
        <v>[mm]</v>
      </c>
      <c r="F215" s="60" t="s">
        <v>21880</v>
      </c>
      <c r="G215" s="517" t="str">
        <f>VLOOKUP(1663,Sprachindex!$A:$Z,Erhebungsbogen!$Y$20,FALSE) &amp; ", " &amp; VLOOKUP(1645,Sprachindex!$A:$Z,Erhebungsbogen!$Y$20,FALSE) &amp; " " &amp; $AK$18 &amp; " (" &amp; ROUNDUP(B215/1000*Preisliste!I39,2) &amp; " " &amp; VLOOKUP(1744,Sprachindex!$A:$Z,Erhebungsbogen!$Y$20,FALSE) &amp; ")"</f>
        <v>Dammbalken 80/200 exkl. Dichtung, gesägt und entgratet, beschichtet 0 (0 kg/Stk)</v>
      </c>
      <c r="H215" s="515"/>
      <c r="I215" s="515"/>
      <c r="J215" s="515"/>
      <c r="K215" s="515"/>
      <c r="L215" s="515"/>
      <c r="M215" s="515"/>
      <c r="N215" s="515"/>
      <c r="O215" s="515"/>
      <c r="P215" s="515"/>
      <c r="Q215" s="515"/>
      <c r="R215" s="515"/>
      <c r="S215" s="515"/>
      <c r="T215" s="516"/>
      <c r="U215" s="353">
        <f>VLOOKUP(F215,Preisliste!C:G,5,FALSE)</f>
        <v>223.35500000000002</v>
      </c>
      <c r="V215" s="352">
        <f t="shared" si="84"/>
        <v>0</v>
      </c>
      <c r="W215" s="146"/>
      <c r="X215" s="146"/>
      <c r="Y215" s="86"/>
      <c r="Z215" s="143">
        <f>(VLOOKUP(F215,Preisliste!C:G,5,FALSE)-VLOOKUP(F215,Preisliste!C:G,4,FALSE))*D215/1000</f>
        <v>0</v>
      </c>
      <c r="AA215" s="86"/>
      <c r="AB215" s="86"/>
      <c r="AC215" s="86"/>
      <c r="AD215" s="86"/>
      <c r="AE215" s="86"/>
      <c r="AF215" s="86"/>
      <c r="AK215" s="86">
        <f>IF(Kalk5!$AA$15,'STK5'!$B59,0)</f>
        <v>0</v>
      </c>
      <c r="AL215" s="86">
        <f>IF(Kalk5!$AA$15,'STK5'!$C59,0)</f>
        <v>0</v>
      </c>
      <c r="AM215" s="86">
        <f>AK215</f>
        <v>0</v>
      </c>
      <c r="AN215" s="86">
        <f>AL215</f>
        <v>0</v>
      </c>
      <c r="CK215" s="245"/>
    </row>
    <row r="216" spans="2:89" ht="24.95" customHeight="1">
      <c r="B216" s="92">
        <f t="shared" ref="B216:B279" si="85">AL216</f>
        <v>0</v>
      </c>
      <c r="C216" s="60"/>
      <c r="D216" s="60">
        <f>B216</f>
        <v>0</v>
      </c>
      <c r="E216" s="60" t="str">
        <f>VLOOKUP(1601,Sprachindex!$A:$Z,Erhebungsbogen!$Y$20,FALSE)</f>
        <v>[VPE]</v>
      </c>
      <c r="F216" s="60" t="s">
        <v>21947</v>
      </c>
      <c r="G216" s="514" t="str">
        <f>VLOOKUP(1664,Sprachindex!$A:$Z,Erhebungsbogen!$Y$20,FALSE) &amp; " [" &amp; VLOOKUP(992,Sprachindex!$A:$Z,Erhebungsbogen!$Y$20,FALSE) &amp; " =25 "&amp; VLOOKUP(1512,Sprachindex!$A:$Z,Erhebungsbogen!$Y$20,FALSE) &amp; "]"</f>
        <v>Dammbalkendichtung (25) [VPE =25 lfm]</v>
      </c>
      <c r="H216" s="514"/>
      <c r="I216" s="514"/>
      <c r="J216" s="514"/>
      <c r="K216" s="514"/>
      <c r="L216" s="514"/>
      <c r="M216" s="514"/>
      <c r="N216" s="514"/>
      <c r="O216" s="514"/>
      <c r="P216" s="514"/>
      <c r="Q216" s="514"/>
      <c r="R216" s="514"/>
      <c r="S216" s="514"/>
      <c r="T216" s="514"/>
      <c r="U216" s="352">
        <f>VLOOKUP(F216,Preisliste!C:F,4,FALSE)</f>
        <v>72.599999999999994</v>
      </c>
      <c r="V216" s="352">
        <f t="shared" ref="V216:V217" si="86">U216*D216</f>
        <v>0</v>
      </c>
      <c r="W216" s="146"/>
      <c r="X216" s="146"/>
      <c r="Y216" s="86"/>
      <c r="Z216" s="86"/>
      <c r="AA216" s="86"/>
      <c r="AB216" s="86"/>
      <c r="AC216" s="86"/>
      <c r="AD216" s="86"/>
      <c r="AE216" s="86"/>
      <c r="AF216" s="86"/>
      <c r="AG216" s="86">
        <f>IF('STK1'!$B60&gt;0,Kalk1!$AH$42,0)</f>
        <v>0</v>
      </c>
      <c r="AH216" s="86">
        <f>IF('STK2'!$B60&gt;0,Kalk2!$AH$42,0)</f>
        <v>0</v>
      </c>
      <c r="AI216" s="86">
        <f>IF('STK3'!$B60&gt;0,Kalk3!$AH$42,0)</f>
        <v>0</v>
      </c>
      <c r="AJ216" s="86">
        <f>IF('STK4'!$B60&gt;0,Kalk4!$AH$42,0)</f>
        <v>0</v>
      </c>
      <c r="AK216" s="86">
        <f>IF('STK5'!$B60&gt;0,Kalk5!$AH$42,0)</f>
        <v>0</v>
      </c>
      <c r="AL216" s="86">
        <f>ROUNDUP(SUM(AG216:AK216)/25,0)</f>
        <v>0</v>
      </c>
    </row>
    <row r="217" spans="2:89" ht="24.95" customHeight="1">
      <c r="B217" s="92">
        <f t="shared" si="85"/>
        <v>0</v>
      </c>
      <c r="C217" s="60"/>
      <c r="D217" s="60">
        <f>B217</f>
        <v>0</v>
      </c>
      <c r="E217" s="60" t="str">
        <f>VLOOKUP(1601,Sprachindex!$A:$Z,Erhebungsbogen!$Y$20,FALSE)</f>
        <v>[VPE]</v>
      </c>
      <c r="F217" s="60" t="s">
        <v>21946</v>
      </c>
      <c r="G217" s="514" t="str">
        <f>VLOOKUP(1665,Sprachindex!$A:$Z,Erhebungsbogen!$Y$20,FALSE) &amp; " [" &amp; VLOOKUP(992,Sprachindex!$A:$Z,Erhebungsbogen!$Y$20,FALSE) &amp; " =25 "&amp; VLOOKUP(1512,Sprachindex!$A:$Z,Erhebungsbogen!$Y$20,FALSE) &amp; "]"</f>
        <v>Dammbalkendichtung (50+80) [VPE =25 lfm]</v>
      </c>
      <c r="H217" s="514"/>
      <c r="I217" s="514"/>
      <c r="J217" s="514"/>
      <c r="K217" s="514"/>
      <c r="L217" s="514"/>
      <c r="M217" s="514"/>
      <c r="N217" s="514"/>
      <c r="O217" s="514"/>
      <c r="P217" s="514"/>
      <c r="Q217" s="514"/>
      <c r="R217" s="514"/>
      <c r="S217" s="514"/>
      <c r="T217" s="514"/>
      <c r="U217" s="352">
        <f>VLOOKUP(F217,Preisliste!C:F,4,FALSE)</f>
        <v>73.45</v>
      </c>
      <c r="V217" s="352">
        <f t="shared" si="86"/>
        <v>0</v>
      </c>
      <c r="W217" s="86"/>
      <c r="X217" s="146"/>
      <c r="Y217" s="86"/>
      <c r="Z217" s="86"/>
      <c r="AA217" s="86"/>
      <c r="AB217" s="86"/>
      <c r="AC217" s="86"/>
      <c r="AD217" s="86"/>
      <c r="AE217" s="86"/>
      <c r="AF217" s="86"/>
      <c r="AG217" s="86">
        <f>IF('STK1'!$B61&gt;0,Kalk1!$AH$42,0)</f>
        <v>0</v>
      </c>
      <c r="AH217" s="86">
        <f>IF('STK2'!$B61&gt;0,Kalk2!$AH$42,0)</f>
        <v>0</v>
      </c>
      <c r="AI217" s="86">
        <f>IF('STK3'!$B61&gt;0,Kalk3!$AH$42,0)</f>
        <v>0</v>
      </c>
      <c r="AJ217" s="86">
        <f>IF('STK4'!$B61&gt;0,Kalk4!$AH$42,0)</f>
        <v>0</v>
      </c>
      <c r="AK217" s="86">
        <f>IF('STK5'!$B61&gt;0,Kalk5!$AH$42,0)</f>
        <v>0</v>
      </c>
      <c r="AL217" s="86">
        <f>ROUNDUP(SUM(AG217:AK217)/25,0)</f>
        <v>0</v>
      </c>
    </row>
    <row r="218" spans="2:89" ht="24.95" customHeight="1">
      <c r="B218" s="92">
        <v>1</v>
      </c>
      <c r="C218" s="60"/>
      <c r="D218" s="60"/>
      <c r="E218" s="60" t="str">
        <f>VLOOKUP(1600,Sprachindex!$A:$Z,Erhebungsbogen!$Y$20,FALSE)</f>
        <v>[Stk]</v>
      </c>
      <c r="F218" s="60" t="s">
        <v>21977</v>
      </c>
      <c r="G218" s="514" t="str">
        <f>VLOOKUP(1666,Sprachindex!$A:$Z,Erhebungsbogen!$Y$20,FALSE)</f>
        <v>Dammbalkenhaken</v>
      </c>
      <c r="H218" s="514"/>
      <c r="I218" s="514"/>
      <c r="J218" s="514"/>
      <c r="K218" s="514"/>
      <c r="L218" s="514"/>
      <c r="M218" s="514"/>
      <c r="N218" s="514"/>
      <c r="O218" s="514"/>
      <c r="P218" s="514"/>
      <c r="Q218" s="514"/>
      <c r="R218" s="514"/>
      <c r="S218" s="514"/>
      <c r="T218" s="514"/>
      <c r="U218" s="352">
        <f>VLOOKUP(F218,Preisliste!C:F,4,FALSE)</f>
        <v>0</v>
      </c>
      <c r="V218" s="352">
        <f t="shared" ref="V218" si="87">U218*B218</f>
        <v>0</v>
      </c>
      <c r="W218" s="86"/>
      <c r="X218" s="146"/>
      <c r="Y218" s="86"/>
      <c r="Z218" s="86"/>
      <c r="AA218" s="86"/>
      <c r="AB218" s="86"/>
      <c r="AC218" s="86"/>
      <c r="AD218" s="86"/>
      <c r="AE218" s="86"/>
      <c r="AF218" s="86"/>
    </row>
    <row r="219" spans="2:89" ht="24.95" customHeight="1">
      <c r="B219" s="92">
        <f t="shared" si="85"/>
        <v>0</v>
      </c>
      <c r="C219" s="60"/>
      <c r="D219" s="60">
        <f t="shared" ref="D219:D223" si="88">B219</f>
        <v>0</v>
      </c>
      <c r="E219" s="60" t="str">
        <f>VLOOKUP(1596,Sprachindex!$A:$Z,Erhebungsbogen!$Y$20,FALSE)</f>
        <v>[lfm]</v>
      </c>
      <c r="F219" s="60" t="s">
        <v>21974</v>
      </c>
      <c r="G219" s="514" t="str">
        <f>VLOOKUP(1672,Sprachindex!$A:$Z,Erhebungsbogen!$Y$20,FALSE) &amp; " [" &amp; VLOOKUP(992,Sprachindex!$A:$Z,Erhebungsbogen!$Y$20,FALSE) &amp; " =1 "&amp; VLOOKUP(1512,Sprachindex!$A:$Z,Erhebungsbogen!$Y$20,FALSE) &amp; "]"</f>
        <v>Dauerbodendichtung 25 [VPE =1 lfm]</v>
      </c>
      <c r="H219" s="514"/>
      <c r="I219" s="514"/>
      <c r="J219" s="514"/>
      <c r="K219" s="514"/>
      <c r="L219" s="514"/>
      <c r="M219" s="514"/>
      <c r="N219" s="514"/>
      <c r="O219" s="514"/>
      <c r="P219" s="514"/>
      <c r="Q219" s="514"/>
      <c r="R219" s="514"/>
      <c r="S219" s="514"/>
      <c r="T219" s="514"/>
      <c r="U219" s="352">
        <f>VLOOKUP(F219,Preisliste!C:F,4,FALSE)</f>
        <v>38.1</v>
      </c>
      <c r="V219" s="352">
        <f t="shared" ref="V219:V221" si="89">U219*D219</f>
        <v>0</v>
      </c>
      <c r="W219" s="86"/>
      <c r="X219" s="146"/>
      <c r="Y219" s="86"/>
      <c r="Z219" s="86"/>
      <c r="AA219" s="86"/>
      <c r="AB219" s="86"/>
      <c r="AC219" s="86"/>
      <c r="AD219" s="86"/>
      <c r="AE219" s="86"/>
      <c r="AF219" s="86"/>
      <c r="AG219" s="86">
        <f>IF('STK1'!$B63&gt;0,Kalk1!$AH$44,0)</f>
        <v>0</v>
      </c>
      <c r="AH219" s="86">
        <f>IF('STK2'!$B63&gt;0,Kalk2!$AH$44,0)</f>
        <v>0</v>
      </c>
      <c r="AI219" s="86">
        <f>IF('STK3'!$B63&gt;0,Kalk3!$AH$44,0)</f>
        <v>0</v>
      </c>
      <c r="AJ219" s="86">
        <f>IF('STK4'!$B63&gt;0,Kalk4!$AH$44,0)</f>
        <v>0</v>
      </c>
      <c r="AK219" s="86">
        <f>IF('STK5'!$B63&gt;0,Kalk5!$AH$44,0)</f>
        <v>0</v>
      </c>
      <c r="AL219" s="86">
        <f t="shared" ref="AL219" si="90">ROUNDUP(SUM(AG219:AK219),0)</f>
        <v>0</v>
      </c>
    </row>
    <row r="220" spans="2:89" ht="24.95" customHeight="1">
      <c r="B220" s="92">
        <f t="shared" si="85"/>
        <v>0</v>
      </c>
      <c r="C220" s="60"/>
      <c r="D220" s="60">
        <f t="shared" si="88"/>
        <v>0</v>
      </c>
      <c r="E220" s="60" t="str">
        <f>VLOOKUP(1596,Sprachindex!$A:$Z,Erhebungsbogen!$Y$20,FALSE)</f>
        <v>[lfm]</v>
      </c>
      <c r="F220" s="60" t="s">
        <v>21949</v>
      </c>
      <c r="G220" s="514" t="str">
        <f>VLOOKUP(1673,Sprachindex!$A:$Z,Erhebungsbogen!$Y$20,FALSE) &amp; " [" &amp; VLOOKUP(992,Sprachindex!$A:$Z,Erhebungsbogen!$Y$20,FALSE) &amp; " =1 "&amp; VLOOKUP(1512,Sprachindex!$A:$Z,Erhebungsbogen!$Y$20,FALSE) &amp; "]"</f>
        <v>Dauerbodendichtung 50 [VPE =1 lfm]</v>
      </c>
      <c r="H220" s="514"/>
      <c r="I220" s="514"/>
      <c r="J220" s="514"/>
      <c r="K220" s="514"/>
      <c r="L220" s="514"/>
      <c r="M220" s="514"/>
      <c r="N220" s="514"/>
      <c r="O220" s="514"/>
      <c r="P220" s="514"/>
      <c r="Q220" s="514"/>
      <c r="R220" s="514"/>
      <c r="S220" s="514"/>
      <c r="T220" s="514"/>
      <c r="U220" s="352">
        <f>VLOOKUP(F220,Preisliste!C:F,4,FALSE)</f>
        <v>58.65</v>
      </c>
      <c r="V220" s="352">
        <f t="shared" si="89"/>
        <v>0</v>
      </c>
      <c r="W220" s="86"/>
      <c r="X220" s="146"/>
      <c r="Y220" s="86"/>
      <c r="Z220" s="86"/>
      <c r="AA220" s="86"/>
      <c r="AB220" s="86"/>
      <c r="AC220" s="86"/>
      <c r="AD220" s="86"/>
      <c r="AE220" s="86"/>
      <c r="AF220" s="86"/>
      <c r="AG220" s="86">
        <f>IF('STK1'!$B64&gt;0,Kalk1!$AH$44,0)</f>
        <v>0</v>
      </c>
      <c r="AH220" s="86">
        <f>IF('STK2'!$B64&gt;0,Kalk2!$AH$44,0)</f>
        <v>0</v>
      </c>
      <c r="AI220" s="86">
        <f>IF('STK3'!$B64&gt;0,Kalk3!$AH$44,0)</f>
        <v>0</v>
      </c>
      <c r="AJ220" s="86">
        <f>IF('STK4'!$B64&gt;0,Kalk4!$AH$44,0)</f>
        <v>0</v>
      </c>
      <c r="AK220" s="86">
        <f>IF('STK5'!$B64&gt;0,Kalk5!$AH$44,0)</f>
        <v>0</v>
      </c>
      <c r="AL220" s="86">
        <f t="shared" ref="AL220:AL222" si="91">ROUNDUP(SUM(AG220:AK220),0)</f>
        <v>0</v>
      </c>
    </row>
    <row r="221" spans="2:89" ht="24.95" customHeight="1">
      <c r="B221" s="92">
        <f t="shared" si="85"/>
        <v>0</v>
      </c>
      <c r="C221" s="60"/>
      <c r="D221" s="60">
        <f t="shared" si="88"/>
        <v>0</v>
      </c>
      <c r="E221" s="60" t="str">
        <f>VLOOKUP(1596,Sprachindex!$A:$Z,Erhebungsbogen!$Y$20,FALSE)</f>
        <v>[lfm]</v>
      </c>
      <c r="F221" s="60" t="s">
        <v>21950</v>
      </c>
      <c r="G221" s="514" t="str">
        <f>VLOOKUP(1674,Sprachindex!$A:$Z,Erhebungsbogen!$Y$20,FALSE) &amp; " [" &amp; VLOOKUP(992,Sprachindex!$A:$Z,Erhebungsbogen!$Y$20,FALSE) &amp; " =1 "&amp; VLOOKUP(1512,Sprachindex!$A:$Z,Erhebungsbogen!$Y$20,FALSE) &amp; "]"</f>
        <v>Dauerbodendichtung 80 [VPE =1 lfm]</v>
      </c>
      <c r="H221" s="514"/>
      <c r="I221" s="514"/>
      <c r="J221" s="514"/>
      <c r="K221" s="514"/>
      <c r="L221" s="514"/>
      <c r="M221" s="514"/>
      <c r="N221" s="514"/>
      <c r="O221" s="514"/>
      <c r="P221" s="514"/>
      <c r="Q221" s="514"/>
      <c r="R221" s="514"/>
      <c r="S221" s="514"/>
      <c r="T221" s="514"/>
      <c r="U221" s="352">
        <f>VLOOKUP(F221,Preisliste!C:F,4,FALSE)</f>
        <v>99.05</v>
      </c>
      <c r="V221" s="352">
        <f t="shared" si="89"/>
        <v>0</v>
      </c>
      <c r="W221" s="86"/>
      <c r="X221" s="146"/>
      <c r="Y221" s="86"/>
      <c r="Z221" s="86"/>
      <c r="AA221" s="86"/>
      <c r="AB221" s="86"/>
      <c r="AC221" s="86"/>
      <c r="AD221" s="86"/>
      <c r="AE221" s="86"/>
      <c r="AF221" s="86"/>
      <c r="AG221" s="86">
        <f>IF('STK1'!$B65&gt;0,Kalk1!$AH$44,0)</f>
        <v>0</v>
      </c>
      <c r="AH221" s="86">
        <f>IF('STK2'!$B65&gt;0,Kalk2!$AH$44,0)</f>
        <v>0</v>
      </c>
      <c r="AI221" s="86">
        <f>IF('STK3'!$B65&gt;0,Kalk3!$AH$44,0)</f>
        <v>0</v>
      </c>
      <c r="AJ221" s="86">
        <f>IF('STK4'!$B65&gt;0,Kalk4!$AH$44,0)</f>
        <v>0</v>
      </c>
      <c r="AK221" s="86">
        <f>IF('STK5'!$B65&gt;0,Kalk5!$AH$44,0)</f>
        <v>0</v>
      </c>
      <c r="AL221" s="86">
        <f t="shared" si="91"/>
        <v>0</v>
      </c>
    </row>
    <row r="222" spans="2:89" ht="24.95" customHeight="1">
      <c r="B222" s="92">
        <f t="shared" si="85"/>
        <v>0</v>
      </c>
      <c r="C222" s="60"/>
      <c r="D222" s="60">
        <f t="shared" si="88"/>
        <v>0</v>
      </c>
      <c r="E222" s="60" t="str">
        <f>VLOOKUP(1600,Sprachindex!$A:$Z,Erhebungsbogen!$Y$20,FALSE)</f>
        <v>[Stk]</v>
      </c>
      <c r="F222" s="60" t="s">
        <v>21978</v>
      </c>
      <c r="G222" s="514" t="str">
        <f>VLOOKUP(1681,Sprachindex!$A:$Z,Erhebungsbogen!$Y$20,FALSE)</f>
        <v>Dichtungsroller 25/50</v>
      </c>
      <c r="H222" s="515"/>
      <c r="I222" s="515"/>
      <c r="J222" s="515"/>
      <c r="K222" s="515"/>
      <c r="L222" s="515"/>
      <c r="M222" s="515"/>
      <c r="N222" s="515"/>
      <c r="O222" s="515"/>
      <c r="P222" s="515"/>
      <c r="Q222" s="515"/>
      <c r="R222" s="515"/>
      <c r="S222" s="515"/>
      <c r="T222" s="516"/>
      <c r="U222" s="352">
        <f>VLOOKUP(F222,Preisliste!C:F,4,FALSE)</f>
        <v>49.75</v>
      </c>
      <c r="V222" s="352">
        <f t="shared" ref="V222:V395" si="92">U222*B222</f>
        <v>0</v>
      </c>
      <c r="W222" s="86"/>
      <c r="X222" s="146"/>
      <c r="Y222" s="86"/>
      <c r="Z222" s="86"/>
      <c r="AA222" s="86"/>
      <c r="AB222" s="86"/>
      <c r="AC222" s="86"/>
      <c r="AD222" s="86"/>
      <c r="AE222" s="86"/>
      <c r="AF222" s="86"/>
      <c r="AG222" s="86">
        <f>'STK1'!$B66</f>
        <v>0</v>
      </c>
      <c r="AH222" s="86">
        <f>'STK2'!$B66</f>
        <v>0</v>
      </c>
      <c r="AI222" s="86">
        <f>'STK3'!$B66</f>
        <v>0</v>
      </c>
      <c r="AJ222" s="86">
        <f>'STK4'!$B66</f>
        <v>0</v>
      </c>
      <c r="AK222" s="86">
        <f>'STK5'!$B66</f>
        <v>0</v>
      </c>
      <c r="AL222" s="86">
        <f t="shared" si="91"/>
        <v>0</v>
      </c>
    </row>
    <row r="223" spans="2:89" ht="24.95" customHeight="1">
      <c r="B223" s="92">
        <f t="shared" si="85"/>
        <v>0</v>
      </c>
      <c r="C223" s="60"/>
      <c r="D223" s="60">
        <f t="shared" si="88"/>
        <v>0</v>
      </c>
      <c r="E223" s="60" t="str">
        <f>VLOOKUP(1600,Sprachindex!$A:$Z,Erhebungsbogen!$Y$20,FALSE)</f>
        <v>[Stk]</v>
      </c>
      <c r="F223" s="60" t="s">
        <v>21979</v>
      </c>
      <c r="G223" s="514" t="str">
        <f>VLOOKUP(1682,Sprachindex!$A:$Z,Erhebungsbogen!$Y$20,FALSE)</f>
        <v>Dichtungsroller 80</v>
      </c>
      <c r="H223" s="515"/>
      <c r="I223" s="515"/>
      <c r="J223" s="515"/>
      <c r="K223" s="515"/>
      <c r="L223" s="515"/>
      <c r="M223" s="515"/>
      <c r="N223" s="515"/>
      <c r="O223" s="515"/>
      <c r="P223" s="515"/>
      <c r="Q223" s="515"/>
      <c r="R223" s="515"/>
      <c r="S223" s="515"/>
      <c r="T223" s="516"/>
      <c r="U223" s="352">
        <f>VLOOKUP(F223,Preisliste!C:F,4,FALSE)</f>
        <v>49.75</v>
      </c>
      <c r="V223" s="352">
        <f t="shared" si="92"/>
        <v>0</v>
      </c>
      <c r="W223" s="86"/>
      <c r="X223" s="146"/>
      <c r="Y223" s="86"/>
      <c r="Z223" s="86"/>
      <c r="AA223" s="86"/>
      <c r="AB223" s="86"/>
      <c r="AC223" s="86"/>
      <c r="AD223" s="86"/>
      <c r="AE223" s="86"/>
      <c r="AF223" s="86"/>
      <c r="AG223" s="86">
        <f>'STK1'!$B67</f>
        <v>0</v>
      </c>
      <c r="AH223" s="86">
        <f>'STK2'!$B67</f>
        <v>0</v>
      </c>
      <c r="AI223" s="86">
        <f>'STK3'!$B67</f>
        <v>0</v>
      </c>
      <c r="AJ223" s="86">
        <f>'STK4'!$B67</f>
        <v>0</v>
      </c>
      <c r="AK223" s="86">
        <f>'STK5'!$B67</f>
        <v>0</v>
      </c>
      <c r="AL223" s="86">
        <f t="shared" ref="AL223" si="93">ROUNDUP(SUM(AG223:AK223),0)</f>
        <v>0</v>
      </c>
    </row>
    <row r="224" spans="2:89" ht="24.95" customHeight="1">
      <c r="B224" s="92">
        <f t="shared" si="85"/>
        <v>0</v>
      </c>
      <c r="C224" s="60">
        <v>750</v>
      </c>
      <c r="D224" s="60"/>
      <c r="E224" s="60" t="str">
        <f>VLOOKUP(1600,Sprachindex!$A:$Z,Erhebungsbogen!$Y$20,FALSE)</f>
        <v>[Stk]</v>
      </c>
      <c r="F224" s="60" t="s">
        <v>21884</v>
      </c>
      <c r="G224" s="514" t="str">
        <f>VLOOKUP(2124,Sprachindex!$A:$Z,Erhebungsbogen!$Y$20,FALSE) &amp; ", " &amp; VLOOKUP(1648,Sprachindex!$A:$Z,Erhebungsbogen!$Y$20,FALSE)</f>
        <v>Grundprofil 25 (H-Profil v.d.L.) exkl. Dichtung, gebohrt und entgratet, blank</v>
      </c>
      <c r="H224" s="514"/>
      <c r="I224" s="514"/>
      <c r="J224" s="514"/>
      <c r="K224" s="514"/>
      <c r="L224" s="514"/>
      <c r="M224" s="514"/>
      <c r="N224" s="514"/>
      <c r="O224" s="514"/>
      <c r="P224" s="514"/>
      <c r="Q224" s="514"/>
      <c r="R224" s="514"/>
      <c r="S224" s="514"/>
      <c r="T224" s="514"/>
      <c r="U224" s="352">
        <f>VLOOKUP(F224,Preisliste!C:F,4,FALSE)</f>
        <v>95</v>
      </c>
      <c r="V224" s="352">
        <f t="shared" ref="V224:V228" si="94">U224*B224</f>
        <v>0</v>
      </c>
      <c r="W224" s="146"/>
      <c r="X224" s="146"/>
      <c r="Y224" s="86"/>
      <c r="Z224" s="143"/>
      <c r="AA224" s="86"/>
      <c r="AB224" s="86"/>
      <c r="AC224" s="86"/>
      <c r="AD224" s="86"/>
      <c r="AE224" s="86"/>
      <c r="AF224" s="86"/>
      <c r="AG224" s="86">
        <f>IF(Kalk1!$AA$13=FALSE,'STK1'!$B68,0)</f>
        <v>0</v>
      </c>
      <c r="AH224" s="86">
        <f>IF(Kalk2!$AA$13=FALSE,'STK2'!$B68,0)</f>
        <v>0</v>
      </c>
      <c r="AI224" s="86">
        <f>IF(Kalk3!$AA$13=FALSE,'STK3'!$B68,0)</f>
        <v>0</v>
      </c>
      <c r="AJ224" s="86">
        <f>IF(Kalk4!$AA$13=FALSE,'STK4'!$B68,0)</f>
        <v>0</v>
      </c>
      <c r="AK224" s="86">
        <f>IF(Kalk5!$AA$13=FALSE,'STK5'!$B68,0)</f>
        <v>0</v>
      </c>
      <c r="AL224" s="86">
        <f t="shared" ref="AL224:AL246" si="95">SUM(AG224:AK224)</f>
        <v>0</v>
      </c>
    </row>
    <row r="225" spans="2:38" ht="24.95" customHeight="1">
      <c r="B225" s="92">
        <f t="shared" ref="B225:B228" si="96">AL225</f>
        <v>0</v>
      </c>
      <c r="C225" s="60">
        <v>750</v>
      </c>
      <c r="D225" s="60"/>
      <c r="E225" s="60" t="str">
        <f>VLOOKUP(1600,Sprachindex!$A:$Z,Erhebungsbogen!$Y$20,FALSE)</f>
        <v>[Stk]</v>
      </c>
      <c r="F225" s="60" t="s">
        <v>21884</v>
      </c>
      <c r="G225" s="514" t="str">
        <f>VLOOKUP(2124,Sprachindex!$A:$Z,Erhebungsbogen!$Y$20,FALSE) &amp; ", " &amp; VLOOKUP(1645,Sprachindex!$A:$Z,Erhebungsbogen!$Y$20,FALSE) &amp; " " &amp; $AG$18</f>
        <v xml:space="preserve">Grundprofil 25 (H-Profil v.d.L.) exkl. Dichtung, gebohrt und entgratet, beschichtet </v>
      </c>
      <c r="H225" s="514"/>
      <c r="I225" s="514"/>
      <c r="J225" s="514"/>
      <c r="K225" s="514"/>
      <c r="L225" s="514"/>
      <c r="M225" s="514"/>
      <c r="N225" s="514"/>
      <c r="O225" s="514"/>
      <c r="P225" s="514"/>
      <c r="Q225" s="514"/>
      <c r="R225" s="514"/>
      <c r="S225" s="514"/>
      <c r="T225" s="514"/>
      <c r="U225" s="353">
        <f>VLOOKUP(F225,Preisliste!C:G,5,FALSE)</f>
        <v>104.50000000000001</v>
      </c>
      <c r="V225" s="352">
        <f t="shared" si="94"/>
        <v>0</v>
      </c>
      <c r="W225" s="146"/>
      <c r="X225" s="146"/>
      <c r="Y225" s="86"/>
      <c r="Z225" s="143">
        <f>(VLOOKUP(F225,Preisliste!C:G,5,FALSE)-VLOOKUP(F225,Preisliste!C:G,4,FALSE))*B225</f>
        <v>0</v>
      </c>
      <c r="AA225" s="86"/>
      <c r="AB225" s="86"/>
      <c r="AC225" s="86"/>
      <c r="AD225" s="86"/>
      <c r="AE225" s="86"/>
      <c r="AF225" s="86"/>
      <c r="AG225" s="86">
        <f>IF(Kalk1!$AA$13,'STK1'!$B68,0)</f>
        <v>0</v>
      </c>
      <c r="AL225" s="86">
        <f t="shared" si="95"/>
        <v>0</v>
      </c>
    </row>
    <row r="226" spans="2:38" ht="24.95" customHeight="1">
      <c r="B226" s="92">
        <f t="shared" si="96"/>
        <v>0</v>
      </c>
      <c r="C226" s="60">
        <v>750</v>
      </c>
      <c r="D226" s="60"/>
      <c r="E226" s="60" t="str">
        <f>VLOOKUP(1600,Sprachindex!$A:$Z,Erhebungsbogen!$Y$20,FALSE)</f>
        <v>[Stk]</v>
      </c>
      <c r="F226" s="60" t="s">
        <v>21884</v>
      </c>
      <c r="G226" s="514" t="str">
        <f>VLOOKUP(2124,Sprachindex!$A:$Z,Erhebungsbogen!$Y$20,FALSE) &amp; ", " &amp; VLOOKUP(1645,Sprachindex!$A:$Z,Erhebungsbogen!$Y$20,FALSE) &amp; " " &amp; $AH$18</f>
        <v>Grundprofil 25 (H-Profil v.d.L.) exkl. Dichtung, gebohrt und entgratet, beschichtet 0</v>
      </c>
      <c r="H226" s="514"/>
      <c r="I226" s="514"/>
      <c r="J226" s="514"/>
      <c r="K226" s="514"/>
      <c r="L226" s="514"/>
      <c r="M226" s="514"/>
      <c r="N226" s="514"/>
      <c r="O226" s="514"/>
      <c r="P226" s="514"/>
      <c r="Q226" s="514"/>
      <c r="R226" s="514"/>
      <c r="S226" s="514"/>
      <c r="T226" s="514"/>
      <c r="U226" s="353">
        <f>VLOOKUP(F226,Preisliste!C:G,5,FALSE)</f>
        <v>104.50000000000001</v>
      </c>
      <c r="V226" s="352">
        <f t="shared" si="94"/>
        <v>0</v>
      </c>
      <c r="W226" s="146"/>
      <c r="X226" s="146"/>
      <c r="Y226" s="86"/>
      <c r="Z226" s="143">
        <f>(VLOOKUP(F226,Preisliste!C:G,5,FALSE)-VLOOKUP(F226,Preisliste!C:G,4,FALSE))*B226</f>
        <v>0</v>
      </c>
      <c r="AA226" s="86"/>
      <c r="AB226" s="86"/>
      <c r="AC226" s="86"/>
      <c r="AD226" s="86"/>
      <c r="AE226" s="86"/>
      <c r="AF226" s="86"/>
      <c r="AH226" s="86">
        <f>IF(Kalk2!$AA$13,'STK2'!$B68,0)</f>
        <v>0</v>
      </c>
      <c r="AL226" s="86">
        <f t="shared" si="95"/>
        <v>0</v>
      </c>
    </row>
    <row r="227" spans="2:38" ht="24.95" customHeight="1">
      <c r="B227" s="92">
        <f t="shared" si="96"/>
        <v>0</v>
      </c>
      <c r="C227" s="60">
        <v>750</v>
      </c>
      <c r="D227" s="60"/>
      <c r="E227" s="60" t="str">
        <f>VLOOKUP(1600,Sprachindex!$A:$Z,Erhebungsbogen!$Y$20,FALSE)</f>
        <v>[Stk]</v>
      </c>
      <c r="F227" s="60" t="s">
        <v>21884</v>
      </c>
      <c r="G227" s="514" t="str">
        <f>VLOOKUP(2124,Sprachindex!$A:$Z,Erhebungsbogen!$Y$20,FALSE) &amp; ", " &amp; VLOOKUP(1645,Sprachindex!$A:$Z,Erhebungsbogen!$Y$20,FALSE) &amp; " " &amp; $AI$18</f>
        <v>Grundprofil 25 (H-Profil v.d.L.) exkl. Dichtung, gebohrt und entgratet, beschichtet 0</v>
      </c>
      <c r="H227" s="514"/>
      <c r="I227" s="514"/>
      <c r="J227" s="514"/>
      <c r="K227" s="514"/>
      <c r="L227" s="514"/>
      <c r="M227" s="514"/>
      <c r="N227" s="514"/>
      <c r="O227" s="514"/>
      <c r="P227" s="514"/>
      <c r="Q227" s="514"/>
      <c r="R227" s="514"/>
      <c r="S227" s="514"/>
      <c r="T227" s="514"/>
      <c r="U227" s="353">
        <f>VLOOKUP(F227,Preisliste!C:G,5,FALSE)</f>
        <v>104.50000000000001</v>
      </c>
      <c r="V227" s="352">
        <f t="shared" si="94"/>
        <v>0</v>
      </c>
      <c r="W227" s="146"/>
      <c r="X227" s="146"/>
      <c r="Y227" s="86"/>
      <c r="Z227" s="143">
        <f>(VLOOKUP(F227,Preisliste!C:G,5,FALSE)-VLOOKUP(F227,Preisliste!C:G,4,FALSE))*B227</f>
        <v>0</v>
      </c>
      <c r="AA227" s="86"/>
      <c r="AB227" s="86"/>
      <c r="AC227" s="86"/>
      <c r="AD227" s="86"/>
      <c r="AE227" s="86"/>
      <c r="AF227" s="86"/>
      <c r="AI227" s="86">
        <f>IF(Kalk3!$AA$13,'STK3'!$B68,0)</f>
        <v>0</v>
      </c>
      <c r="AL227" s="86">
        <f t="shared" si="95"/>
        <v>0</v>
      </c>
    </row>
    <row r="228" spans="2:38" ht="24.95" customHeight="1">
      <c r="B228" s="92">
        <f t="shared" si="96"/>
        <v>0</v>
      </c>
      <c r="C228" s="60">
        <v>750</v>
      </c>
      <c r="D228" s="60"/>
      <c r="E228" s="60" t="str">
        <f>VLOOKUP(1600,Sprachindex!$A:$Z,Erhebungsbogen!$Y$20,FALSE)</f>
        <v>[Stk]</v>
      </c>
      <c r="F228" s="60" t="s">
        <v>21884</v>
      </c>
      <c r="G228" s="514" t="str">
        <f>VLOOKUP(2124,Sprachindex!$A:$Z,Erhebungsbogen!$Y$20,FALSE) &amp; ", " &amp; VLOOKUP(1645,Sprachindex!$A:$Z,Erhebungsbogen!$Y$20,FALSE) &amp; " " &amp; $AJ$18</f>
        <v>Grundprofil 25 (H-Profil v.d.L.) exkl. Dichtung, gebohrt und entgratet, beschichtet 0</v>
      </c>
      <c r="H228" s="514"/>
      <c r="I228" s="514"/>
      <c r="J228" s="514"/>
      <c r="K228" s="514"/>
      <c r="L228" s="514"/>
      <c r="M228" s="514"/>
      <c r="N228" s="514"/>
      <c r="O228" s="514"/>
      <c r="P228" s="514"/>
      <c r="Q228" s="514"/>
      <c r="R228" s="514"/>
      <c r="S228" s="514"/>
      <c r="T228" s="514"/>
      <c r="U228" s="353">
        <f>VLOOKUP(F228,Preisliste!C:G,5,FALSE)</f>
        <v>104.50000000000001</v>
      </c>
      <c r="V228" s="352">
        <f t="shared" si="94"/>
        <v>0</v>
      </c>
      <c r="W228" s="146"/>
      <c r="X228" s="146"/>
      <c r="Y228" s="86"/>
      <c r="Z228" s="143">
        <f>(VLOOKUP(F228,Preisliste!C:G,5,FALSE)-VLOOKUP(F228,Preisliste!C:G,4,FALSE))*B228</f>
        <v>0</v>
      </c>
      <c r="AA228" s="86"/>
      <c r="AB228" s="86"/>
      <c r="AC228" s="86"/>
      <c r="AD228" s="86"/>
      <c r="AE228" s="86"/>
      <c r="AF228" s="86"/>
      <c r="AJ228" s="86">
        <f>IF(Kalk4!$AA$13,'STK4'!$B68,0)</f>
        <v>0</v>
      </c>
      <c r="AL228" s="86">
        <f t="shared" si="95"/>
        <v>0</v>
      </c>
    </row>
    <row r="229" spans="2:38" ht="24.95" customHeight="1">
      <c r="B229" s="92">
        <f t="shared" si="85"/>
        <v>0</v>
      </c>
      <c r="C229" s="60">
        <v>750</v>
      </c>
      <c r="D229" s="60"/>
      <c r="E229" s="60" t="str">
        <f>VLOOKUP(1600,Sprachindex!$A:$Z,Erhebungsbogen!$Y$20,FALSE)</f>
        <v>[Stk]</v>
      </c>
      <c r="F229" s="60" t="s">
        <v>21884</v>
      </c>
      <c r="G229" s="514" t="str">
        <f>VLOOKUP(2124,Sprachindex!$A:$Z,Erhebungsbogen!$Y$20,FALSE) &amp; ", " &amp; VLOOKUP(1645,Sprachindex!$A:$Z,Erhebungsbogen!$Y$20,FALSE) &amp; " " &amp; $AK$18</f>
        <v>Grundprofil 25 (H-Profil v.d.L.) exkl. Dichtung, gebohrt und entgratet, beschichtet 0</v>
      </c>
      <c r="H229" s="514"/>
      <c r="I229" s="514"/>
      <c r="J229" s="514"/>
      <c r="K229" s="514"/>
      <c r="L229" s="514"/>
      <c r="M229" s="514"/>
      <c r="N229" s="514"/>
      <c r="O229" s="514"/>
      <c r="P229" s="514"/>
      <c r="Q229" s="514"/>
      <c r="R229" s="514"/>
      <c r="S229" s="514"/>
      <c r="T229" s="514"/>
      <c r="U229" s="353">
        <f>VLOOKUP(F229,Preisliste!C:G,5,FALSE)</f>
        <v>104.50000000000001</v>
      </c>
      <c r="V229" s="352">
        <f t="shared" si="92"/>
        <v>0</v>
      </c>
      <c r="W229" s="146"/>
      <c r="X229" s="146"/>
      <c r="Y229" s="86"/>
      <c r="Z229" s="143">
        <f>(VLOOKUP(F229,Preisliste!C:G,5,FALSE)-VLOOKUP(F229,Preisliste!C:G,4,FALSE))*B229</f>
        <v>0</v>
      </c>
      <c r="AA229" s="86"/>
      <c r="AB229" s="86"/>
      <c r="AC229" s="86"/>
      <c r="AD229" s="86"/>
      <c r="AE229" s="86"/>
      <c r="AF229" s="86"/>
      <c r="AK229" s="86">
        <f>IF(Kalk5!$AA$13,'STK5'!$B68,0)</f>
        <v>0</v>
      </c>
      <c r="AL229" s="86">
        <f t="shared" si="95"/>
        <v>0</v>
      </c>
    </row>
    <row r="230" spans="2:38" ht="24.95" customHeight="1">
      <c r="B230" s="92">
        <f t="shared" si="85"/>
        <v>0</v>
      </c>
      <c r="C230" s="60">
        <v>1350</v>
      </c>
      <c r="D230" s="60"/>
      <c r="E230" s="60" t="str">
        <f>VLOOKUP(1600,Sprachindex!$A:$Z,Erhebungsbogen!$Y$20,FALSE)</f>
        <v>[Stk]</v>
      </c>
      <c r="F230" s="60" t="s">
        <v>21885</v>
      </c>
      <c r="G230" s="517" t="str">
        <f>VLOOKUP(2124,Sprachindex!$A:$Z,Erhebungsbogen!$Y$20,FALSE) &amp; ", " &amp; VLOOKUP(1648,Sprachindex!$A:$Z,Erhebungsbogen!$Y$20,FALSE)</f>
        <v>Grundprofil 25 (H-Profil v.d.L.) exkl. Dichtung, gebohrt und entgratet, blank</v>
      </c>
      <c r="H230" s="515"/>
      <c r="I230" s="515"/>
      <c r="J230" s="515"/>
      <c r="K230" s="515"/>
      <c r="L230" s="515"/>
      <c r="M230" s="515"/>
      <c r="N230" s="515"/>
      <c r="O230" s="515"/>
      <c r="P230" s="515"/>
      <c r="Q230" s="515"/>
      <c r="R230" s="515"/>
      <c r="S230" s="515"/>
      <c r="T230" s="516"/>
      <c r="U230" s="352">
        <f>VLOOKUP(F230,Preisliste!C:F,4,FALSE)</f>
        <v>149.85</v>
      </c>
      <c r="V230" s="352">
        <f t="shared" ref="V230:V234" si="97">U230*B230</f>
        <v>0</v>
      </c>
      <c r="W230" s="146"/>
      <c r="X230" s="146"/>
      <c r="Y230" s="86"/>
      <c r="Z230" s="143"/>
      <c r="AA230" s="86"/>
      <c r="AB230" s="86"/>
      <c r="AC230" s="86"/>
      <c r="AD230" s="86"/>
      <c r="AE230" s="86"/>
      <c r="AF230" s="86"/>
      <c r="AG230" s="86">
        <f>IF(Kalk1!$AA$13=FALSE,'STK1'!$B69,0)</f>
        <v>0</v>
      </c>
      <c r="AH230" s="86">
        <f>IF(Kalk2!$AA$13=FALSE,'STK2'!$B69,0)</f>
        <v>0</v>
      </c>
      <c r="AI230" s="86">
        <f>IF(Kalk3!$AA$13=FALSE,'STK3'!$B69,0)</f>
        <v>0</v>
      </c>
      <c r="AJ230" s="86">
        <f>IF(Kalk4!$AA$13=FALSE,'STK4'!$B69,0)</f>
        <v>0</v>
      </c>
      <c r="AK230" s="86">
        <f>IF(Kalk5!$AA$13=FALSE,'STK5'!$B69,0)</f>
        <v>0</v>
      </c>
      <c r="AL230" s="86">
        <f t="shared" si="95"/>
        <v>0</v>
      </c>
    </row>
    <row r="231" spans="2:38" ht="24.95" customHeight="1">
      <c r="B231" s="92">
        <f t="shared" ref="B231:B234" si="98">AL231</f>
        <v>0</v>
      </c>
      <c r="C231" s="60">
        <v>1350</v>
      </c>
      <c r="D231" s="60"/>
      <c r="E231" s="60" t="str">
        <f>VLOOKUP(1600,Sprachindex!$A:$Z,Erhebungsbogen!$Y$20,FALSE)</f>
        <v>[Stk]</v>
      </c>
      <c r="F231" s="60" t="s">
        <v>21885</v>
      </c>
      <c r="G231" s="517" t="str">
        <f>VLOOKUP(2124,Sprachindex!$A:$Z,Erhebungsbogen!$Y$20,FALSE) &amp; ", " &amp; VLOOKUP(1645,Sprachindex!$A:$Z,Erhebungsbogen!$Y$20,FALSE) &amp; " " &amp; $AG$18</f>
        <v xml:space="preserve">Grundprofil 25 (H-Profil v.d.L.) exkl. Dichtung, gebohrt und entgratet, beschichtet </v>
      </c>
      <c r="H231" s="515"/>
      <c r="I231" s="515"/>
      <c r="J231" s="515"/>
      <c r="K231" s="515"/>
      <c r="L231" s="515"/>
      <c r="M231" s="515"/>
      <c r="N231" s="515"/>
      <c r="O231" s="515"/>
      <c r="P231" s="515"/>
      <c r="Q231" s="515"/>
      <c r="R231" s="515"/>
      <c r="S231" s="515"/>
      <c r="T231" s="516"/>
      <c r="U231" s="353">
        <f>VLOOKUP(F231,Preisliste!C:G,5,FALSE)</f>
        <v>164.83500000000001</v>
      </c>
      <c r="V231" s="352">
        <f t="shared" si="97"/>
        <v>0</v>
      </c>
      <c r="W231" s="146"/>
      <c r="X231" s="146"/>
      <c r="Y231" s="86"/>
      <c r="Z231" s="143">
        <f>(VLOOKUP(F231,Preisliste!C:G,5,FALSE)-VLOOKUP(F231,Preisliste!C:G,4,FALSE))*B231</f>
        <v>0</v>
      </c>
      <c r="AA231" s="86"/>
      <c r="AB231" s="86"/>
      <c r="AC231" s="86"/>
      <c r="AD231" s="86"/>
      <c r="AE231" s="86"/>
      <c r="AF231" s="86"/>
      <c r="AG231" s="86">
        <f>IF(Kalk1!$AA$13,'STK1'!$B69,0)</f>
        <v>0</v>
      </c>
      <c r="AL231" s="86">
        <f>SUM(AG231:AK231)</f>
        <v>0</v>
      </c>
    </row>
    <row r="232" spans="2:38" ht="24.95" customHeight="1">
      <c r="B232" s="92">
        <f t="shared" si="98"/>
        <v>0</v>
      </c>
      <c r="C232" s="60">
        <v>1350</v>
      </c>
      <c r="D232" s="60"/>
      <c r="E232" s="60" t="str">
        <f>VLOOKUP(1600,Sprachindex!$A:$Z,Erhebungsbogen!$Y$20,FALSE)</f>
        <v>[Stk]</v>
      </c>
      <c r="F232" s="60" t="s">
        <v>21885</v>
      </c>
      <c r="G232" s="517" t="str">
        <f>VLOOKUP(2124,Sprachindex!$A:$Z,Erhebungsbogen!$Y$20,FALSE) &amp; ", " &amp; VLOOKUP(1645,Sprachindex!$A:$Z,Erhebungsbogen!$Y$20,FALSE) &amp; " " &amp; $AH$18</f>
        <v>Grundprofil 25 (H-Profil v.d.L.) exkl. Dichtung, gebohrt und entgratet, beschichtet 0</v>
      </c>
      <c r="H232" s="515"/>
      <c r="I232" s="515"/>
      <c r="J232" s="515"/>
      <c r="K232" s="515"/>
      <c r="L232" s="515"/>
      <c r="M232" s="515"/>
      <c r="N232" s="515"/>
      <c r="O232" s="515"/>
      <c r="P232" s="515"/>
      <c r="Q232" s="515"/>
      <c r="R232" s="515"/>
      <c r="S232" s="515"/>
      <c r="T232" s="516"/>
      <c r="U232" s="353">
        <f>VLOOKUP(F232,Preisliste!C:G,5,FALSE)</f>
        <v>164.83500000000001</v>
      </c>
      <c r="V232" s="352">
        <f t="shared" si="97"/>
        <v>0</v>
      </c>
      <c r="W232" s="146"/>
      <c r="X232" s="146"/>
      <c r="Y232" s="86"/>
      <c r="Z232" s="143">
        <f>(VLOOKUP(F232,Preisliste!C:G,5,FALSE)-VLOOKUP(F232,Preisliste!C:G,4,FALSE))*B232</f>
        <v>0</v>
      </c>
      <c r="AA232" s="86"/>
      <c r="AB232" s="86"/>
      <c r="AC232" s="86"/>
      <c r="AD232" s="86"/>
      <c r="AE232" s="86"/>
      <c r="AF232" s="86"/>
      <c r="AH232" s="86">
        <f>IF(Kalk2!$AA$13,'STK2'!$B69,0)</f>
        <v>0</v>
      </c>
      <c r="AL232" s="86">
        <f t="shared" si="95"/>
        <v>0</v>
      </c>
    </row>
    <row r="233" spans="2:38" ht="24.95" customHeight="1">
      <c r="B233" s="92">
        <f t="shared" si="98"/>
        <v>0</v>
      </c>
      <c r="C233" s="60">
        <v>1350</v>
      </c>
      <c r="D233" s="60"/>
      <c r="E233" s="60" t="str">
        <f>VLOOKUP(1600,Sprachindex!$A:$Z,Erhebungsbogen!$Y$20,FALSE)</f>
        <v>[Stk]</v>
      </c>
      <c r="F233" s="60" t="s">
        <v>21885</v>
      </c>
      <c r="G233" s="517" t="str">
        <f>VLOOKUP(2124,Sprachindex!$A:$Z,Erhebungsbogen!$Y$20,FALSE) &amp; ", " &amp; VLOOKUP(1645,Sprachindex!$A:$Z,Erhebungsbogen!$Y$20,FALSE) &amp; " " &amp; $AI$18</f>
        <v>Grundprofil 25 (H-Profil v.d.L.) exkl. Dichtung, gebohrt und entgratet, beschichtet 0</v>
      </c>
      <c r="H233" s="515"/>
      <c r="I233" s="515"/>
      <c r="J233" s="515"/>
      <c r="K233" s="515"/>
      <c r="L233" s="515"/>
      <c r="M233" s="515"/>
      <c r="N233" s="515"/>
      <c r="O233" s="515"/>
      <c r="P233" s="515"/>
      <c r="Q233" s="515"/>
      <c r="R233" s="515"/>
      <c r="S233" s="515"/>
      <c r="T233" s="516"/>
      <c r="U233" s="353">
        <f>VLOOKUP(F233,Preisliste!C:G,5,FALSE)</f>
        <v>164.83500000000001</v>
      </c>
      <c r="V233" s="352">
        <f t="shared" si="97"/>
        <v>0</v>
      </c>
      <c r="W233" s="146"/>
      <c r="X233" s="146"/>
      <c r="Y233" s="86"/>
      <c r="Z233" s="143">
        <f>(VLOOKUP(F233,Preisliste!C:G,5,FALSE)-VLOOKUP(F233,Preisliste!C:G,4,FALSE))*B233</f>
        <v>0</v>
      </c>
      <c r="AA233" s="86"/>
      <c r="AB233" s="86"/>
      <c r="AC233" s="86"/>
      <c r="AD233" s="86"/>
      <c r="AE233" s="86"/>
      <c r="AF233" s="86"/>
      <c r="AI233" s="86">
        <f>IF(Kalk3!$AA$13,'STK3'!$B69,0)</f>
        <v>0</v>
      </c>
      <c r="AL233" s="86">
        <f t="shared" si="95"/>
        <v>0</v>
      </c>
    </row>
    <row r="234" spans="2:38" ht="24.95" customHeight="1">
      <c r="B234" s="92">
        <f t="shared" si="98"/>
        <v>0</v>
      </c>
      <c r="C234" s="60">
        <v>1350</v>
      </c>
      <c r="D234" s="60"/>
      <c r="E234" s="60" t="str">
        <f>VLOOKUP(1600,Sprachindex!$A:$Z,Erhebungsbogen!$Y$20,FALSE)</f>
        <v>[Stk]</v>
      </c>
      <c r="F234" s="60" t="s">
        <v>21885</v>
      </c>
      <c r="G234" s="517" t="str">
        <f>VLOOKUP(2124,Sprachindex!$A:$Z,Erhebungsbogen!$Y$20,FALSE) &amp; ", " &amp; VLOOKUP(1645,Sprachindex!$A:$Z,Erhebungsbogen!$Y$20,FALSE) &amp; " " &amp; $AJ$18</f>
        <v>Grundprofil 25 (H-Profil v.d.L.) exkl. Dichtung, gebohrt und entgratet, beschichtet 0</v>
      </c>
      <c r="H234" s="515"/>
      <c r="I234" s="515"/>
      <c r="J234" s="515"/>
      <c r="K234" s="515"/>
      <c r="L234" s="515"/>
      <c r="M234" s="515"/>
      <c r="N234" s="515"/>
      <c r="O234" s="515"/>
      <c r="P234" s="515"/>
      <c r="Q234" s="515"/>
      <c r="R234" s="515"/>
      <c r="S234" s="515"/>
      <c r="T234" s="516"/>
      <c r="U234" s="353">
        <f>VLOOKUP(F234,Preisliste!C:G,5,FALSE)</f>
        <v>164.83500000000001</v>
      </c>
      <c r="V234" s="352">
        <f t="shared" si="97"/>
        <v>0</v>
      </c>
      <c r="W234" s="146"/>
      <c r="X234" s="146"/>
      <c r="Y234" s="86"/>
      <c r="Z234" s="143">
        <f>(VLOOKUP(F234,Preisliste!C:G,5,FALSE)-VLOOKUP(F234,Preisliste!C:G,4,FALSE))*B234</f>
        <v>0</v>
      </c>
      <c r="AA234" s="86"/>
      <c r="AB234" s="86"/>
      <c r="AC234" s="86"/>
      <c r="AD234" s="86"/>
      <c r="AE234" s="86"/>
      <c r="AF234" s="86"/>
      <c r="AJ234" s="86">
        <f>IF(Kalk4!$AA$13,'STK4'!$B69,0)</f>
        <v>0</v>
      </c>
      <c r="AL234" s="86">
        <f t="shared" si="95"/>
        <v>0</v>
      </c>
    </row>
    <row r="235" spans="2:38" ht="24.95" customHeight="1">
      <c r="B235" s="92">
        <f t="shared" si="85"/>
        <v>0</v>
      </c>
      <c r="C235" s="60">
        <v>1350</v>
      </c>
      <c r="D235" s="60"/>
      <c r="E235" s="60" t="str">
        <f>VLOOKUP(1600,Sprachindex!$A:$Z,Erhebungsbogen!$Y$20,FALSE)</f>
        <v>[Stk]</v>
      </c>
      <c r="F235" s="60" t="s">
        <v>21885</v>
      </c>
      <c r="G235" s="517" t="str">
        <f>VLOOKUP(2124,Sprachindex!$A:$Z,Erhebungsbogen!$Y$20,FALSE) &amp; ", " &amp; VLOOKUP(1645,Sprachindex!$A:$Z,Erhebungsbogen!$Y$20,FALSE) &amp; " " &amp; $AK$18</f>
        <v>Grundprofil 25 (H-Profil v.d.L.) exkl. Dichtung, gebohrt und entgratet, beschichtet 0</v>
      </c>
      <c r="H235" s="515"/>
      <c r="I235" s="515"/>
      <c r="J235" s="515"/>
      <c r="K235" s="515"/>
      <c r="L235" s="515"/>
      <c r="M235" s="515"/>
      <c r="N235" s="515"/>
      <c r="O235" s="515"/>
      <c r="P235" s="515"/>
      <c r="Q235" s="515"/>
      <c r="R235" s="515"/>
      <c r="S235" s="515"/>
      <c r="T235" s="516"/>
      <c r="U235" s="353">
        <f>VLOOKUP(F235,Preisliste!C:G,5,FALSE)</f>
        <v>164.83500000000001</v>
      </c>
      <c r="V235" s="352">
        <f t="shared" si="92"/>
        <v>0</v>
      </c>
      <c r="W235" s="146"/>
      <c r="X235" s="146"/>
      <c r="Y235" s="86"/>
      <c r="Z235" s="143">
        <f>(VLOOKUP(F235,Preisliste!C:G,5,FALSE)-VLOOKUP(F235,Preisliste!C:G,4,FALSE))*B235</f>
        <v>0</v>
      </c>
      <c r="AA235" s="86"/>
      <c r="AB235" s="86"/>
      <c r="AC235" s="86"/>
      <c r="AD235" s="86"/>
      <c r="AE235" s="86"/>
      <c r="AF235" s="86"/>
      <c r="AK235" s="86">
        <f>IF(Kalk5!$AA$13,'STK5'!$B69,0)</f>
        <v>0</v>
      </c>
      <c r="AL235" s="86">
        <f t="shared" si="95"/>
        <v>0</v>
      </c>
    </row>
    <row r="236" spans="2:38" ht="24.95" customHeight="1">
      <c r="B236" s="92">
        <f t="shared" si="85"/>
        <v>0</v>
      </c>
      <c r="C236" s="60">
        <v>1750</v>
      </c>
      <c r="D236" s="60"/>
      <c r="E236" s="60" t="str">
        <f>VLOOKUP(1600,Sprachindex!$A:$Z,Erhebungsbogen!$Y$20,FALSE)</f>
        <v>[Stk]</v>
      </c>
      <c r="F236" s="60" t="s">
        <v>21984</v>
      </c>
      <c r="G236" s="517" t="str">
        <f>VLOOKUP(2124,Sprachindex!$A:$Z,Erhebungsbogen!$Y$20,FALSE) &amp; ", " &amp; VLOOKUP(1648,Sprachindex!$A:$Z,Erhebungsbogen!$Y$20,FALSE)</f>
        <v>Grundprofil 25 (H-Profil v.d.L.) exkl. Dichtung, gebohrt und entgratet, blank</v>
      </c>
      <c r="H236" s="515"/>
      <c r="I236" s="515"/>
      <c r="J236" s="515"/>
      <c r="K236" s="515"/>
      <c r="L236" s="515"/>
      <c r="M236" s="515"/>
      <c r="N236" s="515"/>
      <c r="O236" s="515"/>
      <c r="P236" s="515"/>
      <c r="Q236" s="515"/>
      <c r="R236" s="515"/>
      <c r="S236" s="515"/>
      <c r="T236" s="516"/>
      <c r="U236" s="352">
        <f>VLOOKUP(F236,Preisliste!C:F,4,FALSE)</f>
        <v>186.4</v>
      </c>
      <c r="V236" s="352">
        <f t="shared" ref="V236:V240" si="99">U236*B236</f>
        <v>0</v>
      </c>
      <c r="W236" s="146"/>
      <c r="X236" s="146"/>
      <c r="Y236" s="86"/>
      <c r="Z236" s="143"/>
      <c r="AA236" s="86"/>
      <c r="AB236" s="86"/>
      <c r="AC236" s="86"/>
      <c r="AD236" s="86"/>
      <c r="AE236" s="86"/>
      <c r="AF236" s="86"/>
      <c r="AG236" s="86">
        <f>IF(Kalk1!$AA$13=FALSE,'STK1'!$B70,0)</f>
        <v>0</v>
      </c>
      <c r="AH236" s="86">
        <f>IF(Kalk2!$AA$13=FALSE,'STK2'!$B70,0)</f>
        <v>0</v>
      </c>
      <c r="AI236" s="86">
        <f>IF(Kalk3!$AA$13=FALSE,'STK3'!$B70,0)</f>
        <v>0</v>
      </c>
      <c r="AJ236" s="86">
        <f>IF(Kalk4!$AA$13=FALSE,'STK4'!$B70,0)</f>
        <v>0</v>
      </c>
      <c r="AK236" s="86">
        <f>IF(Kalk5!$AA$13=FALSE,'STK5'!$B70,0)</f>
        <v>0</v>
      </c>
      <c r="AL236" s="86">
        <f t="shared" si="95"/>
        <v>0</v>
      </c>
    </row>
    <row r="237" spans="2:38" ht="24.95" customHeight="1">
      <c r="B237" s="92">
        <f t="shared" ref="B237:B240" si="100">AL237</f>
        <v>0</v>
      </c>
      <c r="C237" s="60">
        <v>1750</v>
      </c>
      <c r="D237" s="60"/>
      <c r="E237" s="60" t="str">
        <f>VLOOKUP(1600,Sprachindex!$A:$Z,Erhebungsbogen!$Y$20,FALSE)</f>
        <v>[Stk]</v>
      </c>
      <c r="F237" s="60" t="s">
        <v>21984</v>
      </c>
      <c r="G237" s="517" t="str">
        <f>VLOOKUP(2124,Sprachindex!$A:$Z,Erhebungsbogen!$Y$20,FALSE) &amp; ", " &amp; VLOOKUP(1645,Sprachindex!$A:$Z,Erhebungsbogen!$Y$20,FALSE) &amp; " " &amp; $AG$18</f>
        <v xml:space="preserve">Grundprofil 25 (H-Profil v.d.L.) exkl. Dichtung, gebohrt und entgratet, beschichtet </v>
      </c>
      <c r="H237" s="515"/>
      <c r="I237" s="515"/>
      <c r="J237" s="515"/>
      <c r="K237" s="515"/>
      <c r="L237" s="515"/>
      <c r="M237" s="515"/>
      <c r="N237" s="515"/>
      <c r="O237" s="515"/>
      <c r="P237" s="515"/>
      <c r="Q237" s="515"/>
      <c r="R237" s="515"/>
      <c r="S237" s="515"/>
      <c r="T237" s="516"/>
      <c r="U237" s="353">
        <f>VLOOKUP(F237,Preisliste!C:G,5,FALSE)</f>
        <v>205.04000000000002</v>
      </c>
      <c r="V237" s="352">
        <f t="shared" si="99"/>
        <v>0</v>
      </c>
      <c r="W237" s="146"/>
      <c r="X237" s="146"/>
      <c r="Y237" s="86"/>
      <c r="Z237" s="143">
        <f>(VLOOKUP(F237,Preisliste!C:G,5,FALSE)-VLOOKUP(F237,Preisliste!C:G,4,FALSE))*B237</f>
        <v>0</v>
      </c>
      <c r="AA237" s="86"/>
      <c r="AB237" s="86"/>
      <c r="AC237" s="86"/>
      <c r="AD237" s="86"/>
      <c r="AE237" s="86"/>
      <c r="AF237" s="86"/>
      <c r="AG237" s="86">
        <f>IF(Kalk1!$AA$13,'STK1'!$B70,0)</f>
        <v>0</v>
      </c>
      <c r="AL237" s="86">
        <f>SUM(AG237:AK237)</f>
        <v>0</v>
      </c>
    </row>
    <row r="238" spans="2:38" ht="24.95" customHeight="1">
      <c r="B238" s="92">
        <f t="shared" si="100"/>
        <v>0</v>
      </c>
      <c r="C238" s="60">
        <v>1750</v>
      </c>
      <c r="D238" s="60"/>
      <c r="E238" s="60" t="str">
        <f>VLOOKUP(1600,Sprachindex!$A:$Z,Erhebungsbogen!$Y$20,FALSE)</f>
        <v>[Stk]</v>
      </c>
      <c r="F238" s="60" t="s">
        <v>21984</v>
      </c>
      <c r="G238" s="517" t="str">
        <f>VLOOKUP(2124,Sprachindex!$A:$Z,Erhebungsbogen!$Y$20,FALSE) &amp; ", " &amp; VLOOKUP(1645,Sprachindex!$A:$Z,Erhebungsbogen!$Y$20,FALSE) &amp; " " &amp; $AH$18</f>
        <v>Grundprofil 25 (H-Profil v.d.L.) exkl. Dichtung, gebohrt und entgratet, beschichtet 0</v>
      </c>
      <c r="H238" s="515"/>
      <c r="I238" s="515"/>
      <c r="J238" s="515"/>
      <c r="K238" s="515"/>
      <c r="L238" s="515"/>
      <c r="M238" s="515"/>
      <c r="N238" s="515"/>
      <c r="O238" s="515"/>
      <c r="P238" s="515"/>
      <c r="Q238" s="515"/>
      <c r="R238" s="515"/>
      <c r="S238" s="515"/>
      <c r="T238" s="516"/>
      <c r="U238" s="353">
        <f>VLOOKUP(F238,Preisliste!C:G,5,FALSE)</f>
        <v>205.04000000000002</v>
      </c>
      <c r="V238" s="352">
        <f t="shared" si="99"/>
        <v>0</v>
      </c>
      <c r="W238" s="146"/>
      <c r="X238" s="146"/>
      <c r="Y238" s="86"/>
      <c r="Z238" s="143">
        <f>(VLOOKUP(F238,Preisliste!C:G,5,FALSE)-VLOOKUP(F238,Preisliste!C:G,4,FALSE))*B238</f>
        <v>0</v>
      </c>
      <c r="AA238" s="86"/>
      <c r="AB238" s="86"/>
      <c r="AC238" s="86"/>
      <c r="AD238" s="86"/>
      <c r="AE238" s="86"/>
      <c r="AF238" s="86"/>
      <c r="AH238" s="86">
        <f>IF(Kalk2!$AA$13,'STK2'!$B70,0)</f>
        <v>0</v>
      </c>
      <c r="AL238" s="86">
        <f t="shared" si="95"/>
        <v>0</v>
      </c>
    </row>
    <row r="239" spans="2:38" ht="24.95" customHeight="1">
      <c r="B239" s="92">
        <f t="shared" si="100"/>
        <v>0</v>
      </c>
      <c r="C239" s="60">
        <v>1750</v>
      </c>
      <c r="D239" s="60"/>
      <c r="E239" s="60" t="str">
        <f>VLOOKUP(1600,Sprachindex!$A:$Z,Erhebungsbogen!$Y$20,FALSE)</f>
        <v>[Stk]</v>
      </c>
      <c r="F239" s="60" t="s">
        <v>21984</v>
      </c>
      <c r="G239" s="517" t="str">
        <f>VLOOKUP(2124,Sprachindex!$A:$Z,Erhebungsbogen!$Y$20,FALSE) &amp; ", " &amp; VLOOKUP(1645,Sprachindex!$A:$Z,Erhebungsbogen!$Y$20,FALSE) &amp; " " &amp; $AI$18</f>
        <v>Grundprofil 25 (H-Profil v.d.L.) exkl. Dichtung, gebohrt und entgratet, beschichtet 0</v>
      </c>
      <c r="H239" s="515"/>
      <c r="I239" s="515"/>
      <c r="J239" s="515"/>
      <c r="K239" s="515"/>
      <c r="L239" s="515"/>
      <c r="M239" s="515"/>
      <c r="N239" s="515"/>
      <c r="O239" s="515"/>
      <c r="P239" s="515"/>
      <c r="Q239" s="515"/>
      <c r="R239" s="515"/>
      <c r="S239" s="515"/>
      <c r="T239" s="516"/>
      <c r="U239" s="353">
        <f>VLOOKUP(F239,Preisliste!C:G,5,FALSE)</f>
        <v>205.04000000000002</v>
      </c>
      <c r="V239" s="352">
        <f t="shared" si="99"/>
        <v>0</v>
      </c>
      <c r="W239" s="146"/>
      <c r="X239" s="146"/>
      <c r="Y239" s="86"/>
      <c r="Z239" s="143">
        <f>(VLOOKUP(F239,Preisliste!C:G,5,FALSE)-VLOOKUP(F239,Preisliste!C:G,4,FALSE))*B239</f>
        <v>0</v>
      </c>
      <c r="AA239" s="86"/>
      <c r="AB239" s="86"/>
      <c r="AC239" s="86"/>
      <c r="AD239" s="86"/>
      <c r="AE239" s="86"/>
      <c r="AF239" s="86"/>
      <c r="AI239" s="86">
        <f>IF(Kalk3!$AA$13,'STK3'!$B70,0)</f>
        <v>0</v>
      </c>
      <c r="AL239" s="86">
        <f t="shared" si="95"/>
        <v>0</v>
      </c>
    </row>
    <row r="240" spans="2:38" ht="24.95" customHeight="1">
      <c r="B240" s="92">
        <f t="shared" si="100"/>
        <v>0</v>
      </c>
      <c r="C240" s="60">
        <v>1750</v>
      </c>
      <c r="D240" s="60"/>
      <c r="E240" s="60" t="str">
        <f>VLOOKUP(1600,Sprachindex!$A:$Z,Erhebungsbogen!$Y$20,FALSE)</f>
        <v>[Stk]</v>
      </c>
      <c r="F240" s="60" t="s">
        <v>21984</v>
      </c>
      <c r="G240" s="517" t="str">
        <f>VLOOKUP(2124,Sprachindex!$A:$Z,Erhebungsbogen!$Y$20,FALSE) &amp; ", " &amp; VLOOKUP(1645,Sprachindex!$A:$Z,Erhebungsbogen!$Y$20,FALSE) &amp; " " &amp; $AJ$18</f>
        <v>Grundprofil 25 (H-Profil v.d.L.) exkl. Dichtung, gebohrt und entgratet, beschichtet 0</v>
      </c>
      <c r="H240" s="515"/>
      <c r="I240" s="515"/>
      <c r="J240" s="515"/>
      <c r="K240" s="515"/>
      <c r="L240" s="515"/>
      <c r="M240" s="515"/>
      <c r="N240" s="515"/>
      <c r="O240" s="515"/>
      <c r="P240" s="515"/>
      <c r="Q240" s="515"/>
      <c r="R240" s="515"/>
      <c r="S240" s="515"/>
      <c r="T240" s="516"/>
      <c r="U240" s="353">
        <f>VLOOKUP(F240,Preisliste!C:G,5,FALSE)</f>
        <v>205.04000000000002</v>
      </c>
      <c r="V240" s="352">
        <f t="shared" si="99"/>
        <v>0</v>
      </c>
      <c r="W240" s="146"/>
      <c r="X240" s="146"/>
      <c r="Y240" s="86"/>
      <c r="Z240" s="143">
        <f>(VLOOKUP(F240,Preisliste!C:G,5,FALSE)-VLOOKUP(F240,Preisliste!C:G,4,FALSE))*B240</f>
        <v>0</v>
      </c>
      <c r="AA240" s="86"/>
      <c r="AB240" s="86"/>
      <c r="AC240" s="86"/>
      <c r="AD240" s="86"/>
      <c r="AE240" s="86"/>
      <c r="AF240" s="86"/>
      <c r="AJ240" s="86">
        <f>IF(Kalk4!$AA$13,'STK4'!$B70,0)</f>
        <v>0</v>
      </c>
      <c r="AL240" s="86">
        <f t="shared" si="95"/>
        <v>0</v>
      </c>
    </row>
    <row r="241" spans="2:91" ht="24.95" customHeight="1">
      <c r="B241" s="92">
        <f t="shared" si="85"/>
        <v>0</v>
      </c>
      <c r="C241" s="60">
        <v>1750</v>
      </c>
      <c r="D241" s="60"/>
      <c r="E241" s="60" t="str">
        <f>VLOOKUP(1600,Sprachindex!$A:$Z,Erhebungsbogen!$Y$20,FALSE)</f>
        <v>[Stk]</v>
      </c>
      <c r="F241" s="60" t="s">
        <v>21984</v>
      </c>
      <c r="G241" s="517" t="str">
        <f>VLOOKUP(2124,Sprachindex!$A:$Z,Erhebungsbogen!$Y$20,FALSE) &amp; ", " &amp; VLOOKUP(1645,Sprachindex!$A:$Z,Erhebungsbogen!$Y$20,FALSE) &amp; " " &amp; $AK$18</f>
        <v>Grundprofil 25 (H-Profil v.d.L.) exkl. Dichtung, gebohrt und entgratet, beschichtet 0</v>
      </c>
      <c r="H241" s="515"/>
      <c r="I241" s="515"/>
      <c r="J241" s="515"/>
      <c r="K241" s="515"/>
      <c r="L241" s="515"/>
      <c r="M241" s="515"/>
      <c r="N241" s="515"/>
      <c r="O241" s="515"/>
      <c r="P241" s="515"/>
      <c r="Q241" s="515"/>
      <c r="R241" s="515"/>
      <c r="S241" s="515"/>
      <c r="T241" s="516"/>
      <c r="U241" s="353">
        <f>VLOOKUP(F241,Preisliste!C:G,5,FALSE)</f>
        <v>205.04000000000002</v>
      </c>
      <c r="V241" s="352">
        <f t="shared" si="92"/>
        <v>0</v>
      </c>
      <c r="W241" s="146"/>
      <c r="X241" s="146"/>
      <c r="Y241" s="86"/>
      <c r="Z241" s="143">
        <f>(VLOOKUP(F241,Preisliste!C:G,5,FALSE)-VLOOKUP(F241,Preisliste!C:G,4,FALSE))*B241</f>
        <v>0</v>
      </c>
      <c r="AA241" s="86"/>
      <c r="AB241" s="86"/>
      <c r="AC241" s="86"/>
      <c r="AD241" s="86"/>
      <c r="AE241" s="86"/>
      <c r="AF241" s="86"/>
      <c r="AK241" s="86">
        <f>IF(Kalk5!$AA$13,'STK5'!$B70,0)</f>
        <v>0</v>
      </c>
      <c r="AL241" s="86">
        <f t="shared" si="95"/>
        <v>0</v>
      </c>
    </row>
    <row r="242" spans="2:91" ht="24.95" customHeight="1">
      <c r="B242" s="92">
        <f t="shared" si="85"/>
        <v>0</v>
      </c>
      <c r="C242" s="60">
        <v>2150</v>
      </c>
      <c r="D242" s="60"/>
      <c r="E242" s="60" t="str">
        <f>VLOOKUP(1600,Sprachindex!$A:$Z,Erhebungsbogen!$Y$20,FALSE)</f>
        <v>[Stk]</v>
      </c>
      <c r="F242" s="60" t="s">
        <v>21985</v>
      </c>
      <c r="G242" s="517" t="str">
        <f>VLOOKUP(2124,Sprachindex!$A:$Z,Erhebungsbogen!$Y$20,FALSE) &amp; ", " &amp; VLOOKUP(1648,Sprachindex!$A:$Z,Erhebungsbogen!$Y$20,FALSE)</f>
        <v>Grundprofil 25 (H-Profil v.d.L.) exkl. Dichtung, gebohrt und entgratet, blank</v>
      </c>
      <c r="H242" s="515"/>
      <c r="I242" s="515"/>
      <c r="J242" s="515"/>
      <c r="K242" s="515"/>
      <c r="L242" s="515"/>
      <c r="M242" s="515"/>
      <c r="N242" s="515"/>
      <c r="O242" s="515"/>
      <c r="P242" s="515"/>
      <c r="Q242" s="515"/>
      <c r="R242" s="515"/>
      <c r="S242" s="515"/>
      <c r="T242" s="516"/>
      <c r="U242" s="352">
        <f>VLOOKUP(F242,Preisliste!C:F,4,FALSE)</f>
        <v>222.9</v>
      </c>
      <c r="V242" s="352">
        <f t="shared" ref="V242:V246" si="101">U242*B242</f>
        <v>0</v>
      </c>
      <c r="W242" s="146"/>
      <c r="X242" s="146"/>
      <c r="Y242" s="86"/>
      <c r="Z242" s="143"/>
      <c r="AA242" s="86"/>
      <c r="AB242" s="86"/>
      <c r="AC242" s="86"/>
      <c r="AD242" s="86"/>
      <c r="AE242" s="86"/>
      <c r="AF242" s="86"/>
      <c r="AG242" s="86">
        <f>IF(Kalk1!$AA$13=FALSE,'STK1'!$B71,0)</f>
        <v>0</v>
      </c>
      <c r="AH242" s="86">
        <f>IF(Kalk2!$AA$13=FALSE,'STK2'!$B71,0)</f>
        <v>0</v>
      </c>
      <c r="AI242" s="86">
        <f>IF(Kalk3!$AA$13=FALSE,'STK3'!$B71,0)</f>
        <v>0</v>
      </c>
      <c r="AJ242" s="86">
        <f>IF(Kalk4!$AA$13=FALSE,'STK4'!$B71,0)</f>
        <v>0</v>
      </c>
      <c r="AK242" s="86">
        <f>IF(Kalk5!$AA$13=FALSE,'STK5'!$B71,0)</f>
        <v>0</v>
      </c>
      <c r="AL242" s="86">
        <f t="shared" si="95"/>
        <v>0</v>
      </c>
    </row>
    <row r="243" spans="2:91" ht="24.95" customHeight="1">
      <c r="B243" s="92">
        <f t="shared" ref="B243:B246" si="102">AL243</f>
        <v>0</v>
      </c>
      <c r="C243" s="60">
        <v>2150</v>
      </c>
      <c r="D243" s="60"/>
      <c r="E243" s="60" t="str">
        <f>VLOOKUP(1600,Sprachindex!$A:$Z,Erhebungsbogen!$Y$20,FALSE)</f>
        <v>[Stk]</v>
      </c>
      <c r="F243" s="60" t="s">
        <v>21985</v>
      </c>
      <c r="G243" s="517" t="str">
        <f>VLOOKUP(2124,Sprachindex!$A:$Z,Erhebungsbogen!$Y$20,FALSE) &amp; ", " &amp; VLOOKUP(1645,Sprachindex!$A:$Z,Erhebungsbogen!$Y$20,FALSE) &amp; " " &amp; $AG$18</f>
        <v xml:space="preserve">Grundprofil 25 (H-Profil v.d.L.) exkl. Dichtung, gebohrt und entgratet, beschichtet </v>
      </c>
      <c r="H243" s="515"/>
      <c r="I243" s="515"/>
      <c r="J243" s="515"/>
      <c r="K243" s="515"/>
      <c r="L243" s="515"/>
      <c r="M243" s="515"/>
      <c r="N243" s="515"/>
      <c r="O243" s="515"/>
      <c r="P243" s="515"/>
      <c r="Q243" s="515"/>
      <c r="R243" s="515"/>
      <c r="S243" s="515"/>
      <c r="T243" s="516"/>
      <c r="U243" s="353">
        <f>VLOOKUP(F243,Preisliste!C:G,5,FALSE)</f>
        <v>245.19000000000003</v>
      </c>
      <c r="V243" s="352">
        <f t="shared" si="101"/>
        <v>0</v>
      </c>
      <c r="W243" s="146"/>
      <c r="X243" s="146"/>
      <c r="Y243" s="86"/>
      <c r="Z243" s="143">
        <f>(VLOOKUP(F243,Preisliste!C:G,5,FALSE)-VLOOKUP(F243,Preisliste!C:G,4,FALSE))*B243</f>
        <v>0</v>
      </c>
      <c r="AA243" s="86"/>
      <c r="AB243" s="86"/>
      <c r="AC243" s="86"/>
      <c r="AD243" s="86"/>
      <c r="AE243" s="86"/>
      <c r="AF243" s="86"/>
      <c r="AG243" s="86">
        <f>IF(Kalk1!$AA$13,'STK1'!$B71,0)</f>
        <v>0</v>
      </c>
      <c r="AL243" s="86">
        <f>SUM(AG243:AK243)</f>
        <v>0</v>
      </c>
    </row>
    <row r="244" spans="2:91" ht="24.95" customHeight="1">
      <c r="B244" s="92">
        <f t="shared" si="102"/>
        <v>0</v>
      </c>
      <c r="C244" s="60">
        <v>2150</v>
      </c>
      <c r="D244" s="60"/>
      <c r="E244" s="60" t="str">
        <f>VLOOKUP(1600,Sprachindex!$A:$Z,Erhebungsbogen!$Y$20,FALSE)</f>
        <v>[Stk]</v>
      </c>
      <c r="F244" s="60" t="s">
        <v>21985</v>
      </c>
      <c r="G244" s="517" t="str">
        <f>VLOOKUP(2124,Sprachindex!$A:$Z,Erhebungsbogen!$Y$20,FALSE) &amp; ", " &amp; VLOOKUP(1645,Sprachindex!$A:$Z,Erhebungsbogen!$Y$20,FALSE) &amp; " " &amp; $AH$18</f>
        <v>Grundprofil 25 (H-Profil v.d.L.) exkl. Dichtung, gebohrt und entgratet, beschichtet 0</v>
      </c>
      <c r="H244" s="515"/>
      <c r="I244" s="515"/>
      <c r="J244" s="515"/>
      <c r="K244" s="515"/>
      <c r="L244" s="515"/>
      <c r="M244" s="515"/>
      <c r="N244" s="515"/>
      <c r="O244" s="515"/>
      <c r="P244" s="515"/>
      <c r="Q244" s="515"/>
      <c r="R244" s="515"/>
      <c r="S244" s="515"/>
      <c r="T244" s="516"/>
      <c r="U244" s="353">
        <f>VLOOKUP(F244,Preisliste!C:G,5,FALSE)</f>
        <v>245.19000000000003</v>
      </c>
      <c r="V244" s="352">
        <f t="shared" si="101"/>
        <v>0</v>
      </c>
      <c r="W244" s="146"/>
      <c r="X244" s="146"/>
      <c r="Y244" s="86"/>
      <c r="Z244" s="143">
        <f>(VLOOKUP(F244,Preisliste!C:G,5,FALSE)-VLOOKUP(F244,Preisliste!C:G,4,FALSE))*B244</f>
        <v>0</v>
      </c>
      <c r="AA244" s="86"/>
      <c r="AB244" s="86"/>
      <c r="AC244" s="86"/>
      <c r="AD244" s="86"/>
      <c r="AE244" s="86"/>
      <c r="AF244" s="86"/>
      <c r="AH244" s="86">
        <f>IF(Kalk2!$AA$13,'STK2'!$B71,0)</f>
        <v>0</v>
      </c>
      <c r="AL244" s="86">
        <f t="shared" si="95"/>
        <v>0</v>
      </c>
    </row>
    <row r="245" spans="2:91" ht="24.95" customHeight="1">
      <c r="B245" s="92">
        <f t="shared" si="102"/>
        <v>0</v>
      </c>
      <c r="C245" s="60">
        <v>2150</v>
      </c>
      <c r="D245" s="60"/>
      <c r="E245" s="60" t="str">
        <f>VLOOKUP(1600,Sprachindex!$A:$Z,Erhebungsbogen!$Y$20,FALSE)</f>
        <v>[Stk]</v>
      </c>
      <c r="F245" s="60" t="s">
        <v>21985</v>
      </c>
      <c r="G245" s="517" t="str">
        <f>VLOOKUP(2124,Sprachindex!$A:$Z,Erhebungsbogen!$Y$20,FALSE) &amp; ", " &amp; VLOOKUP(1645,Sprachindex!$A:$Z,Erhebungsbogen!$Y$20,FALSE) &amp; " " &amp; $AI$18</f>
        <v>Grundprofil 25 (H-Profil v.d.L.) exkl. Dichtung, gebohrt und entgratet, beschichtet 0</v>
      </c>
      <c r="H245" s="515"/>
      <c r="I245" s="515"/>
      <c r="J245" s="515"/>
      <c r="K245" s="515"/>
      <c r="L245" s="515"/>
      <c r="M245" s="515"/>
      <c r="N245" s="515"/>
      <c r="O245" s="515"/>
      <c r="P245" s="515"/>
      <c r="Q245" s="515"/>
      <c r="R245" s="515"/>
      <c r="S245" s="515"/>
      <c r="T245" s="516"/>
      <c r="U245" s="353">
        <f>VLOOKUP(F245,Preisliste!C:G,5,FALSE)</f>
        <v>245.19000000000003</v>
      </c>
      <c r="V245" s="352">
        <f t="shared" si="101"/>
        <v>0</v>
      </c>
      <c r="W245" s="146"/>
      <c r="X245" s="146"/>
      <c r="Y245" s="86"/>
      <c r="Z245" s="143">
        <f>(VLOOKUP(F245,Preisliste!C:G,5,FALSE)-VLOOKUP(F245,Preisliste!C:G,4,FALSE))*B245</f>
        <v>0</v>
      </c>
      <c r="AA245" s="86"/>
      <c r="AB245" s="86"/>
      <c r="AC245" s="86"/>
      <c r="AD245" s="86"/>
      <c r="AE245" s="86"/>
      <c r="AF245" s="86"/>
      <c r="AI245" s="86">
        <f>IF(Kalk3!$AA$13,'STK3'!$B71,0)</f>
        <v>0</v>
      </c>
      <c r="AL245" s="86">
        <f t="shared" si="95"/>
        <v>0</v>
      </c>
    </row>
    <row r="246" spans="2:91" ht="24.95" customHeight="1">
      <c r="B246" s="92">
        <f t="shared" si="102"/>
        <v>0</v>
      </c>
      <c r="C246" s="60">
        <v>2150</v>
      </c>
      <c r="D246" s="60"/>
      <c r="E246" s="60" t="str">
        <f>VLOOKUP(1600,Sprachindex!$A:$Z,Erhebungsbogen!$Y$20,FALSE)</f>
        <v>[Stk]</v>
      </c>
      <c r="F246" s="60" t="s">
        <v>21985</v>
      </c>
      <c r="G246" s="517" t="str">
        <f>VLOOKUP(2124,Sprachindex!$A:$Z,Erhebungsbogen!$Y$20,FALSE) &amp; ", " &amp; VLOOKUP(1645,Sprachindex!$A:$Z,Erhebungsbogen!$Y$20,FALSE) &amp; " " &amp; $AJ$18</f>
        <v>Grundprofil 25 (H-Profil v.d.L.) exkl. Dichtung, gebohrt und entgratet, beschichtet 0</v>
      </c>
      <c r="H246" s="515"/>
      <c r="I246" s="515"/>
      <c r="J246" s="515"/>
      <c r="K246" s="515"/>
      <c r="L246" s="515"/>
      <c r="M246" s="515"/>
      <c r="N246" s="515"/>
      <c r="O246" s="515"/>
      <c r="P246" s="515"/>
      <c r="Q246" s="515"/>
      <c r="R246" s="515"/>
      <c r="S246" s="515"/>
      <c r="T246" s="516"/>
      <c r="U246" s="353">
        <f>VLOOKUP(F246,Preisliste!C:G,5,FALSE)</f>
        <v>245.19000000000003</v>
      </c>
      <c r="V246" s="352">
        <f t="shared" si="101"/>
        <v>0</v>
      </c>
      <c r="W246" s="146"/>
      <c r="X246" s="146"/>
      <c r="Y246" s="86"/>
      <c r="Z246" s="143">
        <f>(VLOOKUP(F246,Preisliste!C:G,5,FALSE)-VLOOKUP(F246,Preisliste!C:G,4,FALSE))*B246</f>
        <v>0</v>
      </c>
      <c r="AA246" s="86"/>
      <c r="AB246" s="86"/>
      <c r="AC246" s="86"/>
      <c r="AD246" s="86"/>
      <c r="AE246" s="86"/>
      <c r="AF246" s="86"/>
      <c r="AJ246" s="86">
        <f>IF(Kalk4!$AA$13,'STK4'!$B71,0)</f>
        <v>0</v>
      </c>
      <c r="AL246" s="86">
        <f t="shared" si="95"/>
        <v>0</v>
      </c>
    </row>
    <row r="247" spans="2:91" ht="24.95" customHeight="1">
      <c r="B247" s="92">
        <f t="shared" si="85"/>
        <v>0</v>
      </c>
      <c r="C247" s="60">
        <v>2150</v>
      </c>
      <c r="D247" s="60"/>
      <c r="E247" s="60" t="str">
        <f>VLOOKUP(1600,Sprachindex!$A:$Z,Erhebungsbogen!$Y$20,FALSE)</f>
        <v>[Stk]</v>
      </c>
      <c r="F247" s="60" t="s">
        <v>21985</v>
      </c>
      <c r="G247" s="517" t="str">
        <f>VLOOKUP(2124,Sprachindex!$A:$Z,Erhebungsbogen!$Y$20,FALSE) &amp; ", " &amp; VLOOKUP(1645,Sprachindex!$A:$Z,Erhebungsbogen!$Y$20,FALSE) &amp; " " &amp; $AK$18</f>
        <v>Grundprofil 25 (H-Profil v.d.L.) exkl. Dichtung, gebohrt und entgratet, beschichtet 0</v>
      </c>
      <c r="H247" s="515"/>
      <c r="I247" s="515"/>
      <c r="J247" s="515"/>
      <c r="K247" s="515"/>
      <c r="L247" s="515"/>
      <c r="M247" s="515"/>
      <c r="N247" s="515"/>
      <c r="O247" s="515"/>
      <c r="P247" s="515"/>
      <c r="Q247" s="515"/>
      <c r="R247" s="515"/>
      <c r="S247" s="515"/>
      <c r="T247" s="516"/>
      <c r="U247" s="353">
        <f>VLOOKUP(F247,Preisliste!C:G,5,FALSE)</f>
        <v>245.19000000000003</v>
      </c>
      <c r="V247" s="352">
        <f t="shared" si="92"/>
        <v>0</v>
      </c>
      <c r="W247" s="146"/>
      <c r="X247" s="146"/>
      <c r="Y247" s="86"/>
      <c r="Z247" s="143">
        <f>(VLOOKUP(F247,Preisliste!C:G,5,FALSE)-VLOOKUP(F247,Preisliste!C:G,4,FALSE))*B247</f>
        <v>0</v>
      </c>
      <c r="AA247" s="86"/>
      <c r="AB247" s="86"/>
      <c r="AC247" s="86"/>
      <c r="AD247" s="86"/>
      <c r="AE247" s="86"/>
      <c r="AF247" s="86"/>
      <c r="AK247" s="86">
        <f>IF(Kalk5!$AA$13,'STK5'!$B71,0)</f>
        <v>0</v>
      </c>
      <c r="AL247" s="86">
        <f t="shared" ref="AL247" si="103">SUM(AG247:AK247)</f>
        <v>0</v>
      </c>
    </row>
    <row r="248" spans="2:91" ht="24.95" customHeight="1">
      <c r="B248" s="92">
        <f t="shared" si="85"/>
        <v>0</v>
      </c>
      <c r="C248" s="138">
        <f>AK248</f>
        <v>0</v>
      </c>
      <c r="D248" s="60"/>
      <c r="E248" s="60" t="str">
        <f>VLOOKUP(1600,Sprachindex!$A:$Z,Erhebungsbogen!$Y$20,FALSE)</f>
        <v>[Stk]</v>
      </c>
      <c r="F248" s="60" t="s">
        <v>21883</v>
      </c>
      <c r="G248" s="514" t="str">
        <f>VLOOKUP(2125,Sprachindex!$A:$Z,Erhebungsbogen!$Y$20,FALSE) &amp; ", " &amp; VLOOKUP(1648,Sprachindex!$A:$Z,Erhebungsbogen!$Y$20,FALSE)</f>
        <v>Grundprofil 25 (H-Profil v.d.L.) Sonderlänge exkl. Dichtung, (Stangenware), blank</v>
      </c>
      <c r="H248" s="514"/>
      <c r="I248" s="514"/>
      <c r="J248" s="514"/>
      <c r="K248" s="514"/>
      <c r="L248" s="514"/>
      <c r="M248" s="514"/>
      <c r="N248" s="514"/>
      <c r="O248" s="514"/>
      <c r="P248" s="514"/>
      <c r="Q248" s="514"/>
      <c r="R248" s="514"/>
      <c r="S248" s="514"/>
      <c r="T248" s="514"/>
      <c r="U248" s="352">
        <f>VLOOKUP(F248,Preisliste!C:F,4,FALSE)</f>
        <v>72</v>
      </c>
      <c r="V248" s="352">
        <f t="shared" ref="V248:V251" si="104">U248*B248</f>
        <v>0</v>
      </c>
      <c r="W248" s="146"/>
      <c r="X248" s="146"/>
      <c r="Y248" s="86"/>
      <c r="Z248" s="143"/>
      <c r="AA248" s="86"/>
      <c r="AB248" s="86"/>
      <c r="AC248" s="86"/>
      <c r="AD248" s="86"/>
      <c r="AE248" s="86"/>
      <c r="AF248" s="86"/>
      <c r="AK248" s="86">
        <f>'STK1'!$C$72</f>
        <v>0</v>
      </c>
      <c r="AL248" s="86">
        <f>'STK1'!$B$72</f>
        <v>0</v>
      </c>
      <c r="CK248" s="245"/>
      <c r="CL248" s="55"/>
      <c r="CM248" s="55"/>
    </row>
    <row r="249" spans="2:91" ht="24.95" customHeight="1">
      <c r="B249" s="92">
        <f t="shared" si="85"/>
        <v>0</v>
      </c>
      <c r="C249" s="138">
        <f t="shared" ref="C249:C252" si="105">AK249</f>
        <v>0</v>
      </c>
      <c r="D249" s="60"/>
      <c r="E249" s="60" t="str">
        <f>VLOOKUP(1600,Sprachindex!$A:$Z,Erhebungsbogen!$Y$20,FALSE)</f>
        <v>[Stk]</v>
      </c>
      <c r="F249" s="60" t="s">
        <v>21883</v>
      </c>
      <c r="G249" s="514" t="str">
        <f>VLOOKUP(2125,Sprachindex!$A:$Z,Erhebungsbogen!$Y$20,FALSE) &amp; ", " &amp; VLOOKUP(1648,Sprachindex!$A:$Z,Erhebungsbogen!$Y$20,FALSE)</f>
        <v>Grundprofil 25 (H-Profil v.d.L.) Sonderlänge exkl. Dichtung, (Stangenware), blank</v>
      </c>
      <c r="H249" s="514"/>
      <c r="I249" s="514"/>
      <c r="J249" s="514"/>
      <c r="K249" s="514"/>
      <c r="L249" s="514"/>
      <c r="M249" s="514"/>
      <c r="N249" s="514"/>
      <c r="O249" s="514"/>
      <c r="P249" s="514"/>
      <c r="Q249" s="514"/>
      <c r="R249" s="514"/>
      <c r="S249" s="514"/>
      <c r="T249" s="514"/>
      <c r="U249" s="352">
        <f>VLOOKUP(F249,Preisliste!C:F,4,FALSE)</f>
        <v>72</v>
      </c>
      <c r="V249" s="352">
        <f t="shared" si="104"/>
        <v>0</v>
      </c>
      <c r="W249" s="146"/>
      <c r="X249" s="146"/>
      <c r="Y249" s="86"/>
      <c r="Z249" s="143"/>
      <c r="AA249" s="86"/>
      <c r="AB249" s="86"/>
      <c r="AC249" s="86"/>
      <c r="AD249" s="86"/>
      <c r="AE249" s="86"/>
      <c r="AF249" s="86"/>
      <c r="AK249" s="86">
        <f>'STK2'!$C$72</f>
        <v>0</v>
      </c>
      <c r="AL249" s="86">
        <f>'STK2'!$B$72</f>
        <v>0</v>
      </c>
      <c r="CK249" s="245"/>
      <c r="CL249" s="55"/>
      <c r="CM249" s="55"/>
    </row>
    <row r="250" spans="2:91" ht="24.95" customHeight="1">
      <c r="B250" s="92">
        <f t="shared" si="85"/>
        <v>0</v>
      </c>
      <c r="C250" s="138">
        <f t="shared" si="105"/>
        <v>0</v>
      </c>
      <c r="D250" s="60"/>
      <c r="E250" s="60" t="str">
        <f>VLOOKUP(1600,Sprachindex!$A:$Z,Erhebungsbogen!$Y$20,FALSE)</f>
        <v>[Stk]</v>
      </c>
      <c r="F250" s="60" t="s">
        <v>21883</v>
      </c>
      <c r="G250" s="514" t="str">
        <f>VLOOKUP(2125,Sprachindex!$A:$Z,Erhebungsbogen!$Y$20,FALSE) &amp; ", " &amp; VLOOKUP(1648,Sprachindex!$A:$Z,Erhebungsbogen!$Y$20,FALSE)</f>
        <v>Grundprofil 25 (H-Profil v.d.L.) Sonderlänge exkl. Dichtung, (Stangenware), blank</v>
      </c>
      <c r="H250" s="514"/>
      <c r="I250" s="514"/>
      <c r="J250" s="514"/>
      <c r="K250" s="514"/>
      <c r="L250" s="514"/>
      <c r="M250" s="514"/>
      <c r="N250" s="514"/>
      <c r="O250" s="514"/>
      <c r="P250" s="514"/>
      <c r="Q250" s="514"/>
      <c r="R250" s="514"/>
      <c r="S250" s="514"/>
      <c r="T250" s="514"/>
      <c r="U250" s="352">
        <f>VLOOKUP(F250,Preisliste!C:F,4,FALSE)</f>
        <v>72</v>
      </c>
      <c r="V250" s="352">
        <f t="shared" si="104"/>
        <v>0</v>
      </c>
      <c r="W250" s="146"/>
      <c r="X250" s="146"/>
      <c r="Y250" s="86"/>
      <c r="Z250" s="143"/>
      <c r="AA250" s="86"/>
      <c r="AB250" s="86"/>
      <c r="AC250" s="86"/>
      <c r="AD250" s="86"/>
      <c r="AE250" s="86"/>
      <c r="AF250" s="86"/>
      <c r="AK250" s="86">
        <f>'STK3'!$C$72</f>
        <v>0</v>
      </c>
      <c r="AL250" s="86">
        <f>'STK3'!$B$72</f>
        <v>0</v>
      </c>
      <c r="CK250" s="245"/>
      <c r="CL250" s="55"/>
      <c r="CM250" s="55"/>
    </row>
    <row r="251" spans="2:91" ht="24.95" customHeight="1">
      <c r="B251" s="92">
        <f t="shared" si="85"/>
        <v>0</v>
      </c>
      <c r="C251" s="138">
        <f t="shared" si="105"/>
        <v>0</v>
      </c>
      <c r="D251" s="60"/>
      <c r="E251" s="60" t="str">
        <f>VLOOKUP(1600,Sprachindex!$A:$Z,Erhebungsbogen!$Y$20,FALSE)</f>
        <v>[Stk]</v>
      </c>
      <c r="F251" s="60" t="s">
        <v>21883</v>
      </c>
      <c r="G251" s="514" t="str">
        <f>VLOOKUP(2125,Sprachindex!$A:$Z,Erhebungsbogen!$Y$20,FALSE) &amp; ", " &amp; VLOOKUP(1648,Sprachindex!$A:$Z,Erhebungsbogen!$Y$20,FALSE)</f>
        <v>Grundprofil 25 (H-Profil v.d.L.) Sonderlänge exkl. Dichtung, (Stangenware), blank</v>
      </c>
      <c r="H251" s="514"/>
      <c r="I251" s="514"/>
      <c r="J251" s="514"/>
      <c r="K251" s="514"/>
      <c r="L251" s="514"/>
      <c r="M251" s="514"/>
      <c r="N251" s="514"/>
      <c r="O251" s="514"/>
      <c r="P251" s="514"/>
      <c r="Q251" s="514"/>
      <c r="R251" s="514"/>
      <c r="S251" s="514"/>
      <c r="T251" s="514"/>
      <c r="U251" s="352">
        <f>VLOOKUP(F251,Preisliste!C:F,4,FALSE)</f>
        <v>72</v>
      </c>
      <c r="V251" s="352">
        <f t="shared" si="104"/>
        <v>0</v>
      </c>
      <c r="W251" s="146"/>
      <c r="X251" s="146"/>
      <c r="Y251" s="86"/>
      <c r="Z251" s="143"/>
      <c r="AA251" s="86"/>
      <c r="AB251" s="86"/>
      <c r="AC251" s="86"/>
      <c r="AD251" s="86"/>
      <c r="AE251" s="86"/>
      <c r="AF251" s="86"/>
      <c r="AK251" s="86">
        <f>'STK4'!$C$72</f>
        <v>0</v>
      </c>
      <c r="AL251" s="86">
        <f>'STK4'!$B$72</f>
        <v>0</v>
      </c>
      <c r="CK251" s="245"/>
      <c r="CL251" s="55"/>
      <c r="CM251" s="55"/>
    </row>
    <row r="252" spans="2:91" ht="24.95" customHeight="1">
      <c r="B252" s="92">
        <f t="shared" si="85"/>
        <v>0</v>
      </c>
      <c r="C252" s="138">
        <f t="shared" si="105"/>
        <v>0</v>
      </c>
      <c r="D252" s="60"/>
      <c r="E252" s="60" t="str">
        <f>VLOOKUP(1600,Sprachindex!$A:$Z,Erhebungsbogen!$Y$20,FALSE)</f>
        <v>[Stk]</v>
      </c>
      <c r="F252" s="60" t="s">
        <v>21883</v>
      </c>
      <c r="G252" s="514" t="str">
        <f>VLOOKUP(2125,Sprachindex!$A:$Z,Erhebungsbogen!$Y$20,FALSE) &amp; ", " &amp; VLOOKUP(1648,Sprachindex!$A:$Z,Erhebungsbogen!$Y$20,FALSE)</f>
        <v>Grundprofil 25 (H-Profil v.d.L.) Sonderlänge exkl. Dichtung, (Stangenware), blank</v>
      </c>
      <c r="H252" s="514"/>
      <c r="I252" s="514"/>
      <c r="J252" s="514"/>
      <c r="K252" s="514"/>
      <c r="L252" s="514"/>
      <c r="M252" s="514"/>
      <c r="N252" s="514"/>
      <c r="O252" s="514"/>
      <c r="P252" s="514"/>
      <c r="Q252" s="514"/>
      <c r="R252" s="514"/>
      <c r="S252" s="514"/>
      <c r="T252" s="514"/>
      <c r="U252" s="352">
        <f>VLOOKUP(F252,Preisliste!C:F,4,FALSE)</f>
        <v>72</v>
      </c>
      <c r="V252" s="352">
        <f t="shared" si="92"/>
        <v>0</v>
      </c>
      <c r="W252" s="146"/>
      <c r="X252" s="146"/>
      <c r="Y252" s="86"/>
      <c r="Z252" s="143"/>
      <c r="AA252" s="86"/>
      <c r="AB252" s="86"/>
      <c r="AC252" s="86"/>
      <c r="AD252" s="86"/>
      <c r="AE252" s="86"/>
      <c r="AF252" s="86"/>
      <c r="AK252" s="86">
        <f>'STK5'!$C$72</f>
        <v>0</v>
      </c>
      <c r="AL252" s="86">
        <f>'STK5'!$B$72</f>
        <v>0</v>
      </c>
      <c r="CK252" s="245"/>
      <c r="CL252" s="55"/>
      <c r="CM252" s="55"/>
    </row>
    <row r="253" spans="2:91" ht="24.95" customHeight="1">
      <c r="B253" s="92">
        <f t="shared" si="85"/>
        <v>0</v>
      </c>
      <c r="C253" s="60">
        <v>750</v>
      </c>
      <c r="D253" s="60"/>
      <c r="E253" s="60" t="str">
        <f>VLOOKUP(1600,Sprachindex!$A:$Z,Erhebungsbogen!$Y$20,FALSE)</f>
        <v>[Stk]</v>
      </c>
      <c r="F253" s="60" t="s">
        <v>21896</v>
      </c>
      <c r="G253" s="514" t="str">
        <f>VLOOKUP(1717,Sprachindex!$A:$Z,Erhebungsbogen!$Y$20,FALSE) &amp; ", " &amp; VLOOKUP(1648,Sprachindex!$A:$Z,Erhebungsbogen!$Y$20,FALSE)</f>
        <v>Grundprofil 50 (H-Profil v.d.L.) exkl. Dichtung, gebohrt und entgratet, blank</v>
      </c>
      <c r="H253" s="514"/>
      <c r="I253" s="514"/>
      <c r="J253" s="514"/>
      <c r="K253" s="514"/>
      <c r="L253" s="514"/>
      <c r="M253" s="514"/>
      <c r="N253" s="514"/>
      <c r="O253" s="514"/>
      <c r="P253" s="514"/>
      <c r="Q253" s="514"/>
      <c r="R253" s="514"/>
      <c r="S253" s="514"/>
      <c r="T253" s="514"/>
      <c r="U253" s="352">
        <f>VLOOKUP(F253,Preisliste!C:F,4,FALSE)</f>
        <v>144.85</v>
      </c>
      <c r="V253" s="352">
        <f t="shared" ref="V253:V257" si="106">U253*B253</f>
        <v>0</v>
      </c>
      <c r="W253" s="146"/>
      <c r="X253" s="146"/>
      <c r="Y253" s="86"/>
      <c r="Z253" s="143"/>
      <c r="AA253" s="86"/>
      <c r="AB253" s="86"/>
      <c r="AC253" s="86"/>
      <c r="AD253" s="86"/>
      <c r="AE253" s="86"/>
      <c r="AF253" s="86"/>
      <c r="AG253" s="86">
        <f>IF(Kalk1!$AA$13=FALSE,'STK1'!$B73,0)</f>
        <v>0</v>
      </c>
      <c r="AH253" s="86">
        <f>IF(Kalk2!$AA$13=FALSE,'STK2'!$B73,0)</f>
        <v>0</v>
      </c>
      <c r="AI253" s="86">
        <f>IF(Kalk3!$AA$13=FALSE,'STK3'!$B73,0)</f>
        <v>0</v>
      </c>
      <c r="AJ253" s="86">
        <f>IF(Kalk4!$AA$13=FALSE,'STK4'!$B73,0)</f>
        <v>0</v>
      </c>
      <c r="AK253" s="86">
        <f>IF(Kalk5!$AA$13=FALSE,'STK5'!$B73,0)</f>
        <v>0</v>
      </c>
      <c r="AL253" s="86">
        <f t="shared" ref="AL253:AL304" si="107">SUM(AG253:AK253)</f>
        <v>0</v>
      </c>
    </row>
    <row r="254" spans="2:91" ht="24.95" customHeight="1">
      <c r="B254" s="92">
        <f t="shared" ref="B254:B257" si="108">AL254</f>
        <v>0</v>
      </c>
      <c r="C254" s="60">
        <v>750</v>
      </c>
      <c r="D254" s="60"/>
      <c r="E254" s="60" t="str">
        <f>VLOOKUP(1600,Sprachindex!$A:$Z,Erhebungsbogen!$Y$20,FALSE)</f>
        <v>[Stk]</v>
      </c>
      <c r="F254" s="60" t="s">
        <v>21896</v>
      </c>
      <c r="G254" s="514" t="str">
        <f>VLOOKUP(1717,Sprachindex!$A:$Z,Erhebungsbogen!$Y$20,FALSE) &amp; ", " &amp; VLOOKUP(1645,Sprachindex!$A:$Z,Erhebungsbogen!$Y$20,FALSE) &amp; " " &amp; $AG$18</f>
        <v xml:space="preserve">Grundprofil 50 (H-Profil v.d.L.) exkl. Dichtung, gebohrt und entgratet, beschichtet </v>
      </c>
      <c r="H254" s="514"/>
      <c r="I254" s="514"/>
      <c r="J254" s="514"/>
      <c r="K254" s="514"/>
      <c r="L254" s="514"/>
      <c r="M254" s="514"/>
      <c r="N254" s="514"/>
      <c r="O254" s="514"/>
      <c r="P254" s="514"/>
      <c r="Q254" s="514"/>
      <c r="R254" s="514"/>
      <c r="S254" s="514"/>
      <c r="T254" s="514"/>
      <c r="U254" s="353">
        <f>VLOOKUP(F254,Preisliste!C:G,5,FALSE)</f>
        <v>159.33500000000001</v>
      </c>
      <c r="V254" s="352">
        <f t="shared" si="106"/>
        <v>0</v>
      </c>
      <c r="W254" s="146"/>
      <c r="X254" s="146"/>
      <c r="Y254" s="86"/>
      <c r="Z254" s="143">
        <f>(VLOOKUP(F254,Preisliste!C:G,5,FALSE)-VLOOKUP(F254,Preisliste!C:G,4,FALSE))*B254</f>
        <v>0</v>
      </c>
      <c r="AA254" s="86"/>
      <c r="AB254" s="86"/>
      <c r="AC254" s="86"/>
      <c r="AD254" s="86"/>
      <c r="AE254" s="86"/>
      <c r="AF254" s="86"/>
      <c r="AG254" s="86">
        <f>IF(Kalk1!$AA$13,'STK1'!$B73,0)</f>
        <v>0</v>
      </c>
      <c r="AL254" s="86">
        <f t="shared" si="107"/>
        <v>0</v>
      </c>
    </row>
    <row r="255" spans="2:91" ht="24.95" customHeight="1">
      <c r="B255" s="92">
        <f t="shared" si="108"/>
        <v>0</v>
      </c>
      <c r="C255" s="60">
        <v>750</v>
      </c>
      <c r="D255" s="60"/>
      <c r="E255" s="60" t="str">
        <f>VLOOKUP(1600,Sprachindex!$A:$Z,Erhebungsbogen!$Y$20,FALSE)</f>
        <v>[Stk]</v>
      </c>
      <c r="F255" s="60" t="s">
        <v>21896</v>
      </c>
      <c r="G255" s="514" t="str">
        <f>VLOOKUP(1717,Sprachindex!$A:$Z,Erhebungsbogen!$Y$20,FALSE) &amp; ", " &amp; VLOOKUP(1645,Sprachindex!$A:$Z,Erhebungsbogen!$Y$20,FALSE) &amp; " " &amp; $AH$18</f>
        <v>Grundprofil 50 (H-Profil v.d.L.) exkl. Dichtung, gebohrt und entgratet, beschichtet 0</v>
      </c>
      <c r="H255" s="514"/>
      <c r="I255" s="514"/>
      <c r="J255" s="514"/>
      <c r="K255" s="514"/>
      <c r="L255" s="514"/>
      <c r="M255" s="514"/>
      <c r="N255" s="514"/>
      <c r="O255" s="514"/>
      <c r="P255" s="514"/>
      <c r="Q255" s="514"/>
      <c r="R255" s="514"/>
      <c r="S255" s="514"/>
      <c r="T255" s="514"/>
      <c r="U255" s="353">
        <f>VLOOKUP(F255,Preisliste!C:G,5,FALSE)</f>
        <v>159.33500000000001</v>
      </c>
      <c r="V255" s="352">
        <f t="shared" si="106"/>
        <v>0</v>
      </c>
      <c r="W255" s="146"/>
      <c r="X255" s="146"/>
      <c r="Y255" s="86"/>
      <c r="Z255" s="143">
        <f>(VLOOKUP(F255,Preisliste!C:G,5,FALSE)-VLOOKUP(F255,Preisliste!C:G,4,FALSE))*B255</f>
        <v>0</v>
      </c>
      <c r="AA255" s="86"/>
      <c r="AB255" s="86"/>
      <c r="AC255" s="86"/>
      <c r="AD255" s="86"/>
      <c r="AE255" s="86"/>
      <c r="AF255" s="86"/>
      <c r="AH255" s="86">
        <f>IF(Kalk2!$AA$13,'STK2'!$B73,0)</f>
        <v>0</v>
      </c>
      <c r="AL255" s="86">
        <f t="shared" si="107"/>
        <v>0</v>
      </c>
    </row>
    <row r="256" spans="2:91" ht="24.95" customHeight="1">
      <c r="B256" s="92">
        <f t="shared" si="108"/>
        <v>0</v>
      </c>
      <c r="C256" s="60">
        <v>750</v>
      </c>
      <c r="D256" s="60"/>
      <c r="E256" s="60" t="str">
        <f>VLOOKUP(1600,Sprachindex!$A:$Z,Erhebungsbogen!$Y$20,FALSE)</f>
        <v>[Stk]</v>
      </c>
      <c r="F256" s="60" t="s">
        <v>21896</v>
      </c>
      <c r="G256" s="514" t="str">
        <f>VLOOKUP(1717,Sprachindex!$A:$Z,Erhebungsbogen!$Y$20,FALSE) &amp; ", " &amp; VLOOKUP(1645,Sprachindex!$A:$Z,Erhebungsbogen!$Y$20,FALSE) &amp; " " &amp; $AI$18</f>
        <v>Grundprofil 50 (H-Profil v.d.L.) exkl. Dichtung, gebohrt und entgratet, beschichtet 0</v>
      </c>
      <c r="H256" s="514"/>
      <c r="I256" s="514"/>
      <c r="J256" s="514"/>
      <c r="K256" s="514"/>
      <c r="L256" s="514"/>
      <c r="M256" s="514"/>
      <c r="N256" s="514"/>
      <c r="O256" s="514"/>
      <c r="P256" s="514"/>
      <c r="Q256" s="514"/>
      <c r="R256" s="514"/>
      <c r="S256" s="514"/>
      <c r="T256" s="514"/>
      <c r="U256" s="353">
        <f>VLOOKUP(F256,Preisliste!C:G,5,FALSE)</f>
        <v>159.33500000000001</v>
      </c>
      <c r="V256" s="352">
        <f t="shared" si="106"/>
        <v>0</v>
      </c>
      <c r="W256" s="146"/>
      <c r="X256" s="146"/>
      <c r="Y256" s="86"/>
      <c r="Z256" s="143">
        <f>(VLOOKUP(F256,Preisliste!C:G,5,FALSE)-VLOOKUP(F256,Preisliste!C:G,4,FALSE))*B256</f>
        <v>0</v>
      </c>
      <c r="AA256" s="86"/>
      <c r="AB256" s="86"/>
      <c r="AC256" s="86"/>
      <c r="AD256" s="86"/>
      <c r="AE256" s="86"/>
      <c r="AF256" s="86"/>
      <c r="AI256" s="86">
        <f>IF(Kalk3!$AA$13,'STK3'!$B73,0)</f>
        <v>0</v>
      </c>
      <c r="AL256" s="86">
        <f t="shared" si="107"/>
        <v>0</v>
      </c>
    </row>
    <row r="257" spans="2:38" ht="24.95" customHeight="1">
      <c r="B257" s="92">
        <f t="shared" si="108"/>
        <v>0</v>
      </c>
      <c r="C257" s="60">
        <v>750</v>
      </c>
      <c r="D257" s="60"/>
      <c r="E257" s="60" t="str">
        <f>VLOOKUP(1600,Sprachindex!$A:$Z,Erhebungsbogen!$Y$20,FALSE)</f>
        <v>[Stk]</v>
      </c>
      <c r="F257" s="60" t="s">
        <v>21896</v>
      </c>
      <c r="G257" s="514" t="str">
        <f>VLOOKUP(1717,Sprachindex!$A:$Z,Erhebungsbogen!$Y$20,FALSE) &amp; ", " &amp; VLOOKUP(1645,Sprachindex!$A:$Z,Erhebungsbogen!$Y$20,FALSE) &amp; " " &amp; $AJ$18</f>
        <v>Grundprofil 50 (H-Profil v.d.L.) exkl. Dichtung, gebohrt und entgratet, beschichtet 0</v>
      </c>
      <c r="H257" s="514"/>
      <c r="I257" s="514"/>
      <c r="J257" s="514"/>
      <c r="K257" s="514"/>
      <c r="L257" s="514"/>
      <c r="M257" s="514"/>
      <c r="N257" s="514"/>
      <c r="O257" s="514"/>
      <c r="P257" s="514"/>
      <c r="Q257" s="514"/>
      <c r="R257" s="514"/>
      <c r="S257" s="514"/>
      <c r="T257" s="514"/>
      <c r="U257" s="353">
        <f>VLOOKUP(F257,Preisliste!C:G,5,FALSE)</f>
        <v>159.33500000000001</v>
      </c>
      <c r="V257" s="352">
        <f t="shared" si="106"/>
        <v>0</v>
      </c>
      <c r="W257" s="146"/>
      <c r="X257" s="146"/>
      <c r="Y257" s="86"/>
      <c r="Z257" s="143">
        <f>(VLOOKUP(F257,Preisliste!C:G,5,FALSE)-VLOOKUP(F257,Preisliste!C:G,4,FALSE))*B257</f>
        <v>0</v>
      </c>
      <c r="AA257" s="86"/>
      <c r="AB257" s="86"/>
      <c r="AC257" s="86"/>
      <c r="AD257" s="86"/>
      <c r="AE257" s="86"/>
      <c r="AF257" s="86"/>
      <c r="AJ257" s="86">
        <f>IF(Kalk4!$AA$13,'STK4'!$B73,0)</f>
        <v>0</v>
      </c>
      <c r="AL257" s="86">
        <f t="shared" si="107"/>
        <v>0</v>
      </c>
    </row>
    <row r="258" spans="2:38" ht="24.95" customHeight="1">
      <c r="B258" s="92">
        <f t="shared" si="85"/>
        <v>0</v>
      </c>
      <c r="C258" s="60">
        <v>750</v>
      </c>
      <c r="D258" s="60"/>
      <c r="E258" s="60" t="str">
        <f>VLOOKUP(1600,Sprachindex!$A:$Z,Erhebungsbogen!$Y$20,FALSE)</f>
        <v>[Stk]</v>
      </c>
      <c r="F258" s="60" t="s">
        <v>21896</v>
      </c>
      <c r="G258" s="514" t="str">
        <f>VLOOKUP(1717,Sprachindex!$A:$Z,Erhebungsbogen!$Y$20,FALSE) &amp; ", " &amp; VLOOKUP(1645,Sprachindex!$A:$Z,Erhebungsbogen!$Y$20,FALSE) &amp; " " &amp; $AK$18</f>
        <v>Grundprofil 50 (H-Profil v.d.L.) exkl. Dichtung, gebohrt und entgratet, beschichtet 0</v>
      </c>
      <c r="H258" s="514"/>
      <c r="I258" s="514"/>
      <c r="J258" s="514"/>
      <c r="K258" s="514"/>
      <c r="L258" s="514"/>
      <c r="M258" s="514"/>
      <c r="N258" s="514"/>
      <c r="O258" s="514"/>
      <c r="P258" s="514"/>
      <c r="Q258" s="514"/>
      <c r="R258" s="514"/>
      <c r="S258" s="514"/>
      <c r="T258" s="514"/>
      <c r="U258" s="353">
        <f>VLOOKUP(F258,Preisliste!C:G,5,FALSE)</f>
        <v>159.33500000000001</v>
      </c>
      <c r="V258" s="352">
        <f t="shared" si="92"/>
        <v>0</v>
      </c>
      <c r="W258" s="146"/>
      <c r="X258" s="146"/>
      <c r="Y258" s="86"/>
      <c r="Z258" s="143">
        <f>(VLOOKUP(F258,Preisliste!C:G,5,FALSE)-VLOOKUP(F258,Preisliste!C:G,4,FALSE))*B258</f>
        <v>0</v>
      </c>
      <c r="AA258" s="86"/>
      <c r="AB258" s="86"/>
      <c r="AC258" s="86"/>
      <c r="AD258" s="86"/>
      <c r="AE258" s="86"/>
      <c r="AF258" s="86"/>
      <c r="AK258" s="86">
        <f>IF(Kalk5!$AA$13,'STK5'!$B73,0)</f>
        <v>0</v>
      </c>
      <c r="AL258" s="86">
        <f t="shared" si="107"/>
        <v>0</v>
      </c>
    </row>
    <row r="259" spans="2:38" ht="24.95" customHeight="1">
      <c r="B259" s="92">
        <f t="shared" si="85"/>
        <v>0</v>
      </c>
      <c r="C259" s="60">
        <v>1350</v>
      </c>
      <c r="D259" s="60"/>
      <c r="E259" s="60" t="str">
        <f>VLOOKUP(1600,Sprachindex!$A:$Z,Erhebungsbogen!$Y$20,FALSE)</f>
        <v>[Stk]</v>
      </c>
      <c r="F259" s="60" t="s">
        <v>21897</v>
      </c>
      <c r="G259" s="514" t="str">
        <f>VLOOKUP(1717,Sprachindex!$A:$Z,Erhebungsbogen!$Y$20,FALSE) &amp; ", " &amp; VLOOKUP(1648,Sprachindex!$A:$Z,Erhebungsbogen!$Y$20,FALSE)</f>
        <v>Grundprofil 50 (H-Profil v.d.L.) exkl. Dichtung, gebohrt und entgratet, blank</v>
      </c>
      <c r="H259" s="514"/>
      <c r="I259" s="514"/>
      <c r="J259" s="514"/>
      <c r="K259" s="514"/>
      <c r="L259" s="514"/>
      <c r="M259" s="514"/>
      <c r="N259" s="514"/>
      <c r="O259" s="514"/>
      <c r="P259" s="514"/>
      <c r="Q259" s="514"/>
      <c r="R259" s="514"/>
      <c r="S259" s="514"/>
      <c r="T259" s="514"/>
      <c r="U259" s="352">
        <f>VLOOKUP(F259,Preisliste!C:F,4,FALSE)</f>
        <v>228.1</v>
      </c>
      <c r="V259" s="352">
        <f t="shared" ref="V259:V263" si="109">U259*B259</f>
        <v>0</v>
      </c>
      <c r="W259" s="146"/>
      <c r="X259" s="146"/>
      <c r="Y259" s="86"/>
      <c r="Z259" s="143"/>
      <c r="AA259" s="86"/>
      <c r="AB259" s="86"/>
      <c r="AC259" s="86"/>
      <c r="AD259" s="86"/>
      <c r="AE259" s="86"/>
      <c r="AF259" s="86"/>
      <c r="AG259" s="86">
        <f>IF(Kalk1!$AA$13=FALSE,'STK1'!$B74,0)</f>
        <v>0</v>
      </c>
      <c r="AH259" s="86">
        <f>IF(Kalk2!$AA$13=FALSE,'STK2'!$B74,0)</f>
        <v>0</v>
      </c>
      <c r="AI259" s="86">
        <f>IF(Kalk3!$AA$13=FALSE,'STK3'!$B74,0)</f>
        <v>0</v>
      </c>
      <c r="AJ259" s="86">
        <f>IF(Kalk4!$AA$13=FALSE,'STK4'!$B74,0)</f>
        <v>0</v>
      </c>
      <c r="AK259" s="86">
        <f>IF(Kalk5!$AA$13=FALSE,'STK5'!$B74,0)</f>
        <v>0</v>
      </c>
      <c r="AL259" s="86">
        <f t="shared" si="107"/>
        <v>0</v>
      </c>
    </row>
    <row r="260" spans="2:38" ht="24.95" customHeight="1">
      <c r="B260" s="92">
        <f t="shared" ref="B260:B263" si="110">AL260</f>
        <v>0</v>
      </c>
      <c r="C260" s="60">
        <v>1350</v>
      </c>
      <c r="D260" s="60"/>
      <c r="E260" s="60" t="str">
        <f>VLOOKUP(1600,Sprachindex!$A:$Z,Erhebungsbogen!$Y$20,FALSE)</f>
        <v>[Stk]</v>
      </c>
      <c r="F260" s="60" t="s">
        <v>21897</v>
      </c>
      <c r="G260" s="514" t="str">
        <f>VLOOKUP(1717,Sprachindex!$A:$Z,Erhebungsbogen!$Y$20,FALSE) &amp; ", " &amp; VLOOKUP(1645,Sprachindex!$A:$Z,Erhebungsbogen!$Y$20,FALSE) &amp; " " &amp; $AG$18</f>
        <v xml:space="preserve">Grundprofil 50 (H-Profil v.d.L.) exkl. Dichtung, gebohrt und entgratet, beschichtet </v>
      </c>
      <c r="H260" s="514"/>
      <c r="I260" s="514"/>
      <c r="J260" s="514"/>
      <c r="K260" s="514"/>
      <c r="L260" s="514"/>
      <c r="M260" s="514"/>
      <c r="N260" s="514"/>
      <c r="O260" s="514"/>
      <c r="P260" s="514"/>
      <c r="Q260" s="514"/>
      <c r="R260" s="514"/>
      <c r="S260" s="514"/>
      <c r="T260" s="514"/>
      <c r="U260" s="353">
        <f>VLOOKUP(F260,Preisliste!C:G,5,FALSE)</f>
        <v>250.91000000000003</v>
      </c>
      <c r="V260" s="352">
        <f t="shared" si="109"/>
        <v>0</v>
      </c>
      <c r="W260" s="146"/>
      <c r="X260" s="146"/>
      <c r="Y260" s="86"/>
      <c r="Z260" s="143">
        <f>(VLOOKUP(F260,Preisliste!C:G,5,FALSE)-VLOOKUP(F260,Preisliste!C:G,4,FALSE))*B260</f>
        <v>0</v>
      </c>
      <c r="AA260" s="86"/>
      <c r="AB260" s="86"/>
      <c r="AC260" s="86"/>
      <c r="AD260" s="86"/>
      <c r="AE260" s="86"/>
      <c r="AF260" s="86"/>
      <c r="AG260" s="86">
        <f>IF(Kalk1!$AA$13,'STK1'!$B74,0)</f>
        <v>0</v>
      </c>
      <c r="AL260" s="86">
        <f>SUM(AG260:AK260)</f>
        <v>0</v>
      </c>
    </row>
    <row r="261" spans="2:38" ht="24.95" customHeight="1">
      <c r="B261" s="92">
        <f t="shared" si="110"/>
        <v>0</v>
      </c>
      <c r="C261" s="60">
        <v>1350</v>
      </c>
      <c r="D261" s="60"/>
      <c r="E261" s="60" t="str">
        <f>VLOOKUP(1600,Sprachindex!$A:$Z,Erhebungsbogen!$Y$20,FALSE)</f>
        <v>[Stk]</v>
      </c>
      <c r="F261" s="60" t="s">
        <v>21897</v>
      </c>
      <c r="G261" s="514" t="str">
        <f>VLOOKUP(1717,Sprachindex!$A:$Z,Erhebungsbogen!$Y$20,FALSE) &amp; ", " &amp; VLOOKUP(1645,Sprachindex!$A:$Z,Erhebungsbogen!$Y$20,FALSE) &amp; " " &amp; $AH$18</f>
        <v>Grundprofil 50 (H-Profil v.d.L.) exkl. Dichtung, gebohrt und entgratet, beschichtet 0</v>
      </c>
      <c r="H261" s="514"/>
      <c r="I261" s="514"/>
      <c r="J261" s="514"/>
      <c r="K261" s="514"/>
      <c r="L261" s="514"/>
      <c r="M261" s="514"/>
      <c r="N261" s="514"/>
      <c r="O261" s="514"/>
      <c r="P261" s="514"/>
      <c r="Q261" s="514"/>
      <c r="R261" s="514"/>
      <c r="S261" s="514"/>
      <c r="T261" s="514"/>
      <c r="U261" s="353">
        <f>VLOOKUP(F261,Preisliste!C:G,5,FALSE)</f>
        <v>250.91000000000003</v>
      </c>
      <c r="V261" s="352">
        <f t="shared" si="109"/>
        <v>0</v>
      </c>
      <c r="W261" s="146"/>
      <c r="X261" s="146"/>
      <c r="Y261" s="86"/>
      <c r="Z261" s="143">
        <f>(VLOOKUP(F261,Preisliste!C:G,5,FALSE)-VLOOKUP(F261,Preisliste!C:G,4,FALSE))*B261</f>
        <v>0</v>
      </c>
      <c r="AA261" s="86"/>
      <c r="AB261" s="86"/>
      <c r="AC261" s="86"/>
      <c r="AD261" s="86"/>
      <c r="AE261" s="86"/>
      <c r="AF261" s="86"/>
      <c r="AH261" s="86">
        <f>IF(Kalk2!$AA$13,'STK2'!$B74,0)</f>
        <v>0</v>
      </c>
      <c r="AL261" s="86">
        <f t="shared" si="107"/>
        <v>0</v>
      </c>
    </row>
    <row r="262" spans="2:38" ht="24.95" customHeight="1">
      <c r="B262" s="92">
        <f t="shared" si="110"/>
        <v>0</v>
      </c>
      <c r="C262" s="60">
        <v>1350</v>
      </c>
      <c r="D262" s="60"/>
      <c r="E262" s="60" t="str">
        <f>VLOOKUP(1600,Sprachindex!$A:$Z,Erhebungsbogen!$Y$20,FALSE)</f>
        <v>[Stk]</v>
      </c>
      <c r="F262" s="60" t="s">
        <v>21897</v>
      </c>
      <c r="G262" s="514" t="str">
        <f>VLOOKUP(1717,Sprachindex!$A:$Z,Erhebungsbogen!$Y$20,FALSE) &amp; ", " &amp; VLOOKUP(1645,Sprachindex!$A:$Z,Erhebungsbogen!$Y$20,FALSE) &amp; " " &amp; $AI$18</f>
        <v>Grundprofil 50 (H-Profil v.d.L.) exkl. Dichtung, gebohrt und entgratet, beschichtet 0</v>
      </c>
      <c r="H262" s="514"/>
      <c r="I262" s="514"/>
      <c r="J262" s="514"/>
      <c r="K262" s="514"/>
      <c r="L262" s="514"/>
      <c r="M262" s="514"/>
      <c r="N262" s="514"/>
      <c r="O262" s="514"/>
      <c r="P262" s="514"/>
      <c r="Q262" s="514"/>
      <c r="R262" s="514"/>
      <c r="S262" s="514"/>
      <c r="T262" s="514"/>
      <c r="U262" s="353">
        <f>VLOOKUP(F262,Preisliste!C:G,5,FALSE)</f>
        <v>250.91000000000003</v>
      </c>
      <c r="V262" s="352">
        <f t="shared" si="109"/>
        <v>0</v>
      </c>
      <c r="W262" s="146"/>
      <c r="X262" s="146"/>
      <c r="Y262" s="86"/>
      <c r="Z262" s="143">
        <f>(VLOOKUP(F262,Preisliste!C:G,5,FALSE)-VLOOKUP(F262,Preisliste!C:G,4,FALSE))*B262</f>
        <v>0</v>
      </c>
      <c r="AA262" s="86"/>
      <c r="AB262" s="86"/>
      <c r="AC262" s="86"/>
      <c r="AD262" s="86"/>
      <c r="AE262" s="86"/>
      <c r="AF262" s="86"/>
      <c r="AI262" s="86">
        <f>IF(Kalk3!$AA$13,'STK3'!$B74,0)</f>
        <v>0</v>
      </c>
      <c r="AL262" s="86">
        <f t="shared" si="107"/>
        <v>0</v>
      </c>
    </row>
    <row r="263" spans="2:38" ht="24.95" customHeight="1">
      <c r="B263" s="92">
        <f t="shared" si="110"/>
        <v>0</v>
      </c>
      <c r="C263" s="60">
        <v>1350</v>
      </c>
      <c r="D263" s="60"/>
      <c r="E263" s="60" t="str">
        <f>VLOOKUP(1600,Sprachindex!$A:$Z,Erhebungsbogen!$Y$20,FALSE)</f>
        <v>[Stk]</v>
      </c>
      <c r="F263" s="60" t="s">
        <v>21897</v>
      </c>
      <c r="G263" s="514" t="str">
        <f>VLOOKUP(1717,Sprachindex!$A:$Z,Erhebungsbogen!$Y$20,FALSE) &amp; ", " &amp; VLOOKUP(1645,Sprachindex!$A:$Z,Erhebungsbogen!$Y$20,FALSE) &amp; " " &amp; $AJ$18</f>
        <v>Grundprofil 50 (H-Profil v.d.L.) exkl. Dichtung, gebohrt und entgratet, beschichtet 0</v>
      </c>
      <c r="H263" s="514"/>
      <c r="I263" s="514"/>
      <c r="J263" s="514"/>
      <c r="K263" s="514"/>
      <c r="L263" s="514"/>
      <c r="M263" s="514"/>
      <c r="N263" s="514"/>
      <c r="O263" s="514"/>
      <c r="P263" s="514"/>
      <c r="Q263" s="514"/>
      <c r="R263" s="514"/>
      <c r="S263" s="514"/>
      <c r="T263" s="514"/>
      <c r="U263" s="353">
        <f>VLOOKUP(F263,Preisliste!C:G,5,FALSE)</f>
        <v>250.91000000000003</v>
      </c>
      <c r="V263" s="352">
        <f t="shared" si="109"/>
        <v>0</v>
      </c>
      <c r="W263" s="146"/>
      <c r="X263" s="146"/>
      <c r="Y263" s="86"/>
      <c r="Z263" s="143">
        <f>(VLOOKUP(F263,Preisliste!C:G,5,FALSE)-VLOOKUP(F263,Preisliste!C:G,4,FALSE))*B263</f>
        <v>0</v>
      </c>
      <c r="AA263" s="86"/>
      <c r="AB263" s="86"/>
      <c r="AC263" s="86"/>
      <c r="AD263" s="86"/>
      <c r="AE263" s="86"/>
      <c r="AF263" s="86"/>
      <c r="AJ263" s="86">
        <f>IF(Kalk4!$AA$13,'STK4'!$B74,0)</f>
        <v>0</v>
      </c>
      <c r="AL263" s="86">
        <f t="shared" si="107"/>
        <v>0</v>
      </c>
    </row>
    <row r="264" spans="2:38" ht="24.95" customHeight="1">
      <c r="B264" s="92">
        <f t="shared" si="85"/>
        <v>0</v>
      </c>
      <c r="C264" s="60">
        <v>1350</v>
      </c>
      <c r="D264" s="60"/>
      <c r="E264" s="60" t="str">
        <f>VLOOKUP(1600,Sprachindex!$A:$Z,Erhebungsbogen!$Y$20,FALSE)</f>
        <v>[Stk]</v>
      </c>
      <c r="F264" s="60" t="s">
        <v>21897</v>
      </c>
      <c r="G264" s="514" t="str">
        <f>VLOOKUP(1717,Sprachindex!$A:$Z,Erhebungsbogen!$Y$20,FALSE) &amp; ", " &amp; VLOOKUP(1645,Sprachindex!$A:$Z,Erhebungsbogen!$Y$20,FALSE) &amp; " " &amp; $AK$18</f>
        <v>Grundprofil 50 (H-Profil v.d.L.) exkl. Dichtung, gebohrt und entgratet, beschichtet 0</v>
      </c>
      <c r="H264" s="514"/>
      <c r="I264" s="514"/>
      <c r="J264" s="514"/>
      <c r="K264" s="514"/>
      <c r="L264" s="514"/>
      <c r="M264" s="514"/>
      <c r="N264" s="514"/>
      <c r="O264" s="514"/>
      <c r="P264" s="514"/>
      <c r="Q264" s="514"/>
      <c r="R264" s="514"/>
      <c r="S264" s="514"/>
      <c r="T264" s="514"/>
      <c r="U264" s="353">
        <f>VLOOKUP(F264,Preisliste!C:G,5,FALSE)</f>
        <v>250.91000000000003</v>
      </c>
      <c r="V264" s="352">
        <f t="shared" si="92"/>
        <v>0</v>
      </c>
      <c r="W264" s="146"/>
      <c r="X264" s="146"/>
      <c r="Y264" s="86"/>
      <c r="Z264" s="143">
        <f>(VLOOKUP(F264,Preisliste!C:G,5,FALSE)-VLOOKUP(F264,Preisliste!C:G,4,FALSE))*B264</f>
        <v>0</v>
      </c>
      <c r="AA264" s="86"/>
      <c r="AB264" s="86"/>
      <c r="AC264" s="86"/>
      <c r="AD264" s="86"/>
      <c r="AE264" s="86"/>
      <c r="AF264" s="86"/>
      <c r="AK264" s="86">
        <f>IF(Kalk5!$AA$13,'STK5'!$B74,0)</f>
        <v>0</v>
      </c>
      <c r="AL264" s="86">
        <f t="shared" si="107"/>
        <v>0</v>
      </c>
    </row>
    <row r="265" spans="2:38" ht="24.95" customHeight="1">
      <c r="B265" s="92">
        <f t="shared" si="85"/>
        <v>0</v>
      </c>
      <c r="C265" s="60">
        <v>1750</v>
      </c>
      <c r="D265" s="60"/>
      <c r="E265" s="60" t="str">
        <f>VLOOKUP(1600,Sprachindex!$A:$Z,Erhebungsbogen!$Y$20,FALSE)</f>
        <v>[Stk]</v>
      </c>
      <c r="F265" s="60" t="s">
        <v>21898</v>
      </c>
      <c r="G265" s="514" t="str">
        <f>VLOOKUP(1717,Sprachindex!$A:$Z,Erhebungsbogen!$Y$20,FALSE) &amp; ", " &amp; VLOOKUP(1648,Sprachindex!$A:$Z,Erhebungsbogen!$Y$20,FALSE)</f>
        <v>Grundprofil 50 (H-Profil v.d.L.) exkl. Dichtung, gebohrt und entgratet, blank</v>
      </c>
      <c r="H265" s="514"/>
      <c r="I265" s="514"/>
      <c r="J265" s="514"/>
      <c r="K265" s="514"/>
      <c r="L265" s="514"/>
      <c r="M265" s="514"/>
      <c r="N265" s="514"/>
      <c r="O265" s="514"/>
      <c r="P265" s="514"/>
      <c r="Q265" s="514"/>
      <c r="R265" s="514"/>
      <c r="S265" s="514"/>
      <c r="T265" s="514"/>
      <c r="U265" s="352">
        <f>VLOOKUP(F265,Preisliste!C:F,4,FALSE)</f>
        <v>284.14999999999998</v>
      </c>
      <c r="V265" s="352">
        <f t="shared" ref="V265:V269" si="111">U265*B265</f>
        <v>0</v>
      </c>
      <c r="W265" s="146"/>
      <c r="X265" s="146"/>
      <c r="Y265" s="86"/>
      <c r="Z265" s="143"/>
      <c r="AA265" s="86"/>
      <c r="AB265" s="86"/>
      <c r="AC265" s="86"/>
      <c r="AD265" s="86"/>
      <c r="AE265" s="86"/>
      <c r="AF265" s="86"/>
      <c r="AG265" s="86">
        <f>IF(Kalk1!$AA$13=FALSE,'STK1'!$B75,0)</f>
        <v>0</v>
      </c>
      <c r="AH265" s="86">
        <f>IF(Kalk2!$AA$13=FALSE,'STK2'!$B75,0)</f>
        <v>0</v>
      </c>
      <c r="AI265" s="86">
        <f>IF(Kalk3!$AA$13=FALSE,'STK3'!$B75,0)</f>
        <v>0</v>
      </c>
      <c r="AJ265" s="86">
        <f>IF(Kalk4!$AA$13=FALSE,'STK4'!$B75,0)</f>
        <v>0</v>
      </c>
      <c r="AK265" s="86">
        <f>IF(Kalk5!$AA$13=FALSE,'STK5'!$B75,0)</f>
        <v>0</v>
      </c>
      <c r="AL265" s="86">
        <f t="shared" si="107"/>
        <v>0</v>
      </c>
    </row>
    <row r="266" spans="2:38" ht="24.95" customHeight="1">
      <c r="B266" s="92">
        <f t="shared" ref="B266:B269" si="112">AL266</f>
        <v>0</v>
      </c>
      <c r="C266" s="60">
        <v>1750</v>
      </c>
      <c r="D266" s="60"/>
      <c r="E266" s="60" t="str">
        <f>VLOOKUP(1600,Sprachindex!$A:$Z,Erhebungsbogen!$Y$20,FALSE)</f>
        <v>[Stk]</v>
      </c>
      <c r="F266" s="60" t="s">
        <v>21898</v>
      </c>
      <c r="G266" s="514" t="str">
        <f>VLOOKUP(1717,Sprachindex!$A:$Z,Erhebungsbogen!$Y$20,FALSE) &amp; ", " &amp; VLOOKUP(1645,Sprachindex!$A:$Z,Erhebungsbogen!$Y$20,FALSE) &amp; " " &amp; $AG$18</f>
        <v xml:space="preserve">Grundprofil 50 (H-Profil v.d.L.) exkl. Dichtung, gebohrt und entgratet, beschichtet </v>
      </c>
      <c r="H266" s="514"/>
      <c r="I266" s="514"/>
      <c r="J266" s="514"/>
      <c r="K266" s="514"/>
      <c r="L266" s="514"/>
      <c r="M266" s="514"/>
      <c r="N266" s="514"/>
      <c r="O266" s="514"/>
      <c r="P266" s="514"/>
      <c r="Q266" s="514"/>
      <c r="R266" s="514"/>
      <c r="S266" s="514"/>
      <c r="T266" s="514"/>
      <c r="U266" s="353">
        <f>VLOOKUP(F266,Preisliste!C:G,5,FALSE)</f>
        <v>312.565</v>
      </c>
      <c r="V266" s="352">
        <f t="shared" si="111"/>
        <v>0</v>
      </c>
      <c r="W266" s="146"/>
      <c r="X266" s="146"/>
      <c r="Y266" s="86"/>
      <c r="Z266" s="143">
        <f>(VLOOKUP(F266,Preisliste!C:G,5,FALSE)-VLOOKUP(F266,Preisliste!C:G,4,FALSE))*B266</f>
        <v>0</v>
      </c>
      <c r="AA266" s="86"/>
      <c r="AB266" s="86"/>
      <c r="AC266" s="86"/>
      <c r="AD266" s="86"/>
      <c r="AE266" s="86"/>
      <c r="AF266" s="86"/>
      <c r="AG266" s="86">
        <f>IF(Kalk1!$AA$13,'STK1'!$B75,0)</f>
        <v>0</v>
      </c>
      <c r="AL266" s="86">
        <f>SUM(AG266:AK266)</f>
        <v>0</v>
      </c>
    </row>
    <row r="267" spans="2:38" ht="24.95" customHeight="1">
      <c r="B267" s="92">
        <f t="shared" si="112"/>
        <v>0</v>
      </c>
      <c r="C267" s="60">
        <v>1750</v>
      </c>
      <c r="D267" s="60"/>
      <c r="E267" s="60" t="str">
        <f>VLOOKUP(1600,Sprachindex!$A:$Z,Erhebungsbogen!$Y$20,FALSE)</f>
        <v>[Stk]</v>
      </c>
      <c r="F267" s="60" t="s">
        <v>21898</v>
      </c>
      <c r="G267" s="514" t="str">
        <f>VLOOKUP(1717,Sprachindex!$A:$Z,Erhebungsbogen!$Y$20,FALSE) &amp; ", " &amp; VLOOKUP(1645,Sprachindex!$A:$Z,Erhebungsbogen!$Y$20,FALSE) &amp; " " &amp; $AH$18</f>
        <v>Grundprofil 50 (H-Profil v.d.L.) exkl. Dichtung, gebohrt und entgratet, beschichtet 0</v>
      </c>
      <c r="H267" s="514"/>
      <c r="I267" s="514"/>
      <c r="J267" s="514"/>
      <c r="K267" s="514"/>
      <c r="L267" s="514"/>
      <c r="M267" s="514"/>
      <c r="N267" s="514"/>
      <c r="O267" s="514"/>
      <c r="P267" s="514"/>
      <c r="Q267" s="514"/>
      <c r="R267" s="514"/>
      <c r="S267" s="514"/>
      <c r="T267" s="514"/>
      <c r="U267" s="353">
        <f>VLOOKUP(F267,Preisliste!C:G,5,FALSE)</f>
        <v>312.565</v>
      </c>
      <c r="V267" s="352">
        <f t="shared" si="111"/>
        <v>0</v>
      </c>
      <c r="W267" s="146"/>
      <c r="X267" s="146"/>
      <c r="Y267" s="86"/>
      <c r="Z267" s="143">
        <f>(VLOOKUP(F267,Preisliste!C:G,5,FALSE)-VLOOKUP(F267,Preisliste!C:G,4,FALSE))*B267</f>
        <v>0</v>
      </c>
      <c r="AA267" s="86"/>
      <c r="AB267" s="86"/>
      <c r="AC267" s="86"/>
      <c r="AD267" s="86"/>
      <c r="AE267" s="86"/>
      <c r="AF267" s="86"/>
      <c r="AH267" s="86">
        <f>IF(Kalk2!$AA$13,'STK2'!$B75,0)</f>
        <v>0</v>
      </c>
      <c r="AL267" s="86">
        <f t="shared" si="107"/>
        <v>0</v>
      </c>
    </row>
    <row r="268" spans="2:38" ht="24.95" customHeight="1">
      <c r="B268" s="92">
        <f t="shared" si="112"/>
        <v>0</v>
      </c>
      <c r="C268" s="60">
        <v>1750</v>
      </c>
      <c r="D268" s="60"/>
      <c r="E268" s="60" t="str">
        <f>VLOOKUP(1600,Sprachindex!$A:$Z,Erhebungsbogen!$Y$20,FALSE)</f>
        <v>[Stk]</v>
      </c>
      <c r="F268" s="60" t="s">
        <v>21898</v>
      </c>
      <c r="G268" s="514" t="str">
        <f>VLOOKUP(1717,Sprachindex!$A:$Z,Erhebungsbogen!$Y$20,FALSE) &amp; ", " &amp; VLOOKUP(1645,Sprachindex!$A:$Z,Erhebungsbogen!$Y$20,FALSE) &amp; " " &amp; $AI$18</f>
        <v>Grundprofil 50 (H-Profil v.d.L.) exkl. Dichtung, gebohrt und entgratet, beschichtet 0</v>
      </c>
      <c r="H268" s="514"/>
      <c r="I268" s="514"/>
      <c r="J268" s="514"/>
      <c r="K268" s="514"/>
      <c r="L268" s="514"/>
      <c r="M268" s="514"/>
      <c r="N268" s="514"/>
      <c r="O268" s="514"/>
      <c r="P268" s="514"/>
      <c r="Q268" s="514"/>
      <c r="R268" s="514"/>
      <c r="S268" s="514"/>
      <c r="T268" s="514"/>
      <c r="U268" s="353">
        <f>VLOOKUP(F268,Preisliste!C:G,5,FALSE)</f>
        <v>312.565</v>
      </c>
      <c r="V268" s="352">
        <f t="shared" si="111"/>
        <v>0</v>
      </c>
      <c r="W268" s="146"/>
      <c r="X268" s="146"/>
      <c r="Y268" s="86"/>
      <c r="Z268" s="143">
        <f>(VLOOKUP(F268,Preisliste!C:G,5,FALSE)-VLOOKUP(F268,Preisliste!C:G,4,FALSE))*B268</f>
        <v>0</v>
      </c>
      <c r="AA268" s="86"/>
      <c r="AB268" s="86"/>
      <c r="AC268" s="86"/>
      <c r="AD268" s="86"/>
      <c r="AE268" s="86"/>
      <c r="AF268" s="86"/>
      <c r="AI268" s="86">
        <f>IF(Kalk3!$AA$13,'STK3'!$B75,0)</f>
        <v>0</v>
      </c>
      <c r="AL268" s="86">
        <f t="shared" si="107"/>
        <v>0</v>
      </c>
    </row>
    <row r="269" spans="2:38" ht="24.95" customHeight="1">
      <c r="B269" s="92">
        <f t="shared" si="112"/>
        <v>0</v>
      </c>
      <c r="C269" s="60">
        <v>1750</v>
      </c>
      <c r="D269" s="60"/>
      <c r="E269" s="60" t="str">
        <f>VLOOKUP(1600,Sprachindex!$A:$Z,Erhebungsbogen!$Y$20,FALSE)</f>
        <v>[Stk]</v>
      </c>
      <c r="F269" s="60" t="s">
        <v>21898</v>
      </c>
      <c r="G269" s="514" t="str">
        <f>VLOOKUP(1717,Sprachindex!$A:$Z,Erhebungsbogen!$Y$20,FALSE) &amp; ", " &amp; VLOOKUP(1645,Sprachindex!$A:$Z,Erhebungsbogen!$Y$20,FALSE) &amp; " " &amp; $AJ$18</f>
        <v>Grundprofil 50 (H-Profil v.d.L.) exkl. Dichtung, gebohrt und entgratet, beschichtet 0</v>
      </c>
      <c r="H269" s="514"/>
      <c r="I269" s="514"/>
      <c r="J269" s="514"/>
      <c r="K269" s="514"/>
      <c r="L269" s="514"/>
      <c r="M269" s="514"/>
      <c r="N269" s="514"/>
      <c r="O269" s="514"/>
      <c r="P269" s="514"/>
      <c r="Q269" s="514"/>
      <c r="R269" s="514"/>
      <c r="S269" s="514"/>
      <c r="T269" s="514"/>
      <c r="U269" s="353">
        <f>VLOOKUP(F269,Preisliste!C:G,5,FALSE)</f>
        <v>312.565</v>
      </c>
      <c r="V269" s="352">
        <f t="shared" si="111"/>
        <v>0</v>
      </c>
      <c r="W269" s="146"/>
      <c r="X269" s="146"/>
      <c r="Y269" s="86"/>
      <c r="Z269" s="143">
        <f>(VLOOKUP(F269,Preisliste!C:G,5,FALSE)-VLOOKUP(F269,Preisliste!C:G,4,FALSE))*B269</f>
        <v>0</v>
      </c>
      <c r="AA269" s="86"/>
      <c r="AB269" s="86"/>
      <c r="AC269" s="86"/>
      <c r="AD269" s="86"/>
      <c r="AE269" s="86"/>
      <c r="AF269" s="86"/>
      <c r="AJ269" s="86">
        <f>IF(Kalk4!$AA$13,'STK4'!$B75,0)</f>
        <v>0</v>
      </c>
      <c r="AL269" s="86">
        <f t="shared" si="107"/>
        <v>0</v>
      </c>
    </row>
    <row r="270" spans="2:38" ht="24.95" customHeight="1">
      <c r="B270" s="92">
        <f t="shared" si="85"/>
        <v>0</v>
      </c>
      <c r="C270" s="60">
        <v>1750</v>
      </c>
      <c r="D270" s="60"/>
      <c r="E270" s="60" t="str">
        <f>VLOOKUP(1600,Sprachindex!$A:$Z,Erhebungsbogen!$Y$20,FALSE)</f>
        <v>[Stk]</v>
      </c>
      <c r="F270" s="60" t="s">
        <v>21898</v>
      </c>
      <c r="G270" s="514" t="str">
        <f>VLOOKUP(1717,Sprachindex!$A:$Z,Erhebungsbogen!$Y$20,FALSE) &amp; ", " &amp; VLOOKUP(1645,Sprachindex!$A:$Z,Erhebungsbogen!$Y$20,FALSE) &amp; " " &amp; $AK$18</f>
        <v>Grundprofil 50 (H-Profil v.d.L.) exkl. Dichtung, gebohrt und entgratet, beschichtet 0</v>
      </c>
      <c r="H270" s="514"/>
      <c r="I270" s="514"/>
      <c r="J270" s="514"/>
      <c r="K270" s="514"/>
      <c r="L270" s="514"/>
      <c r="M270" s="514"/>
      <c r="N270" s="514"/>
      <c r="O270" s="514"/>
      <c r="P270" s="514"/>
      <c r="Q270" s="514"/>
      <c r="R270" s="514"/>
      <c r="S270" s="514"/>
      <c r="T270" s="514"/>
      <c r="U270" s="353">
        <f>VLOOKUP(F270,Preisliste!C:G,5,FALSE)</f>
        <v>312.565</v>
      </c>
      <c r="V270" s="352">
        <f t="shared" si="92"/>
        <v>0</v>
      </c>
      <c r="W270" s="146"/>
      <c r="X270" s="146"/>
      <c r="Y270" s="86"/>
      <c r="Z270" s="143">
        <f>(VLOOKUP(F270,Preisliste!C:G,5,FALSE)-VLOOKUP(F270,Preisliste!C:G,4,FALSE))*B270</f>
        <v>0</v>
      </c>
      <c r="AA270" s="86"/>
      <c r="AB270" s="86"/>
      <c r="AC270" s="86"/>
      <c r="AD270" s="86"/>
      <c r="AE270" s="86"/>
      <c r="AF270" s="86"/>
      <c r="AK270" s="86">
        <f>IF(Kalk5!$AA$13,'STK5'!$B75,0)</f>
        <v>0</v>
      </c>
      <c r="AL270" s="86">
        <f t="shared" si="107"/>
        <v>0</v>
      </c>
    </row>
    <row r="271" spans="2:38" ht="24.95" customHeight="1">
      <c r="B271" s="92">
        <f t="shared" si="85"/>
        <v>0</v>
      </c>
      <c r="C271" s="60">
        <v>2150</v>
      </c>
      <c r="D271" s="60"/>
      <c r="E271" s="60" t="str">
        <f>VLOOKUP(1600,Sprachindex!$A:$Z,Erhebungsbogen!$Y$20,FALSE)</f>
        <v>[Stk]</v>
      </c>
      <c r="F271" s="60" t="s">
        <v>21899</v>
      </c>
      <c r="G271" s="514" t="str">
        <f>VLOOKUP(1717,Sprachindex!$A:$Z,Erhebungsbogen!$Y$20,FALSE) &amp; ", " &amp; VLOOKUP(1648,Sprachindex!$A:$Z,Erhebungsbogen!$Y$20,FALSE)</f>
        <v>Grundprofil 50 (H-Profil v.d.L.) exkl. Dichtung, gebohrt und entgratet, blank</v>
      </c>
      <c r="H271" s="514"/>
      <c r="I271" s="514"/>
      <c r="J271" s="514"/>
      <c r="K271" s="514"/>
      <c r="L271" s="514"/>
      <c r="M271" s="514"/>
      <c r="N271" s="514"/>
      <c r="O271" s="514"/>
      <c r="P271" s="514"/>
      <c r="Q271" s="514"/>
      <c r="R271" s="514"/>
      <c r="S271" s="514"/>
      <c r="T271" s="514"/>
      <c r="U271" s="352">
        <f>VLOOKUP(F271,Preisliste!C:F,4,FALSE)</f>
        <v>340.25</v>
      </c>
      <c r="V271" s="352">
        <f t="shared" ref="V271:V275" si="113">U271*B271</f>
        <v>0</v>
      </c>
      <c r="W271" s="146"/>
      <c r="X271" s="146"/>
      <c r="Y271" s="86"/>
      <c r="Z271" s="143"/>
      <c r="AA271" s="86"/>
      <c r="AB271" s="86"/>
      <c r="AC271" s="86"/>
      <c r="AD271" s="86"/>
      <c r="AE271" s="86"/>
      <c r="AF271" s="86"/>
      <c r="AG271" s="86">
        <f>IF(Kalk1!$AA$13=FALSE,'STK1'!$B76,0)</f>
        <v>0</v>
      </c>
      <c r="AH271" s="86">
        <f>IF(Kalk2!$AA$13=FALSE,'STK2'!$B76,0)</f>
        <v>0</v>
      </c>
      <c r="AI271" s="86">
        <f>IF(Kalk3!$AA$13=FALSE,'STK3'!$B76,0)</f>
        <v>0</v>
      </c>
      <c r="AJ271" s="86">
        <f>IF(Kalk4!$AA$13=FALSE,'STK4'!$B76,0)</f>
        <v>0</v>
      </c>
      <c r="AK271" s="86">
        <f>IF(Kalk5!$AA$13=FALSE,'STK5'!$B76,0)</f>
        <v>0</v>
      </c>
      <c r="AL271" s="86">
        <f t="shared" si="107"/>
        <v>0</v>
      </c>
    </row>
    <row r="272" spans="2:38" ht="24.95" customHeight="1">
      <c r="B272" s="92">
        <f t="shared" ref="B272:B275" si="114">AL272</f>
        <v>0</v>
      </c>
      <c r="C272" s="60">
        <v>2150</v>
      </c>
      <c r="D272" s="60"/>
      <c r="E272" s="60" t="str">
        <f>VLOOKUP(1600,Sprachindex!$A:$Z,Erhebungsbogen!$Y$20,FALSE)</f>
        <v>[Stk]</v>
      </c>
      <c r="F272" s="60" t="s">
        <v>21899</v>
      </c>
      <c r="G272" s="514" t="str">
        <f>VLOOKUP(1717,Sprachindex!$A:$Z,Erhebungsbogen!$Y$20,FALSE) &amp; ", " &amp; VLOOKUP(1645,Sprachindex!$A:$Z,Erhebungsbogen!$Y$20,FALSE) &amp; " " &amp; $AG$18</f>
        <v xml:space="preserve">Grundprofil 50 (H-Profil v.d.L.) exkl. Dichtung, gebohrt und entgratet, beschichtet </v>
      </c>
      <c r="H272" s="514"/>
      <c r="I272" s="514"/>
      <c r="J272" s="514"/>
      <c r="K272" s="514"/>
      <c r="L272" s="514"/>
      <c r="M272" s="514"/>
      <c r="N272" s="514"/>
      <c r="O272" s="514"/>
      <c r="P272" s="514"/>
      <c r="Q272" s="514"/>
      <c r="R272" s="514"/>
      <c r="S272" s="514"/>
      <c r="T272" s="514"/>
      <c r="U272" s="353">
        <f>VLOOKUP(F272,Preisliste!C:G,5,FALSE)</f>
        <v>374.27500000000003</v>
      </c>
      <c r="V272" s="352">
        <f t="shared" si="113"/>
        <v>0</v>
      </c>
      <c r="W272" s="146"/>
      <c r="X272" s="146"/>
      <c r="Y272" s="86"/>
      <c r="Z272" s="143">
        <f>(VLOOKUP(F272,Preisliste!C:G,5,FALSE)-VLOOKUP(F272,Preisliste!C:G,4,FALSE))*B272</f>
        <v>0</v>
      </c>
      <c r="AA272" s="86"/>
      <c r="AB272" s="86"/>
      <c r="AC272" s="86"/>
      <c r="AD272" s="86"/>
      <c r="AE272" s="86"/>
      <c r="AF272" s="86"/>
      <c r="AG272" s="86">
        <f>IF(Kalk1!$AA$13,'STK1'!$B76,0)</f>
        <v>0</v>
      </c>
      <c r="AL272" s="86">
        <f>SUM(AG272:AK272)</f>
        <v>0</v>
      </c>
    </row>
    <row r="273" spans="2:89" ht="24.95" customHeight="1">
      <c r="B273" s="92">
        <f t="shared" si="114"/>
        <v>0</v>
      </c>
      <c r="C273" s="60">
        <v>2150</v>
      </c>
      <c r="D273" s="60"/>
      <c r="E273" s="60" t="str">
        <f>VLOOKUP(1600,Sprachindex!$A:$Z,Erhebungsbogen!$Y$20,FALSE)</f>
        <v>[Stk]</v>
      </c>
      <c r="F273" s="60" t="s">
        <v>21899</v>
      </c>
      <c r="G273" s="514" t="str">
        <f>VLOOKUP(1717,Sprachindex!$A:$Z,Erhebungsbogen!$Y$20,FALSE) &amp; ", " &amp; VLOOKUP(1645,Sprachindex!$A:$Z,Erhebungsbogen!$Y$20,FALSE) &amp; " " &amp; $AH$18</f>
        <v>Grundprofil 50 (H-Profil v.d.L.) exkl. Dichtung, gebohrt und entgratet, beschichtet 0</v>
      </c>
      <c r="H273" s="514"/>
      <c r="I273" s="514"/>
      <c r="J273" s="514"/>
      <c r="K273" s="514"/>
      <c r="L273" s="514"/>
      <c r="M273" s="514"/>
      <c r="N273" s="514"/>
      <c r="O273" s="514"/>
      <c r="P273" s="514"/>
      <c r="Q273" s="514"/>
      <c r="R273" s="514"/>
      <c r="S273" s="514"/>
      <c r="T273" s="514"/>
      <c r="U273" s="353">
        <f>VLOOKUP(F273,Preisliste!C:G,5,FALSE)</f>
        <v>374.27500000000003</v>
      </c>
      <c r="V273" s="352">
        <f t="shared" si="113"/>
        <v>0</v>
      </c>
      <c r="W273" s="146"/>
      <c r="X273" s="146"/>
      <c r="Y273" s="86"/>
      <c r="Z273" s="143">
        <f>(VLOOKUP(F273,Preisliste!C:G,5,FALSE)-VLOOKUP(F273,Preisliste!C:G,4,FALSE))*B273</f>
        <v>0</v>
      </c>
      <c r="AA273" s="86"/>
      <c r="AB273" s="86"/>
      <c r="AC273" s="86"/>
      <c r="AD273" s="86"/>
      <c r="AE273" s="86"/>
      <c r="AF273" s="86"/>
      <c r="AH273" s="86">
        <f>IF(Kalk2!$AA$13,'STK2'!$B76,0)</f>
        <v>0</v>
      </c>
      <c r="AL273" s="86">
        <f t="shared" si="107"/>
        <v>0</v>
      </c>
    </row>
    <row r="274" spans="2:89" ht="24.95" customHeight="1">
      <c r="B274" s="92">
        <f t="shared" si="114"/>
        <v>0</v>
      </c>
      <c r="C274" s="60">
        <v>2150</v>
      </c>
      <c r="D274" s="60"/>
      <c r="E274" s="60" t="str">
        <f>VLOOKUP(1600,Sprachindex!$A:$Z,Erhebungsbogen!$Y$20,FALSE)</f>
        <v>[Stk]</v>
      </c>
      <c r="F274" s="60" t="s">
        <v>21899</v>
      </c>
      <c r="G274" s="514" t="str">
        <f>VLOOKUP(1717,Sprachindex!$A:$Z,Erhebungsbogen!$Y$20,FALSE) &amp; ", " &amp; VLOOKUP(1645,Sprachindex!$A:$Z,Erhebungsbogen!$Y$20,FALSE) &amp; " " &amp; $AI$18</f>
        <v>Grundprofil 50 (H-Profil v.d.L.) exkl. Dichtung, gebohrt und entgratet, beschichtet 0</v>
      </c>
      <c r="H274" s="514"/>
      <c r="I274" s="514"/>
      <c r="J274" s="514"/>
      <c r="K274" s="514"/>
      <c r="L274" s="514"/>
      <c r="M274" s="514"/>
      <c r="N274" s="514"/>
      <c r="O274" s="514"/>
      <c r="P274" s="514"/>
      <c r="Q274" s="514"/>
      <c r="R274" s="514"/>
      <c r="S274" s="514"/>
      <c r="T274" s="514"/>
      <c r="U274" s="353">
        <f>VLOOKUP(F274,Preisliste!C:G,5,FALSE)</f>
        <v>374.27500000000003</v>
      </c>
      <c r="V274" s="352">
        <f t="shared" si="113"/>
        <v>0</v>
      </c>
      <c r="W274" s="146"/>
      <c r="X274" s="146"/>
      <c r="Y274" s="86"/>
      <c r="Z274" s="143">
        <f>(VLOOKUP(F274,Preisliste!C:G,5,FALSE)-VLOOKUP(F274,Preisliste!C:G,4,FALSE))*B274</f>
        <v>0</v>
      </c>
      <c r="AA274" s="86"/>
      <c r="AB274" s="86"/>
      <c r="AC274" s="86"/>
      <c r="AD274" s="86"/>
      <c r="AE274" s="86"/>
      <c r="AF274" s="86"/>
      <c r="AI274" s="86">
        <f>IF(Kalk3!$AA$13,'STK3'!$B76,0)</f>
        <v>0</v>
      </c>
      <c r="AL274" s="86">
        <f t="shared" si="107"/>
        <v>0</v>
      </c>
    </row>
    <row r="275" spans="2:89" ht="24.95" customHeight="1">
      <c r="B275" s="92">
        <f t="shared" si="114"/>
        <v>0</v>
      </c>
      <c r="C275" s="60">
        <v>2150</v>
      </c>
      <c r="D275" s="60"/>
      <c r="E275" s="60" t="str">
        <f>VLOOKUP(1600,Sprachindex!$A:$Z,Erhebungsbogen!$Y$20,FALSE)</f>
        <v>[Stk]</v>
      </c>
      <c r="F275" s="60" t="s">
        <v>21899</v>
      </c>
      <c r="G275" s="514" t="str">
        <f>VLOOKUP(1717,Sprachindex!$A:$Z,Erhebungsbogen!$Y$20,FALSE) &amp; ", " &amp; VLOOKUP(1645,Sprachindex!$A:$Z,Erhebungsbogen!$Y$20,FALSE) &amp; " " &amp; $AJ$18</f>
        <v>Grundprofil 50 (H-Profil v.d.L.) exkl. Dichtung, gebohrt und entgratet, beschichtet 0</v>
      </c>
      <c r="H275" s="514"/>
      <c r="I275" s="514"/>
      <c r="J275" s="514"/>
      <c r="K275" s="514"/>
      <c r="L275" s="514"/>
      <c r="M275" s="514"/>
      <c r="N275" s="514"/>
      <c r="O275" s="514"/>
      <c r="P275" s="514"/>
      <c r="Q275" s="514"/>
      <c r="R275" s="514"/>
      <c r="S275" s="514"/>
      <c r="T275" s="514"/>
      <c r="U275" s="353">
        <f>VLOOKUP(F275,Preisliste!C:G,5,FALSE)</f>
        <v>374.27500000000003</v>
      </c>
      <c r="V275" s="352">
        <f t="shared" si="113"/>
        <v>0</v>
      </c>
      <c r="W275" s="146"/>
      <c r="X275" s="146"/>
      <c r="Y275" s="86"/>
      <c r="Z275" s="143">
        <f>(VLOOKUP(F275,Preisliste!C:G,5,FALSE)-VLOOKUP(F275,Preisliste!C:G,4,FALSE))*B275</f>
        <v>0</v>
      </c>
      <c r="AA275" s="86"/>
      <c r="AB275" s="86"/>
      <c r="AC275" s="86"/>
      <c r="AD275" s="86"/>
      <c r="AE275" s="86"/>
      <c r="AF275" s="86"/>
      <c r="AJ275" s="86">
        <f>IF(Kalk4!$AA$13,'STK4'!$B76,0)</f>
        <v>0</v>
      </c>
      <c r="AL275" s="86">
        <f t="shared" si="107"/>
        <v>0</v>
      </c>
    </row>
    <row r="276" spans="2:89" ht="24.95" customHeight="1">
      <c r="B276" s="92">
        <f t="shared" si="85"/>
        <v>0</v>
      </c>
      <c r="C276" s="60">
        <v>2150</v>
      </c>
      <c r="D276" s="60"/>
      <c r="E276" s="60" t="str">
        <f>VLOOKUP(1600,Sprachindex!$A:$Z,Erhebungsbogen!$Y$20,FALSE)</f>
        <v>[Stk]</v>
      </c>
      <c r="F276" s="60" t="s">
        <v>21899</v>
      </c>
      <c r="G276" s="514" t="str">
        <f>VLOOKUP(1717,Sprachindex!$A:$Z,Erhebungsbogen!$Y$20,FALSE) &amp; ", " &amp; VLOOKUP(1645,Sprachindex!$A:$Z,Erhebungsbogen!$Y$20,FALSE) &amp; " " &amp; $AK$18</f>
        <v>Grundprofil 50 (H-Profil v.d.L.) exkl. Dichtung, gebohrt und entgratet, beschichtet 0</v>
      </c>
      <c r="H276" s="514"/>
      <c r="I276" s="514"/>
      <c r="J276" s="514"/>
      <c r="K276" s="514"/>
      <c r="L276" s="514"/>
      <c r="M276" s="514"/>
      <c r="N276" s="514"/>
      <c r="O276" s="514"/>
      <c r="P276" s="514"/>
      <c r="Q276" s="514"/>
      <c r="R276" s="514"/>
      <c r="S276" s="514"/>
      <c r="T276" s="514"/>
      <c r="U276" s="353">
        <f>VLOOKUP(F276,Preisliste!C:G,5,FALSE)</f>
        <v>374.27500000000003</v>
      </c>
      <c r="V276" s="352">
        <f t="shared" si="92"/>
        <v>0</v>
      </c>
      <c r="W276" s="146"/>
      <c r="X276" s="146"/>
      <c r="Y276" s="86"/>
      <c r="Z276" s="143">
        <f>(VLOOKUP(F276,Preisliste!C:G,5,FALSE)-VLOOKUP(F276,Preisliste!C:G,4,FALSE))*B276</f>
        <v>0</v>
      </c>
      <c r="AA276" s="86"/>
      <c r="AB276" s="86"/>
      <c r="AC276" s="86"/>
      <c r="AD276" s="86"/>
      <c r="AE276" s="86"/>
      <c r="AF276" s="86"/>
      <c r="AK276" s="86">
        <f>IF(Kalk5!$AA$13,'STK5'!$B76,0)</f>
        <v>0</v>
      </c>
      <c r="AL276" s="86">
        <f t="shared" si="107"/>
        <v>0</v>
      </c>
    </row>
    <row r="277" spans="2:89" ht="24.95" customHeight="1">
      <c r="B277" s="92">
        <f t="shared" si="85"/>
        <v>0</v>
      </c>
      <c r="C277" s="138">
        <f>AK277</f>
        <v>0</v>
      </c>
      <c r="D277" s="60"/>
      <c r="E277" s="60" t="str">
        <f>VLOOKUP(1600,Sprachindex!$A:$Z,Erhebungsbogen!$Y$20,FALSE)</f>
        <v>[Stk]</v>
      </c>
      <c r="F277" s="60" t="s">
        <v>21900</v>
      </c>
      <c r="G277" s="514" t="str">
        <f>VLOOKUP(1718,Sprachindex!$A:$Z,Erhebungsbogen!$Y$20,FALSE) &amp; ", " &amp; VLOOKUP(1648,Sprachindex!$A:$Z,Erhebungsbogen!$Y$20,FALSE)</f>
        <v>Grundprofil 50 (H-Profil v.d.L.) Sonderlänge exkl. Dichtung, (Stangenware), blank</v>
      </c>
      <c r="H277" s="514"/>
      <c r="I277" s="514"/>
      <c r="J277" s="514"/>
      <c r="K277" s="514"/>
      <c r="L277" s="514"/>
      <c r="M277" s="514"/>
      <c r="N277" s="514"/>
      <c r="O277" s="514"/>
      <c r="P277" s="514"/>
      <c r="Q277" s="514"/>
      <c r="R277" s="514"/>
      <c r="S277" s="514"/>
      <c r="T277" s="514"/>
      <c r="U277" s="352">
        <f>VLOOKUP(F277,Preisliste!C:F,4,FALSE)</f>
        <v>148.5</v>
      </c>
      <c r="V277" s="352">
        <f t="shared" si="92"/>
        <v>0</v>
      </c>
      <c r="W277" s="146"/>
      <c r="X277" s="146"/>
      <c r="Y277" s="86"/>
      <c r="Z277" s="143"/>
      <c r="AA277" s="86"/>
      <c r="AB277" s="86"/>
      <c r="AC277" s="86"/>
      <c r="AD277" s="86"/>
      <c r="AE277" s="86"/>
      <c r="AF277" s="86"/>
      <c r="AK277" s="86">
        <f>'STK1'!$C$77</f>
        <v>0</v>
      </c>
      <c r="AL277" s="86">
        <f>'STK1'!$B$77</f>
        <v>0</v>
      </c>
      <c r="CK277" s="245"/>
    </row>
    <row r="278" spans="2:89" ht="24.95" customHeight="1">
      <c r="B278" s="92">
        <f t="shared" si="85"/>
        <v>0</v>
      </c>
      <c r="C278" s="138">
        <f t="shared" ref="C278:C281" si="115">AK278</f>
        <v>0</v>
      </c>
      <c r="D278" s="60"/>
      <c r="E278" s="60" t="str">
        <f>VLOOKUP(1600,Sprachindex!$A:$Z,Erhebungsbogen!$Y$20,FALSE)</f>
        <v>[Stk]</v>
      </c>
      <c r="F278" s="60" t="s">
        <v>21900</v>
      </c>
      <c r="G278" s="514" t="str">
        <f>VLOOKUP(1718,Sprachindex!$A:$Z,Erhebungsbogen!$Y$20,FALSE) &amp; ", " &amp; VLOOKUP(1648,Sprachindex!$A:$Z,Erhebungsbogen!$Y$20,FALSE)</f>
        <v>Grundprofil 50 (H-Profil v.d.L.) Sonderlänge exkl. Dichtung, (Stangenware), blank</v>
      </c>
      <c r="H278" s="514"/>
      <c r="I278" s="514"/>
      <c r="J278" s="514"/>
      <c r="K278" s="514"/>
      <c r="L278" s="514"/>
      <c r="M278" s="514"/>
      <c r="N278" s="514"/>
      <c r="O278" s="514"/>
      <c r="P278" s="514"/>
      <c r="Q278" s="514"/>
      <c r="R278" s="514"/>
      <c r="S278" s="514"/>
      <c r="T278" s="514"/>
      <c r="U278" s="352">
        <f>VLOOKUP(F278,Preisliste!C:F,4,FALSE)</f>
        <v>148.5</v>
      </c>
      <c r="V278" s="352">
        <f t="shared" si="92"/>
        <v>0</v>
      </c>
      <c r="W278" s="146"/>
      <c r="X278" s="146"/>
      <c r="Y278" s="86"/>
      <c r="Z278" s="143"/>
      <c r="AA278" s="86"/>
      <c r="AB278" s="86"/>
      <c r="AC278" s="86"/>
      <c r="AD278" s="86"/>
      <c r="AE278" s="86"/>
      <c r="AF278" s="86"/>
      <c r="AK278" s="86">
        <f>'STK2'!$C$77</f>
        <v>0</v>
      </c>
      <c r="AL278" s="86">
        <f>'STK2'!$B$77</f>
        <v>0</v>
      </c>
      <c r="CK278" s="245"/>
    </row>
    <row r="279" spans="2:89" ht="24.95" customHeight="1">
      <c r="B279" s="92">
        <f t="shared" si="85"/>
        <v>0</v>
      </c>
      <c r="C279" s="138">
        <f t="shared" si="115"/>
        <v>0</v>
      </c>
      <c r="D279" s="60"/>
      <c r="E279" s="60" t="str">
        <f>VLOOKUP(1600,Sprachindex!$A:$Z,Erhebungsbogen!$Y$20,FALSE)</f>
        <v>[Stk]</v>
      </c>
      <c r="F279" s="60" t="s">
        <v>21900</v>
      </c>
      <c r="G279" s="514" t="str">
        <f>VLOOKUP(1718,Sprachindex!$A:$Z,Erhebungsbogen!$Y$20,FALSE) &amp; ", " &amp; VLOOKUP(1648,Sprachindex!$A:$Z,Erhebungsbogen!$Y$20,FALSE)</f>
        <v>Grundprofil 50 (H-Profil v.d.L.) Sonderlänge exkl. Dichtung, (Stangenware), blank</v>
      </c>
      <c r="H279" s="514"/>
      <c r="I279" s="514"/>
      <c r="J279" s="514"/>
      <c r="K279" s="514"/>
      <c r="L279" s="514"/>
      <c r="M279" s="514"/>
      <c r="N279" s="514"/>
      <c r="O279" s="514"/>
      <c r="P279" s="514"/>
      <c r="Q279" s="514"/>
      <c r="R279" s="514"/>
      <c r="S279" s="514"/>
      <c r="T279" s="514"/>
      <c r="U279" s="352">
        <f>VLOOKUP(F279,Preisliste!C:F,4,FALSE)</f>
        <v>148.5</v>
      </c>
      <c r="V279" s="352">
        <f t="shared" ref="V279" si="116">U279*B279</f>
        <v>0</v>
      </c>
      <c r="W279" s="146"/>
      <c r="X279" s="146"/>
      <c r="Y279" s="86"/>
      <c r="Z279" s="143"/>
      <c r="AA279" s="86"/>
      <c r="AB279" s="86"/>
      <c r="AC279" s="86"/>
      <c r="AD279" s="86"/>
      <c r="AE279" s="86"/>
      <c r="AF279" s="86"/>
      <c r="AK279" s="86">
        <f>'STK3'!$C$77</f>
        <v>0</v>
      </c>
      <c r="AL279" s="86">
        <f>'STK3'!$B$77</f>
        <v>0</v>
      </c>
      <c r="CK279" s="245"/>
    </row>
    <row r="280" spans="2:89" ht="24.95" customHeight="1">
      <c r="B280" s="92">
        <f t="shared" ref="B280:B367" si="117">AL280</f>
        <v>0</v>
      </c>
      <c r="C280" s="138">
        <f t="shared" si="115"/>
        <v>0</v>
      </c>
      <c r="D280" s="60"/>
      <c r="E280" s="60" t="str">
        <f>VLOOKUP(1600,Sprachindex!$A:$Z,Erhebungsbogen!$Y$20,FALSE)</f>
        <v>[Stk]</v>
      </c>
      <c r="F280" s="60" t="s">
        <v>21900</v>
      </c>
      <c r="G280" s="514" t="str">
        <f>VLOOKUP(1718,Sprachindex!$A:$Z,Erhebungsbogen!$Y$20,FALSE) &amp; ", " &amp; VLOOKUP(1648,Sprachindex!$A:$Z,Erhebungsbogen!$Y$20,FALSE)</f>
        <v>Grundprofil 50 (H-Profil v.d.L.) Sonderlänge exkl. Dichtung, (Stangenware), blank</v>
      </c>
      <c r="H280" s="514"/>
      <c r="I280" s="514"/>
      <c r="J280" s="514"/>
      <c r="K280" s="514"/>
      <c r="L280" s="514"/>
      <c r="M280" s="514"/>
      <c r="N280" s="514"/>
      <c r="O280" s="514"/>
      <c r="P280" s="514"/>
      <c r="Q280" s="514"/>
      <c r="R280" s="514"/>
      <c r="S280" s="514"/>
      <c r="T280" s="514"/>
      <c r="U280" s="352">
        <f>VLOOKUP(F280,Preisliste!C:F,4,FALSE)</f>
        <v>148.5</v>
      </c>
      <c r="V280" s="352">
        <f t="shared" ref="V280" si="118">U280*B280</f>
        <v>0</v>
      </c>
      <c r="W280" s="146"/>
      <c r="X280" s="146"/>
      <c r="Y280" s="86"/>
      <c r="Z280" s="143"/>
      <c r="AA280" s="86"/>
      <c r="AB280" s="86"/>
      <c r="AC280" s="86"/>
      <c r="AD280" s="86"/>
      <c r="AE280" s="86"/>
      <c r="AF280" s="86"/>
      <c r="AK280" s="86">
        <f>'STK4'!$C$77</f>
        <v>0</v>
      </c>
      <c r="AL280" s="86">
        <f>'STK4'!$B$77</f>
        <v>0</v>
      </c>
      <c r="CK280" s="245"/>
    </row>
    <row r="281" spans="2:89" ht="24.95" customHeight="1">
      <c r="B281" s="92">
        <f t="shared" si="117"/>
        <v>0</v>
      </c>
      <c r="C281" s="138">
        <f t="shared" si="115"/>
        <v>0</v>
      </c>
      <c r="D281" s="60"/>
      <c r="E281" s="60" t="str">
        <f>VLOOKUP(1600,Sprachindex!$A:$Z,Erhebungsbogen!$Y$20,FALSE)</f>
        <v>[Stk]</v>
      </c>
      <c r="F281" s="60" t="s">
        <v>21900</v>
      </c>
      <c r="G281" s="514" t="str">
        <f>VLOOKUP(1718,Sprachindex!$A:$Z,Erhebungsbogen!$Y$20,FALSE) &amp; ", " &amp; VLOOKUP(1648,Sprachindex!$A:$Z,Erhebungsbogen!$Y$20,FALSE)</f>
        <v>Grundprofil 50 (H-Profil v.d.L.) Sonderlänge exkl. Dichtung, (Stangenware), blank</v>
      </c>
      <c r="H281" s="514"/>
      <c r="I281" s="514"/>
      <c r="J281" s="514"/>
      <c r="K281" s="514"/>
      <c r="L281" s="514"/>
      <c r="M281" s="514"/>
      <c r="N281" s="514"/>
      <c r="O281" s="514"/>
      <c r="P281" s="514"/>
      <c r="Q281" s="514"/>
      <c r="R281" s="514"/>
      <c r="S281" s="514"/>
      <c r="T281" s="514"/>
      <c r="U281" s="352">
        <f>VLOOKUP(F281,Preisliste!C:F,4,FALSE)</f>
        <v>148.5</v>
      </c>
      <c r="V281" s="352">
        <f t="shared" si="92"/>
        <v>0</v>
      </c>
      <c r="W281" s="146"/>
      <c r="X281" s="146"/>
      <c r="Y281" s="86"/>
      <c r="Z281" s="143"/>
      <c r="AA281" s="86"/>
      <c r="AB281" s="86"/>
      <c r="AC281" s="86"/>
      <c r="AD281" s="86"/>
      <c r="AE281" s="86"/>
      <c r="AF281" s="86"/>
      <c r="AK281" s="86">
        <f>'STK5'!$C$77</f>
        <v>0</v>
      </c>
      <c r="AL281" s="86">
        <f>'STK5'!$B$77</f>
        <v>0</v>
      </c>
      <c r="CK281" s="245"/>
    </row>
    <row r="282" spans="2:89" ht="24.95" customHeight="1">
      <c r="B282" s="92">
        <f t="shared" si="117"/>
        <v>0</v>
      </c>
      <c r="C282" s="60">
        <v>750</v>
      </c>
      <c r="D282" s="60"/>
      <c r="E282" s="60" t="str">
        <f>VLOOKUP(1600,Sprachindex!$A:$Z,Erhebungsbogen!$Y$20,FALSE)</f>
        <v>[Stk]</v>
      </c>
      <c r="F282" s="60" t="s">
        <v>21901</v>
      </c>
      <c r="G282" s="514" t="str">
        <f>VLOOKUP(1720,Sprachindex!$A:$Z,Erhebungsbogen!$Y$20,FALSE) &amp; ", " &amp; VLOOKUP(1648,Sprachindex!$A:$Z,Erhebungsbogen!$Y$20,FALSE)</f>
        <v>Grundprofil 80 (H-Profil v.d.L.) exkl. Dichtung, gebohrt und entgratet, blank</v>
      </c>
      <c r="H282" s="514"/>
      <c r="I282" s="514"/>
      <c r="J282" s="514"/>
      <c r="K282" s="514"/>
      <c r="L282" s="514"/>
      <c r="M282" s="514"/>
      <c r="N282" s="514"/>
      <c r="O282" s="514"/>
      <c r="P282" s="514"/>
      <c r="Q282" s="514"/>
      <c r="R282" s="514"/>
      <c r="S282" s="514"/>
      <c r="T282" s="514"/>
      <c r="U282" s="352">
        <f>VLOOKUP(F282,Preisliste!C:F,4,FALSE)</f>
        <v>160.5</v>
      </c>
      <c r="V282" s="352">
        <f t="shared" ref="V282:V286" si="119">U282*B282</f>
        <v>0</v>
      </c>
      <c r="W282" s="146"/>
      <c r="X282" s="146"/>
      <c r="Y282" s="86"/>
      <c r="Z282" s="143"/>
      <c r="AA282" s="86"/>
      <c r="AB282" s="86"/>
      <c r="AC282" s="86"/>
      <c r="AD282" s="86"/>
      <c r="AE282" s="86"/>
      <c r="AF282" s="86"/>
      <c r="AG282" s="86">
        <f>IF(Kalk1!$AA$13=FALSE,'STK1'!$B78,0)</f>
        <v>0</v>
      </c>
      <c r="AH282" s="86">
        <f>IF(Kalk2!$AA$13=FALSE,'STK2'!$B78,0)</f>
        <v>0</v>
      </c>
      <c r="AI282" s="86">
        <f>IF(Kalk3!$AA$13=FALSE,'STK3'!$B78,0)</f>
        <v>0</v>
      </c>
      <c r="AJ282" s="86">
        <f>IF(Kalk4!$AA$13=FALSE,'STK4'!$B78,0)</f>
        <v>0</v>
      </c>
      <c r="AK282" s="86">
        <f>IF(Kalk5!$AA$13=FALSE,'STK5'!$B78,0)</f>
        <v>0</v>
      </c>
      <c r="AL282" s="86">
        <f t="shared" si="107"/>
        <v>0</v>
      </c>
    </row>
    <row r="283" spans="2:89" ht="24.95" customHeight="1">
      <c r="B283" s="92">
        <f t="shared" ref="B283:B286" si="120">AL283</f>
        <v>0</v>
      </c>
      <c r="C283" s="60">
        <v>750</v>
      </c>
      <c r="D283" s="60"/>
      <c r="E283" s="60" t="str">
        <f>VLOOKUP(1600,Sprachindex!$A:$Z,Erhebungsbogen!$Y$20,FALSE)</f>
        <v>[Stk]</v>
      </c>
      <c r="F283" s="60" t="s">
        <v>21901</v>
      </c>
      <c r="G283" s="514" t="str">
        <f>VLOOKUP(1720,Sprachindex!$A:$Z,Erhebungsbogen!$Y$20,FALSE) &amp; ", " &amp; VLOOKUP(1645,Sprachindex!$A:$Z,Erhebungsbogen!$Y$20,FALSE) &amp; " " &amp; $AG$18</f>
        <v xml:space="preserve">Grundprofil 80 (H-Profil v.d.L.) exkl. Dichtung, gebohrt und entgratet, beschichtet </v>
      </c>
      <c r="H283" s="514"/>
      <c r="I283" s="514"/>
      <c r="J283" s="514"/>
      <c r="K283" s="514"/>
      <c r="L283" s="514"/>
      <c r="M283" s="514"/>
      <c r="N283" s="514"/>
      <c r="O283" s="514"/>
      <c r="P283" s="514"/>
      <c r="Q283" s="514"/>
      <c r="R283" s="514"/>
      <c r="S283" s="514"/>
      <c r="T283" s="514"/>
      <c r="U283" s="353">
        <f>VLOOKUP(F283,Preisliste!C:G,5,FALSE)</f>
        <v>176.55</v>
      </c>
      <c r="V283" s="352">
        <f t="shared" si="119"/>
        <v>0</v>
      </c>
      <c r="W283" s="146"/>
      <c r="X283" s="146"/>
      <c r="Y283" s="86"/>
      <c r="Z283" s="143">
        <f>(VLOOKUP(F283,Preisliste!C:G,5,FALSE)-VLOOKUP(F283,Preisliste!C:G,4,FALSE))*B283</f>
        <v>0</v>
      </c>
      <c r="AA283" s="86"/>
      <c r="AB283" s="86"/>
      <c r="AC283" s="86"/>
      <c r="AD283" s="86"/>
      <c r="AE283" s="86"/>
      <c r="AF283" s="86"/>
      <c r="AG283" s="86">
        <f>IF(Kalk1!$AA$13,'STK1'!$B78,0)</f>
        <v>0</v>
      </c>
      <c r="AL283" s="86">
        <f>SUM(AG283:AK283)</f>
        <v>0</v>
      </c>
    </row>
    <row r="284" spans="2:89" ht="24.95" customHeight="1">
      <c r="B284" s="92">
        <f t="shared" si="120"/>
        <v>0</v>
      </c>
      <c r="C284" s="60">
        <v>750</v>
      </c>
      <c r="D284" s="60"/>
      <c r="E284" s="60" t="str">
        <f>VLOOKUP(1600,Sprachindex!$A:$Z,Erhebungsbogen!$Y$20,FALSE)</f>
        <v>[Stk]</v>
      </c>
      <c r="F284" s="60" t="s">
        <v>21901</v>
      </c>
      <c r="G284" s="514" t="str">
        <f>VLOOKUP(1720,Sprachindex!$A:$Z,Erhebungsbogen!$Y$20,FALSE) &amp; ", " &amp; VLOOKUP(1645,Sprachindex!$A:$Z,Erhebungsbogen!$Y$20,FALSE) &amp; " " &amp; $AH$18</f>
        <v>Grundprofil 80 (H-Profil v.d.L.) exkl. Dichtung, gebohrt und entgratet, beschichtet 0</v>
      </c>
      <c r="H284" s="514"/>
      <c r="I284" s="514"/>
      <c r="J284" s="514"/>
      <c r="K284" s="514"/>
      <c r="L284" s="514"/>
      <c r="M284" s="514"/>
      <c r="N284" s="514"/>
      <c r="O284" s="514"/>
      <c r="P284" s="514"/>
      <c r="Q284" s="514"/>
      <c r="R284" s="514"/>
      <c r="S284" s="514"/>
      <c r="T284" s="514"/>
      <c r="U284" s="353">
        <f>VLOOKUP(F284,Preisliste!C:G,5,FALSE)</f>
        <v>176.55</v>
      </c>
      <c r="V284" s="352">
        <f t="shared" si="119"/>
        <v>0</v>
      </c>
      <c r="W284" s="146"/>
      <c r="X284" s="146"/>
      <c r="Y284" s="86"/>
      <c r="Z284" s="143">
        <f>(VLOOKUP(F284,Preisliste!C:G,5,FALSE)-VLOOKUP(F284,Preisliste!C:G,4,FALSE))*B284</f>
        <v>0</v>
      </c>
      <c r="AA284" s="86"/>
      <c r="AB284" s="86"/>
      <c r="AC284" s="86"/>
      <c r="AD284" s="86"/>
      <c r="AE284" s="86"/>
      <c r="AF284" s="86"/>
      <c r="AH284" s="86">
        <f>IF(Kalk2!$AA$13,'STK2'!$B78,0)</f>
        <v>0</v>
      </c>
      <c r="AL284" s="86">
        <f t="shared" si="107"/>
        <v>0</v>
      </c>
    </row>
    <row r="285" spans="2:89" ht="24.95" customHeight="1">
      <c r="B285" s="92">
        <f t="shared" si="120"/>
        <v>0</v>
      </c>
      <c r="C285" s="60">
        <v>750</v>
      </c>
      <c r="D285" s="60"/>
      <c r="E285" s="60" t="str">
        <f>VLOOKUP(1600,Sprachindex!$A:$Z,Erhebungsbogen!$Y$20,FALSE)</f>
        <v>[Stk]</v>
      </c>
      <c r="F285" s="60" t="s">
        <v>21901</v>
      </c>
      <c r="G285" s="514" t="str">
        <f>VLOOKUP(1720,Sprachindex!$A:$Z,Erhebungsbogen!$Y$20,FALSE) &amp; ", " &amp; VLOOKUP(1645,Sprachindex!$A:$Z,Erhebungsbogen!$Y$20,FALSE) &amp; " " &amp; $AI$18</f>
        <v>Grundprofil 80 (H-Profil v.d.L.) exkl. Dichtung, gebohrt und entgratet, beschichtet 0</v>
      </c>
      <c r="H285" s="514"/>
      <c r="I285" s="514"/>
      <c r="J285" s="514"/>
      <c r="K285" s="514"/>
      <c r="L285" s="514"/>
      <c r="M285" s="514"/>
      <c r="N285" s="514"/>
      <c r="O285" s="514"/>
      <c r="P285" s="514"/>
      <c r="Q285" s="514"/>
      <c r="R285" s="514"/>
      <c r="S285" s="514"/>
      <c r="T285" s="514"/>
      <c r="U285" s="353">
        <f>VLOOKUP(F285,Preisliste!C:G,5,FALSE)</f>
        <v>176.55</v>
      </c>
      <c r="V285" s="352">
        <f t="shared" si="119"/>
        <v>0</v>
      </c>
      <c r="W285" s="146"/>
      <c r="X285" s="146"/>
      <c r="Y285" s="86"/>
      <c r="Z285" s="143">
        <f>(VLOOKUP(F285,Preisliste!C:G,5,FALSE)-VLOOKUP(F285,Preisliste!C:G,4,FALSE))*B285</f>
        <v>0</v>
      </c>
      <c r="AA285" s="86"/>
      <c r="AB285" s="86"/>
      <c r="AC285" s="86"/>
      <c r="AD285" s="86"/>
      <c r="AE285" s="86"/>
      <c r="AF285" s="86"/>
      <c r="AI285" s="86">
        <f>IF(Kalk3!$AA$13,'STK3'!$B78,0)</f>
        <v>0</v>
      </c>
      <c r="AL285" s="86">
        <f t="shared" si="107"/>
        <v>0</v>
      </c>
    </row>
    <row r="286" spans="2:89" ht="24.95" customHeight="1">
      <c r="B286" s="92">
        <f t="shared" si="120"/>
        <v>0</v>
      </c>
      <c r="C286" s="60">
        <v>750</v>
      </c>
      <c r="D286" s="60"/>
      <c r="E286" s="60" t="str">
        <f>VLOOKUP(1600,Sprachindex!$A:$Z,Erhebungsbogen!$Y$20,FALSE)</f>
        <v>[Stk]</v>
      </c>
      <c r="F286" s="60" t="s">
        <v>21901</v>
      </c>
      <c r="G286" s="514" t="str">
        <f>VLOOKUP(1720,Sprachindex!$A:$Z,Erhebungsbogen!$Y$20,FALSE) &amp; ", " &amp; VLOOKUP(1645,Sprachindex!$A:$Z,Erhebungsbogen!$Y$20,FALSE) &amp; " " &amp; $AJ$18</f>
        <v>Grundprofil 80 (H-Profil v.d.L.) exkl. Dichtung, gebohrt und entgratet, beschichtet 0</v>
      </c>
      <c r="H286" s="514"/>
      <c r="I286" s="514"/>
      <c r="J286" s="514"/>
      <c r="K286" s="514"/>
      <c r="L286" s="514"/>
      <c r="M286" s="514"/>
      <c r="N286" s="514"/>
      <c r="O286" s="514"/>
      <c r="P286" s="514"/>
      <c r="Q286" s="514"/>
      <c r="R286" s="514"/>
      <c r="S286" s="514"/>
      <c r="T286" s="514"/>
      <c r="U286" s="353">
        <f>VLOOKUP(F286,Preisliste!C:G,5,FALSE)</f>
        <v>176.55</v>
      </c>
      <c r="V286" s="352">
        <f t="shared" si="119"/>
        <v>0</v>
      </c>
      <c r="W286" s="146"/>
      <c r="X286" s="146"/>
      <c r="Y286" s="86"/>
      <c r="Z286" s="143">
        <f>(VLOOKUP(F286,Preisliste!C:G,5,FALSE)-VLOOKUP(F286,Preisliste!C:G,4,FALSE))*B286</f>
        <v>0</v>
      </c>
      <c r="AA286" s="86"/>
      <c r="AB286" s="86"/>
      <c r="AC286" s="86"/>
      <c r="AD286" s="86"/>
      <c r="AE286" s="86"/>
      <c r="AF286" s="86"/>
      <c r="AJ286" s="86">
        <f>IF(Kalk4!$AA$13,'STK4'!$B78,0)</f>
        <v>0</v>
      </c>
      <c r="AL286" s="86">
        <f t="shared" si="107"/>
        <v>0</v>
      </c>
    </row>
    <row r="287" spans="2:89" ht="24.95" customHeight="1">
      <c r="B287" s="92">
        <f t="shared" si="117"/>
        <v>0</v>
      </c>
      <c r="C287" s="60">
        <v>750</v>
      </c>
      <c r="D287" s="60"/>
      <c r="E287" s="60" t="str">
        <f>VLOOKUP(1600,Sprachindex!$A:$Z,Erhebungsbogen!$Y$20,FALSE)</f>
        <v>[Stk]</v>
      </c>
      <c r="F287" s="60" t="s">
        <v>21901</v>
      </c>
      <c r="G287" s="514" t="str">
        <f>VLOOKUP(1720,Sprachindex!$A:$Z,Erhebungsbogen!$Y$20,FALSE) &amp; ", " &amp; VLOOKUP(1645,Sprachindex!$A:$Z,Erhebungsbogen!$Y$20,FALSE) &amp; " " &amp; $AK$18</f>
        <v>Grundprofil 80 (H-Profil v.d.L.) exkl. Dichtung, gebohrt und entgratet, beschichtet 0</v>
      </c>
      <c r="H287" s="514"/>
      <c r="I287" s="514"/>
      <c r="J287" s="514"/>
      <c r="K287" s="514"/>
      <c r="L287" s="514"/>
      <c r="M287" s="514"/>
      <c r="N287" s="514"/>
      <c r="O287" s="514"/>
      <c r="P287" s="514"/>
      <c r="Q287" s="514"/>
      <c r="R287" s="514"/>
      <c r="S287" s="514"/>
      <c r="T287" s="514"/>
      <c r="U287" s="353">
        <f>VLOOKUP(F287,Preisliste!C:G,5,FALSE)</f>
        <v>176.55</v>
      </c>
      <c r="V287" s="352">
        <f t="shared" si="92"/>
        <v>0</v>
      </c>
      <c r="W287" s="146"/>
      <c r="X287" s="146"/>
      <c r="Y287" s="86"/>
      <c r="Z287" s="143">
        <f>(VLOOKUP(F287,Preisliste!C:G,5,FALSE)-VLOOKUP(F287,Preisliste!C:G,4,FALSE))*B287</f>
        <v>0</v>
      </c>
      <c r="AA287" s="86"/>
      <c r="AB287" s="86"/>
      <c r="AC287" s="86"/>
      <c r="AD287" s="86"/>
      <c r="AE287" s="86"/>
      <c r="AF287" s="86"/>
      <c r="AK287" s="86">
        <f>IF(Kalk5!$AA$13,'STK5'!$B78,0)</f>
        <v>0</v>
      </c>
      <c r="AL287" s="86">
        <f t="shared" si="107"/>
        <v>0</v>
      </c>
    </row>
    <row r="288" spans="2:89" ht="24.95" customHeight="1">
      <c r="B288" s="92">
        <f t="shared" si="117"/>
        <v>0</v>
      </c>
      <c r="C288" s="60">
        <v>1350</v>
      </c>
      <c r="D288" s="60"/>
      <c r="E288" s="60" t="str">
        <f>VLOOKUP(1600,Sprachindex!$A:$Z,Erhebungsbogen!$Y$20,FALSE)</f>
        <v>[Stk]</v>
      </c>
      <c r="F288" s="60" t="s">
        <v>21902</v>
      </c>
      <c r="G288" s="514" t="str">
        <f>VLOOKUP(1720,Sprachindex!$A:$Z,Erhebungsbogen!$Y$20,FALSE) &amp; ", " &amp; VLOOKUP(1648,Sprachindex!$A:$Z,Erhebungsbogen!$Y$20,FALSE)</f>
        <v>Grundprofil 80 (H-Profil v.d.L.) exkl. Dichtung, gebohrt und entgratet, blank</v>
      </c>
      <c r="H288" s="514"/>
      <c r="I288" s="514"/>
      <c r="J288" s="514"/>
      <c r="K288" s="514"/>
      <c r="L288" s="514"/>
      <c r="M288" s="514"/>
      <c r="N288" s="514"/>
      <c r="O288" s="514"/>
      <c r="P288" s="514"/>
      <c r="Q288" s="514"/>
      <c r="R288" s="514"/>
      <c r="S288" s="514"/>
      <c r="T288" s="514"/>
      <c r="U288" s="352">
        <f>VLOOKUP(F288,Preisliste!C:F,4,FALSE)</f>
        <v>256.5</v>
      </c>
      <c r="V288" s="352">
        <f t="shared" ref="V288:V292" si="121">U288*B288</f>
        <v>0</v>
      </c>
      <c r="W288" s="146"/>
      <c r="X288" s="146"/>
      <c r="Y288" s="86"/>
      <c r="Z288" s="143"/>
      <c r="AA288" s="86"/>
      <c r="AB288" s="86"/>
      <c r="AC288" s="86"/>
      <c r="AD288" s="86"/>
      <c r="AE288" s="86"/>
      <c r="AF288" s="86"/>
      <c r="AG288" s="86">
        <f>IF(Kalk1!$AA$13=FALSE,'STK1'!$B79,0)</f>
        <v>0</v>
      </c>
      <c r="AH288" s="86">
        <f>IF(Kalk2!$AA$13=FALSE,'STK2'!$B79,0)</f>
        <v>0</v>
      </c>
      <c r="AI288" s="86">
        <f>IF(Kalk3!$AA$13=FALSE,'STK3'!$B79,0)</f>
        <v>0</v>
      </c>
      <c r="AJ288" s="86">
        <f>IF(Kalk4!$AA$13=FALSE,'STK4'!$B79,0)</f>
        <v>0</v>
      </c>
      <c r="AK288" s="86">
        <f>IF(Kalk5!$AA$13=FALSE,'STK5'!$B79,0)</f>
        <v>0</v>
      </c>
      <c r="AL288" s="86">
        <f t="shared" si="107"/>
        <v>0</v>
      </c>
    </row>
    <row r="289" spans="2:38" ht="24.95" customHeight="1">
      <c r="B289" s="92">
        <f t="shared" ref="B289:B292" si="122">AL289</f>
        <v>0</v>
      </c>
      <c r="C289" s="60">
        <v>1350</v>
      </c>
      <c r="D289" s="60"/>
      <c r="E289" s="60" t="str">
        <f>VLOOKUP(1600,Sprachindex!$A:$Z,Erhebungsbogen!$Y$20,FALSE)</f>
        <v>[Stk]</v>
      </c>
      <c r="F289" s="60" t="s">
        <v>21902</v>
      </c>
      <c r="G289" s="514" t="str">
        <f>VLOOKUP(1720,Sprachindex!$A:$Z,Erhebungsbogen!$Y$20,FALSE) &amp; ", " &amp; VLOOKUP(1645,Sprachindex!$A:$Z,Erhebungsbogen!$Y$20,FALSE) &amp; " " &amp; $AG$18</f>
        <v xml:space="preserve">Grundprofil 80 (H-Profil v.d.L.) exkl. Dichtung, gebohrt und entgratet, beschichtet </v>
      </c>
      <c r="H289" s="514"/>
      <c r="I289" s="514"/>
      <c r="J289" s="514"/>
      <c r="K289" s="514"/>
      <c r="L289" s="514"/>
      <c r="M289" s="514"/>
      <c r="N289" s="514"/>
      <c r="O289" s="514"/>
      <c r="P289" s="514"/>
      <c r="Q289" s="514"/>
      <c r="R289" s="514"/>
      <c r="S289" s="514"/>
      <c r="T289" s="514"/>
      <c r="U289" s="353">
        <f>VLOOKUP(F289,Preisliste!C:G,5,FALSE)</f>
        <v>282.15000000000003</v>
      </c>
      <c r="V289" s="352">
        <f t="shared" si="121"/>
        <v>0</v>
      </c>
      <c r="W289" s="146"/>
      <c r="X289" s="146"/>
      <c r="Y289" s="86"/>
      <c r="Z289" s="143">
        <f>(VLOOKUP(F289,Preisliste!C:G,5,FALSE)-VLOOKUP(F289,Preisliste!C:G,4,FALSE))*B289</f>
        <v>0</v>
      </c>
      <c r="AA289" s="86"/>
      <c r="AB289" s="86"/>
      <c r="AC289" s="86"/>
      <c r="AD289" s="86"/>
      <c r="AE289" s="86"/>
      <c r="AF289" s="86"/>
      <c r="AG289" s="86">
        <f>IF(Kalk1!$AA$13,'STK1'!$B79,0)</f>
        <v>0</v>
      </c>
      <c r="AL289" s="86">
        <f>SUM(AG289:AK289)</f>
        <v>0</v>
      </c>
    </row>
    <row r="290" spans="2:38" ht="24.95" customHeight="1">
      <c r="B290" s="92">
        <f t="shared" si="122"/>
        <v>0</v>
      </c>
      <c r="C290" s="60">
        <v>1350</v>
      </c>
      <c r="D290" s="60"/>
      <c r="E290" s="60" t="str">
        <f>VLOOKUP(1600,Sprachindex!$A:$Z,Erhebungsbogen!$Y$20,FALSE)</f>
        <v>[Stk]</v>
      </c>
      <c r="F290" s="60" t="s">
        <v>21902</v>
      </c>
      <c r="G290" s="514" t="str">
        <f>VLOOKUP(1720,Sprachindex!$A:$Z,Erhebungsbogen!$Y$20,FALSE) &amp; ", " &amp; VLOOKUP(1645,Sprachindex!$A:$Z,Erhebungsbogen!$Y$20,FALSE) &amp; " " &amp; $AH$18</f>
        <v>Grundprofil 80 (H-Profil v.d.L.) exkl. Dichtung, gebohrt und entgratet, beschichtet 0</v>
      </c>
      <c r="H290" s="514"/>
      <c r="I290" s="514"/>
      <c r="J290" s="514"/>
      <c r="K290" s="514"/>
      <c r="L290" s="514"/>
      <c r="M290" s="514"/>
      <c r="N290" s="514"/>
      <c r="O290" s="514"/>
      <c r="P290" s="514"/>
      <c r="Q290" s="514"/>
      <c r="R290" s="514"/>
      <c r="S290" s="514"/>
      <c r="T290" s="514"/>
      <c r="U290" s="353">
        <f>VLOOKUP(F290,Preisliste!C:G,5,FALSE)</f>
        <v>282.15000000000003</v>
      </c>
      <c r="V290" s="352">
        <f t="shared" si="121"/>
        <v>0</v>
      </c>
      <c r="W290" s="146"/>
      <c r="X290" s="146"/>
      <c r="Y290" s="86"/>
      <c r="Z290" s="143">
        <f>(VLOOKUP(F290,Preisliste!C:G,5,FALSE)-VLOOKUP(F290,Preisliste!C:G,4,FALSE))*B290</f>
        <v>0</v>
      </c>
      <c r="AA290" s="86"/>
      <c r="AB290" s="86"/>
      <c r="AC290" s="86"/>
      <c r="AD290" s="86"/>
      <c r="AE290" s="86"/>
      <c r="AF290" s="86"/>
      <c r="AH290" s="86">
        <f>IF(Kalk2!$AA$13,'STK2'!$B79,0)</f>
        <v>0</v>
      </c>
      <c r="AL290" s="86">
        <f t="shared" si="107"/>
        <v>0</v>
      </c>
    </row>
    <row r="291" spans="2:38" ht="24.95" customHeight="1">
      <c r="B291" s="92">
        <f t="shared" si="122"/>
        <v>0</v>
      </c>
      <c r="C291" s="60">
        <v>1350</v>
      </c>
      <c r="D291" s="60"/>
      <c r="E291" s="60" t="str">
        <f>VLOOKUP(1600,Sprachindex!$A:$Z,Erhebungsbogen!$Y$20,FALSE)</f>
        <v>[Stk]</v>
      </c>
      <c r="F291" s="60" t="s">
        <v>21902</v>
      </c>
      <c r="G291" s="514" t="str">
        <f>VLOOKUP(1720,Sprachindex!$A:$Z,Erhebungsbogen!$Y$20,FALSE) &amp; ", " &amp; VLOOKUP(1645,Sprachindex!$A:$Z,Erhebungsbogen!$Y$20,FALSE) &amp; " " &amp; $AI$18</f>
        <v>Grundprofil 80 (H-Profil v.d.L.) exkl. Dichtung, gebohrt und entgratet, beschichtet 0</v>
      </c>
      <c r="H291" s="514"/>
      <c r="I291" s="514"/>
      <c r="J291" s="514"/>
      <c r="K291" s="514"/>
      <c r="L291" s="514"/>
      <c r="M291" s="514"/>
      <c r="N291" s="514"/>
      <c r="O291" s="514"/>
      <c r="P291" s="514"/>
      <c r="Q291" s="514"/>
      <c r="R291" s="514"/>
      <c r="S291" s="514"/>
      <c r="T291" s="514"/>
      <c r="U291" s="353">
        <f>VLOOKUP(F291,Preisliste!C:G,5,FALSE)</f>
        <v>282.15000000000003</v>
      </c>
      <c r="V291" s="352">
        <f t="shared" si="121"/>
        <v>0</v>
      </c>
      <c r="W291" s="146"/>
      <c r="X291" s="146"/>
      <c r="Y291" s="86"/>
      <c r="Z291" s="143">
        <f>(VLOOKUP(F291,Preisliste!C:G,5,FALSE)-VLOOKUP(F291,Preisliste!C:G,4,FALSE))*B291</f>
        <v>0</v>
      </c>
      <c r="AA291" s="86"/>
      <c r="AB291" s="86"/>
      <c r="AC291" s="86"/>
      <c r="AD291" s="86"/>
      <c r="AE291" s="86"/>
      <c r="AF291" s="86"/>
      <c r="AI291" s="86">
        <f>IF(Kalk3!$AA$13,'STK3'!$B79,0)</f>
        <v>0</v>
      </c>
      <c r="AL291" s="86">
        <f t="shared" si="107"/>
        <v>0</v>
      </c>
    </row>
    <row r="292" spans="2:38" ht="24.95" customHeight="1">
      <c r="B292" s="92">
        <f t="shared" si="122"/>
        <v>0</v>
      </c>
      <c r="C292" s="60">
        <v>1350</v>
      </c>
      <c r="D292" s="60"/>
      <c r="E292" s="60" t="str">
        <f>VLOOKUP(1600,Sprachindex!$A:$Z,Erhebungsbogen!$Y$20,FALSE)</f>
        <v>[Stk]</v>
      </c>
      <c r="F292" s="60" t="s">
        <v>21902</v>
      </c>
      <c r="G292" s="514" t="str">
        <f>VLOOKUP(1720,Sprachindex!$A:$Z,Erhebungsbogen!$Y$20,FALSE) &amp; ", " &amp; VLOOKUP(1645,Sprachindex!$A:$Z,Erhebungsbogen!$Y$20,FALSE) &amp; " " &amp; $AJ$18</f>
        <v>Grundprofil 80 (H-Profil v.d.L.) exkl. Dichtung, gebohrt und entgratet, beschichtet 0</v>
      </c>
      <c r="H292" s="514"/>
      <c r="I292" s="514"/>
      <c r="J292" s="514"/>
      <c r="K292" s="514"/>
      <c r="L292" s="514"/>
      <c r="M292" s="514"/>
      <c r="N292" s="514"/>
      <c r="O292" s="514"/>
      <c r="P292" s="514"/>
      <c r="Q292" s="514"/>
      <c r="R292" s="514"/>
      <c r="S292" s="514"/>
      <c r="T292" s="514"/>
      <c r="U292" s="353">
        <f>VLOOKUP(F292,Preisliste!C:G,5,FALSE)</f>
        <v>282.15000000000003</v>
      </c>
      <c r="V292" s="352">
        <f t="shared" si="121"/>
        <v>0</v>
      </c>
      <c r="W292" s="146"/>
      <c r="X292" s="146"/>
      <c r="Y292" s="86"/>
      <c r="Z292" s="143">
        <f>(VLOOKUP(F292,Preisliste!C:G,5,FALSE)-VLOOKUP(F292,Preisliste!C:G,4,FALSE))*B292</f>
        <v>0</v>
      </c>
      <c r="AA292" s="86"/>
      <c r="AB292" s="86"/>
      <c r="AC292" s="86"/>
      <c r="AD292" s="86"/>
      <c r="AE292" s="86"/>
      <c r="AF292" s="86"/>
      <c r="AJ292" s="86">
        <f>IF(Kalk4!$AA$13,'STK4'!$B79,0)</f>
        <v>0</v>
      </c>
      <c r="AL292" s="86">
        <f t="shared" si="107"/>
        <v>0</v>
      </c>
    </row>
    <row r="293" spans="2:38" ht="24.95" customHeight="1">
      <c r="B293" s="92">
        <f t="shared" si="117"/>
        <v>0</v>
      </c>
      <c r="C293" s="60">
        <v>1350</v>
      </c>
      <c r="D293" s="60"/>
      <c r="E293" s="60" t="str">
        <f>VLOOKUP(1600,Sprachindex!$A:$Z,Erhebungsbogen!$Y$20,FALSE)</f>
        <v>[Stk]</v>
      </c>
      <c r="F293" s="60" t="s">
        <v>21902</v>
      </c>
      <c r="G293" s="514" t="str">
        <f>VLOOKUP(1720,Sprachindex!$A:$Z,Erhebungsbogen!$Y$20,FALSE) &amp; ", " &amp; VLOOKUP(1645,Sprachindex!$A:$Z,Erhebungsbogen!$Y$20,FALSE) &amp; " " &amp; $AK$18</f>
        <v>Grundprofil 80 (H-Profil v.d.L.) exkl. Dichtung, gebohrt und entgratet, beschichtet 0</v>
      </c>
      <c r="H293" s="514"/>
      <c r="I293" s="514"/>
      <c r="J293" s="514"/>
      <c r="K293" s="514"/>
      <c r="L293" s="514"/>
      <c r="M293" s="514"/>
      <c r="N293" s="514"/>
      <c r="O293" s="514"/>
      <c r="P293" s="514"/>
      <c r="Q293" s="514"/>
      <c r="R293" s="514"/>
      <c r="S293" s="514"/>
      <c r="T293" s="514"/>
      <c r="U293" s="353">
        <f>VLOOKUP(F293,Preisliste!C:G,5,FALSE)</f>
        <v>282.15000000000003</v>
      </c>
      <c r="V293" s="352">
        <f t="shared" si="92"/>
        <v>0</v>
      </c>
      <c r="W293" s="146"/>
      <c r="X293" s="146"/>
      <c r="Y293" s="86"/>
      <c r="Z293" s="143">
        <f>(VLOOKUP(F293,Preisliste!C:G,5,FALSE)-VLOOKUP(F293,Preisliste!C:G,4,FALSE))*B293</f>
        <v>0</v>
      </c>
      <c r="AA293" s="86"/>
      <c r="AB293" s="86"/>
      <c r="AC293" s="86"/>
      <c r="AD293" s="86"/>
      <c r="AE293" s="86"/>
      <c r="AF293" s="86"/>
      <c r="AK293" s="86">
        <f>IF(Kalk5!$AA$13,'STK5'!$B79,0)</f>
        <v>0</v>
      </c>
      <c r="AL293" s="86">
        <f t="shared" si="107"/>
        <v>0</v>
      </c>
    </row>
    <row r="294" spans="2:38" ht="24.95" customHeight="1">
      <c r="B294" s="92">
        <f t="shared" si="117"/>
        <v>0</v>
      </c>
      <c r="C294" s="60">
        <v>1750</v>
      </c>
      <c r="D294" s="60"/>
      <c r="E294" s="60" t="str">
        <f>VLOOKUP(1600,Sprachindex!$A:$Z,Erhebungsbogen!$Y$20,FALSE)</f>
        <v>[Stk]</v>
      </c>
      <c r="F294" s="60" t="s">
        <v>21903</v>
      </c>
      <c r="G294" s="514" t="str">
        <f>VLOOKUP(1720,Sprachindex!$A:$Z,Erhebungsbogen!$Y$20,FALSE) &amp; ", " &amp; VLOOKUP(1648,Sprachindex!$A:$Z,Erhebungsbogen!$Y$20,FALSE)</f>
        <v>Grundprofil 80 (H-Profil v.d.L.) exkl. Dichtung, gebohrt und entgratet, blank</v>
      </c>
      <c r="H294" s="514"/>
      <c r="I294" s="514"/>
      <c r="J294" s="514"/>
      <c r="K294" s="514"/>
      <c r="L294" s="514"/>
      <c r="M294" s="514"/>
      <c r="N294" s="514"/>
      <c r="O294" s="514"/>
      <c r="P294" s="514"/>
      <c r="Q294" s="514"/>
      <c r="R294" s="514"/>
      <c r="S294" s="514"/>
      <c r="T294" s="514"/>
      <c r="U294" s="352">
        <f>VLOOKUP(F294,Preisliste!C:F,4,FALSE)</f>
        <v>320.85000000000002</v>
      </c>
      <c r="V294" s="352">
        <f t="shared" ref="V294:V298" si="123">U294*B294</f>
        <v>0</v>
      </c>
      <c r="W294" s="146"/>
      <c r="X294" s="146"/>
      <c r="Y294" s="86"/>
      <c r="Z294" s="143"/>
      <c r="AA294" s="86"/>
      <c r="AB294" s="86"/>
      <c r="AC294" s="86"/>
      <c r="AD294" s="86"/>
      <c r="AE294" s="86"/>
      <c r="AF294" s="86"/>
      <c r="AG294" s="86">
        <f>IF(Kalk1!$AA$13=FALSE,'STK1'!$B80,0)</f>
        <v>0</v>
      </c>
      <c r="AH294" s="86">
        <f>IF(Kalk2!$AA$13=FALSE,'STK2'!$B80,0)</f>
        <v>0</v>
      </c>
      <c r="AI294" s="86">
        <f>IF(Kalk3!$AA$13=FALSE,'STK3'!$B80,0)</f>
        <v>0</v>
      </c>
      <c r="AJ294" s="86">
        <f>IF(Kalk4!$AA$13=FALSE,'STK4'!$B80,0)</f>
        <v>0</v>
      </c>
      <c r="AK294" s="86">
        <f>IF(Kalk5!$AA$13=FALSE,'STK5'!$B80,0)</f>
        <v>0</v>
      </c>
      <c r="AL294" s="86">
        <f t="shared" si="107"/>
        <v>0</v>
      </c>
    </row>
    <row r="295" spans="2:38" ht="24.95" customHeight="1">
      <c r="B295" s="92">
        <f t="shared" ref="B295:B298" si="124">AL295</f>
        <v>0</v>
      </c>
      <c r="C295" s="60">
        <v>1750</v>
      </c>
      <c r="D295" s="60"/>
      <c r="E295" s="60" t="str">
        <f>VLOOKUP(1600,Sprachindex!$A:$Z,Erhebungsbogen!$Y$20,FALSE)</f>
        <v>[Stk]</v>
      </c>
      <c r="F295" s="60" t="s">
        <v>21903</v>
      </c>
      <c r="G295" s="514" t="str">
        <f>VLOOKUP(1720,Sprachindex!$A:$Z,Erhebungsbogen!$Y$20,FALSE) &amp; ", " &amp; VLOOKUP(1645,Sprachindex!$A:$Z,Erhebungsbogen!$Y$20,FALSE) &amp; " " &amp; $AG$18</f>
        <v xml:space="preserve">Grundprofil 80 (H-Profil v.d.L.) exkl. Dichtung, gebohrt und entgratet, beschichtet </v>
      </c>
      <c r="H295" s="514"/>
      <c r="I295" s="514"/>
      <c r="J295" s="514"/>
      <c r="K295" s="514"/>
      <c r="L295" s="514"/>
      <c r="M295" s="514"/>
      <c r="N295" s="514"/>
      <c r="O295" s="514"/>
      <c r="P295" s="514"/>
      <c r="Q295" s="514"/>
      <c r="R295" s="514"/>
      <c r="S295" s="514"/>
      <c r="T295" s="514"/>
      <c r="U295" s="353">
        <f>VLOOKUP(F295,Preisliste!C:G,5,FALSE)</f>
        <v>352.93500000000006</v>
      </c>
      <c r="V295" s="352">
        <f t="shared" si="123"/>
        <v>0</v>
      </c>
      <c r="W295" s="146"/>
      <c r="X295" s="146"/>
      <c r="Y295" s="86"/>
      <c r="Z295" s="143">
        <f>(VLOOKUP(F295,Preisliste!C:G,5,FALSE)-VLOOKUP(F295,Preisliste!C:G,4,FALSE))*B295</f>
        <v>0</v>
      </c>
      <c r="AA295" s="86"/>
      <c r="AB295" s="86"/>
      <c r="AC295" s="86"/>
      <c r="AD295" s="86"/>
      <c r="AE295" s="86"/>
      <c r="AF295" s="86"/>
      <c r="AG295" s="86">
        <f>IF(Kalk1!$AA$13,'STK1'!$B80,0)</f>
        <v>0</v>
      </c>
      <c r="AL295" s="86">
        <f>SUM(AG295:AK295)</f>
        <v>0</v>
      </c>
    </row>
    <row r="296" spans="2:38" ht="24.95" customHeight="1">
      <c r="B296" s="92">
        <f t="shared" si="124"/>
        <v>0</v>
      </c>
      <c r="C296" s="60">
        <v>1750</v>
      </c>
      <c r="D296" s="60"/>
      <c r="E296" s="60" t="str">
        <f>VLOOKUP(1600,Sprachindex!$A:$Z,Erhebungsbogen!$Y$20,FALSE)</f>
        <v>[Stk]</v>
      </c>
      <c r="F296" s="60" t="s">
        <v>21903</v>
      </c>
      <c r="G296" s="514" t="str">
        <f>VLOOKUP(1720,Sprachindex!$A:$Z,Erhebungsbogen!$Y$20,FALSE) &amp; ", " &amp; VLOOKUP(1645,Sprachindex!$A:$Z,Erhebungsbogen!$Y$20,FALSE) &amp; " " &amp; $AH$18</f>
        <v>Grundprofil 80 (H-Profil v.d.L.) exkl. Dichtung, gebohrt und entgratet, beschichtet 0</v>
      </c>
      <c r="H296" s="514"/>
      <c r="I296" s="514"/>
      <c r="J296" s="514"/>
      <c r="K296" s="514"/>
      <c r="L296" s="514"/>
      <c r="M296" s="514"/>
      <c r="N296" s="514"/>
      <c r="O296" s="514"/>
      <c r="P296" s="514"/>
      <c r="Q296" s="514"/>
      <c r="R296" s="514"/>
      <c r="S296" s="514"/>
      <c r="T296" s="514"/>
      <c r="U296" s="353">
        <f>VLOOKUP(F296,Preisliste!C:G,5,FALSE)</f>
        <v>352.93500000000006</v>
      </c>
      <c r="V296" s="352">
        <f t="shared" si="123"/>
        <v>0</v>
      </c>
      <c r="W296" s="146"/>
      <c r="X296" s="146"/>
      <c r="Y296" s="86"/>
      <c r="Z296" s="143">
        <f>(VLOOKUP(F296,Preisliste!C:G,5,FALSE)-VLOOKUP(F296,Preisliste!C:G,4,FALSE))*B296</f>
        <v>0</v>
      </c>
      <c r="AA296" s="86"/>
      <c r="AB296" s="86"/>
      <c r="AC296" s="86"/>
      <c r="AD296" s="86"/>
      <c r="AE296" s="86"/>
      <c r="AF296" s="86"/>
      <c r="AH296" s="86">
        <f>IF(Kalk2!$AA$13,'STK2'!$B80,0)</f>
        <v>0</v>
      </c>
      <c r="AL296" s="86">
        <f t="shared" si="107"/>
        <v>0</v>
      </c>
    </row>
    <row r="297" spans="2:38" ht="24.95" customHeight="1">
      <c r="B297" s="92">
        <f t="shared" si="124"/>
        <v>0</v>
      </c>
      <c r="C297" s="60">
        <v>1750</v>
      </c>
      <c r="D297" s="60"/>
      <c r="E297" s="60" t="str">
        <f>VLOOKUP(1600,Sprachindex!$A:$Z,Erhebungsbogen!$Y$20,FALSE)</f>
        <v>[Stk]</v>
      </c>
      <c r="F297" s="60" t="s">
        <v>21903</v>
      </c>
      <c r="G297" s="514" t="str">
        <f>VLOOKUP(1720,Sprachindex!$A:$Z,Erhebungsbogen!$Y$20,FALSE) &amp; ", " &amp; VLOOKUP(1645,Sprachindex!$A:$Z,Erhebungsbogen!$Y$20,FALSE) &amp; " " &amp; $AI$18</f>
        <v>Grundprofil 80 (H-Profil v.d.L.) exkl. Dichtung, gebohrt und entgratet, beschichtet 0</v>
      </c>
      <c r="H297" s="514"/>
      <c r="I297" s="514"/>
      <c r="J297" s="514"/>
      <c r="K297" s="514"/>
      <c r="L297" s="514"/>
      <c r="M297" s="514"/>
      <c r="N297" s="514"/>
      <c r="O297" s="514"/>
      <c r="P297" s="514"/>
      <c r="Q297" s="514"/>
      <c r="R297" s="514"/>
      <c r="S297" s="514"/>
      <c r="T297" s="514"/>
      <c r="U297" s="353">
        <f>VLOOKUP(F297,Preisliste!C:G,5,FALSE)</f>
        <v>352.93500000000006</v>
      </c>
      <c r="V297" s="352">
        <f t="shared" si="123"/>
        <v>0</v>
      </c>
      <c r="W297" s="146"/>
      <c r="X297" s="146"/>
      <c r="Y297" s="86"/>
      <c r="Z297" s="143">
        <f>(VLOOKUP(F297,Preisliste!C:G,5,FALSE)-VLOOKUP(F297,Preisliste!C:G,4,FALSE))*B297</f>
        <v>0</v>
      </c>
      <c r="AA297" s="86"/>
      <c r="AB297" s="86"/>
      <c r="AC297" s="86"/>
      <c r="AD297" s="86"/>
      <c r="AE297" s="86"/>
      <c r="AF297" s="86"/>
      <c r="AI297" s="86">
        <f>IF(Kalk3!$AA$13,'STK3'!$B80,0)</f>
        <v>0</v>
      </c>
      <c r="AL297" s="86">
        <f t="shared" si="107"/>
        <v>0</v>
      </c>
    </row>
    <row r="298" spans="2:38" ht="24.95" customHeight="1">
      <c r="B298" s="92">
        <f t="shared" si="124"/>
        <v>0</v>
      </c>
      <c r="C298" s="60">
        <v>1750</v>
      </c>
      <c r="D298" s="60"/>
      <c r="E298" s="60" t="str">
        <f>VLOOKUP(1600,Sprachindex!$A:$Z,Erhebungsbogen!$Y$20,FALSE)</f>
        <v>[Stk]</v>
      </c>
      <c r="F298" s="60" t="s">
        <v>21903</v>
      </c>
      <c r="G298" s="514" t="str">
        <f>VLOOKUP(1720,Sprachindex!$A:$Z,Erhebungsbogen!$Y$20,FALSE) &amp; ", " &amp; VLOOKUP(1645,Sprachindex!$A:$Z,Erhebungsbogen!$Y$20,FALSE) &amp; " " &amp; $AJ$18</f>
        <v>Grundprofil 80 (H-Profil v.d.L.) exkl. Dichtung, gebohrt und entgratet, beschichtet 0</v>
      </c>
      <c r="H298" s="514"/>
      <c r="I298" s="514"/>
      <c r="J298" s="514"/>
      <c r="K298" s="514"/>
      <c r="L298" s="514"/>
      <c r="M298" s="514"/>
      <c r="N298" s="514"/>
      <c r="O298" s="514"/>
      <c r="P298" s="514"/>
      <c r="Q298" s="514"/>
      <c r="R298" s="514"/>
      <c r="S298" s="514"/>
      <c r="T298" s="514"/>
      <c r="U298" s="353">
        <f>VLOOKUP(F298,Preisliste!C:G,5,FALSE)</f>
        <v>352.93500000000006</v>
      </c>
      <c r="V298" s="352">
        <f t="shared" si="123"/>
        <v>0</v>
      </c>
      <c r="W298" s="146"/>
      <c r="X298" s="146"/>
      <c r="Y298" s="86"/>
      <c r="Z298" s="143">
        <f>(VLOOKUP(F298,Preisliste!C:G,5,FALSE)-VLOOKUP(F298,Preisliste!C:G,4,FALSE))*B298</f>
        <v>0</v>
      </c>
      <c r="AA298" s="86"/>
      <c r="AB298" s="86"/>
      <c r="AC298" s="86"/>
      <c r="AD298" s="86"/>
      <c r="AE298" s="86"/>
      <c r="AF298" s="86"/>
      <c r="AJ298" s="86">
        <f>IF(Kalk4!$AA$13,'STK4'!$B80,0)</f>
        <v>0</v>
      </c>
      <c r="AL298" s="86">
        <f t="shared" si="107"/>
        <v>0</v>
      </c>
    </row>
    <row r="299" spans="2:38" ht="24.95" customHeight="1">
      <c r="B299" s="92">
        <f t="shared" si="117"/>
        <v>0</v>
      </c>
      <c r="C299" s="60">
        <v>1750</v>
      </c>
      <c r="D299" s="60"/>
      <c r="E299" s="60" t="str">
        <f>VLOOKUP(1600,Sprachindex!$A:$Z,Erhebungsbogen!$Y$20,FALSE)</f>
        <v>[Stk]</v>
      </c>
      <c r="F299" s="60" t="s">
        <v>21903</v>
      </c>
      <c r="G299" s="514" t="str">
        <f>VLOOKUP(1720,Sprachindex!$A:$Z,Erhebungsbogen!$Y$20,FALSE) &amp; ", " &amp; VLOOKUP(1645,Sprachindex!$A:$Z,Erhebungsbogen!$Y$20,FALSE) &amp; " " &amp; $AK$18</f>
        <v>Grundprofil 80 (H-Profil v.d.L.) exkl. Dichtung, gebohrt und entgratet, beschichtet 0</v>
      </c>
      <c r="H299" s="514"/>
      <c r="I299" s="514"/>
      <c r="J299" s="514"/>
      <c r="K299" s="514"/>
      <c r="L299" s="514"/>
      <c r="M299" s="514"/>
      <c r="N299" s="514"/>
      <c r="O299" s="514"/>
      <c r="P299" s="514"/>
      <c r="Q299" s="514"/>
      <c r="R299" s="514"/>
      <c r="S299" s="514"/>
      <c r="T299" s="514"/>
      <c r="U299" s="353">
        <f>VLOOKUP(F299,Preisliste!C:G,5,FALSE)</f>
        <v>352.93500000000006</v>
      </c>
      <c r="V299" s="352">
        <f t="shared" si="92"/>
        <v>0</v>
      </c>
      <c r="W299" s="146"/>
      <c r="X299" s="146"/>
      <c r="Y299" s="86"/>
      <c r="Z299" s="143">
        <f>(VLOOKUP(F299,Preisliste!C:G,5,FALSE)-VLOOKUP(F299,Preisliste!C:G,4,FALSE))*B299</f>
        <v>0</v>
      </c>
      <c r="AA299" s="86"/>
      <c r="AB299" s="86"/>
      <c r="AC299" s="86"/>
      <c r="AD299" s="86"/>
      <c r="AE299" s="86"/>
      <c r="AF299" s="86"/>
      <c r="AK299" s="86">
        <f>IF(Kalk5!$AA$13,'STK5'!$B80,0)</f>
        <v>0</v>
      </c>
      <c r="AL299" s="86">
        <f t="shared" si="107"/>
        <v>0</v>
      </c>
    </row>
    <row r="300" spans="2:38" ht="24.95" customHeight="1">
      <c r="B300" s="92">
        <f t="shared" si="117"/>
        <v>0</v>
      </c>
      <c r="C300" s="60">
        <v>2150</v>
      </c>
      <c r="D300" s="60"/>
      <c r="E300" s="60" t="str">
        <f>VLOOKUP(1600,Sprachindex!$A:$Z,Erhebungsbogen!$Y$20,FALSE)</f>
        <v>[Stk]</v>
      </c>
      <c r="F300" s="60" t="s">
        <v>21904</v>
      </c>
      <c r="G300" s="514" t="str">
        <f>VLOOKUP(1720,Sprachindex!$A:$Z,Erhebungsbogen!$Y$20,FALSE) &amp; ", " &amp; VLOOKUP(1648,Sprachindex!$A:$Z,Erhebungsbogen!$Y$20,FALSE)</f>
        <v>Grundprofil 80 (H-Profil v.d.L.) exkl. Dichtung, gebohrt und entgratet, blank</v>
      </c>
      <c r="H300" s="514"/>
      <c r="I300" s="514"/>
      <c r="J300" s="514"/>
      <c r="K300" s="514"/>
      <c r="L300" s="514"/>
      <c r="M300" s="514"/>
      <c r="N300" s="514"/>
      <c r="O300" s="514"/>
      <c r="P300" s="514"/>
      <c r="Q300" s="514"/>
      <c r="R300" s="514"/>
      <c r="S300" s="514"/>
      <c r="T300" s="514"/>
      <c r="U300" s="352">
        <f>VLOOKUP(F300,Preisliste!C:F,4,FALSE)</f>
        <v>385.4</v>
      </c>
      <c r="V300" s="352">
        <f t="shared" ref="V300:V304" si="125">U300*B300</f>
        <v>0</v>
      </c>
      <c r="W300" s="146"/>
      <c r="X300" s="146"/>
      <c r="Y300" s="86"/>
      <c r="Z300" s="143"/>
      <c r="AA300" s="86"/>
      <c r="AB300" s="86"/>
      <c r="AC300" s="86"/>
      <c r="AD300" s="86"/>
      <c r="AE300" s="86"/>
      <c r="AF300" s="86"/>
      <c r="AG300" s="86">
        <f>IF(Kalk1!$AA$13=FALSE,'STK1'!$B81,0)</f>
        <v>0</v>
      </c>
      <c r="AH300" s="86">
        <f>IF(Kalk2!$AA$13=FALSE,'STK2'!$B81,0)</f>
        <v>0</v>
      </c>
      <c r="AI300" s="86">
        <f>IF(Kalk3!$AA$13=FALSE,'STK3'!$B81,0)</f>
        <v>0</v>
      </c>
      <c r="AJ300" s="86">
        <f>IF(Kalk4!$AA$13=FALSE,'STK4'!$B81,0)</f>
        <v>0</v>
      </c>
      <c r="AK300" s="86">
        <f>IF(Kalk5!$AA$13=FALSE,'STK5'!$B81,0)</f>
        <v>0</v>
      </c>
      <c r="AL300" s="86">
        <f t="shared" si="107"/>
        <v>0</v>
      </c>
    </row>
    <row r="301" spans="2:38" ht="24.95" customHeight="1">
      <c r="B301" s="92">
        <f t="shared" ref="B301:B304" si="126">AL301</f>
        <v>0</v>
      </c>
      <c r="C301" s="60">
        <v>2150</v>
      </c>
      <c r="D301" s="60"/>
      <c r="E301" s="60" t="str">
        <f>VLOOKUP(1600,Sprachindex!$A:$Z,Erhebungsbogen!$Y$20,FALSE)</f>
        <v>[Stk]</v>
      </c>
      <c r="F301" s="60" t="s">
        <v>21904</v>
      </c>
      <c r="G301" s="514" t="str">
        <f>VLOOKUP(1720,Sprachindex!$A:$Z,Erhebungsbogen!$Y$20,FALSE) &amp; ", " &amp; VLOOKUP(1645,Sprachindex!$A:$Z,Erhebungsbogen!$Y$20,FALSE) &amp; " " &amp; $AG$18</f>
        <v xml:space="preserve">Grundprofil 80 (H-Profil v.d.L.) exkl. Dichtung, gebohrt und entgratet, beschichtet </v>
      </c>
      <c r="H301" s="514"/>
      <c r="I301" s="514"/>
      <c r="J301" s="514"/>
      <c r="K301" s="514"/>
      <c r="L301" s="514"/>
      <c r="M301" s="514"/>
      <c r="N301" s="514"/>
      <c r="O301" s="514"/>
      <c r="P301" s="514"/>
      <c r="Q301" s="514"/>
      <c r="R301" s="514"/>
      <c r="S301" s="514"/>
      <c r="T301" s="514"/>
      <c r="U301" s="353">
        <f>VLOOKUP(F301,Preisliste!C:G,5,FALSE)</f>
        <v>423.94</v>
      </c>
      <c r="V301" s="352">
        <f t="shared" si="125"/>
        <v>0</v>
      </c>
      <c r="W301" s="146"/>
      <c r="X301" s="146"/>
      <c r="Y301" s="86"/>
      <c r="Z301" s="143">
        <f>(VLOOKUP(F301,Preisliste!C:G,5,FALSE)-VLOOKUP(F301,Preisliste!C:G,4,FALSE))*B301</f>
        <v>0</v>
      </c>
      <c r="AA301" s="86"/>
      <c r="AB301" s="86"/>
      <c r="AC301" s="86"/>
      <c r="AD301" s="86"/>
      <c r="AE301" s="86"/>
      <c r="AF301" s="86"/>
      <c r="AG301" s="86">
        <f>IF(Kalk1!$AA$13,'STK1'!$B81,0)</f>
        <v>0</v>
      </c>
      <c r="AL301" s="86">
        <f>SUM(AG301:AK301)</f>
        <v>0</v>
      </c>
    </row>
    <row r="302" spans="2:38" ht="24.95" customHeight="1">
      <c r="B302" s="92">
        <f t="shared" si="126"/>
        <v>0</v>
      </c>
      <c r="C302" s="60">
        <v>2150</v>
      </c>
      <c r="D302" s="60"/>
      <c r="E302" s="60" t="str">
        <f>VLOOKUP(1600,Sprachindex!$A:$Z,Erhebungsbogen!$Y$20,FALSE)</f>
        <v>[Stk]</v>
      </c>
      <c r="F302" s="60" t="s">
        <v>21904</v>
      </c>
      <c r="G302" s="514" t="str">
        <f>VLOOKUP(1720,Sprachindex!$A:$Z,Erhebungsbogen!$Y$20,FALSE) &amp; ", " &amp; VLOOKUP(1645,Sprachindex!$A:$Z,Erhebungsbogen!$Y$20,FALSE) &amp; " " &amp; $AH$18</f>
        <v>Grundprofil 80 (H-Profil v.d.L.) exkl. Dichtung, gebohrt und entgratet, beschichtet 0</v>
      </c>
      <c r="H302" s="514"/>
      <c r="I302" s="514"/>
      <c r="J302" s="514"/>
      <c r="K302" s="514"/>
      <c r="L302" s="514"/>
      <c r="M302" s="514"/>
      <c r="N302" s="514"/>
      <c r="O302" s="514"/>
      <c r="P302" s="514"/>
      <c r="Q302" s="514"/>
      <c r="R302" s="514"/>
      <c r="S302" s="514"/>
      <c r="T302" s="514"/>
      <c r="U302" s="353">
        <f>VLOOKUP(F302,Preisliste!C:G,5,FALSE)</f>
        <v>423.94</v>
      </c>
      <c r="V302" s="352">
        <f t="shared" si="125"/>
        <v>0</v>
      </c>
      <c r="W302" s="146"/>
      <c r="X302" s="146"/>
      <c r="Y302" s="86"/>
      <c r="Z302" s="143">
        <f>(VLOOKUP(F302,Preisliste!C:G,5,FALSE)-VLOOKUP(F302,Preisliste!C:G,4,FALSE))*B302</f>
        <v>0</v>
      </c>
      <c r="AA302" s="86"/>
      <c r="AB302" s="86"/>
      <c r="AC302" s="86"/>
      <c r="AD302" s="86"/>
      <c r="AE302" s="86"/>
      <c r="AF302" s="86"/>
      <c r="AH302" s="86">
        <f>IF(Kalk2!$AA$13,'STK2'!$B81,0)</f>
        <v>0</v>
      </c>
      <c r="AL302" s="86">
        <f t="shared" si="107"/>
        <v>0</v>
      </c>
    </row>
    <row r="303" spans="2:38" ht="24.95" customHeight="1">
      <c r="B303" s="92">
        <f t="shared" si="126"/>
        <v>0</v>
      </c>
      <c r="C303" s="60">
        <v>2150</v>
      </c>
      <c r="D303" s="60"/>
      <c r="E303" s="60" t="str">
        <f>VLOOKUP(1600,Sprachindex!$A:$Z,Erhebungsbogen!$Y$20,FALSE)</f>
        <v>[Stk]</v>
      </c>
      <c r="F303" s="60" t="s">
        <v>21904</v>
      </c>
      <c r="G303" s="514" t="str">
        <f>VLOOKUP(1720,Sprachindex!$A:$Z,Erhebungsbogen!$Y$20,FALSE) &amp; ", " &amp; VLOOKUP(1645,Sprachindex!$A:$Z,Erhebungsbogen!$Y$20,FALSE) &amp; " " &amp; $AI$18</f>
        <v>Grundprofil 80 (H-Profil v.d.L.) exkl. Dichtung, gebohrt und entgratet, beschichtet 0</v>
      </c>
      <c r="H303" s="514"/>
      <c r="I303" s="514"/>
      <c r="J303" s="514"/>
      <c r="K303" s="514"/>
      <c r="L303" s="514"/>
      <c r="M303" s="514"/>
      <c r="N303" s="514"/>
      <c r="O303" s="514"/>
      <c r="P303" s="514"/>
      <c r="Q303" s="514"/>
      <c r="R303" s="514"/>
      <c r="S303" s="514"/>
      <c r="T303" s="514"/>
      <c r="U303" s="353">
        <f>VLOOKUP(F303,Preisliste!C:G,5,FALSE)</f>
        <v>423.94</v>
      </c>
      <c r="V303" s="352">
        <f t="shared" si="125"/>
        <v>0</v>
      </c>
      <c r="W303" s="146"/>
      <c r="X303" s="146"/>
      <c r="Y303" s="86"/>
      <c r="Z303" s="143">
        <f>(VLOOKUP(F303,Preisliste!C:G,5,FALSE)-VLOOKUP(F303,Preisliste!C:G,4,FALSE))*B303</f>
        <v>0</v>
      </c>
      <c r="AA303" s="86"/>
      <c r="AB303" s="86"/>
      <c r="AC303" s="86"/>
      <c r="AD303" s="86"/>
      <c r="AE303" s="86"/>
      <c r="AF303" s="86"/>
      <c r="AI303" s="86">
        <f>IF(Kalk3!$AA$13,'STK3'!$B81,0)</f>
        <v>0</v>
      </c>
      <c r="AL303" s="86">
        <f t="shared" si="107"/>
        <v>0</v>
      </c>
    </row>
    <row r="304" spans="2:38" ht="24.95" customHeight="1">
      <c r="B304" s="92">
        <f t="shared" si="126"/>
        <v>0</v>
      </c>
      <c r="C304" s="60">
        <v>2150</v>
      </c>
      <c r="D304" s="60"/>
      <c r="E304" s="60" t="str">
        <f>VLOOKUP(1600,Sprachindex!$A:$Z,Erhebungsbogen!$Y$20,FALSE)</f>
        <v>[Stk]</v>
      </c>
      <c r="F304" s="60" t="s">
        <v>21904</v>
      </c>
      <c r="G304" s="514" t="str">
        <f>VLOOKUP(1720,Sprachindex!$A:$Z,Erhebungsbogen!$Y$20,FALSE) &amp; ", " &amp; VLOOKUP(1645,Sprachindex!$A:$Z,Erhebungsbogen!$Y$20,FALSE) &amp; " " &amp; $AJ$18</f>
        <v>Grundprofil 80 (H-Profil v.d.L.) exkl. Dichtung, gebohrt und entgratet, beschichtet 0</v>
      </c>
      <c r="H304" s="514"/>
      <c r="I304" s="514"/>
      <c r="J304" s="514"/>
      <c r="K304" s="514"/>
      <c r="L304" s="514"/>
      <c r="M304" s="514"/>
      <c r="N304" s="514"/>
      <c r="O304" s="514"/>
      <c r="P304" s="514"/>
      <c r="Q304" s="514"/>
      <c r="R304" s="514"/>
      <c r="S304" s="514"/>
      <c r="T304" s="514"/>
      <c r="U304" s="353">
        <f>VLOOKUP(F304,Preisliste!C:G,5,FALSE)</f>
        <v>423.94</v>
      </c>
      <c r="V304" s="352">
        <f t="shared" si="125"/>
        <v>0</v>
      </c>
      <c r="W304" s="146"/>
      <c r="X304" s="146"/>
      <c r="Y304" s="86"/>
      <c r="Z304" s="143">
        <f>(VLOOKUP(F304,Preisliste!C:G,5,FALSE)-VLOOKUP(F304,Preisliste!C:G,4,FALSE))*B304</f>
        <v>0</v>
      </c>
      <c r="AA304" s="86"/>
      <c r="AB304" s="86"/>
      <c r="AC304" s="86"/>
      <c r="AD304" s="86"/>
      <c r="AE304" s="86"/>
      <c r="AF304" s="86"/>
      <c r="AJ304" s="86">
        <f>IF(Kalk4!$AA$13,'STK4'!$B81,0)</f>
        <v>0</v>
      </c>
      <c r="AL304" s="86">
        <f t="shared" si="107"/>
        <v>0</v>
      </c>
    </row>
    <row r="305" spans="2:90" ht="24.95" customHeight="1">
      <c r="B305" s="92">
        <f t="shared" si="117"/>
        <v>0</v>
      </c>
      <c r="C305" s="60">
        <v>2150</v>
      </c>
      <c r="D305" s="60"/>
      <c r="E305" s="60" t="str">
        <f>VLOOKUP(1600,Sprachindex!$A:$Z,Erhebungsbogen!$Y$20,FALSE)</f>
        <v>[Stk]</v>
      </c>
      <c r="F305" s="60" t="s">
        <v>21904</v>
      </c>
      <c r="G305" s="514" t="str">
        <f>VLOOKUP(1720,Sprachindex!$A:$Z,Erhebungsbogen!$Y$20,FALSE) &amp; ", " &amp; VLOOKUP(1645,Sprachindex!$A:$Z,Erhebungsbogen!$Y$20,FALSE) &amp; " " &amp; $AK$18</f>
        <v>Grundprofil 80 (H-Profil v.d.L.) exkl. Dichtung, gebohrt und entgratet, beschichtet 0</v>
      </c>
      <c r="H305" s="514"/>
      <c r="I305" s="514"/>
      <c r="J305" s="514"/>
      <c r="K305" s="514"/>
      <c r="L305" s="514"/>
      <c r="M305" s="514"/>
      <c r="N305" s="514"/>
      <c r="O305" s="514"/>
      <c r="P305" s="514"/>
      <c r="Q305" s="514"/>
      <c r="R305" s="514"/>
      <c r="S305" s="514"/>
      <c r="T305" s="514"/>
      <c r="U305" s="353">
        <f>VLOOKUP(F305,Preisliste!C:G,5,FALSE)</f>
        <v>423.94</v>
      </c>
      <c r="V305" s="352">
        <f t="shared" si="92"/>
        <v>0</v>
      </c>
      <c r="W305" s="146"/>
      <c r="X305" s="146"/>
      <c r="Y305" s="86"/>
      <c r="Z305" s="143">
        <f>(VLOOKUP(F305,Preisliste!C:G,5,FALSE)-VLOOKUP(F305,Preisliste!C:G,4,FALSE))*B305</f>
        <v>0</v>
      </c>
      <c r="AA305" s="86"/>
      <c r="AB305" s="86"/>
      <c r="AC305" s="86"/>
      <c r="AD305" s="86"/>
      <c r="AE305" s="86"/>
      <c r="AF305" s="86"/>
      <c r="AK305" s="86">
        <f>IF(Kalk5!$AA$13,'STK5'!$B81,0)</f>
        <v>0</v>
      </c>
      <c r="AL305" s="86">
        <f t="shared" ref="AL305" si="127">SUM(AG305:AK305)</f>
        <v>0</v>
      </c>
    </row>
    <row r="306" spans="2:90" ht="24.95" customHeight="1">
      <c r="B306" s="92">
        <f t="shared" si="117"/>
        <v>0</v>
      </c>
      <c r="C306" s="138">
        <f>AK306</f>
        <v>0</v>
      </c>
      <c r="D306" s="60"/>
      <c r="E306" s="60" t="str">
        <f>VLOOKUP(1600,Sprachindex!$A:$Z,Erhebungsbogen!$Y$20,FALSE)</f>
        <v>[Stk]</v>
      </c>
      <c r="F306" s="60" t="s">
        <v>21905</v>
      </c>
      <c r="G306" s="514" t="str">
        <f>VLOOKUP(1721,Sprachindex!$A:$Z,Erhebungsbogen!$Y$20,FALSE) &amp; ", " &amp; VLOOKUP(1648,Sprachindex!$A:$Z,Erhebungsbogen!$Y$20,FALSE)</f>
        <v>Grundprofil 80 (H-Profil v.d.L.) Sonderlänge exkl. Dichtung, (Stangenware), blank</v>
      </c>
      <c r="H306" s="514"/>
      <c r="I306" s="514"/>
      <c r="J306" s="514"/>
      <c r="K306" s="514"/>
      <c r="L306" s="514"/>
      <c r="M306" s="514"/>
      <c r="N306" s="514"/>
      <c r="O306" s="514"/>
      <c r="P306" s="514"/>
      <c r="Q306" s="514"/>
      <c r="R306" s="514"/>
      <c r="S306" s="514"/>
      <c r="T306" s="514"/>
      <c r="U306" s="352">
        <f>VLOOKUP(F306,Preisliste!C:F,4,FALSE)</f>
        <v>162.25</v>
      </c>
      <c r="V306" s="352">
        <f t="shared" si="92"/>
        <v>0</v>
      </c>
      <c r="W306" s="146"/>
      <c r="X306" s="146"/>
      <c r="Y306" s="86"/>
      <c r="Z306" s="143"/>
      <c r="AA306" s="86"/>
      <c r="AB306" s="86"/>
      <c r="AC306" s="86"/>
      <c r="AD306" s="86"/>
      <c r="AE306" s="86"/>
      <c r="AF306" s="86"/>
      <c r="AK306" s="86">
        <f>'STK1'!$C$82</f>
        <v>0</v>
      </c>
      <c r="AL306" s="86">
        <f>'STK1'!$B$82</f>
        <v>0</v>
      </c>
      <c r="CK306" s="245"/>
    </row>
    <row r="307" spans="2:90" ht="24.95" customHeight="1">
      <c r="B307" s="92">
        <f t="shared" si="117"/>
        <v>0</v>
      </c>
      <c r="C307" s="138">
        <f t="shared" ref="C307:C310" si="128">AK307</f>
        <v>0</v>
      </c>
      <c r="D307" s="60"/>
      <c r="E307" s="60" t="str">
        <f>VLOOKUP(1600,Sprachindex!$A:$Z,Erhebungsbogen!$Y$20,FALSE)</f>
        <v>[Stk]</v>
      </c>
      <c r="F307" s="60" t="s">
        <v>21905</v>
      </c>
      <c r="G307" s="514" t="str">
        <f>VLOOKUP(1721,Sprachindex!$A:$Z,Erhebungsbogen!$Y$20,FALSE) &amp; ", " &amp; VLOOKUP(1648,Sprachindex!$A:$Z,Erhebungsbogen!$Y$20,FALSE)</f>
        <v>Grundprofil 80 (H-Profil v.d.L.) Sonderlänge exkl. Dichtung, (Stangenware), blank</v>
      </c>
      <c r="H307" s="514"/>
      <c r="I307" s="514"/>
      <c r="J307" s="514"/>
      <c r="K307" s="514"/>
      <c r="L307" s="514"/>
      <c r="M307" s="514"/>
      <c r="N307" s="514"/>
      <c r="O307" s="514"/>
      <c r="P307" s="514"/>
      <c r="Q307" s="514"/>
      <c r="R307" s="514"/>
      <c r="S307" s="514"/>
      <c r="T307" s="514"/>
      <c r="U307" s="352">
        <f>VLOOKUP(F307,Preisliste!C:F,4,FALSE)</f>
        <v>162.25</v>
      </c>
      <c r="V307" s="352">
        <f t="shared" si="92"/>
        <v>0</v>
      </c>
      <c r="W307" s="146"/>
      <c r="X307" s="146"/>
      <c r="Y307" s="86"/>
      <c r="Z307" s="143"/>
      <c r="AA307" s="86"/>
      <c r="AB307" s="86"/>
      <c r="AC307" s="86"/>
      <c r="AD307" s="86"/>
      <c r="AE307" s="86"/>
      <c r="AF307" s="86"/>
      <c r="AK307" s="86">
        <f>'STK2'!$C$82</f>
        <v>0</v>
      </c>
      <c r="AL307" s="86">
        <f>'STK2'!$B$82</f>
        <v>0</v>
      </c>
      <c r="CK307" s="245"/>
    </row>
    <row r="308" spans="2:90" ht="24.95" customHeight="1">
      <c r="B308" s="92">
        <f t="shared" si="117"/>
        <v>0</v>
      </c>
      <c r="C308" s="138">
        <f t="shared" si="128"/>
        <v>0</v>
      </c>
      <c r="D308" s="60"/>
      <c r="E308" s="60" t="str">
        <f>VLOOKUP(1600,Sprachindex!$A:$Z,Erhebungsbogen!$Y$20,FALSE)</f>
        <v>[Stk]</v>
      </c>
      <c r="F308" s="60" t="s">
        <v>21905</v>
      </c>
      <c r="G308" s="514" t="str">
        <f>VLOOKUP(1721,Sprachindex!$A:$Z,Erhebungsbogen!$Y$20,FALSE) &amp; ", " &amp; VLOOKUP(1648,Sprachindex!$A:$Z,Erhebungsbogen!$Y$20,FALSE)</f>
        <v>Grundprofil 80 (H-Profil v.d.L.) Sonderlänge exkl. Dichtung, (Stangenware), blank</v>
      </c>
      <c r="H308" s="514"/>
      <c r="I308" s="514"/>
      <c r="J308" s="514"/>
      <c r="K308" s="514"/>
      <c r="L308" s="514"/>
      <c r="M308" s="514"/>
      <c r="N308" s="514"/>
      <c r="O308" s="514"/>
      <c r="P308" s="514"/>
      <c r="Q308" s="514"/>
      <c r="R308" s="514"/>
      <c r="S308" s="514"/>
      <c r="T308" s="514"/>
      <c r="U308" s="352">
        <f>VLOOKUP(F308,Preisliste!C:F,4,FALSE)</f>
        <v>162.25</v>
      </c>
      <c r="V308" s="352">
        <f t="shared" ref="V308" si="129">U308*B308</f>
        <v>0</v>
      </c>
      <c r="W308" s="146"/>
      <c r="X308" s="146"/>
      <c r="Y308" s="86"/>
      <c r="Z308" s="143"/>
      <c r="AA308" s="86"/>
      <c r="AB308" s="86"/>
      <c r="AC308" s="86"/>
      <c r="AD308" s="86"/>
      <c r="AE308" s="86"/>
      <c r="AF308" s="86"/>
      <c r="AK308" s="86">
        <f>'STK3'!$C$82</f>
        <v>0</v>
      </c>
      <c r="AL308" s="86">
        <f>'STK3'!$B$82</f>
        <v>0</v>
      </c>
      <c r="CK308" s="245"/>
    </row>
    <row r="309" spans="2:90" ht="24.95" customHeight="1">
      <c r="B309" s="92">
        <f t="shared" si="117"/>
        <v>0</v>
      </c>
      <c r="C309" s="138">
        <f t="shared" si="128"/>
        <v>0</v>
      </c>
      <c r="D309" s="60"/>
      <c r="E309" s="60" t="str">
        <f>VLOOKUP(1600,Sprachindex!$A:$Z,Erhebungsbogen!$Y$20,FALSE)</f>
        <v>[Stk]</v>
      </c>
      <c r="F309" s="60" t="s">
        <v>21905</v>
      </c>
      <c r="G309" s="514" t="str">
        <f>VLOOKUP(1721,Sprachindex!$A:$Z,Erhebungsbogen!$Y$20,FALSE) &amp; ", " &amp; VLOOKUP(1648,Sprachindex!$A:$Z,Erhebungsbogen!$Y$20,FALSE)</f>
        <v>Grundprofil 80 (H-Profil v.d.L.) Sonderlänge exkl. Dichtung, (Stangenware), blank</v>
      </c>
      <c r="H309" s="514"/>
      <c r="I309" s="514"/>
      <c r="J309" s="514"/>
      <c r="K309" s="514"/>
      <c r="L309" s="514"/>
      <c r="M309" s="514"/>
      <c r="N309" s="514"/>
      <c r="O309" s="514"/>
      <c r="P309" s="514"/>
      <c r="Q309" s="514"/>
      <c r="R309" s="514"/>
      <c r="S309" s="514"/>
      <c r="T309" s="514"/>
      <c r="U309" s="352">
        <f>VLOOKUP(F309,Preisliste!C:F,4,FALSE)</f>
        <v>162.25</v>
      </c>
      <c r="V309" s="352">
        <f t="shared" ref="V309" si="130">U309*B309</f>
        <v>0</v>
      </c>
      <c r="W309" s="146"/>
      <c r="X309" s="146"/>
      <c r="Y309" s="86"/>
      <c r="Z309" s="143"/>
      <c r="AA309" s="86"/>
      <c r="AB309" s="86"/>
      <c r="AC309" s="86"/>
      <c r="AD309" s="86"/>
      <c r="AE309" s="86"/>
      <c r="AF309" s="86"/>
      <c r="AK309" s="86">
        <f>'STK4'!$C$82</f>
        <v>0</v>
      </c>
      <c r="AL309" s="86">
        <f>'STK4'!$B$82</f>
        <v>0</v>
      </c>
      <c r="CK309" s="245"/>
    </row>
    <row r="310" spans="2:90" ht="24.95" customHeight="1">
      <c r="B310" s="92">
        <f t="shared" si="117"/>
        <v>0</v>
      </c>
      <c r="C310" s="138">
        <f t="shared" si="128"/>
        <v>0</v>
      </c>
      <c r="D310" s="60"/>
      <c r="E310" s="60" t="str">
        <f>VLOOKUP(1600,Sprachindex!$A:$Z,Erhebungsbogen!$Y$20,FALSE)</f>
        <v>[Stk]</v>
      </c>
      <c r="F310" s="60" t="s">
        <v>21905</v>
      </c>
      <c r="G310" s="514" t="str">
        <f>VLOOKUP(1721,Sprachindex!$A:$Z,Erhebungsbogen!$Y$20,FALSE) &amp; ", " &amp; VLOOKUP(1648,Sprachindex!$A:$Z,Erhebungsbogen!$Y$20,FALSE)</f>
        <v>Grundprofil 80 (H-Profil v.d.L.) Sonderlänge exkl. Dichtung, (Stangenware), blank</v>
      </c>
      <c r="H310" s="514"/>
      <c r="I310" s="514"/>
      <c r="J310" s="514"/>
      <c r="K310" s="514"/>
      <c r="L310" s="514"/>
      <c r="M310" s="514"/>
      <c r="N310" s="514"/>
      <c r="O310" s="514"/>
      <c r="P310" s="514"/>
      <c r="Q310" s="514"/>
      <c r="R310" s="514"/>
      <c r="S310" s="514"/>
      <c r="T310" s="514"/>
      <c r="U310" s="352">
        <f>VLOOKUP(F310,Preisliste!C:F,4,FALSE)</f>
        <v>162.25</v>
      </c>
      <c r="V310" s="352">
        <f t="shared" si="92"/>
        <v>0</v>
      </c>
      <c r="W310" s="146"/>
      <c r="X310" s="146"/>
      <c r="Y310" s="86"/>
      <c r="Z310" s="143"/>
      <c r="AA310" s="86"/>
      <c r="AB310" s="86"/>
      <c r="AC310" s="86"/>
      <c r="AD310" s="86"/>
      <c r="AE310" s="86"/>
      <c r="AF310" s="86"/>
      <c r="AK310" s="86">
        <f>'STK5'!$C$82</f>
        <v>0</v>
      </c>
      <c r="AL310" s="86">
        <f>'STK5'!$B$82</f>
        <v>0</v>
      </c>
      <c r="CK310" s="245"/>
    </row>
    <row r="311" spans="2:90" ht="24.95" customHeight="1">
      <c r="B311" s="92">
        <f t="shared" si="117"/>
        <v>0</v>
      </c>
      <c r="C311" s="60"/>
      <c r="D311" s="60">
        <f>B311</f>
        <v>0</v>
      </c>
      <c r="E311" s="60" t="str">
        <f>VLOOKUP(1601,Sprachindex!$A:$Z,Erhebungsbogen!$Y$20,FALSE)</f>
        <v>[VPE]</v>
      </c>
      <c r="F311" s="60" t="s">
        <v>21948</v>
      </c>
      <c r="G311" s="514" t="str">
        <f>VLOOKUP(1723,Sprachindex!$A:$Z,Erhebungsbogen!$Y$20,FALSE) &amp; " [" &amp; VLOOKUP(992,Sprachindex!$A:$Z,Erhebungsbogen!$Y$20,FALSE) &amp; " =10 "&amp; VLOOKUP(1512,Sprachindex!$A:$Z,Erhebungsbogen!$Y$20,FALSE) &amp; "]"</f>
        <v>Grundprofildichtung [VPE =10 lfm]</v>
      </c>
      <c r="H311" s="514"/>
      <c r="I311" s="514"/>
      <c r="J311" s="514"/>
      <c r="K311" s="514"/>
      <c r="L311" s="514"/>
      <c r="M311" s="514"/>
      <c r="N311" s="514"/>
      <c r="O311" s="514"/>
      <c r="P311" s="514"/>
      <c r="Q311" s="514"/>
      <c r="R311" s="514"/>
      <c r="S311" s="514"/>
      <c r="T311" s="514"/>
      <c r="U311" s="352">
        <f>VLOOKUP(F311,Preisliste!C:F,4,FALSE)</f>
        <v>67.05</v>
      </c>
      <c r="V311" s="352">
        <f t="shared" ref="V311" si="131">U311*D311</f>
        <v>0</v>
      </c>
      <c r="W311" s="86"/>
      <c r="X311" s="146"/>
      <c r="Y311" s="86"/>
      <c r="Z311" s="86"/>
      <c r="AA311" s="86"/>
      <c r="AB311" s="86"/>
      <c r="AC311" s="86"/>
      <c r="AD311" s="86"/>
      <c r="AE311" s="86"/>
      <c r="AF311" s="86"/>
      <c r="AG311" s="143">
        <f>Kalk1!AH53</f>
        <v>0</v>
      </c>
      <c r="AH311" s="143">
        <f>Kalk2!AH53</f>
        <v>0</v>
      </c>
      <c r="AI311" s="143">
        <f>Kalk3!AH53</f>
        <v>0</v>
      </c>
      <c r="AJ311" s="143">
        <f>Kalk4!AH53</f>
        <v>0</v>
      </c>
      <c r="AK311" s="143">
        <f>Kalk5!AH53</f>
        <v>0</v>
      </c>
      <c r="AL311" s="86">
        <f>ROUNDUP(SUM(AG311:AK311)/10,0)</f>
        <v>0</v>
      </c>
      <c r="CH311" s="143"/>
      <c r="CI311" s="143"/>
      <c r="CJ311" s="143"/>
      <c r="CK311" s="143"/>
      <c r="CL311" s="143"/>
    </row>
    <row r="312" spans="2:90" ht="24.95" customHeight="1">
      <c r="B312" s="92">
        <f t="shared" si="117"/>
        <v>0</v>
      </c>
      <c r="C312" s="60"/>
      <c r="D312" s="60"/>
      <c r="E312" s="60" t="str">
        <f>VLOOKUP(1599,Sprachindex!$A:$Z,Erhebungsbogen!$Y$20,FALSE)</f>
        <v>[Paar]</v>
      </c>
      <c r="F312" s="60" t="s">
        <v>21972</v>
      </c>
      <c r="G312" s="514" t="str">
        <f>VLOOKUP(1724,Sprachindex!$A:$Z,Erhebungsbogen!$Y$20,FALSE)</f>
        <v>Halterung für Dammbalken</v>
      </c>
      <c r="H312" s="514"/>
      <c r="I312" s="514"/>
      <c r="J312" s="514"/>
      <c r="K312" s="514"/>
      <c r="L312" s="514"/>
      <c r="M312" s="514"/>
      <c r="N312" s="514"/>
      <c r="O312" s="514"/>
      <c r="P312" s="514"/>
      <c r="Q312" s="514"/>
      <c r="R312" s="514"/>
      <c r="S312" s="514"/>
      <c r="T312" s="514"/>
      <c r="U312" s="352">
        <f>VLOOKUP(F312,Preisliste!C:F,4,FALSE)</f>
        <v>215.75</v>
      </c>
      <c r="V312" s="352">
        <f t="shared" si="92"/>
        <v>0</v>
      </c>
      <c r="W312" s="146"/>
      <c r="X312" s="146"/>
      <c r="Y312" s="86"/>
      <c r="Z312" s="86"/>
      <c r="AA312" s="86"/>
      <c r="AB312" s="86"/>
      <c r="AC312" s="86"/>
      <c r="AD312" s="86"/>
      <c r="AE312" s="86"/>
      <c r="AF312" s="86"/>
      <c r="AG312" s="86">
        <f>'STK1'!$B84</f>
        <v>0</v>
      </c>
      <c r="AH312" s="86">
        <f>'STK2'!$B84</f>
        <v>0</v>
      </c>
      <c r="AI312" s="86">
        <f>'STK3'!$B84</f>
        <v>0</v>
      </c>
      <c r="AJ312" s="86">
        <f>'STK4'!$B84</f>
        <v>0</v>
      </c>
      <c r="AK312" s="86">
        <f>'STK5'!$B84</f>
        <v>0</v>
      </c>
      <c r="AL312" s="86">
        <f t="shared" ref="AL312" si="132">SUM(AG312:AK312)</f>
        <v>0</v>
      </c>
      <c r="AX312" s="21"/>
    </row>
    <row r="313" spans="2:90" ht="24.95" customHeight="1">
      <c r="B313" s="92">
        <f t="shared" si="117"/>
        <v>0</v>
      </c>
      <c r="C313" s="60"/>
      <c r="D313" s="60"/>
      <c r="E313" s="60" t="str">
        <f>VLOOKUP(1600,Sprachindex!$A:$Z,Erhebungsbogen!$Y$20,FALSE)</f>
        <v>[Stk]</v>
      </c>
      <c r="F313" s="60" t="s">
        <v>21976</v>
      </c>
      <c r="G313" s="514" t="str">
        <f>VLOOKUP(2126,Sprachindex!$A:$Z,Erhebungsbogen!$Y$20,FALSE)</f>
        <v>Hebehilfe für Bodenhülsendeckel</v>
      </c>
      <c r="H313" s="514"/>
      <c r="I313" s="514"/>
      <c r="J313" s="514"/>
      <c r="K313" s="514"/>
      <c r="L313" s="514"/>
      <c r="M313" s="514"/>
      <c r="N313" s="514"/>
      <c r="O313" s="514"/>
      <c r="P313" s="514"/>
      <c r="Q313" s="514"/>
      <c r="R313" s="514"/>
      <c r="S313" s="514"/>
      <c r="T313" s="514"/>
      <c r="U313" s="352">
        <f>VLOOKUP(F313,Preisliste!C:F,4,FALSE)</f>
        <v>131.5</v>
      </c>
      <c r="V313" s="352">
        <f t="shared" si="92"/>
        <v>0</v>
      </c>
      <c r="W313" s="146"/>
      <c r="X313" s="146"/>
      <c r="Y313" s="86"/>
      <c r="Z313" s="86"/>
      <c r="AA313" s="86"/>
      <c r="AB313" s="86"/>
      <c r="AC313" s="86"/>
      <c r="AD313" s="86"/>
      <c r="AE313" s="86"/>
      <c r="AF313" s="86"/>
      <c r="AG313" s="86">
        <f>'STK1'!$B85</f>
        <v>0</v>
      </c>
      <c r="AH313" s="86">
        <f>'STK2'!$B85</f>
        <v>0</v>
      </c>
      <c r="AI313" s="86">
        <f>'STK3'!$B85</f>
        <v>0</v>
      </c>
      <c r="AJ313" s="86">
        <f>'STK4'!$B85</f>
        <v>0</v>
      </c>
      <c r="AK313" s="86">
        <f>'STK5'!$B85</f>
        <v>0</v>
      </c>
      <c r="AL313" s="86">
        <f t="shared" ref="AL313" si="133">SUM(AG313:AK313)</f>
        <v>0</v>
      </c>
      <c r="AX313" s="21"/>
    </row>
    <row r="314" spans="2:90" ht="24.95" customHeight="1">
      <c r="B314" s="92">
        <f t="shared" si="117"/>
        <v>0</v>
      </c>
      <c r="C314" s="60"/>
      <c r="D314" s="60"/>
      <c r="E314" s="60" t="str">
        <f>VLOOKUP(1600,Sprachindex!$A:$Z,Erhebungsbogen!$Y$20,FALSE)</f>
        <v>[Stk]</v>
      </c>
      <c r="F314" s="60" t="s">
        <v>21973</v>
      </c>
      <c r="G314" s="514" t="str">
        <f>VLOOKUP(2127,Sprachindex!$A:$Z,Erhebungsbogen!$Y$20,FALSE) &amp; ", " &amp; VLOOKUP(1648,Sprachindex!$A:$Z,Erhebungsbogen!$Y$20,FALSE)</f>
        <v>Lagerabdeckung (Mittelteil), blank</v>
      </c>
      <c r="H314" s="514"/>
      <c r="I314" s="514"/>
      <c r="J314" s="514"/>
      <c r="K314" s="514"/>
      <c r="L314" s="514"/>
      <c r="M314" s="514"/>
      <c r="N314" s="514"/>
      <c r="O314" s="514"/>
      <c r="P314" s="514"/>
      <c r="Q314" s="514"/>
      <c r="R314" s="514"/>
      <c r="S314" s="514"/>
      <c r="T314" s="514"/>
      <c r="U314" s="352">
        <f>VLOOKUP(F314,Preisliste!C:F,4,FALSE)</f>
        <v>125.7</v>
      </c>
      <c r="V314" s="352">
        <f t="shared" ref="V314" si="134">U314*B314</f>
        <v>0</v>
      </c>
      <c r="W314" s="146"/>
      <c r="X314" s="146"/>
      <c r="Y314" s="86"/>
      <c r="Z314" s="143"/>
      <c r="AA314" s="86"/>
      <c r="AB314" s="86"/>
      <c r="AC314" s="86"/>
      <c r="AD314" s="86"/>
      <c r="AE314" s="86"/>
      <c r="AF314" s="86"/>
      <c r="AG314" s="86">
        <f>IF(Kalk1!$AA$16=FALSE,'STK1'!$B86,0)</f>
        <v>0</v>
      </c>
      <c r="AH314" s="86">
        <f>IF(Kalk2!$AA$16=FALSE,'STK2'!$B86,0)</f>
        <v>0</v>
      </c>
      <c r="AI314" s="86">
        <f>IF(Kalk3!$AA$16=FALSE,'STK3'!$B86,0)</f>
        <v>0</v>
      </c>
      <c r="AJ314" s="86">
        <f>IF(Kalk4!$AA$16=FALSE,'STK4'!$B86,0)</f>
        <v>0</v>
      </c>
      <c r="AK314" s="86">
        <f>IF(Kalk5!$AA$16=FALSE,'STK5'!$B86,0)</f>
        <v>0</v>
      </c>
      <c r="AL314" s="86">
        <f t="shared" ref="AL314:AL325" si="135">SUM(AG314:AK314)</f>
        <v>0</v>
      </c>
      <c r="AX314" s="21"/>
    </row>
    <row r="315" spans="2:90" ht="24.95" customHeight="1">
      <c r="B315" s="92">
        <f t="shared" si="117"/>
        <v>0</v>
      </c>
      <c r="C315" s="60"/>
      <c r="D315" s="60"/>
      <c r="E315" s="60" t="str">
        <f>VLOOKUP(1600,Sprachindex!$A:$Z,Erhebungsbogen!$Y$20,FALSE)</f>
        <v>[Stk]</v>
      </c>
      <c r="F315" s="60" t="s">
        <v>21973</v>
      </c>
      <c r="G315" s="514" t="str">
        <f>VLOOKUP(2127,Sprachindex!$A:$Z,Erhebungsbogen!$Y$20,FALSE) &amp; ", " &amp; VLOOKUP(1645,Sprachindex!$A:$Z,Erhebungsbogen!$Y$20,FALSE) &amp; " " &amp; $U$8 &amp; " " &amp; $AG$18</f>
        <v xml:space="preserve">Lagerabdeckung (Mittelteil), beschichtet  </v>
      </c>
      <c r="H315" s="514"/>
      <c r="I315" s="514"/>
      <c r="J315" s="514"/>
      <c r="K315" s="514"/>
      <c r="L315" s="514"/>
      <c r="M315" s="514"/>
      <c r="N315" s="514"/>
      <c r="O315" s="514"/>
      <c r="P315" s="514"/>
      <c r="Q315" s="514"/>
      <c r="R315" s="514"/>
      <c r="S315" s="514"/>
      <c r="T315" s="514"/>
      <c r="U315" s="353">
        <f>VLOOKUP(F315,Preisliste!C:G,5,FALSE)</f>
        <v>138.27000000000001</v>
      </c>
      <c r="V315" s="352">
        <f t="shared" si="92"/>
        <v>0</v>
      </c>
      <c r="W315" s="146"/>
      <c r="X315" s="146"/>
      <c r="Y315" s="86"/>
      <c r="Z315" s="143">
        <f>(VLOOKUP(F315,Preisliste!C:G,5,FALSE)-VLOOKUP(F315,Preisliste!C:G,4,FALSE))*B315</f>
        <v>0</v>
      </c>
      <c r="AA315" s="86"/>
      <c r="AB315" s="86"/>
      <c r="AC315" s="86"/>
      <c r="AD315" s="86"/>
      <c r="AE315" s="86"/>
      <c r="AF315" s="86"/>
      <c r="AG315" s="86">
        <f>IF(Kalk1!$AA$16,'STK1'!$B86,0)</f>
        <v>0</v>
      </c>
      <c r="AH315" s="55"/>
      <c r="AI315" s="55"/>
      <c r="AJ315" s="55"/>
      <c r="AK315" s="55"/>
      <c r="AL315" s="86">
        <f t="shared" si="135"/>
        <v>0</v>
      </c>
      <c r="AX315" s="21"/>
    </row>
    <row r="316" spans="2:90" ht="24.95" customHeight="1">
      <c r="B316" s="92">
        <f t="shared" ref="B316:B319" si="136">AL316</f>
        <v>0</v>
      </c>
      <c r="C316" s="60"/>
      <c r="D316" s="60"/>
      <c r="E316" s="60" t="str">
        <f>VLOOKUP(1600,Sprachindex!$A:$Z,Erhebungsbogen!$Y$20,FALSE)</f>
        <v>[Stk]</v>
      </c>
      <c r="F316" s="60" t="s">
        <v>21973</v>
      </c>
      <c r="G316" s="514" t="str">
        <f>VLOOKUP(2127,Sprachindex!$A:$Z,Erhebungsbogen!$Y$20,FALSE) &amp; ", " &amp; VLOOKUP(1645,Sprachindex!$A:$Z,Erhebungsbogen!$Y$20,FALSE) &amp; " " &amp; $U$8 &amp; " " &amp; $AH$18</f>
        <v>Lagerabdeckung (Mittelteil), beschichtet  0</v>
      </c>
      <c r="H316" s="514"/>
      <c r="I316" s="514"/>
      <c r="J316" s="514"/>
      <c r="K316" s="514"/>
      <c r="L316" s="514"/>
      <c r="M316" s="514"/>
      <c r="N316" s="514"/>
      <c r="O316" s="514"/>
      <c r="P316" s="514"/>
      <c r="Q316" s="514"/>
      <c r="R316" s="514"/>
      <c r="S316" s="514"/>
      <c r="T316" s="514"/>
      <c r="U316" s="353">
        <f>VLOOKUP(F316,Preisliste!C:G,5,FALSE)</f>
        <v>138.27000000000001</v>
      </c>
      <c r="V316" s="352">
        <f t="shared" ref="V316:V319" si="137">U316*B316</f>
        <v>0</v>
      </c>
      <c r="W316" s="146"/>
      <c r="X316" s="146"/>
      <c r="Y316" s="86"/>
      <c r="Z316" s="143">
        <f>(VLOOKUP(F316,Preisliste!C:G,5,FALSE)-VLOOKUP(F316,Preisliste!C:G,4,FALSE))*B316</f>
        <v>0</v>
      </c>
      <c r="AA316" s="86"/>
      <c r="AB316" s="86"/>
      <c r="AC316" s="86"/>
      <c r="AD316" s="86"/>
      <c r="AE316" s="86"/>
      <c r="AF316" s="86"/>
      <c r="AH316" s="86">
        <f>IF(Kalk2!$AA$16,'STK2'!$B86,0)</f>
        <v>0</v>
      </c>
      <c r="AL316" s="86">
        <f t="shared" si="135"/>
        <v>0</v>
      </c>
      <c r="AX316" s="21"/>
    </row>
    <row r="317" spans="2:90" ht="24.95" customHeight="1">
      <c r="B317" s="92">
        <f t="shared" si="136"/>
        <v>0</v>
      </c>
      <c r="C317" s="60"/>
      <c r="D317" s="60"/>
      <c r="E317" s="60" t="str">
        <f>VLOOKUP(1600,Sprachindex!$A:$Z,Erhebungsbogen!$Y$20,FALSE)</f>
        <v>[Stk]</v>
      </c>
      <c r="F317" s="60" t="s">
        <v>21973</v>
      </c>
      <c r="G317" s="514" t="str">
        <f>VLOOKUP(2127,Sprachindex!$A:$Z,Erhebungsbogen!$Y$20,FALSE) &amp; ", " &amp; VLOOKUP(1645,Sprachindex!$A:$Z,Erhebungsbogen!$Y$20,FALSE) &amp; " " &amp; $U$8 &amp; " " &amp; $AI$18</f>
        <v>Lagerabdeckung (Mittelteil), beschichtet  0</v>
      </c>
      <c r="H317" s="514"/>
      <c r="I317" s="514"/>
      <c r="J317" s="514"/>
      <c r="K317" s="514"/>
      <c r="L317" s="514"/>
      <c r="M317" s="514"/>
      <c r="N317" s="514"/>
      <c r="O317" s="514"/>
      <c r="P317" s="514"/>
      <c r="Q317" s="514"/>
      <c r="R317" s="514"/>
      <c r="S317" s="514"/>
      <c r="T317" s="514"/>
      <c r="U317" s="353">
        <f>VLOOKUP(F317,Preisliste!C:G,5,FALSE)</f>
        <v>138.27000000000001</v>
      </c>
      <c r="V317" s="352">
        <f t="shared" si="137"/>
        <v>0</v>
      </c>
      <c r="W317" s="146"/>
      <c r="X317" s="146"/>
      <c r="Y317" s="86"/>
      <c r="Z317" s="143">
        <f>(VLOOKUP(F317,Preisliste!C:G,5,FALSE)-VLOOKUP(F317,Preisliste!C:G,4,FALSE))*B317</f>
        <v>0</v>
      </c>
      <c r="AA317" s="86"/>
      <c r="AB317" s="86"/>
      <c r="AC317" s="86"/>
      <c r="AD317" s="86"/>
      <c r="AE317" s="86"/>
      <c r="AF317" s="86"/>
      <c r="AI317" s="86">
        <f>IF(Kalk3!$AA$16,'STK3'!$B86,0)</f>
        <v>0</v>
      </c>
      <c r="AL317" s="86">
        <f t="shared" si="135"/>
        <v>0</v>
      </c>
      <c r="AX317" s="21"/>
    </row>
    <row r="318" spans="2:90" ht="24.95" customHeight="1">
      <c r="B318" s="92">
        <f t="shared" si="136"/>
        <v>0</v>
      </c>
      <c r="C318" s="60"/>
      <c r="D318" s="60"/>
      <c r="E318" s="60" t="str">
        <f>VLOOKUP(1600,Sprachindex!$A:$Z,Erhebungsbogen!$Y$20,FALSE)</f>
        <v>[Stk]</v>
      </c>
      <c r="F318" s="60" t="s">
        <v>21973</v>
      </c>
      <c r="G318" s="514" t="str">
        <f>VLOOKUP(2127,Sprachindex!$A:$Z,Erhebungsbogen!$Y$20,FALSE) &amp; ", " &amp; VLOOKUP(1645,Sprachindex!$A:$Z,Erhebungsbogen!$Y$20,FALSE) &amp; " " &amp; $U$8 &amp; " " &amp; $AJ$18</f>
        <v>Lagerabdeckung (Mittelteil), beschichtet  0</v>
      </c>
      <c r="H318" s="514"/>
      <c r="I318" s="514"/>
      <c r="J318" s="514"/>
      <c r="K318" s="514"/>
      <c r="L318" s="514"/>
      <c r="M318" s="514"/>
      <c r="N318" s="514"/>
      <c r="O318" s="514"/>
      <c r="P318" s="514"/>
      <c r="Q318" s="514"/>
      <c r="R318" s="514"/>
      <c r="S318" s="514"/>
      <c r="T318" s="514"/>
      <c r="U318" s="353">
        <f>VLOOKUP(F318,Preisliste!C:G,5,FALSE)</f>
        <v>138.27000000000001</v>
      </c>
      <c r="V318" s="352">
        <f t="shared" si="137"/>
        <v>0</v>
      </c>
      <c r="W318" s="146"/>
      <c r="X318" s="146"/>
      <c r="Y318" s="86"/>
      <c r="Z318" s="143">
        <f>(VLOOKUP(F318,Preisliste!C:G,5,FALSE)-VLOOKUP(F318,Preisliste!C:G,4,FALSE))*B318</f>
        <v>0</v>
      </c>
      <c r="AA318" s="86"/>
      <c r="AB318" s="86"/>
      <c r="AC318" s="86"/>
      <c r="AD318" s="86"/>
      <c r="AE318" s="86"/>
      <c r="AF318" s="86"/>
      <c r="AJ318" s="86">
        <f>IF(Kalk4!$AA$16,'STK4'!$B86,0)</f>
        <v>0</v>
      </c>
      <c r="AL318" s="86">
        <f t="shared" si="135"/>
        <v>0</v>
      </c>
      <c r="AX318" s="21"/>
    </row>
    <row r="319" spans="2:90" ht="24.95" customHeight="1">
      <c r="B319" s="92">
        <f t="shared" si="136"/>
        <v>0</v>
      </c>
      <c r="C319" s="60"/>
      <c r="D319" s="60"/>
      <c r="E319" s="60" t="str">
        <f>VLOOKUP(1600,Sprachindex!$A:$Z,Erhebungsbogen!$Y$20,FALSE)</f>
        <v>[Stk]</v>
      </c>
      <c r="F319" s="60" t="s">
        <v>21973</v>
      </c>
      <c r="G319" s="514" t="str">
        <f>VLOOKUP(2127,Sprachindex!$A:$Z,Erhebungsbogen!$Y$20,FALSE) &amp; ", " &amp; VLOOKUP(1645,Sprachindex!$A:$Z,Erhebungsbogen!$Y$20,FALSE) &amp; " " &amp; $U$8 &amp; " " &amp; $AK$18</f>
        <v>Lagerabdeckung (Mittelteil), beschichtet  0</v>
      </c>
      <c r="H319" s="514"/>
      <c r="I319" s="514"/>
      <c r="J319" s="514"/>
      <c r="K319" s="514"/>
      <c r="L319" s="514"/>
      <c r="M319" s="514"/>
      <c r="N319" s="514"/>
      <c r="O319" s="514"/>
      <c r="P319" s="514"/>
      <c r="Q319" s="514"/>
      <c r="R319" s="514"/>
      <c r="S319" s="514"/>
      <c r="T319" s="514"/>
      <c r="U319" s="353">
        <f>VLOOKUP(F319,Preisliste!C:G,5,FALSE)</f>
        <v>138.27000000000001</v>
      </c>
      <c r="V319" s="352">
        <f t="shared" si="137"/>
        <v>0</v>
      </c>
      <c r="W319" s="146"/>
      <c r="X319" s="146"/>
      <c r="Y319" s="86"/>
      <c r="Z319" s="143">
        <f>(VLOOKUP(F319,Preisliste!C:G,5,FALSE)-VLOOKUP(F319,Preisliste!C:G,4,FALSE))*B319</f>
        <v>0</v>
      </c>
      <c r="AA319" s="86"/>
      <c r="AB319" s="86"/>
      <c r="AC319" s="86"/>
      <c r="AD319" s="86"/>
      <c r="AE319" s="86"/>
      <c r="AF319" s="86"/>
      <c r="AK319" s="86">
        <f>IF(Kalk5!$AA$16,'STK5'!$B86,0)</f>
        <v>0</v>
      </c>
      <c r="AL319" s="86">
        <f t="shared" si="135"/>
        <v>0</v>
      </c>
      <c r="AX319" s="21"/>
    </row>
    <row r="320" spans="2:90" ht="24.95" customHeight="1">
      <c r="B320" s="92">
        <f t="shared" si="117"/>
        <v>0</v>
      </c>
      <c r="C320" s="60"/>
      <c r="D320" s="60"/>
      <c r="E320" s="60" t="str">
        <f>VLOOKUP(1600,Sprachindex!$A:$Z,Erhebungsbogen!$Y$20,FALSE)</f>
        <v>[Stk]</v>
      </c>
      <c r="F320" s="60" t="s">
        <v>21975</v>
      </c>
      <c r="G320" s="514" t="str">
        <f>VLOOKUP(2128,Sprachindex!$A:$Z,Erhebungsbogen!$Y$20,FALSE) &amp; ", " &amp; VLOOKUP(1648,Sprachindex!$A:$Z,Erhebungsbogen!$Y$20,FALSE)</f>
        <v>Lagerabdeckung (Seitenteil), blank</v>
      </c>
      <c r="H320" s="514"/>
      <c r="I320" s="514"/>
      <c r="J320" s="514"/>
      <c r="K320" s="514"/>
      <c r="L320" s="514"/>
      <c r="M320" s="514"/>
      <c r="N320" s="514"/>
      <c r="O320" s="514"/>
      <c r="P320" s="514"/>
      <c r="Q320" s="514"/>
      <c r="R320" s="514"/>
      <c r="S320" s="514"/>
      <c r="T320" s="514"/>
      <c r="U320" s="352">
        <f>VLOOKUP(F320,Preisliste!C:F,4,FALSE)</f>
        <v>49.35</v>
      </c>
      <c r="V320" s="352">
        <f t="shared" ref="V320" si="138">U320*B320</f>
        <v>0</v>
      </c>
      <c r="W320" s="146"/>
      <c r="X320" s="146"/>
      <c r="Y320" s="86"/>
      <c r="Z320" s="143"/>
      <c r="AA320" s="86"/>
      <c r="AB320" s="86"/>
      <c r="AC320" s="86"/>
      <c r="AD320" s="86"/>
      <c r="AE320" s="86"/>
      <c r="AF320" s="86"/>
      <c r="AG320" s="86">
        <f>IF(Kalk1!$AA$16=FALSE,'STK1'!$B87,0)</f>
        <v>0</v>
      </c>
      <c r="AH320" s="86">
        <f>IF(Kalk2!$AA$16=FALSE,'STK2'!$B87,0)</f>
        <v>0</v>
      </c>
      <c r="AI320" s="86">
        <f>IF(Kalk3!$AA$16=FALSE,'STK3'!$B87,0)</f>
        <v>0</v>
      </c>
      <c r="AJ320" s="86">
        <f>IF(Kalk4!$AA$16=FALSE,'STK4'!$B87,0)</f>
        <v>0</v>
      </c>
      <c r="AK320" s="86">
        <f>IF(Kalk5!$AA$16=FALSE,'STK5'!$B87,0)</f>
        <v>0</v>
      </c>
      <c r="AL320" s="86">
        <f t="shared" si="135"/>
        <v>0</v>
      </c>
      <c r="AX320" s="21"/>
    </row>
    <row r="321" spans="2:89" ht="24.95" customHeight="1">
      <c r="B321" s="92">
        <f t="shared" si="117"/>
        <v>0</v>
      </c>
      <c r="C321" s="60"/>
      <c r="D321" s="60"/>
      <c r="E321" s="60" t="str">
        <f>VLOOKUP(1600,Sprachindex!$A:$Z,Erhebungsbogen!$Y$20,FALSE)</f>
        <v>[Stk]</v>
      </c>
      <c r="F321" s="60" t="s">
        <v>21975</v>
      </c>
      <c r="G321" s="514" t="str">
        <f>VLOOKUP(2128,Sprachindex!$A:$Z,Erhebungsbogen!$Y$20,FALSE) &amp; ", " &amp; VLOOKUP(1645,Sprachindex!$A:$Z,Erhebungsbogen!$Y$20,FALSE) &amp; " " &amp; $U$8 &amp; " " &amp; $AG$18</f>
        <v xml:space="preserve">Lagerabdeckung (Seitenteil), beschichtet  </v>
      </c>
      <c r="H321" s="514"/>
      <c r="I321" s="514"/>
      <c r="J321" s="514"/>
      <c r="K321" s="514"/>
      <c r="L321" s="514"/>
      <c r="M321" s="514"/>
      <c r="N321" s="514"/>
      <c r="O321" s="514"/>
      <c r="P321" s="514"/>
      <c r="Q321" s="514"/>
      <c r="R321" s="514"/>
      <c r="S321" s="514"/>
      <c r="T321" s="514"/>
      <c r="U321" s="353">
        <f>VLOOKUP(F321,Preisliste!C:G,5,FALSE)</f>
        <v>54.285000000000004</v>
      </c>
      <c r="V321" s="352">
        <f t="shared" si="92"/>
        <v>0</v>
      </c>
      <c r="W321" s="146"/>
      <c r="X321" s="146"/>
      <c r="Y321" s="86"/>
      <c r="Z321" s="143">
        <f>(VLOOKUP(F321,Preisliste!C:G,5,FALSE)-VLOOKUP(F321,Preisliste!C:G,4,FALSE))*B321</f>
        <v>0</v>
      </c>
      <c r="AA321" s="86"/>
      <c r="AB321" s="86"/>
      <c r="AC321" s="86"/>
      <c r="AD321" s="86"/>
      <c r="AE321" s="86"/>
      <c r="AF321" s="86"/>
      <c r="AG321" s="86">
        <f>IF(Kalk1!$AA$16,'STK1'!$B87,0)</f>
        <v>0</v>
      </c>
      <c r="AH321" s="55"/>
      <c r="AI321" s="55"/>
      <c r="AJ321" s="55"/>
      <c r="AK321" s="55"/>
      <c r="AL321" s="86">
        <f t="shared" si="135"/>
        <v>0</v>
      </c>
      <c r="AX321" s="21"/>
    </row>
    <row r="322" spans="2:89" ht="24.95" customHeight="1">
      <c r="B322" s="92">
        <f t="shared" ref="B322:B325" si="139">AL322</f>
        <v>0</v>
      </c>
      <c r="C322" s="60"/>
      <c r="D322" s="60"/>
      <c r="E322" s="60" t="str">
        <f>VLOOKUP(1600,Sprachindex!$A:$Z,Erhebungsbogen!$Y$20,FALSE)</f>
        <v>[Stk]</v>
      </c>
      <c r="F322" s="60" t="s">
        <v>21975</v>
      </c>
      <c r="G322" s="514" t="str">
        <f>VLOOKUP(2128,Sprachindex!$A:$Z,Erhebungsbogen!$Y$20,FALSE) &amp; ", " &amp; VLOOKUP(1645,Sprachindex!$A:$Z,Erhebungsbogen!$Y$20,FALSE) &amp; " " &amp; $U$8 &amp; " " &amp; $AH$18</f>
        <v>Lagerabdeckung (Seitenteil), beschichtet  0</v>
      </c>
      <c r="H322" s="514"/>
      <c r="I322" s="514"/>
      <c r="J322" s="514"/>
      <c r="K322" s="514"/>
      <c r="L322" s="514"/>
      <c r="M322" s="514"/>
      <c r="N322" s="514"/>
      <c r="O322" s="514"/>
      <c r="P322" s="514"/>
      <c r="Q322" s="514"/>
      <c r="R322" s="514"/>
      <c r="S322" s="514"/>
      <c r="T322" s="514"/>
      <c r="U322" s="353">
        <f>VLOOKUP(F322,Preisliste!C:G,5,FALSE)</f>
        <v>54.285000000000004</v>
      </c>
      <c r="V322" s="352">
        <f t="shared" ref="V322:V325" si="140">U322*B322</f>
        <v>0</v>
      </c>
      <c r="W322" s="146"/>
      <c r="X322" s="146"/>
      <c r="Y322" s="86"/>
      <c r="Z322" s="143">
        <f>(VLOOKUP(F322,Preisliste!C:G,5,FALSE)-VLOOKUP(F322,Preisliste!C:G,4,FALSE))*B322</f>
        <v>0</v>
      </c>
      <c r="AA322" s="86"/>
      <c r="AB322" s="86"/>
      <c r="AC322" s="86"/>
      <c r="AD322" s="86"/>
      <c r="AE322" s="86"/>
      <c r="AF322" s="86"/>
      <c r="AH322" s="86">
        <f>IF(Kalk1!$AA$16,'STK2'!$B87,0)</f>
        <v>0</v>
      </c>
      <c r="AI322" s="55"/>
      <c r="AL322" s="86">
        <f t="shared" si="135"/>
        <v>0</v>
      </c>
      <c r="AX322" s="21"/>
    </row>
    <row r="323" spans="2:89" ht="24.95" customHeight="1">
      <c r="B323" s="92">
        <f t="shared" si="139"/>
        <v>0</v>
      </c>
      <c r="C323" s="60"/>
      <c r="D323" s="60"/>
      <c r="E323" s="60" t="str">
        <f>VLOOKUP(1600,Sprachindex!$A:$Z,Erhebungsbogen!$Y$20,FALSE)</f>
        <v>[Stk]</v>
      </c>
      <c r="F323" s="60" t="s">
        <v>21975</v>
      </c>
      <c r="G323" s="514" t="str">
        <f>VLOOKUP(2128,Sprachindex!$A:$Z,Erhebungsbogen!$Y$20,FALSE) &amp; ", " &amp; VLOOKUP(1645,Sprachindex!$A:$Z,Erhebungsbogen!$Y$20,FALSE) &amp; " " &amp; $U$8 &amp; " " &amp; $AI$18</f>
        <v>Lagerabdeckung (Seitenteil), beschichtet  0</v>
      </c>
      <c r="H323" s="514"/>
      <c r="I323" s="514"/>
      <c r="J323" s="514"/>
      <c r="K323" s="514"/>
      <c r="L323" s="514"/>
      <c r="M323" s="514"/>
      <c r="N323" s="514"/>
      <c r="O323" s="514"/>
      <c r="P323" s="514"/>
      <c r="Q323" s="514"/>
      <c r="R323" s="514"/>
      <c r="S323" s="514"/>
      <c r="T323" s="514"/>
      <c r="U323" s="353">
        <f>VLOOKUP(F323,Preisliste!C:G,5,FALSE)</f>
        <v>54.285000000000004</v>
      </c>
      <c r="V323" s="352">
        <f t="shared" si="140"/>
        <v>0</v>
      </c>
      <c r="W323" s="146"/>
      <c r="X323" s="146"/>
      <c r="Y323" s="86"/>
      <c r="Z323" s="143">
        <f>(VLOOKUP(F323,Preisliste!C:G,5,FALSE)-VLOOKUP(F323,Preisliste!C:G,4,FALSE))*B323</f>
        <v>0</v>
      </c>
      <c r="AA323" s="86"/>
      <c r="AB323" s="86"/>
      <c r="AC323" s="86"/>
      <c r="AD323" s="86"/>
      <c r="AE323" s="86"/>
      <c r="AF323" s="86"/>
      <c r="AI323" s="86">
        <f>IF(Kalk1!$AA$16,'STK3'!$B87,0)</f>
        <v>0</v>
      </c>
      <c r="AJ323" s="55"/>
      <c r="AL323" s="86">
        <f t="shared" si="135"/>
        <v>0</v>
      </c>
      <c r="AX323" s="21"/>
    </row>
    <row r="324" spans="2:89" ht="24.95" customHeight="1">
      <c r="B324" s="92">
        <f t="shared" si="139"/>
        <v>0</v>
      </c>
      <c r="C324" s="60"/>
      <c r="D324" s="60"/>
      <c r="E324" s="60" t="str">
        <f>VLOOKUP(1600,Sprachindex!$A:$Z,Erhebungsbogen!$Y$20,FALSE)</f>
        <v>[Stk]</v>
      </c>
      <c r="F324" s="60" t="s">
        <v>21975</v>
      </c>
      <c r="G324" s="514" t="str">
        <f>VLOOKUP(2128,Sprachindex!$A:$Z,Erhebungsbogen!$Y$20,FALSE) &amp; ", " &amp; VLOOKUP(1645,Sprachindex!$A:$Z,Erhebungsbogen!$Y$20,FALSE) &amp; " " &amp; $U$8 &amp; " " &amp; $AJ$18</f>
        <v>Lagerabdeckung (Seitenteil), beschichtet  0</v>
      </c>
      <c r="H324" s="514"/>
      <c r="I324" s="514"/>
      <c r="J324" s="514"/>
      <c r="K324" s="514"/>
      <c r="L324" s="514"/>
      <c r="M324" s="514"/>
      <c r="N324" s="514"/>
      <c r="O324" s="514"/>
      <c r="P324" s="514"/>
      <c r="Q324" s="514"/>
      <c r="R324" s="514"/>
      <c r="S324" s="514"/>
      <c r="T324" s="514"/>
      <c r="U324" s="353">
        <f>VLOOKUP(F324,Preisliste!C:G,5,FALSE)</f>
        <v>54.285000000000004</v>
      </c>
      <c r="V324" s="352">
        <f t="shared" si="140"/>
        <v>0</v>
      </c>
      <c r="W324" s="146"/>
      <c r="X324" s="146"/>
      <c r="Y324" s="86"/>
      <c r="Z324" s="143">
        <f>(VLOOKUP(F324,Preisliste!C:G,5,FALSE)-VLOOKUP(F324,Preisliste!C:G,4,FALSE))*B324</f>
        <v>0</v>
      </c>
      <c r="AA324" s="86"/>
      <c r="AB324" s="86"/>
      <c r="AC324" s="86"/>
      <c r="AD324" s="86"/>
      <c r="AE324" s="86"/>
      <c r="AF324" s="86"/>
      <c r="AJ324" s="86">
        <f>IF(Kalk1!$AA$16,'STK4'!$B87,0)</f>
        <v>0</v>
      </c>
      <c r="AK324" s="55"/>
      <c r="AL324" s="86">
        <f t="shared" si="135"/>
        <v>0</v>
      </c>
      <c r="AX324" s="21"/>
    </row>
    <row r="325" spans="2:89" ht="24.95" customHeight="1">
      <c r="B325" s="92">
        <f t="shared" si="139"/>
        <v>0</v>
      </c>
      <c r="C325" s="60"/>
      <c r="D325" s="60"/>
      <c r="E325" s="60" t="str">
        <f>VLOOKUP(1600,Sprachindex!$A:$Z,Erhebungsbogen!$Y$20,FALSE)</f>
        <v>[Stk]</v>
      </c>
      <c r="F325" s="60" t="s">
        <v>21975</v>
      </c>
      <c r="G325" s="514" t="str">
        <f>VLOOKUP(2128,Sprachindex!$A:$Z,Erhebungsbogen!$Y$20,FALSE) &amp; ", " &amp; VLOOKUP(1645,Sprachindex!$A:$Z,Erhebungsbogen!$Y$20,FALSE) &amp; " " &amp; $U$8 &amp; " " &amp; $AK$18</f>
        <v>Lagerabdeckung (Seitenteil), beschichtet  0</v>
      </c>
      <c r="H325" s="514"/>
      <c r="I325" s="514"/>
      <c r="J325" s="514"/>
      <c r="K325" s="514"/>
      <c r="L325" s="514"/>
      <c r="M325" s="514"/>
      <c r="N325" s="514"/>
      <c r="O325" s="514"/>
      <c r="P325" s="514"/>
      <c r="Q325" s="514"/>
      <c r="R325" s="514"/>
      <c r="S325" s="514"/>
      <c r="T325" s="514"/>
      <c r="U325" s="353">
        <f>VLOOKUP(F325,Preisliste!C:G,5,FALSE)</f>
        <v>54.285000000000004</v>
      </c>
      <c r="V325" s="352">
        <f t="shared" si="140"/>
        <v>0</v>
      </c>
      <c r="W325" s="146"/>
      <c r="X325" s="146"/>
      <c r="Y325" s="86"/>
      <c r="Z325" s="143">
        <f>(VLOOKUP(F325,Preisliste!C:G,5,FALSE)-VLOOKUP(F325,Preisliste!C:G,4,FALSE))*B325</f>
        <v>0</v>
      </c>
      <c r="AA325" s="86"/>
      <c r="AB325" s="86"/>
      <c r="AC325" s="86"/>
      <c r="AD325" s="86"/>
      <c r="AE325" s="86"/>
      <c r="AF325" s="86"/>
      <c r="AK325" s="86">
        <f>IF(Kalk1!$AA$16,'STK5'!$B87,0)</f>
        <v>0</v>
      </c>
      <c r="AL325" s="86">
        <f t="shared" si="135"/>
        <v>0</v>
      </c>
      <c r="AX325" s="21"/>
    </row>
    <row r="326" spans="2:89" ht="24.95" customHeight="1">
      <c r="B326" s="92">
        <f t="shared" si="117"/>
        <v>0</v>
      </c>
      <c r="C326" s="60">
        <v>750</v>
      </c>
      <c r="D326" s="60"/>
      <c r="E326" s="60" t="str">
        <f>VLOOKUP(1600,Sprachindex!$A:$Z,Erhebungsbogen!$Y$20,FALSE)</f>
        <v>[Stk]</v>
      </c>
      <c r="F326" s="60" t="s">
        <v>21938</v>
      </c>
      <c r="G326" s="514" t="str">
        <f>VLOOKUP(1774,Sprachindex!$A:$Z,Erhebungsbogen!$Y$20,FALSE) &amp; ", " &amp; VLOOKUP(1648,Sprachindex!$A:$Z,Erhebungsbogen!$Y$20,FALSE)</f>
        <v>Niederhalter inkl. Spannstück, Verbundanker und Gewindestange, blank</v>
      </c>
      <c r="H326" s="514"/>
      <c r="I326" s="514"/>
      <c r="J326" s="514"/>
      <c r="K326" s="514"/>
      <c r="L326" s="514"/>
      <c r="M326" s="514"/>
      <c r="N326" s="514"/>
      <c r="O326" s="514"/>
      <c r="P326" s="514"/>
      <c r="Q326" s="514"/>
      <c r="R326" s="514"/>
      <c r="S326" s="514"/>
      <c r="T326" s="514"/>
      <c r="U326" s="352">
        <f>VLOOKUP(F326,Preisliste!C:F,4,FALSE)</f>
        <v>458.8</v>
      </c>
      <c r="V326" s="352">
        <f t="shared" si="92"/>
        <v>0</v>
      </c>
      <c r="W326" s="146"/>
      <c r="X326" s="146"/>
      <c r="Y326" s="86"/>
      <c r="Z326" s="86"/>
      <c r="AA326" s="86"/>
      <c r="AB326" s="86"/>
      <c r="AC326" s="86"/>
      <c r="AD326" s="86"/>
      <c r="AE326" s="86"/>
      <c r="AF326" s="86"/>
      <c r="AG326" s="86">
        <f>'STK1'!$B88</f>
        <v>0</v>
      </c>
      <c r="AH326" s="86">
        <f>'STK2'!$B88</f>
        <v>0</v>
      </c>
      <c r="AI326" s="86">
        <f>'STK3'!$B88</f>
        <v>0</v>
      </c>
      <c r="AJ326" s="86">
        <f>'STK4'!$B88</f>
        <v>0</v>
      </c>
      <c r="AK326" s="86">
        <f>'STK5'!$B88</f>
        <v>0</v>
      </c>
      <c r="AL326" s="86">
        <f t="shared" ref="AL326" si="141">SUM(AG326:AK326)</f>
        <v>0</v>
      </c>
      <c r="AX326" s="21"/>
    </row>
    <row r="327" spans="2:89" ht="24.95" customHeight="1">
      <c r="B327" s="92">
        <f t="shared" si="117"/>
        <v>0</v>
      </c>
      <c r="C327" s="60">
        <v>1350</v>
      </c>
      <c r="D327" s="60"/>
      <c r="E327" s="60" t="str">
        <f>VLOOKUP(1600,Sprachindex!$A:$Z,Erhebungsbogen!$Y$20,FALSE)</f>
        <v>[Stk]</v>
      </c>
      <c r="F327" s="60" t="s">
        <v>21939</v>
      </c>
      <c r="G327" s="514" t="str">
        <f>VLOOKUP(1774,Sprachindex!$A:$Z,Erhebungsbogen!$Y$20,FALSE) &amp; ", " &amp; VLOOKUP(1648,Sprachindex!$A:$Z,Erhebungsbogen!$Y$20,FALSE)</f>
        <v>Niederhalter inkl. Spannstück, Verbundanker und Gewindestange, blank</v>
      </c>
      <c r="H327" s="514"/>
      <c r="I327" s="514"/>
      <c r="J327" s="514"/>
      <c r="K327" s="514"/>
      <c r="L327" s="514"/>
      <c r="M327" s="514"/>
      <c r="N327" s="514"/>
      <c r="O327" s="514"/>
      <c r="P327" s="514"/>
      <c r="Q327" s="514"/>
      <c r="R327" s="514"/>
      <c r="S327" s="514"/>
      <c r="T327" s="514"/>
      <c r="U327" s="352">
        <f>VLOOKUP(F327,Preisliste!C:F,4,FALSE)</f>
        <v>498.35</v>
      </c>
      <c r="V327" s="352">
        <f t="shared" si="92"/>
        <v>0</v>
      </c>
      <c r="W327" s="146"/>
      <c r="X327" s="146"/>
      <c r="Y327" s="86"/>
      <c r="Z327" s="86"/>
      <c r="AA327" s="86"/>
      <c r="AB327" s="86"/>
      <c r="AC327" s="86"/>
      <c r="AD327" s="86"/>
      <c r="AE327" s="86"/>
      <c r="AF327" s="86"/>
      <c r="AG327" s="86">
        <f>'STK1'!$B89</f>
        <v>0</v>
      </c>
      <c r="AH327" s="86">
        <f>'STK2'!$B89</f>
        <v>0</v>
      </c>
      <c r="AI327" s="86">
        <f>'STK3'!$B89</f>
        <v>0</v>
      </c>
      <c r="AJ327" s="86">
        <f>'STK4'!$B89</f>
        <v>0</v>
      </c>
      <c r="AK327" s="86">
        <f>'STK5'!$B89</f>
        <v>0</v>
      </c>
      <c r="AL327" s="86">
        <f t="shared" ref="AL327:AL329" si="142">SUM(AG327:AK327)</f>
        <v>0</v>
      </c>
    </row>
    <row r="328" spans="2:89" ht="24.95" customHeight="1">
      <c r="B328" s="92">
        <f t="shared" si="117"/>
        <v>0</v>
      </c>
      <c r="C328" s="60">
        <v>1750</v>
      </c>
      <c r="D328" s="60"/>
      <c r="E328" s="60" t="str">
        <f>VLOOKUP(1600,Sprachindex!$A:$Z,Erhebungsbogen!$Y$20,FALSE)</f>
        <v>[Stk]</v>
      </c>
      <c r="F328" s="60" t="s">
        <v>21940</v>
      </c>
      <c r="G328" s="514" t="str">
        <f>VLOOKUP(1774,Sprachindex!$A:$Z,Erhebungsbogen!$Y$20,FALSE) &amp; ", " &amp; VLOOKUP(1648,Sprachindex!$A:$Z,Erhebungsbogen!$Y$20,FALSE)</f>
        <v>Niederhalter inkl. Spannstück, Verbundanker und Gewindestange, blank</v>
      </c>
      <c r="H328" s="514"/>
      <c r="I328" s="514"/>
      <c r="J328" s="514"/>
      <c r="K328" s="514"/>
      <c r="L328" s="514"/>
      <c r="M328" s="514"/>
      <c r="N328" s="514"/>
      <c r="O328" s="514"/>
      <c r="P328" s="514"/>
      <c r="Q328" s="514"/>
      <c r="R328" s="514"/>
      <c r="S328" s="514"/>
      <c r="T328" s="514"/>
      <c r="U328" s="352">
        <f>VLOOKUP(F328,Preisliste!C:F,4,FALSE)</f>
        <v>555.6</v>
      </c>
      <c r="V328" s="352">
        <f t="shared" si="92"/>
        <v>0</v>
      </c>
      <c r="W328" s="146"/>
      <c r="X328" s="146"/>
      <c r="Y328" s="86"/>
      <c r="Z328" s="86"/>
      <c r="AA328" s="86"/>
      <c r="AB328" s="86"/>
      <c r="AC328" s="86"/>
      <c r="AD328" s="86"/>
      <c r="AE328" s="86"/>
      <c r="AF328" s="86"/>
      <c r="AG328" s="86">
        <f>'STK1'!$B90</f>
        <v>0</v>
      </c>
      <c r="AH328" s="86">
        <f>'STK2'!$B90</f>
        <v>0</v>
      </c>
      <c r="AI328" s="86">
        <f>'STK3'!$B90</f>
        <v>0</v>
      </c>
      <c r="AJ328" s="86">
        <f>'STK4'!$B90</f>
        <v>0</v>
      </c>
      <c r="AK328" s="86">
        <f>'STK5'!$B90</f>
        <v>0</v>
      </c>
      <c r="AL328" s="86">
        <f t="shared" si="142"/>
        <v>0</v>
      </c>
    </row>
    <row r="329" spans="2:89" ht="24.95" customHeight="1">
      <c r="B329" s="92">
        <f t="shared" si="117"/>
        <v>0</v>
      </c>
      <c r="C329" s="60">
        <v>750</v>
      </c>
      <c r="D329" s="60"/>
      <c r="E329" s="60" t="str">
        <f>VLOOKUP(1600,Sprachindex!$A:$Z,Erhebungsbogen!$Y$20,FALSE)</f>
        <v>[Stk]</v>
      </c>
      <c r="F329" s="60" t="s">
        <v>21906</v>
      </c>
      <c r="G329" s="514" t="str">
        <f>VLOOKUP(1794,Sprachindex!$A:$Z,Erhebungsbogen!$Y$20,FALSE) &amp; ", " &amp; VLOOKUP(1648,Sprachindex!$A:$Z,Erhebungsbogen!$Y$20,FALSE)</f>
        <v>Rundprofil 50 exkl. Dichtung, gebohrt und entgratet, blank</v>
      </c>
      <c r="H329" s="514"/>
      <c r="I329" s="514"/>
      <c r="J329" s="514"/>
      <c r="K329" s="514"/>
      <c r="L329" s="514"/>
      <c r="M329" s="514"/>
      <c r="N329" s="514"/>
      <c r="O329" s="514"/>
      <c r="P329" s="514"/>
      <c r="Q329" s="514"/>
      <c r="R329" s="514"/>
      <c r="S329" s="514"/>
      <c r="T329" s="514"/>
      <c r="U329" s="352">
        <f>VLOOKUP(F329,Preisliste!C:F,4,FALSE)</f>
        <v>369.95</v>
      </c>
      <c r="V329" s="352">
        <f t="shared" si="92"/>
        <v>0</v>
      </c>
      <c r="W329" s="146"/>
      <c r="X329" s="146"/>
      <c r="Y329" s="86"/>
      <c r="Z329" s="86"/>
      <c r="AA329" s="86"/>
      <c r="AB329" s="86"/>
      <c r="AC329" s="86"/>
      <c r="AD329" s="86"/>
      <c r="AE329" s="86"/>
      <c r="AF329" s="86"/>
      <c r="AG329" s="86">
        <f>'STK1'!$B91</f>
        <v>0</v>
      </c>
      <c r="AH329" s="86">
        <f>'STK2'!$B91</f>
        <v>0</v>
      </c>
      <c r="AI329" s="86">
        <f>'STK3'!$B91</f>
        <v>0</v>
      </c>
      <c r="AJ329" s="86">
        <f>'STK4'!$B91</f>
        <v>0</v>
      </c>
      <c r="AK329" s="86">
        <f>'STK5'!$B91</f>
        <v>0</v>
      </c>
      <c r="AL329" s="86">
        <f t="shared" si="142"/>
        <v>0</v>
      </c>
    </row>
    <row r="330" spans="2:89" ht="24.95" customHeight="1">
      <c r="B330" s="92">
        <f t="shared" si="117"/>
        <v>0</v>
      </c>
      <c r="C330" s="60">
        <v>1350</v>
      </c>
      <c r="D330" s="60"/>
      <c r="E330" s="60" t="str">
        <f>VLOOKUP(1600,Sprachindex!$A:$Z,Erhebungsbogen!$Y$20,FALSE)</f>
        <v>[Stk]</v>
      </c>
      <c r="F330" s="60" t="s">
        <v>21907</v>
      </c>
      <c r="G330" s="514" t="str">
        <f>VLOOKUP(1794,Sprachindex!$A:$Z,Erhebungsbogen!$Y$20,FALSE) &amp; ", " &amp; VLOOKUP(1648,Sprachindex!$A:$Z,Erhebungsbogen!$Y$20,FALSE)</f>
        <v>Rundprofil 50 exkl. Dichtung, gebohrt und entgratet, blank</v>
      </c>
      <c r="H330" s="514"/>
      <c r="I330" s="514"/>
      <c r="J330" s="514"/>
      <c r="K330" s="514"/>
      <c r="L330" s="514"/>
      <c r="M330" s="514"/>
      <c r="N330" s="514"/>
      <c r="O330" s="514"/>
      <c r="P330" s="514"/>
      <c r="Q330" s="514"/>
      <c r="R330" s="514"/>
      <c r="S330" s="514"/>
      <c r="T330" s="514"/>
      <c r="U330" s="352">
        <f>VLOOKUP(F330,Preisliste!C:F,4,FALSE)</f>
        <v>440.6</v>
      </c>
      <c r="V330" s="352">
        <f t="shared" si="92"/>
        <v>0</v>
      </c>
      <c r="W330" s="146"/>
      <c r="X330" s="146"/>
      <c r="Y330" s="86"/>
      <c r="Z330" s="86"/>
      <c r="AA330" s="86"/>
      <c r="AB330" s="86"/>
      <c r="AC330" s="86"/>
      <c r="AD330" s="86"/>
      <c r="AE330" s="86"/>
      <c r="AF330" s="86"/>
      <c r="AG330" s="86">
        <f>'STK1'!$B92</f>
        <v>0</v>
      </c>
      <c r="AH330" s="86">
        <f>'STK2'!$B92</f>
        <v>0</v>
      </c>
      <c r="AI330" s="86">
        <f>'STK3'!$B92</f>
        <v>0</v>
      </c>
      <c r="AJ330" s="86">
        <f>'STK4'!$B92</f>
        <v>0</v>
      </c>
      <c r="AK330" s="86">
        <f>'STK5'!$B92</f>
        <v>0</v>
      </c>
      <c r="AL330" s="86">
        <f t="shared" ref="AL330:AL332" si="143">SUM(AG330:AK330)</f>
        <v>0</v>
      </c>
    </row>
    <row r="331" spans="2:89" ht="24.95" customHeight="1">
      <c r="B331" s="92">
        <f t="shared" si="117"/>
        <v>0</v>
      </c>
      <c r="C331" s="60">
        <v>1750</v>
      </c>
      <c r="D331" s="60"/>
      <c r="E331" s="60" t="str">
        <f>VLOOKUP(1600,Sprachindex!$A:$Z,Erhebungsbogen!$Y$20,FALSE)</f>
        <v>[Stk]</v>
      </c>
      <c r="F331" s="60" t="s">
        <v>21908</v>
      </c>
      <c r="G331" s="514" t="str">
        <f>VLOOKUP(1794,Sprachindex!$A:$Z,Erhebungsbogen!$Y$20,FALSE) &amp; ", " &amp; VLOOKUP(1648,Sprachindex!$A:$Z,Erhebungsbogen!$Y$20,FALSE)</f>
        <v>Rundprofil 50 exkl. Dichtung, gebohrt und entgratet, blank</v>
      </c>
      <c r="H331" s="514"/>
      <c r="I331" s="514"/>
      <c r="J331" s="514"/>
      <c r="K331" s="514"/>
      <c r="L331" s="514"/>
      <c r="M331" s="514"/>
      <c r="N331" s="514"/>
      <c r="O331" s="514"/>
      <c r="P331" s="514"/>
      <c r="Q331" s="514"/>
      <c r="R331" s="514"/>
      <c r="S331" s="514"/>
      <c r="T331" s="514"/>
      <c r="U331" s="352">
        <f>VLOOKUP(F331,Preisliste!C:F,4,FALSE)</f>
        <v>509.75</v>
      </c>
      <c r="V331" s="352">
        <f t="shared" si="92"/>
        <v>0</v>
      </c>
      <c r="W331" s="146"/>
      <c r="X331" s="146"/>
      <c r="Y331" s="86"/>
      <c r="Z331" s="86"/>
      <c r="AA331" s="86"/>
      <c r="AB331" s="86"/>
      <c r="AC331" s="86"/>
      <c r="AD331" s="86"/>
      <c r="AE331" s="86"/>
      <c r="AF331" s="86"/>
      <c r="AG331" s="86">
        <f>'STK1'!$B93</f>
        <v>0</v>
      </c>
      <c r="AH331" s="86">
        <f>'STK2'!$B93</f>
        <v>0</v>
      </c>
      <c r="AI331" s="86">
        <f>'STK3'!$B93</f>
        <v>0</v>
      </c>
      <c r="AJ331" s="86">
        <f>'STK4'!$B93</f>
        <v>0</v>
      </c>
      <c r="AK331" s="86">
        <f>'STK5'!$B93</f>
        <v>0</v>
      </c>
      <c r="AL331" s="86">
        <f t="shared" si="143"/>
        <v>0</v>
      </c>
    </row>
    <row r="332" spans="2:89" ht="24.95" customHeight="1">
      <c r="B332" s="92">
        <f t="shared" si="117"/>
        <v>0</v>
      </c>
      <c r="C332" s="60">
        <v>2150</v>
      </c>
      <c r="D332" s="60"/>
      <c r="E332" s="60" t="str">
        <f>VLOOKUP(1600,Sprachindex!$A:$Z,Erhebungsbogen!$Y$20,FALSE)</f>
        <v>[Stk]</v>
      </c>
      <c r="F332" s="60" t="s">
        <v>21909</v>
      </c>
      <c r="G332" s="514" t="str">
        <f>VLOOKUP(1794,Sprachindex!$A:$Z,Erhebungsbogen!$Y$20,FALSE) &amp; ", " &amp; VLOOKUP(1648,Sprachindex!$A:$Z,Erhebungsbogen!$Y$20,FALSE)</f>
        <v>Rundprofil 50 exkl. Dichtung, gebohrt und entgratet, blank</v>
      </c>
      <c r="H332" s="514"/>
      <c r="I332" s="514"/>
      <c r="J332" s="514"/>
      <c r="K332" s="514"/>
      <c r="L332" s="514"/>
      <c r="M332" s="514"/>
      <c r="N332" s="514"/>
      <c r="O332" s="514"/>
      <c r="P332" s="514"/>
      <c r="Q332" s="514"/>
      <c r="R332" s="514"/>
      <c r="S332" s="514"/>
      <c r="T332" s="514"/>
      <c r="U332" s="352">
        <f>VLOOKUP(F332,Preisliste!C:F,4,FALSE)</f>
        <v>554.29999999999995</v>
      </c>
      <c r="V332" s="352">
        <f t="shared" si="92"/>
        <v>0</v>
      </c>
      <c r="W332" s="146"/>
      <c r="X332" s="146"/>
      <c r="Y332" s="86"/>
      <c r="Z332" s="86"/>
      <c r="AA332" s="86"/>
      <c r="AB332" s="86"/>
      <c r="AC332" s="86"/>
      <c r="AD332" s="86"/>
      <c r="AE332" s="86"/>
      <c r="AF332" s="86"/>
      <c r="AG332" s="86">
        <f>'STK1'!$B94</f>
        <v>0</v>
      </c>
      <c r="AH332" s="86">
        <f>'STK2'!$B94</f>
        <v>0</v>
      </c>
      <c r="AI332" s="86">
        <f>'STK3'!$B94</f>
        <v>0</v>
      </c>
      <c r="AJ332" s="86">
        <f>'STK4'!$B94</f>
        <v>0</v>
      </c>
      <c r="AK332" s="86">
        <f>'STK5'!$B94</f>
        <v>0</v>
      </c>
      <c r="AL332" s="86">
        <f t="shared" si="143"/>
        <v>0</v>
      </c>
    </row>
    <row r="333" spans="2:89" ht="24.95" customHeight="1">
      <c r="B333" s="92">
        <f t="shared" si="117"/>
        <v>0</v>
      </c>
      <c r="C333" s="138">
        <f>AK333</f>
        <v>0</v>
      </c>
      <c r="D333" s="60"/>
      <c r="E333" s="60" t="str">
        <f>VLOOKUP(1600,Sprachindex!$A:$Z,Erhebungsbogen!$Y$20,FALSE)</f>
        <v>[Stk]</v>
      </c>
      <c r="F333" s="60" t="s">
        <v>21826</v>
      </c>
      <c r="G333" s="514" t="str">
        <f>VLOOKUP(1795,Sprachindex!$A:$Z,Erhebungsbogen!$Y$20,FALSE) &amp; ", " &amp; VLOOKUP(1648,Sprachindex!$A:$Z,Erhebungsbogen!$Y$20,FALSE)</f>
        <v>Rundprofil 50 Sonderlänge exkl. Dichtung, (Stangenware), blank</v>
      </c>
      <c r="H333" s="514"/>
      <c r="I333" s="514"/>
      <c r="J333" s="514"/>
      <c r="K333" s="514"/>
      <c r="L333" s="514"/>
      <c r="M333" s="514"/>
      <c r="N333" s="514"/>
      <c r="O333" s="514"/>
      <c r="P333" s="514"/>
      <c r="Q333" s="514"/>
      <c r="R333" s="514"/>
      <c r="S333" s="514"/>
      <c r="T333" s="514"/>
      <c r="U333" s="354">
        <f>VLOOKUP(F333,Preisliste!C:F,4,FALSE)</f>
        <v>0</v>
      </c>
      <c r="V333" s="352">
        <f t="shared" si="92"/>
        <v>0</v>
      </c>
      <c r="W333" s="146"/>
      <c r="X333" s="146"/>
      <c r="Y333" s="86"/>
      <c r="Z333" s="86"/>
      <c r="AA333" s="86"/>
      <c r="AB333" s="86"/>
      <c r="AC333" s="86"/>
      <c r="AD333" s="86"/>
      <c r="AE333" s="86"/>
      <c r="AF333" s="86"/>
      <c r="AK333" s="86">
        <f>'STK1'!$C$95</f>
        <v>0</v>
      </c>
      <c r="AL333" s="86">
        <f>'STK1'!$B$95</f>
        <v>0</v>
      </c>
      <c r="CK333" s="245"/>
    </row>
    <row r="334" spans="2:89" ht="24.95" customHeight="1">
      <c r="B334" s="92">
        <f t="shared" si="117"/>
        <v>0</v>
      </c>
      <c r="C334" s="138">
        <f t="shared" ref="C334:C337" si="144">AK334</f>
        <v>0</v>
      </c>
      <c r="D334" s="60"/>
      <c r="E334" s="60" t="str">
        <f>VLOOKUP(1600,Sprachindex!$A:$Z,Erhebungsbogen!$Y$20,FALSE)</f>
        <v>[Stk]</v>
      </c>
      <c r="F334" s="60" t="s">
        <v>21826</v>
      </c>
      <c r="G334" s="514" t="str">
        <f>VLOOKUP(1795,Sprachindex!$A:$Z,Erhebungsbogen!$Y$20,FALSE) &amp; ", " &amp; VLOOKUP(1648,Sprachindex!$A:$Z,Erhebungsbogen!$Y$20,FALSE)</f>
        <v>Rundprofil 50 Sonderlänge exkl. Dichtung, (Stangenware), blank</v>
      </c>
      <c r="H334" s="514"/>
      <c r="I334" s="514"/>
      <c r="J334" s="514"/>
      <c r="K334" s="514"/>
      <c r="L334" s="514"/>
      <c r="M334" s="514"/>
      <c r="N334" s="514"/>
      <c r="O334" s="514"/>
      <c r="P334" s="514"/>
      <c r="Q334" s="514"/>
      <c r="R334" s="514"/>
      <c r="S334" s="514"/>
      <c r="T334" s="514"/>
      <c r="U334" s="354">
        <f>VLOOKUP(F334,Preisliste!C:F,4,FALSE)</f>
        <v>0</v>
      </c>
      <c r="V334" s="352">
        <f t="shared" si="92"/>
        <v>0</v>
      </c>
      <c r="W334" s="146"/>
      <c r="X334" s="146"/>
      <c r="Y334" s="86"/>
      <c r="Z334" s="86"/>
      <c r="AA334" s="86"/>
      <c r="AB334" s="86"/>
      <c r="AC334" s="86"/>
      <c r="AD334" s="86"/>
      <c r="AE334" s="86"/>
      <c r="AF334" s="86"/>
      <c r="AK334" s="86">
        <f>'STK2'!$C$95</f>
        <v>0</v>
      </c>
      <c r="AL334" s="86">
        <f>'STK2'!$B$95</f>
        <v>0</v>
      </c>
      <c r="CK334" s="245"/>
    </row>
    <row r="335" spans="2:89" ht="24.95" customHeight="1">
      <c r="B335" s="92">
        <f t="shared" si="117"/>
        <v>0</v>
      </c>
      <c r="C335" s="138">
        <f t="shared" si="144"/>
        <v>0</v>
      </c>
      <c r="D335" s="60"/>
      <c r="E335" s="60" t="str">
        <f>VLOOKUP(1600,Sprachindex!$A:$Z,Erhebungsbogen!$Y$20,FALSE)</f>
        <v>[Stk]</v>
      </c>
      <c r="F335" s="60" t="s">
        <v>21826</v>
      </c>
      <c r="G335" s="514" t="str">
        <f>VLOOKUP(1795,Sprachindex!$A:$Z,Erhebungsbogen!$Y$20,FALSE) &amp; ", " &amp; VLOOKUP(1648,Sprachindex!$A:$Z,Erhebungsbogen!$Y$20,FALSE)</f>
        <v>Rundprofil 50 Sonderlänge exkl. Dichtung, (Stangenware), blank</v>
      </c>
      <c r="H335" s="514"/>
      <c r="I335" s="514"/>
      <c r="J335" s="514"/>
      <c r="K335" s="514"/>
      <c r="L335" s="514"/>
      <c r="M335" s="514"/>
      <c r="N335" s="514"/>
      <c r="O335" s="514"/>
      <c r="P335" s="514"/>
      <c r="Q335" s="514"/>
      <c r="R335" s="514"/>
      <c r="S335" s="514"/>
      <c r="T335" s="514"/>
      <c r="U335" s="354">
        <f>VLOOKUP(F335,Preisliste!C:F,4,FALSE)</f>
        <v>0</v>
      </c>
      <c r="V335" s="352">
        <f t="shared" ref="V335" si="145">U335*B335</f>
        <v>0</v>
      </c>
      <c r="W335" s="146"/>
      <c r="X335" s="146"/>
      <c r="Y335" s="86"/>
      <c r="Z335" s="86"/>
      <c r="AA335" s="86"/>
      <c r="AB335" s="86"/>
      <c r="AC335" s="86"/>
      <c r="AD335" s="86"/>
      <c r="AE335" s="86"/>
      <c r="AF335" s="86"/>
      <c r="AK335" s="86">
        <f>'STK3'!$C$95</f>
        <v>0</v>
      </c>
      <c r="AL335" s="86">
        <f>'STK3'!$B$95</f>
        <v>0</v>
      </c>
      <c r="CK335" s="245"/>
    </row>
    <row r="336" spans="2:89" ht="24.95" customHeight="1">
      <c r="B336" s="92">
        <f t="shared" si="117"/>
        <v>0</v>
      </c>
      <c r="C336" s="138">
        <f t="shared" si="144"/>
        <v>0</v>
      </c>
      <c r="D336" s="60"/>
      <c r="E336" s="60" t="str">
        <f>VLOOKUP(1600,Sprachindex!$A:$Z,Erhebungsbogen!$Y$20,FALSE)</f>
        <v>[Stk]</v>
      </c>
      <c r="F336" s="60" t="s">
        <v>21826</v>
      </c>
      <c r="G336" s="514" t="str">
        <f>VLOOKUP(1795,Sprachindex!$A:$Z,Erhebungsbogen!$Y$20,FALSE) &amp; ", " &amp; VLOOKUP(1648,Sprachindex!$A:$Z,Erhebungsbogen!$Y$20,FALSE)</f>
        <v>Rundprofil 50 Sonderlänge exkl. Dichtung, (Stangenware), blank</v>
      </c>
      <c r="H336" s="514"/>
      <c r="I336" s="514"/>
      <c r="J336" s="514"/>
      <c r="K336" s="514"/>
      <c r="L336" s="514"/>
      <c r="M336" s="514"/>
      <c r="N336" s="514"/>
      <c r="O336" s="514"/>
      <c r="P336" s="514"/>
      <c r="Q336" s="514"/>
      <c r="R336" s="514"/>
      <c r="S336" s="514"/>
      <c r="T336" s="514"/>
      <c r="U336" s="354">
        <f>VLOOKUP(F336,Preisliste!C:F,4,FALSE)</f>
        <v>0</v>
      </c>
      <c r="V336" s="352">
        <f t="shared" ref="V336" si="146">U336*B336</f>
        <v>0</v>
      </c>
      <c r="W336" s="146"/>
      <c r="X336" s="146"/>
      <c r="Y336" s="86"/>
      <c r="Z336" s="86"/>
      <c r="AA336" s="86"/>
      <c r="AB336" s="86"/>
      <c r="AC336" s="86"/>
      <c r="AD336" s="86"/>
      <c r="AE336" s="86"/>
      <c r="AF336" s="86"/>
      <c r="AK336" s="86">
        <f>'STK4'!$C$95</f>
        <v>0</v>
      </c>
      <c r="AL336" s="86">
        <f>'STK4'!$B$95</f>
        <v>0</v>
      </c>
      <c r="CK336" s="245"/>
    </row>
    <row r="337" spans="2:89" ht="24.95" customHeight="1">
      <c r="B337" s="92">
        <f t="shared" si="117"/>
        <v>0</v>
      </c>
      <c r="C337" s="138">
        <f t="shared" si="144"/>
        <v>0</v>
      </c>
      <c r="D337" s="60"/>
      <c r="E337" s="60" t="str">
        <f>VLOOKUP(1600,Sprachindex!$A:$Z,Erhebungsbogen!$Y$20,FALSE)</f>
        <v>[Stk]</v>
      </c>
      <c r="F337" s="60" t="s">
        <v>21826</v>
      </c>
      <c r="G337" s="514" t="str">
        <f>VLOOKUP(1795,Sprachindex!$A:$Z,Erhebungsbogen!$Y$20,FALSE) &amp; ", " &amp; VLOOKUP(1648,Sprachindex!$A:$Z,Erhebungsbogen!$Y$20,FALSE)</f>
        <v>Rundprofil 50 Sonderlänge exkl. Dichtung, (Stangenware), blank</v>
      </c>
      <c r="H337" s="514"/>
      <c r="I337" s="514"/>
      <c r="J337" s="514"/>
      <c r="K337" s="514"/>
      <c r="L337" s="514"/>
      <c r="M337" s="514"/>
      <c r="N337" s="514"/>
      <c r="O337" s="514"/>
      <c r="P337" s="514"/>
      <c r="Q337" s="514"/>
      <c r="R337" s="514"/>
      <c r="S337" s="514"/>
      <c r="T337" s="514"/>
      <c r="U337" s="354">
        <f>VLOOKUP(F337,Preisliste!C:F,4,FALSE)</f>
        <v>0</v>
      </c>
      <c r="V337" s="352">
        <f t="shared" si="92"/>
        <v>0</v>
      </c>
      <c r="W337" s="146"/>
      <c r="X337" s="146"/>
      <c r="Y337" s="86"/>
      <c r="Z337" s="86"/>
      <c r="AA337" s="86"/>
      <c r="AB337" s="86"/>
      <c r="AC337" s="86"/>
      <c r="AD337" s="86"/>
      <c r="AE337" s="86"/>
      <c r="AF337" s="86"/>
      <c r="AK337" s="86">
        <f>'STK5'!$C$95</f>
        <v>0</v>
      </c>
      <c r="AL337" s="86">
        <f>'STK5'!$B$95</f>
        <v>0</v>
      </c>
      <c r="CK337" s="245"/>
    </row>
    <row r="338" spans="2:89" ht="24.95" customHeight="1">
      <c r="B338" s="92">
        <f t="shared" si="117"/>
        <v>0</v>
      </c>
      <c r="C338" s="60">
        <v>750</v>
      </c>
      <c r="D338" s="60"/>
      <c r="E338" s="60" t="str">
        <f>VLOOKUP(1600,Sprachindex!$A:$Z,Erhebungsbogen!$Y$20,FALSE)</f>
        <v>[Stk]</v>
      </c>
      <c r="F338" s="60" t="s">
        <v>21910</v>
      </c>
      <c r="G338" s="514" t="str">
        <f>VLOOKUP(1800,Sprachindex!$A:$Z,Erhebungsbogen!$Y$20,FALSE) &amp; ", " &amp; VLOOKUP(1648,Sprachindex!$A:$Z,Erhebungsbogen!$Y$20,FALSE)</f>
        <v>Rundprofil 80 exkl. Dichtung, gebohrt und entgratet, blank</v>
      </c>
      <c r="H338" s="514"/>
      <c r="I338" s="514"/>
      <c r="J338" s="514"/>
      <c r="K338" s="514"/>
      <c r="L338" s="514"/>
      <c r="M338" s="514"/>
      <c r="N338" s="514"/>
      <c r="O338" s="514"/>
      <c r="P338" s="514"/>
      <c r="Q338" s="514"/>
      <c r="R338" s="514"/>
      <c r="S338" s="514"/>
      <c r="T338" s="514"/>
      <c r="U338" s="352">
        <f>VLOOKUP(F338,Preisliste!C:F,4,FALSE)</f>
        <v>404.05</v>
      </c>
      <c r="V338" s="352">
        <f t="shared" si="92"/>
        <v>0</v>
      </c>
      <c r="W338" s="146"/>
      <c r="X338" s="146"/>
      <c r="Y338" s="86"/>
      <c r="Z338" s="86"/>
      <c r="AA338" s="86"/>
      <c r="AB338" s="86"/>
      <c r="AC338" s="86"/>
      <c r="AD338" s="86"/>
      <c r="AE338" s="86"/>
      <c r="AF338" s="86"/>
      <c r="AG338" s="86">
        <f>'STK1'!$B96</f>
        <v>0</v>
      </c>
      <c r="AH338" s="86">
        <f>'STK2'!$B96</f>
        <v>0</v>
      </c>
      <c r="AI338" s="86">
        <f>'STK3'!$B96</f>
        <v>0</v>
      </c>
      <c r="AJ338" s="86">
        <f>'STK4'!$B96</f>
        <v>0</v>
      </c>
      <c r="AK338" s="86">
        <f>'STK5'!$B96</f>
        <v>0</v>
      </c>
      <c r="AL338" s="86">
        <f t="shared" ref="AL338" si="147">SUM(AG338:AK338)</f>
        <v>0</v>
      </c>
    </row>
    <row r="339" spans="2:89" ht="24.95" customHeight="1">
      <c r="B339" s="92">
        <f t="shared" si="117"/>
        <v>0</v>
      </c>
      <c r="C339" s="60">
        <v>1350</v>
      </c>
      <c r="D339" s="60"/>
      <c r="E339" s="60" t="str">
        <f>VLOOKUP(1600,Sprachindex!$A:$Z,Erhebungsbogen!$Y$20,FALSE)</f>
        <v>[Stk]</v>
      </c>
      <c r="F339" s="60" t="s">
        <v>21911</v>
      </c>
      <c r="G339" s="514" t="str">
        <f>VLOOKUP(1800,Sprachindex!$A:$Z,Erhebungsbogen!$Y$20,FALSE) &amp; ", " &amp; VLOOKUP(1648,Sprachindex!$A:$Z,Erhebungsbogen!$Y$20,FALSE)</f>
        <v>Rundprofil 80 exkl. Dichtung, gebohrt und entgratet, blank</v>
      </c>
      <c r="H339" s="514"/>
      <c r="I339" s="514"/>
      <c r="J339" s="514"/>
      <c r="K339" s="514"/>
      <c r="L339" s="514"/>
      <c r="M339" s="514"/>
      <c r="N339" s="514"/>
      <c r="O339" s="514"/>
      <c r="P339" s="514"/>
      <c r="Q339" s="514"/>
      <c r="R339" s="514"/>
      <c r="S339" s="514"/>
      <c r="T339" s="514"/>
      <c r="U339" s="352">
        <f>VLOOKUP(F339,Preisliste!C:F,4,FALSE)</f>
        <v>507.3</v>
      </c>
      <c r="V339" s="352">
        <f t="shared" si="92"/>
        <v>0</v>
      </c>
      <c r="W339" s="146"/>
      <c r="X339" s="146"/>
      <c r="Y339" s="86"/>
      <c r="Z339" s="86"/>
      <c r="AA339" s="86"/>
      <c r="AB339" s="86"/>
      <c r="AC339" s="86"/>
      <c r="AD339" s="86"/>
      <c r="AE339" s="86"/>
      <c r="AF339" s="86"/>
      <c r="AG339" s="86">
        <f>'STK1'!$B97</f>
        <v>0</v>
      </c>
      <c r="AH339" s="86">
        <f>'STK2'!$B97</f>
        <v>0</v>
      </c>
      <c r="AI339" s="86">
        <f>'STK3'!$B97</f>
        <v>0</v>
      </c>
      <c r="AJ339" s="86">
        <f>'STK4'!$B97</f>
        <v>0</v>
      </c>
      <c r="AK339" s="86">
        <f>'STK5'!$B97</f>
        <v>0</v>
      </c>
      <c r="AL339" s="86">
        <f t="shared" ref="AL339:AL341" si="148">SUM(AG339:AK339)</f>
        <v>0</v>
      </c>
    </row>
    <row r="340" spans="2:89" ht="24.95" customHeight="1">
      <c r="B340" s="92">
        <f t="shared" si="117"/>
        <v>0</v>
      </c>
      <c r="C340" s="60">
        <v>1750</v>
      </c>
      <c r="D340" s="60"/>
      <c r="E340" s="60" t="str">
        <f>VLOOKUP(1600,Sprachindex!$A:$Z,Erhebungsbogen!$Y$20,FALSE)</f>
        <v>[Stk]</v>
      </c>
      <c r="F340" s="60" t="s">
        <v>21912</v>
      </c>
      <c r="G340" s="514" t="str">
        <f>VLOOKUP(1800,Sprachindex!$A:$Z,Erhebungsbogen!$Y$20,FALSE) &amp; ", " &amp; VLOOKUP(1648,Sprachindex!$A:$Z,Erhebungsbogen!$Y$20,FALSE)</f>
        <v>Rundprofil 80 exkl. Dichtung, gebohrt und entgratet, blank</v>
      </c>
      <c r="H340" s="514"/>
      <c r="I340" s="514"/>
      <c r="J340" s="514"/>
      <c r="K340" s="514"/>
      <c r="L340" s="514"/>
      <c r="M340" s="514"/>
      <c r="N340" s="514"/>
      <c r="O340" s="514"/>
      <c r="P340" s="514"/>
      <c r="Q340" s="514"/>
      <c r="R340" s="514"/>
      <c r="S340" s="514"/>
      <c r="T340" s="514"/>
      <c r="U340" s="352">
        <f>VLOOKUP(F340,Preisliste!C:F,4,FALSE)</f>
        <v>576.20000000000005</v>
      </c>
      <c r="V340" s="352">
        <f t="shared" si="92"/>
        <v>0</v>
      </c>
      <c r="W340" s="146"/>
      <c r="X340" s="146"/>
      <c r="Y340" s="86"/>
      <c r="Z340" s="86"/>
      <c r="AA340" s="86"/>
      <c r="AB340" s="86"/>
      <c r="AC340" s="86"/>
      <c r="AD340" s="86"/>
      <c r="AE340" s="86"/>
      <c r="AF340" s="86"/>
      <c r="AG340" s="86">
        <f>'STK1'!$B98</f>
        <v>0</v>
      </c>
      <c r="AH340" s="86">
        <f>'STK2'!$B98</f>
        <v>0</v>
      </c>
      <c r="AI340" s="86">
        <f>'STK3'!$B98</f>
        <v>0</v>
      </c>
      <c r="AJ340" s="86">
        <f>'STK4'!$B98</f>
        <v>0</v>
      </c>
      <c r="AK340" s="86">
        <f>'STK5'!$B98</f>
        <v>0</v>
      </c>
      <c r="AL340" s="86">
        <f t="shared" si="148"/>
        <v>0</v>
      </c>
    </row>
    <row r="341" spans="2:89" ht="24.95" customHeight="1">
      <c r="B341" s="92">
        <f t="shared" si="117"/>
        <v>0</v>
      </c>
      <c r="C341" s="60">
        <v>2150</v>
      </c>
      <c r="D341" s="60"/>
      <c r="E341" s="60" t="str">
        <f>VLOOKUP(1600,Sprachindex!$A:$Z,Erhebungsbogen!$Y$20,FALSE)</f>
        <v>[Stk]</v>
      </c>
      <c r="F341" s="60" t="s">
        <v>21913</v>
      </c>
      <c r="G341" s="514" t="str">
        <f>VLOOKUP(1800,Sprachindex!$A:$Z,Erhebungsbogen!$Y$20,FALSE) &amp; ", " &amp; VLOOKUP(1648,Sprachindex!$A:$Z,Erhebungsbogen!$Y$20,FALSE)</f>
        <v>Rundprofil 80 exkl. Dichtung, gebohrt und entgratet, blank</v>
      </c>
      <c r="H341" s="514"/>
      <c r="I341" s="514"/>
      <c r="J341" s="514"/>
      <c r="K341" s="514"/>
      <c r="L341" s="514"/>
      <c r="M341" s="514"/>
      <c r="N341" s="514"/>
      <c r="O341" s="514"/>
      <c r="P341" s="514"/>
      <c r="Q341" s="514"/>
      <c r="R341" s="514"/>
      <c r="S341" s="514"/>
      <c r="T341" s="514"/>
      <c r="U341" s="352">
        <f>VLOOKUP(F341,Preisliste!C:F,4,FALSE)</f>
        <v>644.85</v>
      </c>
      <c r="V341" s="352">
        <f t="shared" si="92"/>
        <v>0</v>
      </c>
      <c r="W341" s="146"/>
      <c r="X341" s="146"/>
      <c r="Y341" s="86"/>
      <c r="Z341" s="86"/>
      <c r="AA341" s="86"/>
      <c r="AB341" s="86"/>
      <c r="AC341" s="86"/>
      <c r="AD341" s="86"/>
      <c r="AE341" s="86"/>
      <c r="AF341" s="86"/>
      <c r="AG341" s="86">
        <f>'STK1'!$B99</f>
        <v>0</v>
      </c>
      <c r="AH341" s="86">
        <f>'STK2'!$B99</f>
        <v>0</v>
      </c>
      <c r="AI341" s="86">
        <f>'STK3'!$B99</f>
        <v>0</v>
      </c>
      <c r="AJ341" s="86">
        <f>'STK4'!$B99</f>
        <v>0</v>
      </c>
      <c r="AK341" s="86">
        <f>'STK5'!$B99</f>
        <v>0</v>
      </c>
      <c r="AL341" s="86">
        <f t="shared" si="148"/>
        <v>0</v>
      </c>
    </row>
    <row r="342" spans="2:89" ht="24.95" customHeight="1">
      <c r="B342" s="92">
        <f t="shared" si="117"/>
        <v>0</v>
      </c>
      <c r="C342" s="138">
        <f>AK342</f>
        <v>0</v>
      </c>
      <c r="D342" s="60"/>
      <c r="E342" s="60" t="str">
        <f>VLOOKUP(1600,Sprachindex!$A:$Z,Erhebungsbogen!$Y$20,FALSE)</f>
        <v>[Stk]</v>
      </c>
      <c r="F342" s="60" t="s">
        <v>21826</v>
      </c>
      <c r="G342" s="514" t="str">
        <f>VLOOKUP(1803,Sprachindex!$A:$Z,Erhebungsbogen!$Y$20,FALSE) &amp; ", " &amp; VLOOKUP(1648,Sprachindex!$A:$Z,Erhebungsbogen!$Y$20,FALSE)</f>
        <v>Rundprofil 80 Sonderlänge exkl. Dichtung, (Stangenware), blank</v>
      </c>
      <c r="H342" s="514"/>
      <c r="I342" s="514"/>
      <c r="J342" s="514"/>
      <c r="K342" s="514"/>
      <c r="L342" s="514"/>
      <c r="M342" s="514"/>
      <c r="N342" s="514"/>
      <c r="O342" s="514"/>
      <c r="P342" s="514"/>
      <c r="Q342" s="514"/>
      <c r="R342" s="514"/>
      <c r="S342" s="514"/>
      <c r="T342" s="514"/>
      <c r="U342" s="354">
        <f>VLOOKUP(F342,Preisliste!C:F,4,FALSE)</f>
        <v>0</v>
      </c>
      <c r="V342" s="352">
        <f t="shared" si="92"/>
        <v>0</v>
      </c>
      <c r="W342" s="146"/>
      <c r="X342" s="146"/>
      <c r="Y342" s="86"/>
      <c r="Z342" s="86"/>
      <c r="AA342" s="86"/>
      <c r="AB342" s="86"/>
      <c r="AC342" s="86"/>
      <c r="AD342" s="86"/>
      <c r="AE342" s="86"/>
      <c r="AF342" s="86"/>
      <c r="AK342" s="86">
        <f>'STK1'!$C$100</f>
        <v>0</v>
      </c>
      <c r="AL342" s="86">
        <f>'STK1'!$B$100</f>
        <v>0</v>
      </c>
      <c r="CK342" s="245"/>
    </row>
    <row r="343" spans="2:89" ht="24.95" customHeight="1">
      <c r="B343" s="92">
        <f t="shared" si="117"/>
        <v>0</v>
      </c>
      <c r="C343" s="138">
        <f t="shared" ref="C343:C346" si="149">AK343</f>
        <v>0</v>
      </c>
      <c r="D343" s="60"/>
      <c r="E343" s="60" t="str">
        <f>VLOOKUP(1600,Sprachindex!$A:$Z,Erhebungsbogen!$Y$20,FALSE)</f>
        <v>[Stk]</v>
      </c>
      <c r="F343" s="60" t="s">
        <v>21826</v>
      </c>
      <c r="G343" s="514" t="str">
        <f>VLOOKUP(1803,Sprachindex!$A:$Z,Erhebungsbogen!$Y$20,FALSE) &amp; ", " &amp; VLOOKUP(1648,Sprachindex!$A:$Z,Erhebungsbogen!$Y$20,FALSE)</f>
        <v>Rundprofil 80 Sonderlänge exkl. Dichtung, (Stangenware), blank</v>
      </c>
      <c r="H343" s="514"/>
      <c r="I343" s="514"/>
      <c r="J343" s="514"/>
      <c r="K343" s="514"/>
      <c r="L343" s="514"/>
      <c r="M343" s="514"/>
      <c r="N343" s="514"/>
      <c r="O343" s="514"/>
      <c r="P343" s="514"/>
      <c r="Q343" s="514"/>
      <c r="R343" s="514"/>
      <c r="S343" s="514"/>
      <c r="T343" s="514"/>
      <c r="U343" s="354">
        <f>VLOOKUP(F343,Preisliste!C:F,4,FALSE)</f>
        <v>0</v>
      </c>
      <c r="V343" s="352">
        <f t="shared" si="92"/>
        <v>0</v>
      </c>
      <c r="W343" s="146"/>
      <c r="X343" s="146"/>
      <c r="Y343" s="86"/>
      <c r="Z343" s="86"/>
      <c r="AA343" s="86"/>
      <c r="AB343" s="86"/>
      <c r="AC343" s="86"/>
      <c r="AD343" s="86"/>
      <c r="AE343" s="86"/>
      <c r="AF343" s="86"/>
      <c r="AK343" s="86">
        <f>'STK2'!$C$100</f>
        <v>0</v>
      </c>
      <c r="AL343" s="86">
        <f>'STK2'!$B$100</f>
        <v>0</v>
      </c>
      <c r="CK343" s="245"/>
    </row>
    <row r="344" spans="2:89" ht="24.95" customHeight="1">
      <c r="B344" s="92">
        <f t="shared" si="117"/>
        <v>0</v>
      </c>
      <c r="C344" s="138">
        <f t="shared" si="149"/>
        <v>0</v>
      </c>
      <c r="D344" s="60"/>
      <c r="E344" s="60" t="str">
        <f>VLOOKUP(1600,Sprachindex!$A:$Z,Erhebungsbogen!$Y$20,FALSE)</f>
        <v>[Stk]</v>
      </c>
      <c r="F344" s="60" t="s">
        <v>21826</v>
      </c>
      <c r="G344" s="514" t="str">
        <f>VLOOKUP(1803,Sprachindex!$A:$Z,Erhebungsbogen!$Y$20,FALSE) &amp; ", " &amp; VLOOKUP(1648,Sprachindex!$A:$Z,Erhebungsbogen!$Y$20,FALSE)</f>
        <v>Rundprofil 80 Sonderlänge exkl. Dichtung, (Stangenware), blank</v>
      </c>
      <c r="H344" s="514"/>
      <c r="I344" s="514"/>
      <c r="J344" s="514"/>
      <c r="K344" s="514"/>
      <c r="L344" s="514"/>
      <c r="M344" s="514"/>
      <c r="N344" s="514"/>
      <c r="O344" s="514"/>
      <c r="P344" s="514"/>
      <c r="Q344" s="514"/>
      <c r="R344" s="514"/>
      <c r="S344" s="514"/>
      <c r="T344" s="514"/>
      <c r="U344" s="354">
        <f>VLOOKUP(F344,Preisliste!C:F,4,FALSE)</f>
        <v>0</v>
      </c>
      <c r="V344" s="352">
        <f t="shared" ref="V344" si="150">U344*B344</f>
        <v>0</v>
      </c>
      <c r="W344" s="146"/>
      <c r="X344" s="146"/>
      <c r="Y344" s="86"/>
      <c r="Z344" s="86"/>
      <c r="AA344" s="86"/>
      <c r="AB344" s="86"/>
      <c r="AC344" s="86"/>
      <c r="AD344" s="86"/>
      <c r="AE344" s="86"/>
      <c r="AF344" s="86"/>
      <c r="AK344" s="86">
        <f>'STK3'!$C$100</f>
        <v>0</v>
      </c>
      <c r="AL344" s="86">
        <f>'STK3'!$B$100</f>
        <v>0</v>
      </c>
      <c r="CK344" s="245"/>
    </row>
    <row r="345" spans="2:89" ht="24.95" customHeight="1">
      <c r="B345" s="92">
        <f t="shared" si="117"/>
        <v>0</v>
      </c>
      <c r="C345" s="138">
        <f t="shared" si="149"/>
        <v>0</v>
      </c>
      <c r="D345" s="60"/>
      <c r="E345" s="60" t="str">
        <f>VLOOKUP(1600,Sprachindex!$A:$Z,Erhebungsbogen!$Y$20,FALSE)</f>
        <v>[Stk]</v>
      </c>
      <c r="F345" s="60" t="s">
        <v>21826</v>
      </c>
      <c r="G345" s="514" t="str">
        <f>VLOOKUP(1803,Sprachindex!$A:$Z,Erhebungsbogen!$Y$20,FALSE) &amp; ", " &amp; VLOOKUP(1648,Sprachindex!$A:$Z,Erhebungsbogen!$Y$20,FALSE)</f>
        <v>Rundprofil 80 Sonderlänge exkl. Dichtung, (Stangenware), blank</v>
      </c>
      <c r="H345" s="514"/>
      <c r="I345" s="514"/>
      <c r="J345" s="514"/>
      <c r="K345" s="514"/>
      <c r="L345" s="514"/>
      <c r="M345" s="514"/>
      <c r="N345" s="514"/>
      <c r="O345" s="514"/>
      <c r="P345" s="514"/>
      <c r="Q345" s="514"/>
      <c r="R345" s="514"/>
      <c r="S345" s="514"/>
      <c r="T345" s="514"/>
      <c r="U345" s="354">
        <f>VLOOKUP(F345,Preisliste!C:F,4,FALSE)</f>
        <v>0</v>
      </c>
      <c r="V345" s="352">
        <f t="shared" ref="V345" si="151">U345*B345</f>
        <v>0</v>
      </c>
      <c r="W345" s="146"/>
      <c r="X345" s="146"/>
      <c r="Y345" s="86"/>
      <c r="Z345" s="86"/>
      <c r="AA345" s="86"/>
      <c r="AB345" s="86"/>
      <c r="AC345" s="86"/>
      <c r="AD345" s="86"/>
      <c r="AE345" s="86"/>
      <c r="AF345" s="86"/>
      <c r="AK345" s="86">
        <f>'STK4'!$C$100</f>
        <v>0</v>
      </c>
      <c r="AL345" s="86">
        <f>'STK4'!$B$100</f>
        <v>0</v>
      </c>
      <c r="CK345" s="245"/>
    </row>
    <row r="346" spans="2:89" ht="24.95" customHeight="1">
      <c r="B346" s="92">
        <f t="shared" si="117"/>
        <v>0</v>
      </c>
      <c r="C346" s="138">
        <f t="shared" si="149"/>
        <v>0</v>
      </c>
      <c r="D346" s="60"/>
      <c r="E346" s="60" t="str">
        <f>VLOOKUP(1600,Sprachindex!$A:$Z,Erhebungsbogen!$Y$20,FALSE)</f>
        <v>[Stk]</v>
      </c>
      <c r="F346" s="60" t="s">
        <v>21826</v>
      </c>
      <c r="G346" s="514" t="str">
        <f>VLOOKUP(1803,Sprachindex!$A:$Z,Erhebungsbogen!$Y$20,FALSE) &amp; ", " &amp; VLOOKUP(1648,Sprachindex!$A:$Z,Erhebungsbogen!$Y$20,FALSE)</f>
        <v>Rundprofil 80 Sonderlänge exkl. Dichtung, (Stangenware), blank</v>
      </c>
      <c r="H346" s="514"/>
      <c r="I346" s="514"/>
      <c r="J346" s="514"/>
      <c r="K346" s="514"/>
      <c r="L346" s="514"/>
      <c r="M346" s="514"/>
      <c r="N346" s="514"/>
      <c r="O346" s="514"/>
      <c r="P346" s="514"/>
      <c r="Q346" s="514"/>
      <c r="R346" s="514"/>
      <c r="S346" s="514"/>
      <c r="T346" s="514"/>
      <c r="U346" s="354">
        <f>VLOOKUP(F346,Preisliste!C:F,4,FALSE)</f>
        <v>0</v>
      </c>
      <c r="V346" s="352">
        <f t="shared" si="92"/>
        <v>0</v>
      </c>
      <c r="W346" s="146"/>
      <c r="X346" s="146"/>
      <c r="Y346" s="86"/>
      <c r="Z346" s="86"/>
      <c r="AA346" s="86"/>
      <c r="AB346" s="86"/>
      <c r="AC346" s="86"/>
      <c r="AD346" s="86"/>
      <c r="AE346" s="86"/>
      <c r="AF346" s="86"/>
      <c r="AK346" s="86">
        <f>'STK5'!$C$100</f>
        <v>0</v>
      </c>
      <c r="AL346" s="86">
        <f>'STK5'!$B$100</f>
        <v>0</v>
      </c>
      <c r="CK346" s="245"/>
    </row>
    <row r="347" spans="2:89" ht="24.95" customHeight="1">
      <c r="B347" s="92">
        <f t="shared" si="117"/>
        <v>0</v>
      </c>
      <c r="C347" s="60">
        <v>750</v>
      </c>
      <c r="D347" s="60"/>
      <c r="E347" s="60" t="str">
        <f>VLOOKUP(1600,Sprachindex!$A:$Z,Erhebungsbogen!$Y$20,FALSE)</f>
        <v>[Stk]</v>
      </c>
      <c r="F347" s="60" t="s">
        <v>21914</v>
      </c>
      <c r="G347" s="517" t="str">
        <f>VLOOKUP(1801,Sprachindex!$A:$Z,Erhebungsbogen!$Y$20,FALSE) &amp; ", " &amp; VLOOKUP(1648,Sprachindex!$A:$Z,Erhebungsbogen!$Y$20,FALSE)</f>
        <v>Rundprofil 80 gr. exkl. Dichtung, gebohrt und entgratet, blank</v>
      </c>
      <c r="H347" s="515"/>
      <c r="I347" s="515"/>
      <c r="J347" s="515"/>
      <c r="K347" s="515"/>
      <c r="L347" s="515"/>
      <c r="M347" s="515"/>
      <c r="N347" s="515"/>
      <c r="O347" s="515"/>
      <c r="P347" s="515"/>
      <c r="Q347" s="515"/>
      <c r="R347" s="515"/>
      <c r="S347" s="515"/>
      <c r="T347" s="516"/>
      <c r="U347" s="352">
        <f>VLOOKUP(F347,Preisliste!C:F,4,FALSE)</f>
        <v>538.25</v>
      </c>
      <c r="V347" s="352">
        <f t="shared" si="92"/>
        <v>0</v>
      </c>
      <c r="W347" s="146"/>
      <c r="X347" s="146"/>
      <c r="Y347" s="86"/>
      <c r="Z347" s="86"/>
      <c r="AA347" s="86"/>
      <c r="AB347" s="86"/>
      <c r="AC347" s="86"/>
      <c r="AD347" s="86"/>
      <c r="AE347" s="86"/>
      <c r="AF347" s="86"/>
      <c r="AG347" s="86">
        <f>'STK1'!$B101</f>
        <v>0</v>
      </c>
      <c r="AH347" s="86">
        <f>'STK2'!$B101</f>
        <v>0</v>
      </c>
      <c r="AI347" s="86">
        <f>'STK3'!$B101</f>
        <v>0</v>
      </c>
      <c r="AJ347" s="86">
        <f>'STK4'!$B101</f>
        <v>0</v>
      </c>
      <c r="AK347" s="86">
        <f>'STK5'!$B101</f>
        <v>0</v>
      </c>
      <c r="AL347" s="86">
        <f t="shared" ref="AL347" si="152">SUM(AG347:AK347)</f>
        <v>0</v>
      </c>
    </row>
    <row r="348" spans="2:89" ht="24.95" customHeight="1">
      <c r="B348" s="92">
        <f t="shared" si="117"/>
        <v>0</v>
      </c>
      <c r="C348" s="60">
        <v>1350</v>
      </c>
      <c r="D348" s="60"/>
      <c r="E348" s="60" t="str">
        <f>VLOOKUP(1600,Sprachindex!$A:$Z,Erhebungsbogen!$Y$20,FALSE)</f>
        <v>[Stk]</v>
      </c>
      <c r="F348" s="60" t="s">
        <v>21915</v>
      </c>
      <c r="G348" s="517" t="str">
        <f>VLOOKUP(1801,Sprachindex!$A:$Z,Erhebungsbogen!$Y$20,FALSE) &amp; ", " &amp; VLOOKUP(1648,Sprachindex!$A:$Z,Erhebungsbogen!$Y$20,FALSE)</f>
        <v>Rundprofil 80 gr. exkl. Dichtung, gebohrt und entgratet, blank</v>
      </c>
      <c r="H348" s="515"/>
      <c r="I348" s="515"/>
      <c r="J348" s="515"/>
      <c r="K348" s="515"/>
      <c r="L348" s="515"/>
      <c r="M348" s="515"/>
      <c r="N348" s="515"/>
      <c r="O348" s="515"/>
      <c r="P348" s="515"/>
      <c r="Q348" s="515"/>
      <c r="R348" s="515"/>
      <c r="S348" s="515"/>
      <c r="T348" s="516"/>
      <c r="U348" s="352">
        <f>VLOOKUP(F348,Preisliste!C:F,4,FALSE)</f>
        <v>672.9</v>
      </c>
      <c r="V348" s="352">
        <f t="shared" si="92"/>
        <v>0</v>
      </c>
      <c r="W348" s="146"/>
      <c r="X348" s="146"/>
      <c r="Y348" s="86"/>
      <c r="Z348" s="86"/>
      <c r="AA348" s="86"/>
      <c r="AB348" s="86"/>
      <c r="AC348" s="86"/>
      <c r="AD348" s="86"/>
      <c r="AE348" s="86"/>
      <c r="AF348" s="86"/>
      <c r="AG348" s="86">
        <f>'STK1'!$B102</f>
        <v>0</v>
      </c>
      <c r="AH348" s="86">
        <f>'STK2'!$B102</f>
        <v>0</v>
      </c>
      <c r="AI348" s="86">
        <f>'STK3'!$B102</f>
        <v>0</v>
      </c>
      <c r="AJ348" s="86">
        <f>'STK4'!$B102</f>
        <v>0</v>
      </c>
      <c r="AK348" s="86">
        <f>'STK5'!$B102</f>
        <v>0</v>
      </c>
      <c r="AL348" s="86">
        <f t="shared" ref="AL348:AL350" si="153">SUM(AG348:AK348)</f>
        <v>0</v>
      </c>
    </row>
    <row r="349" spans="2:89" ht="24.95" customHeight="1">
      <c r="B349" s="92">
        <f t="shared" si="117"/>
        <v>0</v>
      </c>
      <c r="C349" s="60">
        <v>1750</v>
      </c>
      <c r="D349" s="60"/>
      <c r="E349" s="60" t="str">
        <f>VLOOKUP(1600,Sprachindex!$A:$Z,Erhebungsbogen!$Y$20,FALSE)</f>
        <v>[Stk]</v>
      </c>
      <c r="F349" s="60" t="s">
        <v>21916</v>
      </c>
      <c r="G349" s="517" t="str">
        <f>VLOOKUP(1801,Sprachindex!$A:$Z,Erhebungsbogen!$Y$20,FALSE) &amp; ", " &amp; VLOOKUP(1648,Sprachindex!$A:$Z,Erhebungsbogen!$Y$20,FALSE)</f>
        <v>Rundprofil 80 gr. exkl. Dichtung, gebohrt und entgratet, blank</v>
      </c>
      <c r="H349" s="515"/>
      <c r="I349" s="515"/>
      <c r="J349" s="515"/>
      <c r="K349" s="515"/>
      <c r="L349" s="515"/>
      <c r="M349" s="515"/>
      <c r="N349" s="515"/>
      <c r="O349" s="515"/>
      <c r="P349" s="515"/>
      <c r="Q349" s="515"/>
      <c r="R349" s="515"/>
      <c r="S349" s="515"/>
      <c r="T349" s="516"/>
      <c r="U349" s="352">
        <f>VLOOKUP(F349,Preisliste!C:F,4,FALSE)</f>
        <v>762.7</v>
      </c>
      <c r="V349" s="352">
        <f t="shared" si="92"/>
        <v>0</v>
      </c>
      <c r="W349" s="146"/>
      <c r="X349" s="146"/>
      <c r="Y349" s="86"/>
      <c r="Z349" s="86"/>
      <c r="AA349" s="86"/>
      <c r="AB349" s="86"/>
      <c r="AC349" s="86"/>
      <c r="AD349" s="86"/>
      <c r="AE349" s="86"/>
      <c r="AF349" s="86"/>
      <c r="AG349" s="86">
        <f>'STK1'!$B103</f>
        <v>0</v>
      </c>
      <c r="AH349" s="86">
        <f>'STK2'!$B103</f>
        <v>0</v>
      </c>
      <c r="AI349" s="86">
        <f>'STK3'!$B103</f>
        <v>0</v>
      </c>
      <c r="AJ349" s="86">
        <f>'STK4'!$B103</f>
        <v>0</v>
      </c>
      <c r="AK349" s="86">
        <f>'STK5'!$B103</f>
        <v>0</v>
      </c>
      <c r="AL349" s="86">
        <f t="shared" si="153"/>
        <v>0</v>
      </c>
    </row>
    <row r="350" spans="2:89" ht="24.95" customHeight="1">
      <c r="B350" s="92">
        <f t="shared" si="117"/>
        <v>0</v>
      </c>
      <c r="C350" s="60">
        <v>2150</v>
      </c>
      <c r="D350" s="60"/>
      <c r="E350" s="60" t="str">
        <f>VLOOKUP(1600,Sprachindex!$A:$Z,Erhebungsbogen!$Y$20,FALSE)</f>
        <v>[Stk]</v>
      </c>
      <c r="F350" s="60" t="s">
        <v>21917</v>
      </c>
      <c r="G350" s="517" t="str">
        <f>VLOOKUP(1801,Sprachindex!$A:$Z,Erhebungsbogen!$Y$20,FALSE) &amp; ", " &amp; VLOOKUP(1648,Sprachindex!$A:$Z,Erhebungsbogen!$Y$20,FALSE)</f>
        <v>Rundprofil 80 gr. exkl. Dichtung, gebohrt und entgratet, blank</v>
      </c>
      <c r="H350" s="515"/>
      <c r="I350" s="515"/>
      <c r="J350" s="515"/>
      <c r="K350" s="515"/>
      <c r="L350" s="515"/>
      <c r="M350" s="515"/>
      <c r="N350" s="515"/>
      <c r="O350" s="515"/>
      <c r="P350" s="515"/>
      <c r="Q350" s="515"/>
      <c r="R350" s="515"/>
      <c r="S350" s="515"/>
      <c r="T350" s="516"/>
      <c r="U350" s="352">
        <f>VLOOKUP(F350,Preisliste!C:F,4,FALSE)</f>
        <v>852.3</v>
      </c>
      <c r="V350" s="352">
        <f t="shared" si="92"/>
        <v>0</v>
      </c>
      <c r="W350" s="146"/>
      <c r="X350" s="146"/>
      <c r="Y350" s="86"/>
      <c r="Z350" s="86"/>
      <c r="AA350" s="86"/>
      <c r="AB350" s="86"/>
      <c r="AC350" s="86"/>
      <c r="AD350" s="86"/>
      <c r="AE350" s="86"/>
      <c r="AF350" s="86"/>
      <c r="AG350" s="86">
        <f>'STK1'!$B104</f>
        <v>0</v>
      </c>
      <c r="AH350" s="86">
        <f>'STK2'!$B104</f>
        <v>0</v>
      </c>
      <c r="AI350" s="86">
        <f>'STK3'!$B104</f>
        <v>0</v>
      </c>
      <c r="AJ350" s="86">
        <f>'STK4'!$B104</f>
        <v>0</v>
      </c>
      <c r="AK350" s="86">
        <f>'STK5'!$B104</f>
        <v>0</v>
      </c>
      <c r="AL350" s="86">
        <f t="shared" si="153"/>
        <v>0</v>
      </c>
    </row>
    <row r="351" spans="2:89" ht="24.95" customHeight="1">
      <c r="B351" s="92">
        <f t="shared" si="117"/>
        <v>0</v>
      </c>
      <c r="C351" s="138">
        <f>AK351</f>
        <v>0</v>
      </c>
      <c r="D351" s="60"/>
      <c r="E351" s="60" t="str">
        <f>VLOOKUP(1600,Sprachindex!$A:$Z,Erhebungsbogen!$Y$20,FALSE)</f>
        <v>[Stk]</v>
      </c>
      <c r="F351" s="60" t="s">
        <v>21826</v>
      </c>
      <c r="G351" s="514" t="str">
        <f>VLOOKUP(1802,Sprachindex!$A:$Z,Erhebungsbogen!$Y$20,FALSE) &amp; ", " &amp; VLOOKUP(1648,Sprachindex!$A:$Z,Erhebungsbogen!$Y$20,FALSE)</f>
        <v>Rundprofil 80 gr. Sonderlänge exkl. Dichtung, (Stangenware), blank</v>
      </c>
      <c r="H351" s="514"/>
      <c r="I351" s="514"/>
      <c r="J351" s="514"/>
      <c r="K351" s="514"/>
      <c r="L351" s="514"/>
      <c r="M351" s="514"/>
      <c r="N351" s="514"/>
      <c r="O351" s="514"/>
      <c r="P351" s="514"/>
      <c r="Q351" s="514"/>
      <c r="R351" s="514"/>
      <c r="S351" s="514"/>
      <c r="T351" s="514"/>
      <c r="U351" s="354">
        <f>VLOOKUP(F351,Preisliste!C:F,4,FALSE)</f>
        <v>0</v>
      </c>
      <c r="V351" s="352">
        <f t="shared" si="92"/>
        <v>0</v>
      </c>
      <c r="W351" s="146"/>
      <c r="X351" s="146"/>
      <c r="Y351" s="86"/>
      <c r="Z351" s="86"/>
      <c r="AA351" s="86"/>
      <c r="AB351" s="86"/>
      <c r="AC351" s="86"/>
      <c r="AD351" s="86"/>
      <c r="AE351" s="86"/>
      <c r="AF351" s="86"/>
      <c r="AK351" s="86">
        <f>'STK1'!$C$105</f>
        <v>0</v>
      </c>
      <c r="AL351" s="86">
        <f>'STK1'!$B$105</f>
        <v>0</v>
      </c>
      <c r="CK351" s="245"/>
    </row>
    <row r="352" spans="2:89" ht="24.95" customHeight="1">
      <c r="B352" s="92">
        <f t="shared" si="117"/>
        <v>0</v>
      </c>
      <c r="C352" s="138">
        <f t="shared" ref="C352:C355" si="154">AK352</f>
        <v>0</v>
      </c>
      <c r="D352" s="60"/>
      <c r="E352" s="60" t="str">
        <f>VLOOKUP(1600,Sprachindex!$A:$Z,Erhebungsbogen!$Y$20,FALSE)</f>
        <v>[Stk]</v>
      </c>
      <c r="F352" s="60" t="s">
        <v>21826</v>
      </c>
      <c r="G352" s="514" t="str">
        <f>VLOOKUP(1802,Sprachindex!$A:$Z,Erhebungsbogen!$Y$20,FALSE) &amp; ", " &amp; VLOOKUP(1648,Sprachindex!$A:$Z,Erhebungsbogen!$Y$20,FALSE)</f>
        <v>Rundprofil 80 gr. Sonderlänge exkl. Dichtung, (Stangenware), blank</v>
      </c>
      <c r="H352" s="514"/>
      <c r="I352" s="514"/>
      <c r="J352" s="514"/>
      <c r="K352" s="514"/>
      <c r="L352" s="514"/>
      <c r="M352" s="514"/>
      <c r="N352" s="514"/>
      <c r="O352" s="514"/>
      <c r="P352" s="514"/>
      <c r="Q352" s="514"/>
      <c r="R352" s="514"/>
      <c r="S352" s="514"/>
      <c r="T352" s="514"/>
      <c r="U352" s="354">
        <f>VLOOKUP(F352,Preisliste!C:F,4,FALSE)</f>
        <v>0</v>
      </c>
      <c r="V352" s="352">
        <f t="shared" si="92"/>
        <v>0</v>
      </c>
      <c r="W352" s="146"/>
      <c r="X352" s="146"/>
      <c r="Y352" s="86"/>
      <c r="Z352" s="86"/>
      <c r="AA352" s="86"/>
      <c r="AB352" s="86"/>
      <c r="AC352" s="86"/>
      <c r="AD352" s="86"/>
      <c r="AE352" s="86"/>
      <c r="AF352" s="86"/>
      <c r="AK352" s="86">
        <f>'STK2'!$C$105</f>
        <v>0</v>
      </c>
      <c r="AL352" s="86">
        <f>'STK2'!$B$105</f>
        <v>0</v>
      </c>
      <c r="CK352" s="245"/>
    </row>
    <row r="353" spans="2:89" ht="24.95" customHeight="1">
      <c r="B353" s="92">
        <f t="shared" si="117"/>
        <v>0</v>
      </c>
      <c r="C353" s="138">
        <f t="shared" si="154"/>
        <v>0</v>
      </c>
      <c r="D353" s="60"/>
      <c r="E353" s="60" t="str">
        <f>VLOOKUP(1600,Sprachindex!$A:$Z,Erhebungsbogen!$Y$20,FALSE)</f>
        <v>[Stk]</v>
      </c>
      <c r="F353" s="60" t="s">
        <v>21826</v>
      </c>
      <c r="G353" s="514" t="str">
        <f>VLOOKUP(1802,Sprachindex!$A:$Z,Erhebungsbogen!$Y$20,FALSE) &amp; ", " &amp; VLOOKUP(1648,Sprachindex!$A:$Z,Erhebungsbogen!$Y$20,FALSE)</f>
        <v>Rundprofil 80 gr. Sonderlänge exkl. Dichtung, (Stangenware), blank</v>
      </c>
      <c r="H353" s="514"/>
      <c r="I353" s="514"/>
      <c r="J353" s="514"/>
      <c r="K353" s="514"/>
      <c r="L353" s="514"/>
      <c r="M353" s="514"/>
      <c r="N353" s="514"/>
      <c r="O353" s="514"/>
      <c r="P353" s="514"/>
      <c r="Q353" s="514"/>
      <c r="R353" s="514"/>
      <c r="S353" s="514"/>
      <c r="T353" s="514"/>
      <c r="U353" s="354">
        <f>VLOOKUP(F353,Preisliste!C:F,4,FALSE)</f>
        <v>0</v>
      </c>
      <c r="V353" s="352">
        <f t="shared" ref="V353" si="155">U353*B353</f>
        <v>0</v>
      </c>
      <c r="W353" s="146"/>
      <c r="X353" s="146"/>
      <c r="Y353" s="86"/>
      <c r="Z353" s="86"/>
      <c r="AA353" s="86"/>
      <c r="AB353" s="86"/>
      <c r="AC353" s="86"/>
      <c r="AD353" s="86"/>
      <c r="AE353" s="86"/>
      <c r="AF353" s="86"/>
      <c r="AK353" s="86">
        <f>'STK3'!$C$105</f>
        <v>0</v>
      </c>
      <c r="AL353" s="86">
        <f>'STK3'!$B$105</f>
        <v>0</v>
      </c>
      <c r="CK353" s="245"/>
    </row>
    <row r="354" spans="2:89" ht="24.95" customHeight="1">
      <c r="B354" s="92">
        <f t="shared" si="117"/>
        <v>0</v>
      </c>
      <c r="C354" s="138">
        <f t="shared" si="154"/>
        <v>0</v>
      </c>
      <c r="D354" s="60"/>
      <c r="E354" s="60" t="str">
        <f>VLOOKUP(1600,Sprachindex!$A:$Z,Erhebungsbogen!$Y$20,FALSE)</f>
        <v>[Stk]</v>
      </c>
      <c r="F354" s="60" t="s">
        <v>21826</v>
      </c>
      <c r="G354" s="514" t="str">
        <f>VLOOKUP(1802,Sprachindex!$A:$Z,Erhebungsbogen!$Y$20,FALSE) &amp; ", " &amp; VLOOKUP(1648,Sprachindex!$A:$Z,Erhebungsbogen!$Y$20,FALSE)</f>
        <v>Rundprofil 80 gr. Sonderlänge exkl. Dichtung, (Stangenware), blank</v>
      </c>
      <c r="H354" s="514"/>
      <c r="I354" s="514"/>
      <c r="J354" s="514"/>
      <c r="K354" s="514"/>
      <c r="L354" s="514"/>
      <c r="M354" s="514"/>
      <c r="N354" s="514"/>
      <c r="O354" s="514"/>
      <c r="P354" s="514"/>
      <c r="Q354" s="514"/>
      <c r="R354" s="514"/>
      <c r="S354" s="514"/>
      <c r="T354" s="514"/>
      <c r="U354" s="354">
        <f>VLOOKUP(F354,Preisliste!C:F,4,FALSE)</f>
        <v>0</v>
      </c>
      <c r="V354" s="352">
        <f t="shared" ref="V354" si="156">U354*B354</f>
        <v>0</v>
      </c>
      <c r="W354" s="146"/>
      <c r="X354" s="146"/>
      <c r="Y354" s="86"/>
      <c r="Z354" s="86"/>
      <c r="AA354" s="86"/>
      <c r="AB354" s="86"/>
      <c r="AC354" s="86"/>
      <c r="AD354" s="86"/>
      <c r="AE354" s="86"/>
      <c r="AF354" s="86"/>
      <c r="AK354" s="86">
        <f>'STK4'!$C$105</f>
        <v>0</v>
      </c>
      <c r="AL354" s="86">
        <f>'STK4'!$B$105</f>
        <v>0</v>
      </c>
      <c r="CK354" s="245"/>
    </row>
    <row r="355" spans="2:89" ht="24.95" customHeight="1">
      <c r="B355" s="92">
        <f t="shared" si="117"/>
        <v>0</v>
      </c>
      <c r="C355" s="138">
        <f t="shared" si="154"/>
        <v>0</v>
      </c>
      <c r="D355" s="60"/>
      <c r="E355" s="60" t="str">
        <f>VLOOKUP(1600,Sprachindex!$A:$Z,Erhebungsbogen!$Y$20,FALSE)</f>
        <v>[Stk]</v>
      </c>
      <c r="F355" s="60" t="s">
        <v>21826</v>
      </c>
      <c r="G355" s="514" t="str">
        <f>VLOOKUP(1802,Sprachindex!$A:$Z,Erhebungsbogen!$Y$20,FALSE) &amp; ", " &amp; VLOOKUP(1648,Sprachindex!$A:$Z,Erhebungsbogen!$Y$20,FALSE)</f>
        <v>Rundprofil 80 gr. Sonderlänge exkl. Dichtung, (Stangenware), blank</v>
      </c>
      <c r="H355" s="514"/>
      <c r="I355" s="514"/>
      <c r="J355" s="514"/>
      <c r="K355" s="514"/>
      <c r="L355" s="514"/>
      <c r="M355" s="514"/>
      <c r="N355" s="514"/>
      <c r="O355" s="514"/>
      <c r="P355" s="514"/>
      <c r="Q355" s="514"/>
      <c r="R355" s="514"/>
      <c r="S355" s="514"/>
      <c r="T355" s="514"/>
      <c r="U355" s="354">
        <f>VLOOKUP(F355,Preisliste!C:F,4,FALSE)</f>
        <v>0</v>
      </c>
      <c r="V355" s="352">
        <f t="shared" si="92"/>
        <v>0</v>
      </c>
      <c r="W355" s="146"/>
      <c r="X355" s="146"/>
      <c r="Y355" s="86"/>
      <c r="Z355" s="86"/>
      <c r="AA355" s="86"/>
      <c r="AB355" s="86"/>
      <c r="AC355" s="86"/>
      <c r="AD355" s="86"/>
      <c r="AE355" s="86"/>
      <c r="AF355" s="86"/>
      <c r="AK355" s="86">
        <f>'STK5'!$C$105</f>
        <v>0</v>
      </c>
      <c r="AL355" s="86">
        <f>'STK5'!$B$105</f>
        <v>0</v>
      </c>
      <c r="CK355" s="245"/>
    </row>
    <row r="356" spans="2:89" ht="24.95" customHeight="1">
      <c r="B356" s="92">
        <f t="shared" si="117"/>
        <v>0</v>
      </c>
      <c r="C356" s="60">
        <v>750</v>
      </c>
      <c r="D356" s="60"/>
      <c r="E356" s="60" t="str">
        <f>VLOOKUP(1600,Sprachindex!$A:$Z,Erhebungsbogen!$Y$20,FALSE)</f>
        <v>[Stk]</v>
      </c>
      <c r="F356" s="60" t="s">
        <v>21918</v>
      </c>
      <c r="G356" s="514" t="str">
        <f>VLOOKUP(1796,Sprachindex!$A:$Z,Erhebungsbogen!$Y$20,FALSE) &amp; ", " &amp; VLOOKUP(1648,Sprachindex!$A:$Z,Erhebungsbogen!$Y$20,FALSE)</f>
        <v>Rundprofil 50-90° exkl. Dichtung, gebohrt und entgratet, blank</v>
      </c>
      <c r="H356" s="514"/>
      <c r="I356" s="514"/>
      <c r="J356" s="514"/>
      <c r="K356" s="514"/>
      <c r="L356" s="514"/>
      <c r="M356" s="514"/>
      <c r="N356" s="514"/>
      <c r="O356" s="514"/>
      <c r="P356" s="514"/>
      <c r="Q356" s="514"/>
      <c r="R356" s="514"/>
      <c r="S356" s="514"/>
      <c r="T356" s="514"/>
      <c r="U356" s="352">
        <f>VLOOKUP(F356,Preisliste!C:F,4,FALSE)</f>
        <v>478.05</v>
      </c>
      <c r="V356" s="352">
        <f t="shared" si="92"/>
        <v>0</v>
      </c>
      <c r="W356" s="146"/>
      <c r="X356" s="146"/>
      <c r="Y356" s="86"/>
      <c r="Z356" s="86"/>
      <c r="AA356" s="86"/>
      <c r="AB356" s="86"/>
      <c r="AC356" s="86"/>
      <c r="AD356" s="86"/>
      <c r="AE356" s="86"/>
      <c r="AF356" s="86"/>
      <c r="AG356" s="86">
        <f>'STK1'!$B106</f>
        <v>0</v>
      </c>
      <c r="AH356" s="86">
        <f>'STK2'!$B106</f>
        <v>0</v>
      </c>
      <c r="AI356" s="86">
        <f>'STK3'!$B106</f>
        <v>0</v>
      </c>
      <c r="AJ356" s="86">
        <f>'STK4'!$B106</f>
        <v>0</v>
      </c>
      <c r="AK356" s="86">
        <f>'STK5'!$B106</f>
        <v>0</v>
      </c>
      <c r="AL356" s="86">
        <f t="shared" ref="AL356" si="157">SUM(AG356:AK356)</f>
        <v>0</v>
      </c>
    </row>
    <row r="357" spans="2:89" ht="24.95" customHeight="1">
      <c r="B357" s="92">
        <f t="shared" si="117"/>
        <v>0</v>
      </c>
      <c r="C357" s="60">
        <v>1350</v>
      </c>
      <c r="D357" s="60"/>
      <c r="E357" s="60" t="str">
        <f>VLOOKUP(1600,Sprachindex!$A:$Z,Erhebungsbogen!$Y$20,FALSE)</f>
        <v>[Stk]</v>
      </c>
      <c r="F357" s="60" t="s">
        <v>21919</v>
      </c>
      <c r="G357" s="514" t="str">
        <f>VLOOKUP(1796,Sprachindex!$A:$Z,Erhebungsbogen!$Y$20,FALSE) &amp; ", " &amp; VLOOKUP(1648,Sprachindex!$A:$Z,Erhebungsbogen!$Y$20,FALSE)</f>
        <v>Rundprofil 50-90° exkl. Dichtung, gebohrt und entgratet, blank</v>
      </c>
      <c r="H357" s="514"/>
      <c r="I357" s="514"/>
      <c r="J357" s="514"/>
      <c r="K357" s="514"/>
      <c r="L357" s="514"/>
      <c r="M357" s="514"/>
      <c r="N357" s="514"/>
      <c r="O357" s="514"/>
      <c r="P357" s="514"/>
      <c r="Q357" s="514"/>
      <c r="R357" s="514"/>
      <c r="S357" s="514"/>
      <c r="T357" s="514"/>
      <c r="U357" s="352">
        <f>VLOOKUP(F357,Preisliste!C:F,4,FALSE)</f>
        <v>557.4</v>
      </c>
      <c r="V357" s="352">
        <f t="shared" si="92"/>
        <v>0</v>
      </c>
      <c r="W357" s="146"/>
      <c r="X357" s="146"/>
      <c r="Y357" s="86"/>
      <c r="Z357" s="86"/>
      <c r="AA357" s="86"/>
      <c r="AB357" s="86"/>
      <c r="AC357" s="86"/>
      <c r="AD357" s="86"/>
      <c r="AE357" s="86"/>
      <c r="AF357" s="86"/>
      <c r="AG357" s="86">
        <f>'STK1'!$B107</f>
        <v>0</v>
      </c>
      <c r="AH357" s="86">
        <f>'STK2'!$B107</f>
        <v>0</v>
      </c>
      <c r="AI357" s="86">
        <f>'STK3'!$B107</f>
        <v>0</v>
      </c>
      <c r="AJ357" s="86">
        <f>'STK4'!$B107</f>
        <v>0</v>
      </c>
      <c r="AK357" s="86">
        <f>'STK5'!$B107</f>
        <v>0</v>
      </c>
      <c r="AL357" s="86">
        <f t="shared" ref="AL357:AL359" si="158">SUM(AG357:AK357)</f>
        <v>0</v>
      </c>
    </row>
    <row r="358" spans="2:89" ht="24.95" customHeight="1">
      <c r="B358" s="92">
        <f t="shared" si="117"/>
        <v>0</v>
      </c>
      <c r="C358" s="60">
        <v>1750</v>
      </c>
      <c r="D358" s="60"/>
      <c r="E358" s="60" t="str">
        <f>VLOOKUP(1600,Sprachindex!$A:$Z,Erhebungsbogen!$Y$20,FALSE)</f>
        <v>[Stk]</v>
      </c>
      <c r="F358" s="60" t="s">
        <v>21920</v>
      </c>
      <c r="G358" s="514" t="str">
        <f>VLOOKUP(1796,Sprachindex!$A:$Z,Erhebungsbogen!$Y$20,FALSE) &amp; ", " &amp; VLOOKUP(1648,Sprachindex!$A:$Z,Erhebungsbogen!$Y$20,FALSE)</f>
        <v>Rundprofil 50-90° exkl. Dichtung, gebohrt und entgratet, blank</v>
      </c>
      <c r="H358" s="514"/>
      <c r="I358" s="514"/>
      <c r="J358" s="514"/>
      <c r="K358" s="514"/>
      <c r="L358" s="514"/>
      <c r="M358" s="514"/>
      <c r="N358" s="514"/>
      <c r="O358" s="514"/>
      <c r="P358" s="514"/>
      <c r="Q358" s="514"/>
      <c r="R358" s="514"/>
      <c r="S358" s="514"/>
      <c r="T358" s="514"/>
      <c r="U358" s="352">
        <f>VLOOKUP(F358,Preisliste!C:F,4,FALSE)</f>
        <v>610.25</v>
      </c>
      <c r="V358" s="352">
        <f t="shared" si="92"/>
        <v>0</v>
      </c>
      <c r="W358" s="146"/>
      <c r="X358" s="146"/>
      <c r="Y358" s="86"/>
      <c r="Z358" s="86"/>
      <c r="AA358" s="86"/>
      <c r="AB358" s="86"/>
      <c r="AC358" s="86"/>
      <c r="AD358" s="86"/>
      <c r="AE358" s="86"/>
      <c r="AF358" s="86"/>
      <c r="AG358" s="86">
        <f>'STK1'!$B108</f>
        <v>0</v>
      </c>
      <c r="AH358" s="86">
        <f>'STK2'!$B108</f>
        <v>0</v>
      </c>
      <c r="AI358" s="86">
        <f>'STK3'!$B108</f>
        <v>0</v>
      </c>
      <c r="AJ358" s="86">
        <f>'STK4'!$B108</f>
        <v>0</v>
      </c>
      <c r="AK358" s="86">
        <f>'STK5'!$B108</f>
        <v>0</v>
      </c>
      <c r="AL358" s="86">
        <f t="shared" si="158"/>
        <v>0</v>
      </c>
    </row>
    <row r="359" spans="2:89" ht="24.95" customHeight="1">
      <c r="B359" s="92">
        <f t="shared" si="117"/>
        <v>0</v>
      </c>
      <c r="C359" s="60">
        <v>2150</v>
      </c>
      <c r="D359" s="60"/>
      <c r="E359" s="60" t="str">
        <f>VLOOKUP(1600,Sprachindex!$A:$Z,Erhebungsbogen!$Y$20,FALSE)</f>
        <v>[Stk]</v>
      </c>
      <c r="F359" s="60" t="s">
        <v>21921</v>
      </c>
      <c r="G359" s="514" t="str">
        <f>VLOOKUP(1796,Sprachindex!$A:$Z,Erhebungsbogen!$Y$20,FALSE) &amp; ", " &amp; VLOOKUP(1648,Sprachindex!$A:$Z,Erhebungsbogen!$Y$20,FALSE)</f>
        <v>Rundprofil 50-90° exkl. Dichtung, gebohrt und entgratet, blank</v>
      </c>
      <c r="H359" s="514"/>
      <c r="I359" s="514"/>
      <c r="J359" s="514"/>
      <c r="K359" s="514"/>
      <c r="L359" s="514"/>
      <c r="M359" s="514"/>
      <c r="N359" s="514"/>
      <c r="O359" s="514"/>
      <c r="P359" s="514"/>
      <c r="Q359" s="514"/>
      <c r="R359" s="514"/>
      <c r="S359" s="514"/>
      <c r="T359" s="514"/>
      <c r="U359" s="352">
        <f>VLOOKUP(F359,Preisliste!C:F,4,FALSE)</f>
        <v>663.3</v>
      </c>
      <c r="V359" s="352">
        <f t="shared" si="92"/>
        <v>0</v>
      </c>
      <c r="W359" s="146"/>
      <c r="X359" s="146"/>
      <c r="Y359" s="86"/>
      <c r="Z359" s="86"/>
      <c r="AA359" s="86"/>
      <c r="AB359" s="86"/>
      <c r="AC359" s="86"/>
      <c r="AD359" s="86"/>
      <c r="AE359" s="86"/>
      <c r="AF359" s="86"/>
      <c r="AG359" s="86">
        <f>'STK1'!$B109</f>
        <v>0</v>
      </c>
      <c r="AH359" s="86">
        <f>'STK2'!$B109</f>
        <v>0</v>
      </c>
      <c r="AI359" s="86">
        <f>'STK3'!$B109</f>
        <v>0</v>
      </c>
      <c r="AJ359" s="86">
        <f>'STK4'!$B109</f>
        <v>0</v>
      </c>
      <c r="AK359" s="86">
        <f>'STK5'!$B109</f>
        <v>0</v>
      </c>
      <c r="AL359" s="86">
        <f t="shared" si="158"/>
        <v>0</v>
      </c>
    </row>
    <row r="360" spans="2:89" ht="24.95" customHeight="1">
      <c r="B360" s="92">
        <f t="shared" si="117"/>
        <v>0</v>
      </c>
      <c r="C360" s="138">
        <f>AK360</f>
        <v>0</v>
      </c>
      <c r="D360" s="60"/>
      <c r="E360" s="60" t="str">
        <f>VLOOKUP(1600,Sprachindex!$A:$Z,Erhebungsbogen!$Y$20,FALSE)</f>
        <v>[Stk]</v>
      </c>
      <c r="F360" s="60" t="s">
        <v>21826</v>
      </c>
      <c r="G360" s="514" t="str">
        <f>VLOOKUP(1797,Sprachindex!$A:$Z,Erhebungsbogen!$Y$20,FALSE) &amp; ", " &amp; VLOOKUP(1648,Sprachindex!$A:$Z,Erhebungsbogen!$Y$20,FALSE)</f>
        <v>Rundprofil 50-90° Sonderlänge exkl. Dichtung, (Stangenware), blank</v>
      </c>
      <c r="H360" s="514"/>
      <c r="I360" s="514"/>
      <c r="J360" s="514"/>
      <c r="K360" s="514"/>
      <c r="L360" s="514"/>
      <c r="M360" s="514"/>
      <c r="N360" s="514"/>
      <c r="O360" s="514"/>
      <c r="P360" s="514"/>
      <c r="Q360" s="514"/>
      <c r="R360" s="514"/>
      <c r="S360" s="514"/>
      <c r="T360" s="514"/>
      <c r="U360" s="354">
        <f>VLOOKUP(F360,Preisliste!C:F,4,FALSE)</f>
        <v>0</v>
      </c>
      <c r="V360" s="352">
        <f t="shared" si="92"/>
        <v>0</v>
      </c>
      <c r="W360" s="146"/>
      <c r="X360" s="146"/>
      <c r="Y360" s="86"/>
      <c r="Z360" s="86"/>
      <c r="AA360" s="86"/>
      <c r="AB360" s="86"/>
      <c r="AC360" s="86"/>
      <c r="AD360" s="86"/>
      <c r="AE360" s="86"/>
      <c r="AF360" s="86"/>
      <c r="AK360" s="86">
        <f>'STK1'!$C$110</f>
        <v>0</v>
      </c>
      <c r="AL360" s="86">
        <f>'STK1'!$B$110</f>
        <v>0</v>
      </c>
      <c r="CK360" s="245"/>
    </row>
    <row r="361" spans="2:89" ht="24.95" customHeight="1">
      <c r="B361" s="92">
        <f t="shared" si="117"/>
        <v>0</v>
      </c>
      <c r="C361" s="138">
        <f t="shared" ref="C361:C364" si="159">AK361</f>
        <v>0</v>
      </c>
      <c r="D361" s="60"/>
      <c r="E361" s="60" t="str">
        <f>VLOOKUP(1600,Sprachindex!$A:$Z,Erhebungsbogen!$Y$20,FALSE)</f>
        <v>[Stk]</v>
      </c>
      <c r="F361" s="60" t="s">
        <v>21826</v>
      </c>
      <c r="G361" s="514" t="str">
        <f>VLOOKUP(1797,Sprachindex!$A:$Z,Erhebungsbogen!$Y$20,FALSE) &amp; ", " &amp; VLOOKUP(1648,Sprachindex!$A:$Z,Erhebungsbogen!$Y$20,FALSE)</f>
        <v>Rundprofil 50-90° Sonderlänge exkl. Dichtung, (Stangenware), blank</v>
      </c>
      <c r="H361" s="514"/>
      <c r="I361" s="514"/>
      <c r="J361" s="514"/>
      <c r="K361" s="514"/>
      <c r="L361" s="514"/>
      <c r="M361" s="514"/>
      <c r="N361" s="514"/>
      <c r="O361" s="514"/>
      <c r="P361" s="514"/>
      <c r="Q361" s="514"/>
      <c r="R361" s="514"/>
      <c r="S361" s="514"/>
      <c r="T361" s="514"/>
      <c r="U361" s="354">
        <f>VLOOKUP(F361,Preisliste!C:F,4,FALSE)</f>
        <v>0</v>
      </c>
      <c r="V361" s="352">
        <f t="shared" si="92"/>
        <v>0</v>
      </c>
      <c r="W361" s="146"/>
      <c r="X361" s="146"/>
      <c r="Y361" s="86"/>
      <c r="Z361" s="86"/>
      <c r="AA361" s="86"/>
      <c r="AB361" s="86"/>
      <c r="AC361" s="86"/>
      <c r="AD361" s="86"/>
      <c r="AE361" s="86"/>
      <c r="AF361" s="86"/>
      <c r="AK361" s="86">
        <f>'STK2'!$C$110</f>
        <v>0</v>
      </c>
      <c r="AL361" s="86">
        <f>'STK2'!$B$110</f>
        <v>0</v>
      </c>
      <c r="CK361" s="245"/>
    </row>
    <row r="362" spans="2:89" ht="24.95" customHeight="1">
      <c r="B362" s="92">
        <f t="shared" si="117"/>
        <v>0</v>
      </c>
      <c r="C362" s="138">
        <f t="shared" si="159"/>
        <v>0</v>
      </c>
      <c r="D362" s="60"/>
      <c r="E362" s="60" t="str">
        <f>VLOOKUP(1600,Sprachindex!$A:$Z,Erhebungsbogen!$Y$20,FALSE)</f>
        <v>[Stk]</v>
      </c>
      <c r="F362" s="60" t="s">
        <v>21826</v>
      </c>
      <c r="G362" s="514" t="str">
        <f>VLOOKUP(1797,Sprachindex!$A:$Z,Erhebungsbogen!$Y$20,FALSE) &amp; ", " &amp; VLOOKUP(1648,Sprachindex!$A:$Z,Erhebungsbogen!$Y$20,FALSE)</f>
        <v>Rundprofil 50-90° Sonderlänge exkl. Dichtung, (Stangenware), blank</v>
      </c>
      <c r="H362" s="514"/>
      <c r="I362" s="514"/>
      <c r="J362" s="514"/>
      <c r="K362" s="514"/>
      <c r="L362" s="514"/>
      <c r="M362" s="514"/>
      <c r="N362" s="514"/>
      <c r="O362" s="514"/>
      <c r="P362" s="514"/>
      <c r="Q362" s="514"/>
      <c r="R362" s="514"/>
      <c r="S362" s="514"/>
      <c r="T362" s="514"/>
      <c r="U362" s="354">
        <f>VLOOKUP(F362,Preisliste!C:F,4,FALSE)</f>
        <v>0</v>
      </c>
      <c r="V362" s="352">
        <f t="shared" ref="V362" si="160">U362*B362</f>
        <v>0</v>
      </c>
      <c r="W362" s="146"/>
      <c r="X362" s="146"/>
      <c r="Y362" s="86"/>
      <c r="Z362" s="86"/>
      <c r="AA362" s="86"/>
      <c r="AB362" s="86"/>
      <c r="AC362" s="86"/>
      <c r="AD362" s="86"/>
      <c r="AE362" s="86"/>
      <c r="AF362" s="86"/>
      <c r="AK362" s="86">
        <f>'STK3'!$C$110</f>
        <v>0</v>
      </c>
      <c r="AL362" s="86">
        <f>'STK3'!$B$110</f>
        <v>0</v>
      </c>
      <c r="CK362" s="245"/>
    </row>
    <row r="363" spans="2:89" ht="24.95" customHeight="1">
      <c r="B363" s="92">
        <f t="shared" si="117"/>
        <v>0</v>
      </c>
      <c r="C363" s="138">
        <f t="shared" si="159"/>
        <v>0</v>
      </c>
      <c r="D363" s="60"/>
      <c r="E363" s="60" t="str">
        <f>VLOOKUP(1600,Sprachindex!$A:$Z,Erhebungsbogen!$Y$20,FALSE)</f>
        <v>[Stk]</v>
      </c>
      <c r="F363" s="60" t="s">
        <v>21826</v>
      </c>
      <c r="G363" s="514" t="str">
        <f>VLOOKUP(1797,Sprachindex!$A:$Z,Erhebungsbogen!$Y$20,FALSE) &amp; ", " &amp; VLOOKUP(1648,Sprachindex!$A:$Z,Erhebungsbogen!$Y$20,FALSE)</f>
        <v>Rundprofil 50-90° Sonderlänge exkl. Dichtung, (Stangenware), blank</v>
      </c>
      <c r="H363" s="514"/>
      <c r="I363" s="514"/>
      <c r="J363" s="514"/>
      <c r="K363" s="514"/>
      <c r="L363" s="514"/>
      <c r="M363" s="514"/>
      <c r="N363" s="514"/>
      <c r="O363" s="514"/>
      <c r="P363" s="514"/>
      <c r="Q363" s="514"/>
      <c r="R363" s="514"/>
      <c r="S363" s="514"/>
      <c r="T363" s="514"/>
      <c r="U363" s="354">
        <f>VLOOKUP(F363,Preisliste!C:F,4,FALSE)</f>
        <v>0</v>
      </c>
      <c r="V363" s="352">
        <f t="shared" ref="V363" si="161">U363*B363</f>
        <v>0</v>
      </c>
      <c r="W363" s="146"/>
      <c r="X363" s="146"/>
      <c r="Y363" s="86"/>
      <c r="Z363" s="86"/>
      <c r="AA363" s="86"/>
      <c r="AB363" s="86"/>
      <c r="AC363" s="86"/>
      <c r="AD363" s="86"/>
      <c r="AE363" s="86"/>
      <c r="AF363" s="86"/>
      <c r="AK363" s="86">
        <f>'STK4'!$C$110</f>
        <v>0</v>
      </c>
      <c r="AL363" s="86">
        <f>'STK4'!$B$110</f>
        <v>0</v>
      </c>
      <c r="CK363" s="245"/>
    </row>
    <row r="364" spans="2:89" ht="24.95" customHeight="1">
      <c r="B364" s="92">
        <f t="shared" si="117"/>
        <v>0</v>
      </c>
      <c r="C364" s="138">
        <f t="shared" si="159"/>
        <v>0</v>
      </c>
      <c r="D364" s="60"/>
      <c r="E364" s="60" t="str">
        <f>VLOOKUP(1600,Sprachindex!$A:$Z,Erhebungsbogen!$Y$20,FALSE)</f>
        <v>[Stk]</v>
      </c>
      <c r="F364" s="60" t="s">
        <v>21826</v>
      </c>
      <c r="G364" s="514" t="str">
        <f>VLOOKUP(1797,Sprachindex!$A:$Z,Erhebungsbogen!$Y$20,FALSE) &amp; ", " &amp; VLOOKUP(1648,Sprachindex!$A:$Z,Erhebungsbogen!$Y$20,FALSE)</f>
        <v>Rundprofil 50-90° Sonderlänge exkl. Dichtung, (Stangenware), blank</v>
      </c>
      <c r="H364" s="514"/>
      <c r="I364" s="514"/>
      <c r="J364" s="514"/>
      <c r="K364" s="514"/>
      <c r="L364" s="514"/>
      <c r="M364" s="514"/>
      <c r="N364" s="514"/>
      <c r="O364" s="514"/>
      <c r="P364" s="514"/>
      <c r="Q364" s="514"/>
      <c r="R364" s="514"/>
      <c r="S364" s="514"/>
      <c r="T364" s="514"/>
      <c r="U364" s="354">
        <f>VLOOKUP(F364,Preisliste!C:F,4,FALSE)</f>
        <v>0</v>
      </c>
      <c r="V364" s="352">
        <f t="shared" si="92"/>
        <v>0</v>
      </c>
      <c r="W364" s="146"/>
      <c r="X364" s="146"/>
      <c r="Y364" s="86"/>
      <c r="Z364" s="86"/>
      <c r="AA364" s="86"/>
      <c r="AB364" s="86"/>
      <c r="AC364" s="86"/>
      <c r="AD364" s="86"/>
      <c r="AE364" s="86"/>
      <c r="AF364" s="86"/>
      <c r="AK364" s="86">
        <f>'STK5'!$C$110</f>
        <v>0</v>
      </c>
      <c r="AL364" s="86">
        <f>'STK5'!$B$110</f>
        <v>0</v>
      </c>
      <c r="CK364" s="245"/>
    </row>
    <row r="365" spans="2:89" ht="24.95" customHeight="1">
      <c r="B365" s="92">
        <f t="shared" si="117"/>
        <v>0</v>
      </c>
      <c r="C365" s="60">
        <v>750</v>
      </c>
      <c r="D365" s="60"/>
      <c r="E365" s="60" t="str">
        <f>VLOOKUP(1600,Sprachindex!$A:$Z,Erhebungsbogen!$Y$20,FALSE)</f>
        <v>[Stk]</v>
      </c>
      <c r="F365" s="60" t="s">
        <v>21922</v>
      </c>
      <c r="G365" s="514" t="str">
        <f>VLOOKUP(1804,Sprachindex!$A:$Z,Erhebungsbogen!$Y$20,FALSE) &amp; ", " &amp; VLOOKUP(1648,Sprachindex!$A:$Z,Erhebungsbogen!$Y$20,FALSE)</f>
        <v>Rundprofil 80-90° exkl. Dichtung, gebohrt und entgratet, blank</v>
      </c>
      <c r="H365" s="514"/>
      <c r="I365" s="514"/>
      <c r="J365" s="514"/>
      <c r="K365" s="514"/>
      <c r="L365" s="514"/>
      <c r="M365" s="514"/>
      <c r="N365" s="514"/>
      <c r="O365" s="514"/>
      <c r="P365" s="514"/>
      <c r="Q365" s="514"/>
      <c r="R365" s="514"/>
      <c r="S365" s="514"/>
      <c r="T365" s="514"/>
      <c r="U365" s="352">
        <f>VLOOKUP(F365,Preisliste!C:F,4,FALSE)</f>
        <v>544.6</v>
      </c>
      <c r="V365" s="352">
        <f t="shared" si="92"/>
        <v>0</v>
      </c>
      <c r="W365" s="146"/>
      <c r="X365" s="146"/>
      <c r="Y365" s="86"/>
      <c r="Z365" s="86"/>
      <c r="AA365" s="86"/>
      <c r="AB365" s="86"/>
      <c r="AC365" s="86"/>
      <c r="AD365" s="86"/>
      <c r="AE365" s="86"/>
      <c r="AF365" s="86"/>
      <c r="AG365" s="86">
        <f>'STK1'!$B111</f>
        <v>0</v>
      </c>
      <c r="AH365" s="86">
        <f>'STK2'!$B111</f>
        <v>0</v>
      </c>
      <c r="AI365" s="86">
        <f>'STK3'!$B111</f>
        <v>0</v>
      </c>
      <c r="AJ365" s="86">
        <f>'STK4'!$B111</f>
        <v>0</v>
      </c>
      <c r="AK365" s="86">
        <f>'STK5'!$B111</f>
        <v>0</v>
      </c>
      <c r="AL365" s="86">
        <f t="shared" ref="AL365" si="162">SUM(AG365:AK365)</f>
        <v>0</v>
      </c>
    </row>
    <row r="366" spans="2:89" ht="24.95" customHeight="1">
      <c r="B366" s="92">
        <f t="shared" si="117"/>
        <v>0</v>
      </c>
      <c r="C366" s="60">
        <v>1350</v>
      </c>
      <c r="D366" s="60"/>
      <c r="E366" s="60" t="str">
        <f>VLOOKUP(1600,Sprachindex!$A:$Z,Erhebungsbogen!$Y$20,FALSE)</f>
        <v>[Stk]</v>
      </c>
      <c r="F366" s="60" t="s">
        <v>21923</v>
      </c>
      <c r="G366" s="514" t="str">
        <f>VLOOKUP(1804,Sprachindex!$A:$Z,Erhebungsbogen!$Y$20,FALSE) &amp; ", " &amp; VLOOKUP(1648,Sprachindex!$A:$Z,Erhebungsbogen!$Y$20,FALSE)</f>
        <v>Rundprofil 80-90° exkl. Dichtung, gebohrt und entgratet, blank</v>
      </c>
      <c r="H366" s="514"/>
      <c r="I366" s="514"/>
      <c r="J366" s="514"/>
      <c r="K366" s="514"/>
      <c r="L366" s="514"/>
      <c r="M366" s="514"/>
      <c r="N366" s="514"/>
      <c r="O366" s="514"/>
      <c r="P366" s="514"/>
      <c r="Q366" s="514"/>
      <c r="R366" s="514"/>
      <c r="S366" s="514"/>
      <c r="T366" s="514"/>
      <c r="U366" s="352">
        <f>VLOOKUP(F366,Preisliste!C:F,4,FALSE)</f>
        <v>682.6</v>
      </c>
      <c r="V366" s="352">
        <f t="shared" si="92"/>
        <v>0</v>
      </c>
      <c r="W366" s="146"/>
      <c r="X366" s="146"/>
      <c r="Y366" s="86"/>
      <c r="Z366" s="86"/>
      <c r="AA366" s="86"/>
      <c r="AB366" s="86"/>
      <c r="AC366" s="86"/>
      <c r="AD366" s="86"/>
      <c r="AE366" s="86"/>
      <c r="AF366" s="86"/>
      <c r="AG366" s="86">
        <f>'STK1'!$B112</f>
        <v>0</v>
      </c>
      <c r="AH366" s="86">
        <f>'STK2'!$B112</f>
        <v>0</v>
      </c>
      <c r="AI366" s="86">
        <f>'STK3'!$B112</f>
        <v>0</v>
      </c>
      <c r="AJ366" s="86">
        <f>'STK4'!$B112</f>
        <v>0</v>
      </c>
      <c r="AK366" s="86">
        <f>'STK5'!$B112</f>
        <v>0</v>
      </c>
      <c r="AL366" s="86">
        <f t="shared" ref="AL366:AL368" si="163">SUM(AG366:AK366)</f>
        <v>0</v>
      </c>
    </row>
    <row r="367" spans="2:89" ht="24.95" customHeight="1">
      <c r="B367" s="92">
        <f t="shared" si="117"/>
        <v>0</v>
      </c>
      <c r="C367" s="60">
        <v>1750</v>
      </c>
      <c r="D367" s="60"/>
      <c r="E367" s="60" t="str">
        <f>VLOOKUP(1600,Sprachindex!$A:$Z,Erhebungsbogen!$Y$20,FALSE)</f>
        <v>[Stk]</v>
      </c>
      <c r="F367" s="60" t="s">
        <v>21924</v>
      </c>
      <c r="G367" s="514" t="str">
        <f>VLOOKUP(1804,Sprachindex!$A:$Z,Erhebungsbogen!$Y$20,FALSE) &amp; ", " &amp; VLOOKUP(1648,Sprachindex!$A:$Z,Erhebungsbogen!$Y$20,FALSE)</f>
        <v>Rundprofil 80-90° exkl. Dichtung, gebohrt und entgratet, blank</v>
      </c>
      <c r="H367" s="514"/>
      <c r="I367" s="514"/>
      <c r="J367" s="514"/>
      <c r="K367" s="514"/>
      <c r="L367" s="514"/>
      <c r="M367" s="514"/>
      <c r="N367" s="514"/>
      <c r="O367" s="514"/>
      <c r="P367" s="514"/>
      <c r="Q367" s="514"/>
      <c r="R367" s="514"/>
      <c r="S367" s="514"/>
      <c r="T367" s="514"/>
      <c r="U367" s="352">
        <f>VLOOKUP(F367,Preisliste!C:F,4,FALSE)</f>
        <v>774.8</v>
      </c>
      <c r="V367" s="352">
        <f t="shared" si="92"/>
        <v>0</v>
      </c>
      <c r="W367" s="146"/>
      <c r="X367" s="146"/>
      <c r="Y367" s="86"/>
      <c r="Z367" s="86"/>
      <c r="AA367" s="86"/>
      <c r="AB367" s="86"/>
      <c r="AC367" s="86"/>
      <c r="AD367" s="86"/>
      <c r="AE367" s="86"/>
      <c r="AF367" s="86"/>
      <c r="AG367" s="86">
        <f>'STK1'!$B113</f>
        <v>0</v>
      </c>
      <c r="AH367" s="86">
        <f>'STK2'!$B113</f>
        <v>0</v>
      </c>
      <c r="AI367" s="86">
        <f>'STK3'!$B113</f>
        <v>0</v>
      </c>
      <c r="AJ367" s="86">
        <f>'STK4'!$B113</f>
        <v>0</v>
      </c>
      <c r="AK367" s="86">
        <f>'STK5'!$B113</f>
        <v>0</v>
      </c>
      <c r="AL367" s="86">
        <f t="shared" si="163"/>
        <v>0</v>
      </c>
    </row>
    <row r="368" spans="2:89" ht="24.95" customHeight="1">
      <c r="B368" s="92">
        <f t="shared" ref="B368:B431" si="164">AL368</f>
        <v>0</v>
      </c>
      <c r="C368" s="60">
        <v>2150</v>
      </c>
      <c r="D368" s="60"/>
      <c r="E368" s="60" t="str">
        <f>VLOOKUP(1600,Sprachindex!$A:$Z,Erhebungsbogen!$Y$20,FALSE)</f>
        <v>[Stk]</v>
      </c>
      <c r="F368" s="60" t="s">
        <v>21925</v>
      </c>
      <c r="G368" s="514" t="str">
        <f>VLOOKUP(1804,Sprachindex!$A:$Z,Erhebungsbogen!$Y$20,FALSE) &amp; ", " &amp; VLOOKUP(1648,Sprachindex!$A:$Z,Erhebungsbogen!$Y$20,FALSE)</f>
        <v>Rundprofil 80-90° exkl. Dichtung, gebohrt und entgratet, blank</v>
      </c>
      <c r="H368" s="514"/>
      <c r="I368" s="514"/>
      <c r="J368" s="514"/>
      <c r="K368" s="514"/>
      <c r="L368" s="514"/>
      <c r="M368" s="514"/>
      <c r="N368" s="514"/>
      <c r="O368" s="514"/>
      <c r="P368" s="514"/>
      <c r="Q368" s="514"/>
      <c r="R368" s="514"/>
      <c r="S368" s="514"/>
      <c r="T368" s="514"/>
      <c r="U368" s="352">
        <f>VLOOKUP(F368,Preisliste!C:F,4,FALSE)</f>
        <v>866.75</v>
      </c>
      <c r="V368" s="352">
        <f t="shared" si="92"/>
        <v>0</v>
      </c>
      <c r="W368" s="146"/>
      <c r="X368" s="146"/>
      <c r="Y368" s="86"/>
      <c r="Z368" s="86"/>
      <c r="AA368" s="86"/>
      <c r="AB368" s="86"/>
      <c r="AC368" s="86"/>
      <c r="AD368" s="86"/>
      <c r="AE368" s="86"/>
      <c r="AF368" s="86"/>
      <c r="AG368" s="86">
        <f>'STK1'!$B114</f>
        <v>0</v>
      </c>
      <c r="AH368" s="86">
        <f>'STK2'!$B114</f>
        <v>0</v>
      </c>
      <c r="AI368" s="86">
        <f>'STK3'!$B114</f>
        <v>0</v>
      </c>
      <c r="AJ368" s="86">
        <f>'STK4'!$B114</f>
        <v>0</v>
      </c>
      <c r="AK368" s="86">
        <f>'STK5'!$B114</f>
        <v>0</v>
      </c>
      <c r="AL368" s="86">
        <f t="shared" si="163"/>
        <v>0</v>
      </c>
    </row>
    <row r="369" spans="2:89" ht="24.95" customHeight="1">
      <c r="B369" s="92">
        <f t="shared" si="164"/>
        <v>0</v>
      </c>
      <c r="C369" s="138">
        <f>AK369</f>
        <v>0</v>
      </c>
      <c r="D369" s="60"/>
      <c r="E369" s="60" t="str">
        <f>VLOOKUP(1600,Sprachindex!$A:$Z,Erhebungsbogen!$Y$20,FALSE)</f>
        <v>[Stk]</v>
      </c>
      <c r="F369" s="60" t="s">
        <v>21826</v>
      </c>
      <c r="G369" s="514" t="str">
        <f>VLOOKUP(1805,Sprachindex!$A:$Z,Erhebungsbogen!$Y$20,FALSE) &amp; ", " &amp; VLOOKUP(1648,Sprachindex!$A:$Z,Erhebungsbogen!$Y$20,FALSE)</f>
        <v>Rundprofil 80-90° Sonderlänge exkl. Dichtung, (Stangenware), blank</v>
      </c>
      <c r="H369" s="514"/>
      <c r="I369" s="514"/>
      <c r="J369" s="514"/>
      <c r="K369" s="514"/>
      <c r="L369" s="514"/>
      <c r="M369" s="514"/>
      <c r="N369" s="514"/>
      <c r="O369" s="514"/>
      <c r="P369" s="514"/>
      <c r="Q369" s="514"/>
      <c r="R369" s="514"/>
      <c r="S369" s="514"/>
      <c r="T369" s="514"/>
      <c r="U369" s="354">
        <f>VLOOKUP(F369,Preisliste!C:F,4,FALSE)</f>
        <v>0</v>
      </c>
      <c r="V369" s="352">
        <f t="shared" si="92"/>
        <v>0</v>
      </c>
      <c r="W369" s="146"/>
      <c r="X369" s="146"/>
      <c r="Y369" s="86"/>
      <c r="Z369" s="86"/>
      <c r="AA369" s="86"/>
      <c r="AB369" s="86"/>
      <c r="AC369" s="86"/>
      <c r="AD369" s="86"/>
      <c r="AE369" s="86"/>
      <c r="AF369" s="86"/>
      <c r="AK369" s="86">
        <f>'STK1'!$C$115</f>
        <v>0</v>
      </c>
      <c r="AL369" s="86">
        <f>'STK1'!$B$115</f>
        <v>0</v>
      </c>
      <c r="CK369" s="245"/>
    </row>
    <row r="370" spans="2:89" ht="24.95" customHeight="1">
      <c r="B370" s="92">
        <f t="shared" si="164"/>
        <v>0</v>
      </c>
      <c r="C370" s="138">
        <f t="shared" ref="C370:C373" si="165">AK370</f>
        <v>0</v>
      </c>
      <c r="D370" s="60"/>
      <c r="E370" s="60" t="str">
        <f>VLOOKUP(1600,Sprachindex!$A:$Z,Erhebungsbogen!$Y$20,FALSE)</f>
        <v>[Stk]</v>
      </c>
      <c r="F370" s="60" t="s">
        <v>21826</v>
      </c>
      <c r="G370" s="514" t="str">
        <f>VLOOKUP(1805,Sprachindex!$A:$Z,Erhebungsbogen!$Y$20,FALSE) &amp; ", " &amp; VLOOKUP(1648,Sprachindex!$A:$Z,Erhebungsbogen!$Y$20,FALSE)</f>
        <v>Rundprofil 80-90° Sonderlänge exkl. Dichtung, (Stangenware), blank</v>
      </c>
      <c r="H370" s="514"/>
      <c r="I370" s="514"/>
      <c r="J370" s="514"/>
      <c r="K370" s="514"/>
      <c r="L370" s="514"/>
      <c r="M370" s="514"/>
      <c r="N370" s="514"/>
      <c r="O370" s="514"/>
      <c r="P370" s="514"/>
      <c r="Q370" s="514"/>
      <c r="R370" s="514"/>
      <c r="S370" s="514"/>
      <c r="T370" s="514"/>
      <c r="U370" s="354">
        <f>VLOOKUP(F370,Preisliste!C:F,4,FALSE)</f>
        <v>0</v>
      </c>
      <c r="V370" s="352">
        <f t="shared" si="92"/>
        <v>0</v>
      </c>
      <c r="W370" s="146"/>
      <c r="X370" s="146"/>
      <c r="Y370" s="86"/>
      <c r="Z370" s="86"/>
      <c r="AA370" s="86"/>
      <c r="AB370" s="86"/>
      <c r="AC370" s="86"/>
      <c r="AD370" s="86"/>
      <c r="AE370" s="86"/>
      <c r="AF370" s="86"/>
      <c r="AK370" s="86">
        <f>'STK2'!$C$115</f>
        <v>0</v>
      </c>
      <c r="AL370" s="86">
        <f>'STK2'!$B$115</f>
        <v>0</v>
      </c>
      <c r="CK370" s="245"/>
    </row>
    <row r="371" spans="2:89" ht="24.95" customHeight="1">
      <c r="B371" s="92">
        <f t="shared" si="164"/>
        <v>0</v>
      </c>
      <c r="C371" s="138">
        <f t="shared" si="165"/>
        <v>0</v>
      </c>
      <c r="D371" s="60"/>
      <c r="E371" s="60" t="str">
        <f>VLOOKUP(1600,Sprachindex!$A:$Z,Erhebungsbogen!$Y$20,FALSE)</f>
        <v>[Stk]</v>
      </c>
      <c r="F371" s="60" t="s">
        <v>21826</v>
      </c>
      <c r="G371" s="514" t="str">
        <f>VLOOKUP(1805,Sprachindex!$A:$Z,Erhebungsbogen!$Y$20,FALSE) &amp; ", " &amp; VLOOKUP(1648,Sprachindex!$A:$Z,Erhebungsbogen!$Y$20,FALSE)</f>
        <v>Rundprofil 80-90° Sonderlänge exkl. Dichtung, (Stangenware), blank</v>
      </c>
      <c r="H371" s="514"/>
      <c r="I371" s="514"/>
      <c r="J371" s="514"/>
      <c r="K371" s="514"/>
      <c r="L371" s="514"/>
      <c r="M371" s="514"/>
      <c r="N371" s="514"/>
      <c r="O371" s="514"/>
      <c r="P371" s="514"/>
      <c r="Q371" s="514"/>
      <c r="R371" s="514"/>
      <c r="S371" s="514"/>
      <c r="T371" s="514"/>
      <c r="U371" s="354">
        <f>VLOOKUP(F371,Preisliste!C:F,4,FALSE)</f>
        <v>0</v>
      </c>
      <c r="V371" s="352">
        <f t="shared" ref="V371" si="166">U371*B371</f>
        <v>0</v>
      </c>
      <c r="W371" s="146"/>
      <c r="X371" s="146"/>
      <c r="Y371" s="86"/>
      <c r="Z371" s="86"/>
      <c r="AA371" s="86"/>
      <c r="AB371" s="86"/>
      <c r="AC371" s="86"/>
      <c r="AD371" s="86"/>
      <c r="AE371" s="86"/>
      <c r="AF371" s="86"/>
      <c r="AK371" s="86">
        <f>'STK3'!$C$115</f>
        <v>0</v>
      </c>
      <c r="AL371" s="86">
        <f>'STK3'!$B$115</f>
        <v>0</v>
      </c>
      <c r="CK371" s="245"/>
    </row>
    <row r="372" spans="2:89" ht="24.95" customHeight="1">
      <c r="B372" s="92">
        <f t="shared" si="164"/>
        <v>0</v>
      </c>
      <c r="C372" s="138">
        <f t="shared" si="165"/>
        <v>0</v>
      </c>
      <c r="D372" s="60"/>
      <c r="E372" s="60" t="str">
        <f>VLOOKUP(1600,Sprachindex!$A:$Z,Erhebungsbogen!$Y$20,FALSE)</f>
        <v>[Stk]</v>
      </c>
      <c r="F372" s="60" t="s">
        <v>21826</v>
      </c>
      <c r="G372" s="514" t="str">
        <f>VLOOKUP(1805,Sprachindex!$A:$Z,Erhebungsbogen!$Y$20,FALSE) &amp; ", " &amp; VLOOKUP(1648,Sprachindex!$A:$Z,Erhebungsbogen!$Y$20,FALSE)</f>
        <v>Rundprofil 80-90° Sonderlänge exkl. Dichtung, (Stangenware), blank</v>
      </c>
      <c r="H372" s="514"/>
      <c r="I372" s="514"/>
      <c r="J372" s="514"/>
      <c r="K372" s="514"/>
      <c r="L372" s="514"/>
      <c r="M372" s="514"/>
      <c r="N372" s="514"/>
      <c r="O372" s="514"/>
      <c r="P372" s="514"/>
      <c r="Q372" s="514"/>
      <c r="R372" s="514"/>
      <c r="S372" s="514"/>
      <c r="T372" s="514"/>
      <c r="U372" s="354">
        <f>VLOOKUP(F372,Preisliste!C:F,4,FALSE)</f>
        <v>0</v>
      </c>
      <c r="V372" s="352">
        <f t="shared" ref="V372" si="167">U372*B372</f>
        <v>0</v>
      </c>
      <c r="W372" s="146"/>
      <c r="X372" s="146"/>
      <c r="Y372" s="86"/>
      <c r="Z372" s="86"/>
      <c r="AA372" s="86"/>
      <c r="AB372" s="86"/>
      <c r="AC372" s="86"/>
      <c r="AD372" s="86"/>
      <c r="AE372" s="86"/>
      <c r="AF372" s="86"/>
      <c r="AK372" s="86">
        <f>'STK4'!$C$115</f>
        <v>0</v>
      </c>
      <c r="AL372" s="86">
        <f>'STK4'!$B$115</f>
        <v>0</v>
      </c>
      <c r="CK372" s="245"/>
    </row>
    <row r="373" spans="2:89" ht="24.95" customHeight="1">
      <c r="B373" s="92">
        <f t="shared" si="164"/>
        <v>0</v>
      </c>
      <c r="C373" s="138">
        <f t="shared" si="165"/>
        <v>0</v>
      </c>
      <c r="D373" s="60"/>
      <c r="E373" s="60" t="str">
        <f>VLOOKUP(1600,Sprachindex!$A:$Z,Erhebungsbogen!$Y$20,FALSE)</f>
        <v>[Stk]</v>
      </c>
      <c r="F373" s="60" t="s">
        <v>21826</v>
      </c>
      <c r="G373" s="514" t="str">
        <f>VLOOKUP(1805,Sprachindex!$A:$Z,Erhebungsbogen!$Y$20,FALSE) &amp; ", " &amp; VLOOKUP(1648,Sprachindex!$A:$Z,Erhebungsbogen!$Y$20,FALSE)</f>
        <v>Rundprofil 80-90° Sonderlänge exkl. Dichtung, (Stangenware), blank</v>
      </c>
      <c r="H373" s="514"/>
      <c r="I373" s="514"/>
      <c r="J373" s="514"/>
      <c r="K373" s="514"/>
      <c r="L373" s="514"/>
      <c r="M373" s="514"/>
      <c r="N373" s="514"/>
      <c r="O373" s="514"/>
      <c r="P373" s="514"/>
      <c r="Q373" s="514"/>
      <c r="R373" s="514"/>
      <c r="S373" s="514"/>
      <c r="T373" s="514"/>
      <c r="U373" s="354">
        <f>VLOOKUP(F373,Preisliste!C:F,4,FALSE)</f>
        <v>0</v>
      </c>
      <c r="V373" s="352">
        <f t="shared" si="92"/>
        <v>0</v>
      </c>
      <c r="W373" s="146"/>
      <c r="X373" s="146"/>
      <c r="Y373" s="86"/>
      <c r="Z373" s="86"/>
      <c r="AA373" s="86"/>
      <c r="AB373" s="86"/>
      <c r="AC373" s="86"/>
      <c r="AD373" s="86"/>
      <c r="AE373" s="86"/>
      <c r="AF373" s="86"/>
      <c r="AK373" s="86">
        <f>'STK5'!$C$115</f>
        <v>0</v>
      </c>
      <c r="AL373" s="86">
        <f>'STK5'!$B$115</f>
        <v>0</v>
      </c>
      <c r="CK373" s="245"/>
    </row>
    <row r="374" spans="2:89" ht="24.95" customHeight="1">
      <c r="B374" s="92">
        <f t="shared" si="164"/>
        <v>0</v>
      </c>
      <c r="C374" s="60">
        <v>750</v>
      </c>
      <c r="D374" s="60"/>
      <c r="E374" s="60" t="str">
        <f>VLOOKUP(1600,Sprachindex!$A:$Z,Erhebungsbogen!$Y$20,FALSE)</f>
        <v>[Stk]</v>
      </c>
      <c r="F374" s="60" t="s">
        <v>21926</v>
      </c>
      <c r="G374" s="514" t="str">
        <f>VLOOKUP(2129,Sprachindex!$A:$Z,Erhebungsbogen!$Y$20,FALSE) &amp; ", " &amp; VLOOKUP(1648,Sprachindex!$A:$Z,Erhebungsbogen!$Y$20,FALSE)</f>
        <v>Rundprofil 50-Vario 15° exkl. Dichtung, gebohrt und entgratet, blank</v>
      </c>
      <c r="H374" s="514"/>
      <c r="I374" s="514"/>
      <c r="J374" s="514"/>
      <c r="K374" s="514"/>
      <c r="L374" s="514"/>
      <c r="M374" s="514"/>
      <c r="N374" s="514"/>
      <c r="O374" s="514"/>
      <c r="P374" s="514"/>
      <c r="Q374" s="514"/>
      <c r="R374" s="514"/>
      <c r="S374" s="514"/>
      <c r="T374" s="514"/>
      <c r="U374" s="352">
        <f>VLOOKUP(F374,Preisliste!C:F,4,FALSE)</f>
        <v>805.1</v>
      </c>
      <c r="V374" s="352">
        <f t="shared" si="92"/>
        <v>0</v>
      </c>
      <c r="W374" s="146"/>
      <c r="X374" s="146"/>
      <c r="Y374" s="86"/>
      <c r="Z374" s="86"/>
      <c r="AA374" s="86"/>
      <c r="AB374" s="86"/>
      <c r="AC374" s="86"/>
      <c r="AD374" s="86"/>
      <c r="AE374" s="86"/>
      <c r="AF374" s="86"/>
      <c r="AG374" s="86">
        <f>'STK1'!$B116</f>
        <v>0</v>
      </c>
      <c r="AH374" s="86">
        <f>'STK2'!$B116</f>
        <v>0</v>
      </c>
      <c r="AI374" s="86">
        <f>'STK3'!$B116</f>
        <v>0</v>
      </c>
      <c r="AJ374" s="86">
        <f>'STK4'!$B116</f>
        <v>0</v>
      </c>
      <c r="AK374" s="86">
        <f>'STK5'!$B116</f>
        <v>0</v>
      </c>
      <c r="AL374" s="86">
        <f t="shared" ref="AL374" si="168">SUM(AG374:AK374)</f>
        <v>0</v>
      </c>
    </row>
    <row r="375" spans="2:89" ht="24.95" customHeight="1">
      <c r="B375" s="92">
        <f t="shared" si="164"/>
        <v>0</v>
      </c>
      <c r="C375" s="60">
        <v>1350</v>
      </c>
      <c r="D375" s="60"/>
      <c r="E375" s="60" t="str">
        <f>VLOOKUP(1600,Sprachindex!$A:$Z,Erhebungsbogen!$Y$20,FALSE)</f>
        <v>[Stk]</v>
      </c>
      <c r="F375" s="60" t="s">
        <v>21927</v>
      </c>
      <c r="G375" s="514" t="str">
        <f>VLOOKUP(2129,Sprachindex!$A:$Z,Erhebungsbogen!$Y$20,FALSE) &amp; ", " &amp; VLOOKUP(1648,Sprachindex!$A:$Z,Erhebungsbogen!$Y$20,FALSE)</f>
        <v>Rundprofil 50-Vario 15° exkl. Dichtung, gebohrt und entgratet, blank</v>
      </c>
      <c r="H375" s="514"/>
      <c r="I375" s="514"/>
      <c r="J375" s="514"/>
      <c r="K375" s="514"/>
      <c r="L375" s="514"/>
      <c r="M375" s="514"/>
      <c r="N375" s="514"/>
      <c r="O375" s="514"/>
      <c r="P375" s="514"/>
      <c r="Q375" s="514"/>
      <c r="R375" s="514"/>
      <c r="S375" s="514"/>
      <c r="T375" s="514"/>
      <c r="U375" s="352">
        <f>VLOOKUP(F375,Preisliste!C:F,4,FALSE)</f>
        <v>988.05</v>
      </c>
      <c r="V375" s="352">
        <f t="shared" si="92"/>
        <v>0</v>
      </c>
      <c r="W375" s="146"/>
      <c r="X375" s="146"/>
      <c r="Y375" s="86"/>
      <c r="Z375" s="86"/>
      <c r="AA375" s="86"/>
      <c r="AB375" s="86"/>
      <c r="AC375" s="86"/>
      <c r="AD375" s="86"/>
      <c r="AE375" s="86"/>
      <c r="AF375" s="86"/>
      <c r="AG375" s="86">
        <f>'STK1'!$B117</f>
        <v>0</v>
      </c>
      <c r="AH375" s="86">
        <f>'STK2'!$B117</f>
        <v>0</v>
      </c>
      <c r="AI375" s="86">
        <f>'STK3'!$B117</f>
        <v>0</v>
      </c>
      <c r="AJ375" s="86">
        <f>'STK4'!$B117</f>
        <v>0</v>
      </c>
      <c r="AK375" s="86">
        <f>'STK5'!$B117</f>
        <v>0</v>
      </c>
      <c r="AL375" s="86">
        <f t="shared" ref="AL375:AL377" si="169">SUM(AG375:AK375)</f>
        <v>0</v>
      </c>
    </row>
    <row r="376" spans="2:89" ht="24.95" customHeight="1">
      <c r="B376" s="92">
        <f t="shared" si="164"/>
        <v>0</v>
      </c>
      <c r="C376" s="60">
        <v>1750</v>
      </c>
      <c r="D376" s="60"/>
      <c r="E376" s="60" t="str">
        <f>VLOOKUP(1600,Sprachindex!$A:$Z,Erhebungsbogen!$Y$20,FALSE)</f>
        <v>[Stk]</v>
      </c>
      <c r="F376" s="60" t="s">
        <v>21928</v>
      </c>
      <c r="G376" s="514" t="str">
        <f>VLOOKUP(2129,Sprachindex!$A:$Z,Erhebungsbogen!$Y$20,FALSE) &amp; ", " &amp; VLOOKUP(1648,Sprachindex!$A:$Z,Erhebungsbogen!$Y$20,FALSE)</f>
        <v>Rundprofil 50-Vario 15° exkl. Dichtung, gebohrt und entgratet, blank</v>
      </c>
      <c r="H376" s="514"/>
      <c r="I376" s="514"/>
      <c r="J376" s="514"/>
      <c r="K376" s="514"/>
      <c r="L376" s="514"/>
      <c r="M376" s="514"/>
      <c r="N376" s="514"/>
      <c r="O376" s="514"/>
      <c r="P376" s="514"/>
      <c r="Q376" s="514"/>
      <c r="R376" s="514"/>
      <c r="S376" s="514"/>
      <c r="T376" s="514"/>
      <c r="U376" s="352">
        <f>VLOOKUP(F376,Preisliste!C:F,4,FALSE)</f>
        <v>1110.0999999999999</v>
      </c>
      <c r="V376" s="352">
        <f t="shared" si="92"/>
        <v>0</v>
      </c>
      <c r="W376" s="146"/>
      <c r="X376" s="146"/>
      <c r="Y376" s="86"/>
      <c r="Z376" s="86"/>
      <c r="AA376" s="86"/>
      <c r="AB376" s="86"/>
      <c r="AC376" s="86"/>
      <c r="AD376" s="86"/>
      <c r="AE376" s="86"/>
      <c r="AF376" s="86"/>
      <c r="AG376" s="86">
        <f>'STK1'!$B118</f>
        <v>0</v>
      </c>
      <c r="AH376" s="86">
        <f>'STK2'!$B118</f>
        <v>0</v>
      </c>
      <c r="AI376" s="86">
        <f>'STK3'!$B118</f>
        <v>0</v>
      </c>
      <c r="AJ376" s="86">
        <f>'STK4'!$B118</f>
        <v>0</v>
      </c>
      <c r="AK376" s="86">
        <f>'STK5'!$B118</f>
        <v>0</v>
      </c>
      <c r="AL376" s="86">
        <f t="shared" si="169"/>
        <v>0</v>
      </c>
    </row>
    <row r="377" spans="2:89" ht="24.95" customHeight="1">
      <c r="B377" s="92">
        <f t="shared" si="164"/>
        <v>0</v>
      </c>
      <c r="C377" s="60">
        <v>2150</v>
      </c>
      <c r="D377" s="60"/>
      <c r="E377" s="60" t="str">
        <f>VLOOKUP(1600,Sprachindex!$A:$Z,Erhebungsbogen!$Y$20,FALSE)</f>
        <v>[Stk]</v>
      </c>
      <c r="F377" s="60" t="s">
        <v>21929</v>
      </c>
      <c r="G377" s="514" t="str">
        <f>VLOOKUP(2129,Sprachindex!$A:$Z,Erhebungsbogen!$Y$20,FALSE) &amp; ", " &amp; VLOOKUP(1648,Sprachindex!$A:$Z,Erhebungsbogen!$Y$20,FALSE)</f>
        <v>Rundprofil 50-Vario 15° exkl. Dichtung, gebohrt und entgratet, blank</v>
      </c>
      <c r="H377" s="514"/>
      <c r="I377" s="514"/>
      <c r="J377" s="514"/>
      <c r="K377" s="514"/>
      <c r="L377" s="514"/>
      <c r="M377" s="514"/>
      <c r="N377" s="514"/>
      <c r="O377" s="514"/>
      <c r="P377" s="514"/>
      <c r="Q377" s="514"/>
      <c r="R377" s="514"/>
      <c r="S377" s="514"/>
      <c r="T377" s="514"/>
      <c r="U377" s="352">
        <f>VLOOKUP(F377,Preisliste!C:F,4,FALSE)</f>
        <v>1231.95</v>
      </c>
      <c r="V377" s="352">
        <f t="shared" si="92"/>
        <v>0</v>
      </c>
      <c r="W377" s="146"/>
      <c r="X377" s="146"/>
      <c r="Y377" s="86"/>
      <c r="Z377" s="86"/>
      <c r="AA377" s="86"/>
      <c r="AB377" s="86"/>
      <c r="AC377" s="86"/>
      <c r="AD377" s="86"/>
      <c r="AE377" s="86"/>
      <c r="AF377" s="86"/>
      <c r="AG377" s="86">
        <f>'STK1'!$B119</f>
        <v>0</v>
      </c>
      <c r="AH377" s="86">
        <f>'STK2'!$B119</f>
        <v>0</v>
      </c>
      <c r="AI377" s="86">
        <f>'STK3'!$B119</f>
        <v>0</v>
      </c>
      <c r="AJ377" s="86">
        <f>'STK4'!$B119</f>
        <v>0</v>
      </c>
      <c r="AK377" s="86">
        <f>'STK5'!$B119</f>
        <v>0</v>
      </c>
      <c r="AL377" s="86">
        <f t="shared" si="169"/>
        <v>0</v>
      </c>
    </row>
    <row r="378" spans="2:89" ht="24.95" customHeight="1">
      <c r="B378" s="92">
        <f t="shared" si="164"/>
        <v>0</v>
      </c>
      <c r="C378" s="138">
        <f>AK378</f>
        <v>0</v>
      </c>
      <c r="D378" s="60"/>
      <c r="E378" s="60" t="str">
        <f>VLOOKUP(1600,Sprachindex!$A:$Z,Erhebungsbogen!$Y$20,FALSE)</f>
        <v>[Stk]</v>
      </c>
      <c r="F378" s="60" t="s">
        <v>21826</v>
      </c>
      <c r="G378" s="514" t="str">
        <f>VLOOKUP(2130,Sprachindex!$A:$Z,Erhebungsbogen!$Y$20,FALSE) &amp; ", " &amp; VLOOKUP(1648,Sprachindex!$A:$Z,Erhebungsbogen!$Y$20,FALSE)</f>
        <v>Rundprofil 50-Vario 15° Sonderlänge exkl. Dichtung, (Stangenware), blank</v>
      </c>
      <c r="H378" s="514"/>
      <c r="I378" s="514"/>
      <c r="J378" s="514"/>
      <c r="K378" s="514"/>
      <c r="L378" s="514"/>
      <c r="M378" s="514"/>
      <c r="N378" s="514"/>
      <c r="O378" s="514"/>
      <c r="P378" s="514"/>
      <c r="Q378" s="514"/>
      <c r="R378" s="514"/>
      <c r="S378" s="514"/>
      <c r="T378" s="514"/>
      <c r="U378" s="354">
        <f>VLOOKUP(F378,Preisliste!C:F,4,FALSE)</f>
        <v>0</v>
      </c>
      <c r="V378" s="352">
        <f t="shared" si="92"/>
        <v>0</v>
      </c>
      <c r="W378" s="146"/>
      <c r="X378" s="146"/>
      <c r="Y378" s="86"/>
      <c r="Z378" s="86"/>
      <c r="AA378" s="86"/>
      <c r="AB378" s="86"/>
      <c r="AC378" s="86"/>
      <c r="AD378" s="86"/>
      <c r="AE378" s="86"/>
      <c r="AF378" s="86"/>
      <c r="AK378" s="86">
        <f>'STK1'!$C$120</f>
        <v>0</v>
      </c>
      <c r="AL378" s="86">
        <f>'STK1'!$B$120</f>
        <v>0</v>
      </c>
      <c r="CK378" s="245"/>
    </row>
    <row r="379" spans="2:89" ht="24.95" customHeight="1">
      <c r="B379" s="92">
        <f t="shared" si="164"/>
        <v>0</v>
      </c>
      <c r="C379" s="138">
        <f t="shared" ref="C379:C382" si="170">AK379</f>
        <v>0</v>
      </c>
      <c r="D379" s="60"/>
      <c r="E379" s="60" t="str">
        <f>VLOOKUP(1600,Sprachindex!$A:$Z,Erhebungsbogen!$Y$20,FALSE)</f>
        <v>[Stk]</v>
      </c>
      <c r="F379" s="60" t="s">
        <v>21826</v>
      </c>
      <c r="G379" s="514" t="str">
        <f>VLOOKUP(2130,Sprachindex!$A:$Z,Erhebungsbogen!$Y$20,FALSE) &amp; ", " &amp; VLOOKUP(1648,Sprachindex!$A:$Z,Erhebungsbogen!$Y$20,FALSE)</f>
        <v>Rundprofil 50-Vario 15° Sonderlänge exkl. Dichtung, (Stangenware), blank</v>
      </c>
      <c r="H379" s="514"/>
      <c r="I379" s="514"/>
      <c r="J379" s="514"/>
      <c r="K379" s="514"/>
      <c r="L379" s="514"/>
      <c r="M379" s="514"/>
      <c r="N379" s="514"/>
      <c r="O379" s="514"/>
      <c r="P379" s="514"/>
      <c r="Q379" s="514"/>
      <c r="R379" s="514"/>
      <c r="S379" s="514"/>
      <c r="T379" s="514"/>
      <c r="U379" s="354">
        <f>VLOOKUP(F379,Preisliste!C:F,4,FALSE)</f>
        <v>0</v>
      </c>
      <c r="V379" s="352">
        <f t="shared" si="92"/>
        <v>0</v>
      </c>
      <c r="W379" s="146"/>
      <c r="X379" s="146"/>
      <c r="Y379" s="86"/>
      <c r="Z379" s="86"/>
      <c r="AA379" s="86"/>
      <c r="AB379" s="86"/>
      <c r="AC379" s="86"/>
      <c r="AD379" s="86"/>
      <c r="AE379" s="86"/>
      <c r="AF379" s="86"/>
      <c r="AK379" s="86">
        <f>'STK2'!$C$120</f>
        <v>0</v>
      </c>
      <c r="AL379" s="86">
        <f>'STK2'!$B$120</f>
        <v>0</v>
      </c>
      <c r="CK379" s="245"/>
    </row>
    <row r="380" spans="2:89" ht="24.95" customHeight="1">
      <c r="B380" s="92">
        <f t="shared" si="164"/>
        <v>0</v>
      </c>
      <c r="C380" s="138">
        <f t="shared" si="170"/>
        <v>0</v>
      </c>
      <c r="D380" s="60"/>
      <c r="E380" s="60" t="str">
        <f>VLOOKUP(1600,Sprachindex!$A:$Z,Erhebungsbogen!$Y$20,FALSE)</f>
        <v>[Stk]</v>
      </c>
      <c r="F380" s="60" t="s">
        <v>21826</v>
      </c>
      <c r="G380" s="514" t="str">
        <f>VLOOKUP(2130,Sprachindex!$A:$Z,Erhebungsbogen!$Y$20,FALSE) &amp; ", " &amp; VLOOKUP(1648,Sprachindex!$A:$Z,Erhebungsbogen!$Y$20,FALSE)</f>
        <v>Rundprofil 50-Vario 15° Sonderlänge exkl. Dichtung, (Stangenware), blank</v>
      </c>
      <c r="H380" s="514"/>
      <c r="I380" s="514"/>
      <c r="J380" s="514"/>
      <c r="K380" s="514"/>
      <c r="L380" s="514"/>
      <c r="M380" s="514"/>
      <c r="N380" s="514"/>
      <c r="O380" s="514"/>
      <c r="P380" s="514"/>
      <c r="Q380" s="514"/>
      <c r="R380" s="514"/>
      <c r="S380" s="514"/>
      <c r="T380" s="514"/>
      <c r="U380" s="354">
        <f>VLOOKUP(F380,Preisliste!C:F,4,FALSE)</f>
        <v>0</v>
      </c>
      <c r="V380" s="352">
        <f t="shared" ref="V380" si="171">U380*B380</f>
        <v>0</v>
      </c>
      <c r="W380" s="146"/>
      <c r="X380" s="146"/>
      <c r="Y380" s="86"/>
      <c r="Z380" s="86"/>
      <c r="AA380" s="86"/>
      <c r="AB380" s="86"/>
      <c r="AC380" s="86"/>
      <c r="AD380" s="86"/>
      <c r="AE380" s="86"/>
      <c r="AF380" s="86"/>
      <c r="AK380" s="86">
        <f>'STK3'!$C$120</f>
        <v>0</v>
      </c>
      <c r="AL380" s="86">
        <f>'STK3'!$B$120</f>
        <v>0</v>
      </c>
      <c r="CK380" s="245"/>
    </row>
    <row r="381" spans="2:89" ht="24.95" customHeight="1">
      <c r="B381" s="92">
        <f t="shared" si="164"/>
        <v>0</v>
      </c>
      <c r="C381" s="138">
        <f t="shared" si="170"/>
        <v>0</v>
      </c>
      <c r="D381" s="60"/>
      <c r="E381" s="60" t="str">
        <f>VLOOKUP(1600,Sprachindex!$A:$Z,Erhebungsbogen!$Y$20,FALSE)</f>
        <v>[Stk]</v>
      </c>
      <c r="F381" s="60" t="s">
        <v>21826</v>
      </c>
      <c r="G381" s="514" t="str">
        <f>VLOOKUP(2130,Sprachindex!$A:$Z,Erhebungsbogen!$Y$20,FALSE) &amp; ", " &amp; VLOOKUP(1648,Sprachindex!$A:$Z,Erhebungsbogen!$Y$20,FALSE)</f>
        <v>Rundprofil 50-Vario 15° Sonderlänge exkl. Dichtung, (Stangenware), blank</v>
      </c>
      <c r="H381" s="514"/>
      <c r="I381" s="514"/>
      <c r="J381" s="514"/>
      <c r="K381" s="514"/>
      <c r="L381" s="514"/>
      <c r="M381" s="514"/>
      <c r="N381" s="514"/>
      <c r="O381" s="514"/>
      <c r="P381" s="514"/>
      <c r="Q381" s="514"/>
      <c r="R381" s="514"/>
      <c r="S381" s="514"/>
      <c r="T381" s="514"/>
      <c r="U381" s="354">
        <f>VLOOKUP(F381,Preisliste!C:F,4,FALSE)</f>
        <v>0</v>
      </c>
      <c r="V381" s="352">
        <f t="shared" ref="V381" si="172">U381*B381</f>
        <v>0</v>
      </c>
      <c r="W381" s="146"/>
      <c r="X381" s="146"/>
      <c r="Y381" s="86"/>
      <c r="Z381" s="86"/>
      <c r="AA381" s="86"/>
      <c r="AB381" s="86"/>
      <c r="AC381" s="86"/>
      <c r="AD381" s="86"/>
      <c r="AE381" s="86"/>
      <c r="AF381" s="86"/>
      <c r="AK381" s="86">
        <f>'STK4'!$C$120</f>
        <v>0</v>
      </c>
      <c r="AL381" s="86">
        <f>'STK4'!$B$120</f>
        <v>0</v>
      </c>
      <c r="CK381" s="245"/>
    </row>
    <row r="382" spans="2:89" ht="24.95" customHeight="1">
      <c r="B382" s="92">
        <f t="shared" si="164"/>
        <v>0</v>
      </c>
      <c r="C382" s="138">
        <f t="shared" si="170"/>
        <v>0</v>
      </c>
      <c r="D382" s="60"/>
      <c r="E382" s="60" t="str">
        <f>VLOOKUP(1600,Sprachindex!$A:$Z,Erhebungsbogen!$Y$20,FALSE)</f>
        <v>[Stk]</v>
      </c>
      <c r="F382" s="60" t="s">
        <v>21826</v>
      </c>
      <c r="G382" s="514" t="str">
        <f>VLOOKUP(2130,Sprachindex!$A:$Z,Erhebungsbogen!$Y$20,FALSE) &amp; ", " &amp; VLOOKUP(1648,Sprachindex!$A:$Z,Erhebungsbogen!$Y$20,FALSE)</f>
        <v>Rundprofil 50-Vario 15° Sonderlänge exkl. Dichtung, (Stangenware), blank</v>
      </c>
      <c r="H382" s="514"/>
      <c r="I382" s="514"/>
      <c r="J382" s="514"/>
      <c r="K382" s="514"/>
      <c r="L382" s="514"/>
      <c r="M382" s="514"/>
      <c r="N382" s="514"/>
      <c r="O382" s="514"/>
      <c r="P382" s="514"/>
      <c r="Q382" s="514"/>
      <c r="R382" s="514"/>
      <c r="S382" s="514"/>
      <c r="T382" s="514"/>
      <c r="U382" s="354">
        <f>VLOOKUP(F382,Preisliste!C:F,4,FALSE)</f>
        <v>0</v>
      </c>
      <c r="V382" s="352">
        <f t="shared" si="92"/>
        <v>0</v>
      </c>
      <c r="W382" s="146"/>
      <c r="X382" s="146"/>
      <c r="Y382" s="86"/>
      <c r="Z382" s="86"/>
      <c r="AA382" s="86"/>
      <c r="AB382" s="86"/>
      <c r="AC382" s="86"/>
      <c r="AD382" s="86"/>
      <c r="AE382" s="86"/>
      <c r="AF382" s="86"/>
      <c r="AK382" s="86">
        <f>'STK5'!$C$120</f>
        <v>0</v>
      </c>
      <c r="AL382" s="86">
        <f>'STK5'!$B$120</f>
        <v>0</v>
      </c>
      <c r="CK382" s="245"/>
    </row>
    <row r="383" spans="2:89" ht="24.95" customHeight="1">
      <c r="B383" s="92">
        <f t="shared" si="164"/>
        <v>0</v>
      </c>
      <c r="C383" s="60">
        <v>750</v>
      </c>
      <c r="D383" s="60"/>
      <c r="E383" s="60" t="str">
        <f>VLOOKUP(1600,Sprachindex!$A:$Z,Erhebungsbogen!$Y$20,FALSE)</f>
        <v>[Stk]</v>
      </c>
      <c r="F383" s="60" t="s">
        <v>22001</v>
      </c>
      <c r="G383" s="514" t="str">
        <f>VLOOKUP(2131,Sprachindex!$A:$Z,Erhebungsbogen!$Y$20,FALSE) &amp; ", " &amp; VLOOKUP(1648,Sprachindex!$A:$Z,Erhebungsbogen!$Y$20,FALSE)</f>
        <v>Rundprofil 50-Vario 30° exkl. Dichtung, gebohrt und entgratet, blank</v>
      </c>
      <c r="H383" s="514"/>
      <c r="I383" s="514"/>
      <c r="J383" s="514"/>
      <c r="K383" s="514"/>
      <c r="L383" s="514"/>
      <c r="M383" s="514"/>
      <c r="N383" s="514"/>
      <c r="O383" s="514"/>
      <c r="P383" s="514"/>
      <c r="Q383" s="514"/>
      <c r="R383" s="514"/>
      <c r="S383" s="514"/>
      <c r="T383" s="514"/>
      <c r="U383" s="352">
        <f>VLOOKUP(F383,Preisliste!C:F,4,FALSE)</f>
        <v>805.1</v>
      </c>
      <c r="V383" s="352">
        <f t="shared" si="92"/>
        <v>0</v>
      </c>
      <c r="W383" s="146"/>
      <c r="X383" s="146"/>
      <c r="Y383" s="86"/>
      <c r="Z383" s="86"/>
      <c r="AA383" s="86"/>
      <c r="AB383" s="86"/>
      <c r="AC383" s="86"/>
      <c r="AD383" s="86"/>
      <c r="AE383" s="86"/>
      <c r="AF383" s="86"/>
      <c r="AG383" s="86">
        <f>'STK1'!$B121</f>
        <v>0</v>
      </c>
      <c r="AH383" s="86">
        <f>'STK2'!$B121</f>
        <v>0</v>
      </c>
      <c r="AI383" s="86">
        <f>'STK3'!$B121</f>
        <v>0</v>
      </c>
      <c r="AJ383" s="86">
        <f>'STK4'!$B121</f>
        <v>0</v>
      </c>
      <c r="AK383" s="86">
        <f>'STK5'!$B121</f>
        <v>0</v>
      </c>
      <c r="AL383" s="86">
        <f t="shared" ref="AL383" si="173">SUM(AG383:AK383)</f>
        <v>0</v>
      </c>
    </row>
    <row r="384" spans="2:89" ht="24.95" customHeight="1">
      <c r="B384" s="92">
        <f t="shared" si="164"/>
        <v>0</v>
      </c>
      <c r="C384" s="60">
        <v>1350</v>
      </c>
      <c r="D384" s="60"/>
      <c r="E384" s="60" t="str">
        <f>VLOOKUP(1600,Sprachindex!$A:$Z,Erhebungsbogen!$Y$20,FALSE)</f>
        <v>[Stk]</v>
      </c>
      <c r="F384" s="60" t="s">
        <v>22002</v>
      </c>
      <c r="G384" s="514" t="str">
        <f>VLOOKUP(2131,Sprachindex!$A:$Z,Erhebungsbogen!$Y$20,FALSE) &amp; ", " &amp; VLOOKUP(1648,Sprachindex!$A:$Z,Erhebungsbogen!$Y$20,FALSE)</f>
        <v>Rundprofil 50-Vario 30° exkl. Dichtung, gebohrt und entgratet, blank</v>
      </c>
      <c r="H384" s="514"/>
      <c r="I384" s="514"/>
      <c r="J384" s="514"/>
      <c r="K384" s="514"/>
      <c r="L384" s="514"/>
      <c r="M384" s="514"/>
      <c r="N384" s="514"/>
      <c r="O384" s="514"/>
      <c r="P384" s="514"/>
      <c r="Q384" s="514"/>
      <c r="R384" s="514"/>
      <c r="S384" s="514"/>
      <c r="T384" s="514"/>
      <c r="U384" s="352">
        <f>VLOOKUP(F384,Preisliste!C:F,4,FALSE)</f>
        <v>988.05</v>
      </c>
      <c r="V384" s="352">
        <f t="shared" si="92"/>
        <v>0</v>
      </c>
      <c r="W384" s="146"/>
      <c r="X384" s="146"/>
      <c r="Y384" s="86"/>
      <c r="Z384" s="86"/>
      <c r="AA384" s="86"/>
      <c r="AB384" s="86"/>
      <c r="AC384" s="86"/>
      <c r="AD384" s="86"/>
      <c r="AE384" s="86"/>
      <c r="AF384" s="86"/>
      <c r="AG384" s="86">
        <f>'STK1'!$B122</f>
        <v>0</v>
      </c>
      <c r="AH384" s="86">
        <f>'STK2'!$B122</f>
        <v>0</v>
      </c>
      <c r="AI384" s="86">
        <f>'STK3'!$B122</f>
        <v>0</v>
      </c>
      <c r="AJ384" s="86">
        <f>'STK4'!$B122</f>
        <v>0</v>
      </c>
      <c r="AK384" s="86">
        <f>'STK5'!$B122</f>
        <v>0</v>
      </c>
      <c r="AL384" s="86">
        <f t="shared" ref="AL384:AL386" si="174">SUM(AG384:AK384)</f>
        <v>0</v>
      </c>
    </row>
    <row r="385" spans="2:89" ht="24.95" customHeight="1">
      <c r="B385" s="92">
        <f t="shared" si="164"/>
        <v>0</v>
      </c>
      <c r="C385" s="60">
        <v>1750</v>
      </c>
      <c r="D385" s="60"/>
      <c r="E385" s="60" t="str">
        <f>VLOOKUP(1600,Sprachindex!$A:$Z,Erhebungsbogen!$Y$20,FALSE)</f>
        <v>[Stk]</v>
      </c>
      <c r="F385" s="60" t="s">
        <v>22003</v>
      </c>
      <c r="G385" s="514" t="str">
        <f>VLOOKUP(2131,Sprachindex!$A:$Z,Erhebungsbogen!$Y$20,FALSE) &amp; ", " &amp; VLOOKUP(1648,Sprachindex!$A:$Z,Erhebungsbogen!$Y$20,FALSE)</f>
        <v>Rundprofil 50-Vario 30° exkl. Dichtung, gebohrt und entgratet, blank</v>
      </c>
      <c r="H385" s="514"/>
      <c r="I385" s="514"/>
      <c r="J385" s="514"/>
      <c r="K385" s="514"/>
      <c r="L385" s="514"/>
      <c r="M385" s="514"/>
      <c r="N385" s="514"/>
      <c r="O385" s="514"/>
      <c r="P385" s="514"/>
      <c r="Q385" s="514"/>
      <c r="R385" s="514"/>
      <c r="S385" s="514"/>
      <c r="T385" s="514"/>
      <c r="U385" s="352">
        <f>VLOOKUP(F385,Preisliste!C:F,4,FALSE)</f>
        <v>1110.0999999999999</v>
      </c>
      <c r="V385" s="352">
        <f t="shared" si="92"/>
        <v>0</v>
      </c>
      <c r="W385" s="146"/>
      <c r="X385" s="146"/>
      <c r="Y385" s="86"/>
      <c r="Z385" s="86"/>
      <c r="AA385" s="86"/>
      <c r="AB385" s="86"/>
      <c r="AC385" s="86"/>
      <c r="AD385" s="86"/>
      <c r="AE385" s="86"/>
      <c r="AF385" s="86"/>
      <c r="AG385" s="86">
        <f>'STK1'!$B123</f>
        <v>0</v>
      </c>
      <c r="AH385" s="86">
        <f>'STK2'!$B123</f>
        <v>0</v>
      </c>
      <c r="AI385" s="86">
        <f>'STK3'!$B123</f>
        <v>0</v>
      </c>
      <c r="AJ385" s="86">
        <f>'STK4'!$B123</f>
        <v>0</v>
      </c>
      <c r="AK385" s="86">
        <f>'STK5'!$B123</f>
        <v>0</v>
      </c>
      <c r="AL385" s="86">
        <f t="shared" si="174"/>
        <v>0</v>
      </c>
    </row>
    <row r="386" spans="2:89" ht="24.95" customHeight="1">
      <c r="B386" s="92">
        <f t="shared" si="164"/>
        <v>0</v>
      </c>
      <c r="C386" s="60">
        <v>2150</v>
      </c>
      <c r="D386" s="60"/>
      <c r="E386" s="60" t="str">
        <f>VLOOKUP(1600,Sprachindex!$A:$Z,Erhebungsbogen!$Y$20,FALSE)</f>
        <v>[Stk]</v>
      </c>
      <c r="F386" s="60" t="s">
        <v>22004</v>
      </c>
      <c r="G386" s="514" t="str">
        <f>VLOOKUP(2131,Sprachindex!$A:$Z,Erhebungsbogen!$Y$20,FALSE) &amp; ", " &amp; VLOOKUP(1648,Sprachindex!$A:$Z,Erhebungsbogen!$Y$20,FALSE)</f>
        <v>Rundprofil 50-Vario 30° exkl. Dichtung, gebohrt und entgratet, blank</v>
      </c>
      <c r="H386" s="514"/>
      <c r="I386" s="514"/>
      <c r="J386" s="514"/>
      <c r="K386" s="514"/>
      <c r="L386" s="514"/>
      <c r="M386" s="514"/>
      <c r="N386" s="514"/>
      <c r="O386" s="514"/>
      <c r="P386" s="514"/>
      <c r="Q386" s="514"/>
      <c r="R386" s="514"/>
      <c r="S386" s="514"/>
      <c r="T386" s="514"/>
      <c r="U386" s="352">
        <f>VLOOKUP(F386,Preisliste!C:F,4,FALSE)</f>
        <v>1231.95</v>
      </c>
      <c r="V386" s="352">
        <f t="shared" si="92"/>
        <v>0</v>
      </c>
      <c r="W386" s="146"/>
      <c r="X386" s="146"/>
      <c r="Y386" s="86"/>
      <c r="Z386" s="86"/>
      <c r="AA386" s="86"/>
      <c r="AB386" s="86"/>
      <c r="AC386" s="86"/>
      <c r="AD386" s="86"/>
      <c r="AE386" s="86"/>
      <c r="AF386" s="86"/>
      <c r="AG386" s="86">
        <f>'STK1'!$B124</f>
        <v>0</v>
      </c>
      <c r="AH386" s="86">
        <f>'STK2'!$B124</f>
        <v>0</v>
      </c>
      <c r="AI386" s="86">
        <f>'STK3'!$B124</f>
        <v>0</v>
      </c>
      <c r="AJ386" s="86">
        <f>'STK4'!$B124</f>
        <v>0</v>
      </c>
      <c r="AK386" s="86">
        <f>'STK5'!$B124</f>
        <v>0</v>
      </c>
      <c r="AL386" s="86">
        <f t="shared" si="174"/>
        <v>0</v>
      </c>
    </row>
    <row r="387" spans="2:89" ht="24.95" customHeight="1">
      <c r="B387" s="92">
        <f t="shared" si="164"/>
        <v>0</v>
      </c>
      <c r="C387" s="138">
        <f>AK387</f>
        <v>0</v>
      </c>
      <c r="D387" s="60"/>
      <c r="E387" s="60" t="str">
        <f>VLOOKUP(1600,Sprachindex!$A:$Z,Erhebungsbogen!$Y$20,FALSE)</f>
        <v>[Stk]</v>
      </c>
      <c r="F387" s="60" t="s">
        <v>21826</v>
      </c>
      <c r="G387" s="514" t="str">
        <f>VLOOKUP(2132,Sprachindex!$A:$Z,Erhebungsbogen!$Y$20,FALSE) &amp; ", " &amp; VLOOKUP(1648,Sprachindex!$A:$Z,Erhebungsbogen!$Y$20,FALSE)</f>
        <v>Rundprofil 50-Vario 30° Sonderlänge exkl. Dichtung, (Stangenware), blank</v>
      </c>
      <c r="H387" s="514"/>
      <c r="I387" s="514"/>
      <c r="J387" s="514"/>
      <c r="K387" s="514"/>
      <c r="L387" s="514"/>
      <c r="M387" s="514"/>
      <c r="N387" s="514"/>
      <c r="O387" s="514"/>
      <c r="P387" s="514"/>
      <c r="Q387" s="514"/>
      <c r="R387" s="514"/>
      <c r="S387" s="514"/>
      <c r="T387" s="514"/>
      <c r="U387" s="354">
        <f>VLOOKUP(F387,Preisliste!C:F,4,FALSE)</f>
        <v>0</v>
      </c>
      <c r="V387" s="352">
        <f t="shared" si="92"/>
        <v>0</v>
      </c>
      <c r="W387" s="146"/>
      <c r="X387" s="146"/>
      <c r="Y387" s="86"/>
      <c r="Z387" s="86"/>
      <c r="AA387" s="86"/>
      <c r="AB387" s="86"/>
      <c r="AC387" s="86"/>
      <c r="AD387" s="86"/>
      <c r="AE387" s="86"/>
      <c r="AF387" s="86"/>
      <c r="AK387" s="86">
        <f>'STK1'!$C$125</f>
        <v>0</v>
      </c>
      <c r="AL387" s="86">
        <f>'STK1'!$B$125</f>
        <v>0</v>
      </c>
      <c r="CK387" s="245"/>
    </row>
    <row r="388" spans="2:89" ht="24.95" customHeight="1">
      <c r="B388" s="92">
        <f t="shared" si="164"/>
        <v>0</v>
      </c>
      <c r="C388" s="138">
        <f t="shared" ref="C388:C391" si="175">AK388</f>
        <v>0</v>
      </c>
      <c r="D388" s="60"/>
      <c r="E388" s="60" t="str">
        <f>VLOOKUP(1600,Sprachindex!$A:$Z,Erhebungsbogen!$Y$20,FALSE)</f>
        <v>[Stk]</v>
      </c>
      <c r="F388" s="60" t="s">
        <v>21826</v>
      </c>
      <c r="G388" s="514" t="str">
        <f>VLOOKUP(2132,Sprachindex!$A:$Z,Erhebungsbogen!$Y$20,FALSE) &amp; ", " &amp; VLOOKUP(1648,Sprachindex!$A:$Z,Erhebungsbogen!$Y$20,FALSE)</f>
        <v>Rundprofil 50-Vario 30° Sonderlänge exkl. Dichtung, (Stangenware), blank</v>
      </c>
      <c r="H388" s="514"/>
      <c r="I388" s="514"/>
      <c r="J388" s="514"/>
      <c r="K388" s="514"/>
      <c r="L388" s="514"/>
      <c r="M388" s="514"/>
      <c r="N388" s="514"/>
      <c r="O388" s="514"/>
      <c r="P388" s="514"/>
      <c r="Q388" s="514"/>
      <c r="R388" s="514"/>
      <c r="S388" s="514"/>
      <c r="T388" s="514"/>
      <c r="U388" s="354">
        <f>VLOOKUP(F388,Preisliste!C:F,4,FALSE)</f>
        <v>0</v>
      </c>
      <c r="V388" s="352">
        <f t="shared" ref="V388:V389" si="176">U388*B388</f>
        <v>0</v>
      </c>
      <c r="W388" s="146"/>
      <c r="X388" s="146"/>
      <c r="Y388" s="86"/>
      <c r="Z388" s="86"/>
      <c r="AA388" s="86"/>
      <c r="AB388" s="86"/>
      <c r="AC388" s="86"/>
      <c r="AD388" s="86"/>
      <c r="AE388" s="86"/>
      <c r="AF388" s="86"/>
      <c r="AK388" s="86">
        <f>'STK2'!$C$125</f>
        <v>0</v>
      </c>
      <c r="AL388" s="86">
        <f>'STK2'!$B$125</f>
        <v>0</v>
      </c>
      <c r="CK388" s="245"/>
    </row>
    <row r="389" spans="2:89" ht="24.95" customHeight="1">
      <c r="B389" s="92">
        <f t="shared" si="164"/>
        <v>0</v>
      </c>
      <c r="C389" s="138">
        <f t="shared" si="175"/>
        <v>0</v>
      </c>
      <c r="D389" s="60"/>
      <c r="E389" s="60" t="str">
        <f>VLOOKUP(1600,Sprachindex!$A:$Z,Erhebungsbogen!$Y$20,FALSE)</f>
        <v>[Stk]</v>
      </c>
      <c r="F389" s="60" t="s">
        <v>21826</v>
      </c>
      <c r="G389" s="514" t="str">
        <f>VLOOKUP(2132,Sprachindex!$A:$Z,Erhebungsbogen!$Y$20,FALSE) &amp; ", " &amp; VLOOKUP(1648,Sprachindex!$A:$Z,Erhebungsbogen!$Y$20,FALSE)</f>
        <v>Rundprofil 50-Vario 30° Sonderlänge exkl. Dichtung, (Stangenware), blank</v>
      </c>
      <c r="H389" s="514"/>
      <c r="I389" s="514"/>
      <c r="J389" s="514"/>
      <c r="K389" s="514"/>
      <c r="L389" s="514"/>
      <c r="M389" s="514"/>
      <c r="N389" s="514"/>
      <c r="O389" s="514"/>
      <c r="P389" s="514"/>
      <c r="Q389" s="514"/>
      <c r="R389" s="514"/>
      <c r="S389" s="514"/>
      <c r="T389" s="514"/>
      <c r="U389" s="354">
        <f>VLOOKUP(F389,Preisliste!C:F,4,FALSE)</f>
        <v>0</v>
      </c>
      <c r="V389" s="352">
        <f t="shared" si="176"/>
        <v>0</v>
      </c>
      <c r="W389" s="146"/>
      <c r="X389" s="146"/>
      <c r="Y389" s="86"/>
      <c r="Z389" s="86"/>
      <c r="AA389" s="86"/>
      <c r="AB389" s="86"/>
      <c r="AC389" s="86"/>
      <c r="AD389" s="86"/>
      <c r="AE389" s="86"/>
      <c r="AF389" s="86"/>
      <c r="AK389" s="86">
        <f>'STK3'!$C$125</f>
        <v>0</v>
      </c>
      <c r="AL389" s="86">
        <f>'STK3'!$B$125</f>
        <v>0</v>
      </c>
      <c r="CK389" s="245"/>
    </row>
    <row r="390" spans="2:89" ht="24.95" customHeight="1">
      <c r="B390" s="92">
        <f t="shared" si="164"/>
        <v>0</v>
      </c>
      <c r="C390" s="138">
        <f t="shared" si="175"/>
        <v>0</v>
      </c>
      <c r="D390" s="60"/>
      <c r="E390" s="60" t="str">
        <f>VLOOKUP(1600,Sprachindex!$A:$Z,Erhebungsbogen!$Y$20,FALSE)</f>
        <v>[Stk]</v>
      </c>
      <c r="F390" s="60" t="s">
        <v>21826</v>
      </c>
      <c r="G390" s="514" t="str">
        <f>VLOOKUP(2132,Sprachindex!$A:$Z,Erhebungsbogen!$Y$20,FALSE) &amp; ", " &amp; VLOOKUP(1648,Sprachindex!$A:$Z,Erhebungsbogen!$Y$20,FALSE)</f>
        <v>Rundprofil 50-Vario 30° Sonderlänge exkl. Dichtung, (Stangenware), blank</v>
      </c>
      <c r="H390" s="514"/>
      <c r="I390" s="514"/>
      <c r="J390" s="514"/>
      <c r="K390" s="514"/>
      <c r="L390" s="514"/>
      <c r="M390" s="514"/>
      <c r="N390" s="514"/>
      <c r="O390" s="514"/>
      <c r="P390" s="514"/>
      <c r="Q390" s="514"/>
      <c r="R390" s="514"/>
      <c r="S390" s="514"/>
      <c r="T390" s="514"/>
      <c r="U390" s="354">
        <f>VLOOKUP(F390,Preisliste!C:F,4,FALSE)</f>
        <v>0</v>
      </c>
      <c r="V390" s="352">
        <f t="shared" ref="V390" si="177">U390*B390</f>
        <v>0</v>
      </c>
      <c r="W390" s="146"/>
      <c r="X390" s="146"/>
      <c r="Y390" s="86"/>
      <c r="Z390" s="86"/>
      <c r="AA390" s="86"/>
      <c r="AB390" s="86"/>
      <c r="AC390" s="86"/>
      <c r="AD390" s="86"/>
      <c r="AE390" s="86"/>
      <c r="AF390" s="86"/>
      <c r="AK390" s="86">
        <f>'STK4'!$C$125</f>
        <v>0</v>
      </c>
      <c r="AL390" s="86">
        <f>'STK4'!$B$125</f>
        <v>0</v>
      </c>
      <c r="CK390" s="245"/>
    </row>
    <row r="391" spans="2:89" ht="24.95" customHeight="1">
      <c r="B391" s="92">
        <f t="shared" si="164"/>
        <v>0</v>
      </c>
      <c r="C391" s="138">
        <f t="shared" si="175"/>
        <v>0</v>
      </c>
      <c r="D391" s="60"/>
      <c r="E391" s="60" t="str">
        <f>VLOOKUP(1600,Sprachindex!$A:$Z,Erhebungsbogen!$Y$20,FALSE)</f>
        <v>[Stk]</v>
      </c>
      <c r="F391" s="60" t="s">
        <v>21826</v>
      </c>
      <c r="G391" s="514" t="str">
        <f>VLOOKUP(2132,Sprachindex!$A:$Z,Erhebungsbogen!$Y$20,FALSE) &amp; ", " &amp; VLOOKUP(1648,Sprachindex!$A:$Z,Erhebungsbogen!$Y$20,FALSE)</f>
        <v>Rundprofil 50-Vario 30° Sonderlänge exkl. Dichtung, (Stangenware), blank</v>
      </c>
      <c r="H391" s="514"/>
      <c r="I391" s="514"/>
      <c r="J391" s="514"/>
      <c r="K391" s="514"/>
      <c r="L391" s="514"/>
      <c r="M391" s="514"/>
      <c r="N391" s="514"/>
      <c r="O391" s="514"/>
      <c r="P391" s="514"/>
      <c r="Q391" s="514"/>
      <c r="R391" s="514"/>
      <c r="S391" s="514"/>
      <c r="T391" s="514"/>
      <c r="U391" s="354">
        <f>VLOOKUP(F391,Preisliste!C:F,4,FALSE)</f>
        <v>0</v>
      </c>
      <c r="V391" s="352">
        <f t="shared" si="92"/>
        <v>0</v>
      </c>
      <c r="W391" s="146"/>
      <c r="X391" s="146"/>
      <c r="Y391" s="86"/>
      <c r="Z391" s="86"/>
      <c r="AA391" s="86"/>
      <c r="AB391" s="86"/>
      <c r="AC391" s="86"/>
      <c r="AD391" s="86"/>
      <c r="AE391" s="86"/>
      <c r="AF391" s="86"/>
      <c r="AK391" s="86">
        <f>'STK5'!$C$125</f>
        <v>0</v>
      </c>
      <c r="AL391" s="86">
        <f>'STK5'!$B$125</f>
        <v>0</v>
      </c>
      <c r="CK391" s="245"/>
    </row>
    <row r="392" spans="2:89" ht="24.95" customHeight="1">
      <c r="B392" s="92">
        <f t="shared" si="164"/>
        <v>0</v>
      </c>
      <c r="C392" s="60">
        <v>750</v>
      </c>
      <c r="D392" s="60"/>
      <c r="E392" s="60" t="str">
        <f>VLOOKUP(1600,Sprachindex!$A:$Z,Erhebungsbogen!$Y$20,FALSE)</f>
        <v>[Stk]</v>
      </c>
      <c r="F392" s="60" t="s">
        <v>22005</v>
      </c>
      <c r="G392" s="514" t="str">
        <f>VLOOKUP(2133,Sprachindex!$A:$Z,Erhebungsbogen!$Y$20,FALSE) &amp; ", " &amp; VLOOKUP(1648,Sprachindex!$A:$Z,Erhebungsbogen!$Y$20,FALSE)</f>
        <v>Rundprofil 50-Vario 45° exkl. Dichtung, gebohrt und entgratet, blank</v>
      </c>
      <c r="H392" s="514"/>
      <c r="I392" s="514"/>
      <c r="J392" s="514"/>
      <c r="K392" s="514"/>
      <c r="L392" s="514"/>
      <c r="M392" s="514"/>
      <c r="N392" s="514"/>
      <c r="O392" s="514"/>
      <c r="P392" s="514"/>
      <c r="Q392" s="514"/>
      <c r="R392" s="514"/>
      <c r="S392" s="514"/>
      <c r="T392" s="514"/>
      <c r="U392" s="352">
        <f>VLOOKUP(F392,Preisliste!C:F,4,FALSE)</f>
        <v>805.1</v>
      </c>
      <c r="V392" s="352">
        <f t="shared" si="92"/>
        <v>0</v>
      </c>
      <c r="W392" s="146"/>
      <c r="X392" s="146"/>
      <c r="Y392" s="86"/>
      <c r="Z392" s="86"/>
      <c r="AA392" s="86"/>
      <c r="AB392" s="86"/>
      <c r="AC392" s="86"/>
      <c r="AD392" s="86"/>
      <c r="AE392" s="86"/>
      <c r="AF392" s="86"/>
      <c r="AG392" s="86">
        <f>'STK1'!$B126</f>
        <v>0</v>
      </c>
      <c r="AH392" s="86">
        <f>'STK2'!$B126</f>
        <v>0</v>
      </c>
      <c r="AI392" s="86">
        <f>'STK3'!$B126</f>
        <v>0</v>
      </c>
      <c r="AJ392" s="86">
        <f>'STK4'!$B126</f>
        <v>0</v>
      </c>
      <c r="AK392" s="86">
        <f>'STK5'!$B126</f>
        <v>0</v>
      </c>
      <c r="AL392" s="86">
        <f t="shared" ref="AL392" si="178">SUM(AG392:AK392)</f>
        <v>0</v>
      </c>
    </row>
    <row r="393" spans="2:89" ht="24.95" customHeight="1">
      <c r="B393" s="92">
        <f t="shared" si="164"/>
        <v>0</v>
      </c>
      <c r="C393" s="60">
        <v>1350</v>
      </c>
      <c r="D393" s="60"/>
      <c r="E393" s="60" t="str">
        <f>VLOOKUP(1600,Sprachindex!$A:$Z,Erhebungsbogen!$Y$20,FALSE)</f>
        <v>[Stk]</v>
      </c>
      <c r="F393" s="60" t="s">
        <v>22006</v>
      </c>
      <c r="G393" s="514" t="str">
        <f>VLOOKUP(2133,Sprachindex!$A:$Z,Erhebungsbogen!$Y$20,FALSE) &amp; ", " &amp; VLOOKUP(1648,Sprachindex!$A:$Z,Erhebungsbogen!$Y$20,FALSE)</f>
        <v>Rundprofil 50-Vario 45° exkl. Dichtung, gebohrt und entgratet, blank</v>
      </c>
      <c r="H393" s="514"/>
      <c r="I393" s="514"/>
      <c r="J393" s="514"/>
      <c r="K393" s="514"/>
      <c r="L393" s="514"/>
      <c r="M393" s="514"/>
      <c r="N393" s="514"/>
      <c r="O393" s="514"/>
      <c r="P393" s="514"/>
      <c r="Q393" s="514"/>
      <c r="R393" s="514"/>
      <c r="S393" s="514"/>
      <c r="T393" s="514"/>
      <c r="U393" s="352">
        <f>VLOOKUP(F393,Preisliste!C:F,4,FALSE)</f>
        <v>988.05</v>
      </c>
      <c r="V393" s="352">
        <f t="shared" si="92"/>
        <v>0</v>
      </c>
      <c r="W393" s="146"/>
      <c r="X393" s="146"/>
      <c r="Y393" s="86"/>
      <c r="Z393" s="86"/>
      <c r="AA393" s="86"/>
      <c r="AB393" s="86"/>
      <c r="AC393" s="86"/>
      <c r="AD393" s="86"/>
      <c r="AE393" s="86"/>
      <c r="AF393" s="86"/>
      <c r="AG393" s="86">
        <f>'STK1'!$B127</f>
        <v>0</v>
      </c>
      <c r="AH393" s="86">
        <f>'STK2'!$B127</f>
        <v>0</v>
      </c>
      <c r="AI393" s="86">
        <f>'STK3'!$B127</f>
        <v>0</v>
      </c>
      <c r="AJ393" s="86">
        <f>'STK4'!$B127</f>
        <v>0</v>
      </c>
      <c r="AK393" s="86">
        <f>'STK5'!$B127</f>
        <v>0</v>
      </c>
      <c r="AL393" s="86">
        <f t="shared" ref="AL393:AL395" si="179">SUM(AG393:AK393)</f>
        <v>0</v>
      </c>
    </row>
    <row r="394" spans="2:89" ht="24.95" customHeight="1">
      <c r="B394" s="92">
        <f t="shared" si="164"/>
        <v>0</v>
      </c>
      <c r="C394" s="60">
        <v>1750</v>
      </c>
      <c r="D394" s="60"/>
      <c r="E394" s="60" t="str">
        <f>VLOOKUP(1600,Sprachindex!$A:$Z,Erhebungsbogen!$Y$20,FALSE)</f>
        <v>[Stk]</v>
      </c>
      <c r="F394" s="60" t="s">
        <v>22007</v>
      </c>
      <c r="G394" s="514" t="str">
        <f>VLOOKUP(2133,Sprachindex!$A:$Z,Erhebungsbogen!$Y$20,FALSE) &amp; ", " &amp; VLOOKUP(1648,Sprachindex!$A:$Z,Erhebungsbogen!$Y$20,FALSE)</f>
        <v>Rundprofil 50-Vario 45° exkl. Dichtung, gebohrt und entgratet, blank</v>
      </c>
      <c r="H394" s="514"/>
      <c r="I394" s="514"/>
      <c r="J394" s="514"/>
      <c r="K394" s="514"/>
      <c r="L394" s="514"/>
      <c r="M394" s="514"/>
      <c r="N394" s="514"/>
      <c r="O394" s="514"/>
      <c r="P394" s="514"/>
      <c r="Q394" s="514"/>
      <c r="R394" s="514"/>
      <c r="S394" s="514"/>
      <c r="T394" s="514"/>
      <c r="U394" s="352">
        <f>VLOOKUP(F394,Preisliste!C:F,4,FALSE)</f>
        <v>1110.0999999999999</v>
      </c>
      <c r="V394" s="352">
        <f t="shared" si="92"/>
        <v>0</v>
      </c>
      <c r="W394" s="146"/>
      <c r="X394" s="146"/>
      <c r="Y394" s="86"/>
      <c r="Z394" s="86"/>
      <c r="AA394" s="86"/>
      <c r="AB394" s="86"/>
      <c r="AC394" s="86"/>
      <c r="AD394" s="86"/>
      <c r="AE394" s="86"/>
      <c r="AF394" s="86"/>
      <c r="AG394" s="86">
        <f>'STK1'!$B128</f>
        <v>0</v>
      </c>
      <c r="AH394" s="86">
        <f>'STK2'!$B128</f>
        <v>0</v>
      </c>
      <c r="AI394" s="86">
        <f>'STK3'!$B128</f>
        <v>0</v>
      </c>
      <c r="AJ394" s="86">
        <f>'STK4'!$B128</f>
        <v>0</v>
      </c>
      <c r="AK394" s="86">
        <f>'STK5'!$B128</f>
        <v>0</v>
      </c>
      <c r="AL394" s="86">
        <f t="shared" si="179"/>
        <v>0</v>
      </c>
    </row>
    <row r="395" spans="2:89" ht="24.95" customHeight="1">
      <c r="B395" s="92">
        <f t="shared" si="164"/>
        <v>0</v>
      </c>
      <c r="C395" s="60">
        <v>2150</v>
      </c>
      <c r="D395" s="60"/>
      <c r="E395" s="60" t="str">
        <f>VLOOKUP(1600,Sprachindex!$A:$Z,Erhebungsbogen!$Y$20,FALSE)</f>
        <v>[Stk]</v>
      </c>
      <c r="F395" s="60" t="s">
        <v>22008</v>
      </c>
      <c r="G395" s="514" t="str">
        <f>VLOOKUP(2133,Sprachindex!$A:$Z,Erhebungsbogen!$Y$20,FALSE) &amp; ", " &amp; VLOOKUP(1648,Sprachindex!$A:$Z,Erhebungsbogen!$Y$20,FALSE)</f>
        <v>Rundprofil 50-Vario 45° exkl. Dichtung, gebohrt und entgratet, blank</v>
      </c>
      <c r="H395" s="514"/>
      <c r="I395" s="514"/>
      <c r="J395" s="514"/>
      <c r="K395" s="514"/>
      <c r="L395" s="514"/>
      <c r="M395" s="514"/>
      <c r="N395" s="514"/>
      <c r="O395" s="514"/>
      <c r="P395" s="514"/>
      <c r="Q395" s="514"/>
      <c r="R395" s="514"/>
      <c r="S395" s="514"/>
      <c r="T395" s="514"/>
      <c r="U395" s="352">
        <f>VLOOKUP(F395,Preisliste!C:F,4,FALSE)</f>
        <v>1231.95</v>
      </c>
      <c r="V395" s="352">
        <f t="shared" si="92"/>
        <v>0</v>
      </c>
      <c r="W395" s="146"/>
      <c r="X395" s="146"/>
      <c r="Y395" s="86"/>
      <c r="Z395" s="86"/>
      <c r="AA395" s="86"/>
      <c r="AB395" s="86"/>
      <c r="AC395" s="86"/>
      <c r="AD395" s="86"/>
      <c r="AE395" s="86"/>
      <c r="AF395" s="86"/>
      <c r="AG395" s="86">
        <f>'STK1'!$B129</f>
        <v>0</v>
      </c>
      <c r="AH395" s="86">
        <f>'STK2'!$B129</f>
        <v>0</v>
      </c>
      <c r="AI395" s="86">
        <f>'STK3'!$B129</f>
        <v>0</v>
      </c>
      <c r="AJ395" s="86">
        <f>'STK4'!$B129</f>
        <v>0</v>
      </c>
      <c r="AK395" s="86">
        <f>'STK5'!$B129</f>
        <v>0</v>
      </c>
      <c r="AL395" s="86">
        <f t="shared" si="179"/>
        <v>0</v>
      </c>
    </row>
    <row r="396" spans="2:89" ht="24.95" customHeight="1">
      <c r="B396" s="92">
        <f t="shared" si="164"/>
        <v>0</v>
      </c>
      <c r="C396" s="138">
        <f>AK396</f>
        <v>0</v>
      </c>
      <c r="D396" s="60"/>
      <c r="E396" s="60" t="str">
        <f>VLOOKUP(1600,Sprachindex!$A:$Z,Erhebungsbogen!$Y$20,FALSE)</f>
        <v>[Stk]</v>
      </c>
      <c r="F396" s="60" t="s">
        <v>21826</v>
      </c>
      <c r="G396" s="514" t="str">
        <f>VLOOKUP(2134,Sprachindex!$A:$Z,Erhebungsbogen!$Y$20,FALSE) &amp; ", " &amp; VLOOKUP(1648,Sprachindex!$A:$Z,Erhebungsbogen!$Y$20,FALSE)</f>
        <v>Rundprofil 50-Vario 45° Sonderlänge exkl. Dichtung, (Stangenware), blank</v>
      </c>
      <c r="H396" s="514"/>
      <c r="I396" s="514"/>
      <c r="J396" s="514"/>
      <c r="K396" s="514"/>
      <c r="L396" s="514"/>
      <c r="M396" s="514"/>
      <c r="N396" s="514"/>
      <c r="O396" s="514"/>
      <c r="P396" s="514"/>
      <c r="Q396" s="514"/>
      <c r="R396" s="514"/>
      <c r="S396" s="514"/>
      <c r="T396" s="514"/>
      <c r="U396" s="354">
        <f>VLOOKUP(F396,Preisliste!C:F,4,FALSE)</f>
        <v>0</v>
      </c>
      <c r="V396" s="352">
        <f t="shared" ref="V396:V398" si="180">U396*B396</f>
        <v>0</v>
      </c>
      <c r="W396" s="146"/>
      <c r="X396" s="146"/>
      <c r="Y396" s="86"/>
      <c r="Z396" s="86"/>
      <c r="AA396" s="86"/>
      <c r="AB396" s="86"/>
      <c r="AC396" s="86"/>
      <c r="AD396" s="86"/>
      <c r="AE396" s="86"/>
      <c r="AF396" s="86"/>
      <c r="AK396" s="86">
        <f>'STK1'!$C$130</f>
        <v>0</v>
      </c>
      <c r="AL396" s="86">
        <f>'STK1'!$B$130</f>
        <v>0</v>
      </c>
      <c r="CK396" s="245"/>
    </row>
    <row r="397" spans="2:89" ht="24.95" customHeight="1">
      <c r="B397" s="92">
        <f t="shared" si="164"/>
        <v>0</v>
      </c>
      <c r="C397" s="138">
        <f t="shared" ref="C397:C400" si="181">AK397</f>
        <v>0</v>
      </c>
      <c r="D397" s="60"/>
      <c r="E397" s="60" t="str">
        <f>VLOOKUP(1600,Sprachindex!$A:$Z,Erhebungsbogen!$Y$20,FALSE)</f>
        <v>[Stk]</v>
      </c>
      <c r="F397" s="60" t="s">
        <v>21826</v>
      </c>
      <c r="G397" s="514" t="str">
        <f>VLOOKUP(2134,Sprachindex!$A:$Z,Erhebungsbogen!$Y$20,FALSE) &amp; ", " &amp; VLOOKUP(1648,Sprachindex!$A:$Z,Erhebungsbogen!$Y$20,FALSE)</f>
        <v>Rundprofil 50-Vario 45° Sonderlänge exkl. Dichtung, (Stangenware), blank</v>
      </c>
      <c r="H397" s="514"/>
      <c r="I397" s="514"/>
      <c r="J397" s="514"/>
      <c r="K397" s="514"/>
      <c r="L397" s="514"/>
      <c r="M397" s="514"/>
      <c r="N397" s="514"/>
      <c r="O397" s="514"/>
      <c r="P397" s="514"/>
      <c r="Q397" s="514"/>
      <c r="R397" s="514"/>
      <c r="S397" s="514"/>
      <c r="T397" s="514"/>
      <c r="U397" s="354">
        <f>VLOOKUP(F397,Preisliste!C:F,4,FALSE)</f>
        <v>0</v>
      </c>
      <c r="V397" s="352">
        <f t="shared" si="180"/>
        <v>0</v>
      </c>
      <c r="W397" s="146"/>
      <c r="X397" s="146"/>
      <c r="Y397" s="86"/>
      <c r="Z397" s="86"/>
      <c r="AA397" s="86"/>
      <c r="AB397" s="86"/>
      <c r="AC397" s="86"/>
      <c r="AD397" s="86"/>
      <c r="AE397" s="86"/>
      <c r="AF397" s="86"/>
      <c r="AK397" s="86">
        <f>'STK2'!$C$130</f>
        <v>0</v>
      </c>
      <c r="AL397" s="86">
        <f>'STK2'!$B$130</f>
        <v>0</v>
      </c>
      <c r="CK397" s="245"/>
    </row>
    <row r="398" spans="2:89" ht="24.95" customHeight="1">
      <c r="B398" s="92">
        <f t="shared" si="164"/>
        <v>0</v>
      </c>
      <c r="C398" s="138">
        <f t="shared" si="181"/>
        <v>0</v>
      </c>
      <c r="D398" s="60"/>
      <c r="E398" s="60" t="str">
        <f>VLOOKUP(1600,Sprachindex!$A:$Z,Erhebungsbogen!$Y$20,FALSE)</f>
        <v>[Stk]</v>
      </c>
      <c r="F398" s="60" t="s">
        <v>21826</v>
      </c>
      <c r="G398" s="514" t="str">
        <f>VLOOKUP(2134,Sprachindex!$A:$Z,Erhebungsbogen!$Y$20,FALSE) &amp; ", " &amp; VLOOKUP(1648,Sprachindex!$A:$Z,Erhebungsbogen!$Y$20,FALSE)</f>
        <v>Rundprofil 50-Vario 45° Sonderlänge exkl. Dichtung, (Stangenware), blank</v>
      </c>
      <c r="H398" s="514"/>
      <c r="I398" s="514"/>
      <c r="J398" s="514"/>
      <c r="K398" s="514"/>
      <c r="L398" s="514"/>
      <c r="M398" s="514"/>
      <c r="N398" s="514"/>
      <c r="O398" s="514"/>
      <c r="P398" s="514"/>
      <c r="Q398" s="514"/>
      <c r="R398" s="514"/>
      <c r="S398" s="514"/>
      <c r="T398" s="514"/>
      <c r="U398" s="354">
        <f>VLOOKUP(F398,Preisliste!C:F,4,FALSE)</f>
        <v>0</v>
      </c>
      <c r="V398" s="352">
        <f t="shared" si="180"/>
        <v>0</v>
      </c>
      <c r="W398" s="146"/>
      <c r="X398" s="146"/>
      <c r="Y398" s="86"/>
      <c r="Z398" s="86"/>
      <c r="AA398" s="86"/>
      <c r="AB398" s="86"/>
      <c r="AC398" s="86"/>
      <c r="AD398" s="86"/>
      <c r="AE398" s="86"/>
      <c r="AF398" s="86"/>
      <c r="AK398" s="86">
        <f>'STK3'!$C$130</f>
        <v>0</v>
      </c>
      <c r="AL398" s="86">
        <f>'STK3'!$B$130</f>
        <v>0</v>
      </c>
      <c r="CK398" s="245"/>
    </row>
    <row r="399" spans="2:89" ht="24.95" customHeight="1">
      <c r="B399" s="92">
        <f t="shared" si="164"/>
        <v>0</v>
      </c>
      <c r="C399" s="138">
        <f t="shared" si="181"/>
        <v>0</v>
      </c>
      <c r="D399" s="60"/>
      <c r="E399" s="60" t="str">
        <f>VLOOKUP(1600,Sprachindex!$A:$Z,Erhebungsbogen!$Y$20,FALSE)</f>
        <v>[Stk]</v>
      </c>
      <c r="F399" s="60" t="s">
        <v>21826</v>
      </c>
      <c r="G399" s="514" t="str">
        <f>VLOOKUP(2134,Sprachindex!$A:$Z,Erhebungsbogen!$Y$20,FALSE) &amp; ", " &amp; VLOOKUP(1648,Sprachindex!$A:$Z,Erhebungsbogen!$Y$20,FALSE)</f>
        <v>Rundprofil 50-Vario 45° Sonderlänge exkl. Dichtung, (Stangenware), blank</v>
      </c>
      <c r="H399" s="514"/>
      <c r="I399" s="514"/>
      <c r="J399" s="514"/>
      <c r="K399" s="514"/>
      <c r="L399" s="514"/>
      <c r="M399" s="514"/>
      <c r="N399" s="514"/>
      <c r="O399" s="514"/>
      <c r="P399" s="514"/>
      <c r="Q399" s="514"/>
      <c r="R399" s="514"/>
      <c r="S399" s="514"/>
      <c r="T399" s="514"/>
      <c r="U399" s="354">
        <f>VLOOKUP(F399,Preisliste!C:F,4,FALSE)</f>
        <v>0</v>
      </c>
      <c r="V399" s="352">
        <f t="shared" ref="V399" si="182">U399*B399</f>
        <v>0</v>
      </c>
      <c r="W399" s="146"/>
      <c r="X399" s="146"/>
      <c r="Y399" s="86"/>
      <c r="Z399" s="86"/>
      <c r="AA399" s="86"/>
      <c r="AB399" s="86"/>
      <c r="AC399" s="86"/>
      <c r="AD399" s="86"/>
      <c r="AE399" s="86"/>
      <c r="AF399" s="86"/>
      <c r="AK399" s="86">
        <f>'STK4'!$C$130</f>
        <v>0</v>
      </c>
      <c r="AL399" s="86">
        <f>'STK4'!$B$130</f>
        <v>0</v>
      </c>
      <c r="CK399" s="245"/>
    </row>
    <row r="400" spans="2:89" ht="24.95" customHeight="1">
      <c r="B400" s="92">
        <f t="shared" si="164"/>
        <v>0</v>
      </c>
      <c r="C400" s="138">
        <f t="shared" si="181"/>
        <v>0</v>
      </c>
      <c r="D400" s="60"/>
      <c r="E400" s="60" t="str">
        <f>VLOOKUP(1600,Sprachindex!$A:$Z,Erhebungsbogen!$Y$20,FALSE)</f>
        <v>[Stk]</v>
      </c>
      <c r="F400" s="60" t="s">
        <v>21826</v>
      </c>
      <c r="G400" s="514" t="str">
        <f>VLOOKUP(2134,Sprachindex!$A:$Z,Erhebungsbogen!$Y$20,FALSE) &amp; ", " &amp; VLOOKUP(1648,Sprachindex!$A:$Z,Erhebungsbogen!$Y$20,FALSE)</f>
        <v>Rundprofil 50-Vario 45° Sonderlänge exkl. Dichtung, (Stangenware), blank</v>
      </c>
      <c r="H400" s="514"/>
      <c r="I400" s="514"/>
      <c r="J400" s="514"/>
      <c r="K400" s="514"/>
      <c r="L400" s="514"/>
      <c r="M400" s="514"/>
      <c r="N400" s="514"/>
      <c r="O400" s="514"/>
      <c r="P400" s="514"/>
      <c r="Q400" s="514"/>
      <c r="R400" s="514"/>
      <c r="S400" s="514"/>
      <c r="T400" s="514"/>
      <c r="U400" s="354">
        <f>VLOOKUP(F400,Preisliste!C:F,4,FALSE)</f>
        <v>0</v>
      </c>
      <c r="V400" s="352">
        <f t="shared" ref="V400:V546" si="183">U400*B400</f>
        <v>0</v>
      </c>
      <c r="W400" s="146"/>
      <c r="X400" s="146"/>
      <c r="Y400" s="86"/>
      <c r="Z400" s="86"/>
      <c r="AA400" s="86"/>
      <c r="AB400" s="86"/>
      <c r="AC400" s="86"/>
      <c r="AD400" s="86"/>
      <c r="AE400" s="86"/>
      <c r="AF400" s="86"/>
      <c r="AK400" s="86">
        <f>'STK5'!$C$130</f>
        <v>0</v>
      </c>
      <c r="AL400" s="86">
        <f>'STK5'!$B$130</f>
        <v>0</v>
      </c>
      <c r="CK400" s="245"/>
    </row>
    <row r="401" spans="2:89" ht="24.95" customHeight="1">
      <c r="B401" s="92">
        <f t="shared" si="164"/>
        <v>0</v>
      </c>
      <c r="C401" s="60">
        <v>750</v>
      </c>
      <c r="D401" s="60"/>
      <c r="E401" s="60" t="str">
        <f>VLOOKUP(1600,Sprachindex!$A:$Z,Erhebungsbogen!$Y$20,FALSE)</f>
        <v>[Stk]</v>
      </c>
      <c r="F401" s="60" t="s">
        <v>22009</v>
      </c>
      <c r="G401" s="514" t="str">
        <f>VLOOKUP(2135,Sprachindex!$A:$Z,Erhebungsbogen!$Y$20,FALSE) &amp; ", " &amp; VLOOKUP(1648,Sprachindex!$A:$Z,Erhebungsbogen!$Y$20,FALSE)</f>
        <v>Rundprofil 50-Vario 60° exkl. Dichtung, gebohrt und entgratet, blank</v>
      </c>
      <c r="H401" s="514"/>
      <c r="I401" s="514"/>
      <c r="J401" s="514"/>
      <c r="K401" s="514"/>
      <c r="L401" s="514"/>
      <c r="M401" s="514"/>
      <c r="N401" s="514"/>
      <c r="O401" s="514"/>
      <c r="P401" s="514"/>
      <c r="Q401" s="514"/>
      <c r="R401" s="514"/>
      <c r="S401" s="514"/>
      <c r="T401" s="514"/>
      <c r="U401" s="352">
        <f>VLOOKUP(F401,Preisliste!C:F,4,FALSE)</f>
        <v>805.1</v>
      </c>
      <c r="V401" s="352">
        <f t="shared" si="183"/>
        <v>0</v>
      </c>
      <c r="W401" s="146"/>
      <c r="X401" s="146"/>
      <c r="Y401" s="86"/>
      <c r="Z401" s="86"/>
      <c r="AA401" s="86"/>
      <c r="AB401" s="86"/>
      <c r="AC401" s="86"/>
      <c r="AD401" s="86"/>
      <c r="AE401" s="86"/>
      <c r="AF401" s="86"/>
      <c r="AG401" s="86">
        <f>'STK1'!$B131</f>
        <v>0</v>
      </c>
      <c r="AH401" s="86">
        <f>'STK2'!$B131</f>
        <v>0</v>
      </c>
      <c r="AI401" s="86">
        <f>'STK3'!$B131</f>
        <v>0</v>
      </c>
      <c r="AJ401" s="86">
        <f>'STK4'!$B131</f>
        <v>0</v>
      </c>
      <c r="AK401" s="86">
        <f>'STK5'!$B131</f>
        <v>0</v>
      </c>
      <c r="AL401" s="86">
        <f t="shared" ref="AL401" si="184">SUM(AG401:AK401)</f>
        <v>0</v>
      </c>
    </row>
    <row r="402" spans="2:89" ht="24.95" customHeight="1">
      <c r="B402" s="92">
        <f t="shared" si="164"/>
        <v>0</v>
      </c>
      <c r="C402" s="60">
        <v>1350</v>
      </c>
      <c r="D402" s="60"/>
      <c r="E402" s="60" t="str">
        <f>VLOOKUP(1600,Sprachindex!$A:$Z,Erhebungsbogen!$Y$20,FALSE)</f>
        <v>[Stk]</v>
      </c>
      <c r="F402" s="60" t="s">
        <v>22010</v>
      </c>
      <c r="G402" s="514" t="str">
        <f>VLOOKUP(2135,Sprachindex!$A:$Z,Erhebungsbogen!$Y$20,FALSE) &amp; ", " &amp; VLOOKUP(1648,Sprachindex!$A:$Z,Erhebungsbogen!$Y$20,FALSE)</f>
        <v>Rundprofil 50-Vario 60° exkl. Dichtung, gebohrt und entgratet, blank</v>
      </c>
      <c r="H402" s="514"/>
      <c r="I402" s="514"/>
      <c r="J402" s="514"/>
      <c r="K402" s="514"/>
      <c r="L402" s="514"/>
      <c r="M402" s="514"/>
      <c r="N402" s="514"/>
      <c r="O402" s="514"/>
      <c r="P402" s="514"/>
      <c r="Q402" s="514"/>
      <c r="R402" s="514"/>
      <c r="S402" s="514"/>
      <c r="T402" s="514"/>
      <c r="U402" s="352">
        <f>VLOOKUP(F402,Preisliste!C:F,4,FALSE)</f>
        <v>988.05</v>
      </c>
      <c r="V402" s="352">
        <f t="shared" si="183"/>
        <v>0</v>
      </c>
      <c r="W402" s="146"/>
      <c r="X402" s="146"/>
      <c r="Y402" s="86"/>
      <c r="Z402" s="86"/>
      <c r="AA402" s="86"/>
      <c r="AB402" s="86"/>
      <c r="AC402" s="86"/>
      <c r="AD402" s="86"/>
      <c r="AE402" s="86"/>
      <c r="AF402" s="86"/>
      <c r="AG402" s="86">
        <f>'STK1'!$B132</f>
        <v>0</v>
      </c>
      <c r="AH402" s="86">
        <f>'STK2'!$B132</f>
        <v>0</v>
      </c>
      <c r="AI402" s="86">
        <f>'STK3'!$B132</f>
        <v>0</v>
      </c>
      <c r="AJ402" s="86">
        <f>'STK4'!$B132</f>
        <v>0</v>
      </c>
      <c r="AK402" s="86">
        <f>'STK5'!$B132</f>
        <v>0</v>
      </c>
      <c r="AL402" s="86">
        <f t="shared" ref="AL402:AL404" si="185">SUM(AG402:AK402)</f>
        <v>0</v>
      </c>
    </row>
    <row r="403" spans="2:89" ht="24.95" customHeight="1">
      <c r="B403" s="92">
        <f t="shared" si="164"/>
        <v>0</v>
      </c>
      <c r="C403" s="60">
        <v>1750</v>
      </c>
      <c r="D403" s="60"/>
      <c r="E403" s="60" t="str">
        <f>VLOOKUP(1600,Sprachindex!$A:$Z,Erhebungsbogen!$Y$20,FALSE)</f>
        <v>[Stk]</v>
      </c>
      <c r="F403" s="60" t="s">
        <v>22011</v>
      </c>
      <c r="G403" s="514" t="str">
        <f>VLOOKUP(2135,Sprachindex!$A:$Z,Erhebungsbogen!$Y$20,FALSE) &amp; ", " &amp; VLOOKUP(1648,Sprachindex!$A:$Z,Erhebungsbogen!$Y$20,FALSE)</f>
        <v>Rundprofil 50-Vario 60° exkl. Dichtung, gebohrt und entgratet, blank</v>
      </c>
      <c r="H403" s="514"/>
      <c r="I403" s="514"/>
      <c r="J403" s="514"/>
      <c r="K403" s="514"/>
      <c r="L403" s="514"/>
      <c r="M403" s="514"/>
      <c r="N403" s="514"/>
      <c r="O403" s="514"/>
      <c r="P403" s="514"/>
      <c r="Q403" s="514"/>
      <c r="R403" s="514"/>
      <c r="S403" s="514"/>
      <c r="T403" s="514"/>
      <c r="U403" s="352">
        <f>VLOOKUP(F403,Preisliste!C:F,4,FALSE)</f>
        <v>1110.0999999999999</v>
      </c>
      <c r="V403" s="352">
        <f t="shared" si="183"/>
        <v>0</v>
      </c>
      <c r="W403" s="146"/>
      <c r="X403" s="146"/>
      <c r="Y403" s="86"/>
      <c r="Z403" s="86"/>
      <c r="AA403" s="86"/>
      <c r="AB403" s="86"/>
      <c r="AC403" s="86"/>
      <c r="AD403" s="86"/>
      <c r="AE403" s="86"/>
      <c r="AF403" s="86"/>
      <c r="AG403" s="86">
        <f>'STK1'!$B133</f>
        <v>0</v>
      </c>
      <c r="AH403" s="86">
        <f>'STK2'!$B133</f>
        <v>0</v>
      </c>
      <c r="AI403" s="86">
        <f>'STK3'!$B133</f>
        <v>0</v>
      </c>
      <c r="AJ403" s="86">
        <f>'STK4'!$B133</f>
        <v>0</v>
      </c>
      <c r="AK403" s="86">
        <f>'STK5'!$B133</f>
        <v>0</v>
      </c>
      <c r="AL403" s="86">
        <f t="shared" si="185"/>
        <v>0</v>
      </c>
    </row>
    <row r="404" spans="2:89" ht="24.95" customHeight="1">
      <c r="B404" s="92">
        <f t="shared" si="164"/>
        <v>0</v>
      </c>
      <c r="C404" s="60">
        <v>2150</v>
      </c>
      <c r="D404" s="60"/>
      <c r="E404" s="60" t="str">
        <f>VLOOKUP(1600,Sprachindex!$A:$Z,Erhebungsbogen!$Y$20,FALSE)</f>
        <v>[Stk]</v>
      </c>
      <c r="F404" s="60" t="s">
        <v>22012</v>
      </c>
      <c r="G404" s="514" t="str">
        <f>VLOOKUP(2135,Sprachindex!$A:$Z,Erhebungsbogen!$Y$20,FALSE) &amp; ", " &amp; VLOOKUP(1648,Sprachindex!$A:$Z,Erhebungsbogen!$Y$20,FALSE)</f>
        <v>Rundprofil 50-Vario 60° exkl. Dichtung, gebohrt und entgratet, blank</v>
      </c>
      <c r="H404" s="514"/>
      <c r="I404" s="514"/>
      <c r="J404" s="514"/>
      <c r="K404" s="514"/>
      <c r="L404" s="514"/>
      <c r="M404" s="514"/>
      <c r="N404" s="514"/>
      <c r="O404" s="514"/>
      <c r="P404" s="514"/>
      <c r="Q404" s="514"/>
      <c r="R404" s="514"/>
      <c r="S404" s="514"/>
      <c r="T404" s="514"/>
      <c r="U404" s="352">
        <f>VLOOKUP(F404,Preisliste!C:F,4,FALSE)</f>
        <v>1231.95</v>
      </c>
      <c r="V404" s="352">
        <f t="shared" si="183"/>
        <v>0</v>
      </c>
      <c r="W404" s="146"/>
      <c r="X404" s="146"/>
      <c r="Y404" s="86"/>
      <c r="Z404" s="86"/>
      <c r="AA404" s="86"/>
      <c r="AB404" s="86"/>
      <c r="AC404" s="86"/>
      <c r="AD404" s="86"/>
      <c r="AE404" s="86"/>
      <c r="AF404" s="86"/>
      <c r="AG404" s="86">
        <f>'STK1'!$B134</f>
        <v>0</v>
      </c>
      <c r="AH404" s="86">
        <f>'STK2'!$B134</f>
        <v>0</v>
      </c>
      <c r="AI404" s="86">
        <f>'STK3'!$B134</f>
        <v>0</v>
      </c>
      <c r="AJ404" s="86">
        <f>'STK4'!$B134</f>
        <v>0</v>
      </c>
      <c r="AK404" s="86">
        <f>'STK5'!$B134</f>
        <v>0</v>
      </c>
      <c r="AL404" s="86">
        <f t="shared" si="185"/>
        <v>0</v>
      </c>
    </row>
    <row r="405" spans="2:89" ht="24.95" customHeight="1">
      <c r="B405" s="92">
        <f t="shared" si="164"/>
        <v>0</v>
      </c>
      <c r="C405" s="138">
        <f>AK405</f>
        <v>0</v>
      </c>
      <c r="D405" s="60"/>
      <c r="E405" s="60" t="str">
        <f>VLOOKUP(1600,Sprachindex!$A:$Z,Erhebungsbogen!$Y$20,FALSE)</f>
        <v>[Stk]</v>
      </c>
      <c r="F405" s="60" t="s">
        <v>21826</v>
      </c>
      <c r="G405" s="514" t="str">
        <f>VLOOKUP(2136,Sprachindex!$A:$Z,Erhebungsbogen!$Y$20,FALSE) &amp; ", " &amp; VLOOKUP(1648,Sprachindex!$A:$Z,Erhebungsbogen!$Y$20,FALSE)</f>
        <v>Rundprofil 50-Vario 60° Sonderlänge exkl. Dichtung, (Stangenware), blank</v>
      </c>
      <c r="H405" s="514"/>
      <c r="I405" s="514"/>
      <c r="J405" s="514"/>
      <c r="K405" s="514"/>
      <c r="L405" s="514"/>
      <c r="M405" s="514"/>
      <c r="N405" s="514"/>
      <c r="O405" s="514"/>
      <c r="P405" s="514"/>
      <c r="Q405" s="514"/>
      <c r="R405" s="514"/>
      <c r="S405" s="514"/>
      <c r="T405" s="514"/>
      <c r="U405" s="354">
        <f>VLOOKUP(F405,Preisliste!C:F,4,FALSE)</f>
        <v>0</v>
      </c>
      <c r="V405" s="352">
        <f t="shared" si="183"/>
        <v>0</v>
      </c>
      <c r="W405" s="146"/>
      <c r="X405" s="146"/>
      <c r="Y405" s="86"/>
      <c r="Z405" s="86"/>
      <c r="AA405" s="86"/>
      <c r="AB405" s="86"/>
      <c r="AC405" s="86"/>
      <c r="AD405" s="86"/>
      <c r="AE405" s="86"/>
      <c r="AF405" s="86"/>
      <c r="AK405" s="86">
        <f>'STK1'!$C$135</f>
        <v>0</v>
      </c>
      <c r="AL405" s="86">
        <f>'STK1'!$B$135</f>
        <v>0</v>
      </c>
      <c r="CK405" s="245"/>
    </row>
    <row r="406" spans="2:89" ht="24.95" customHeight="1">
      <c r="B406" s="92">
        <f t="shared" si="164"/>
        <v>0</v>
      </c>
      <c r="C406" s="138">
        <f t="shared" ref="C406:C409" si="186">AK406</f>
        <v>0</v>
      </c>
      <c r="D406" s="60"/>
      <c r="E406" s="60" t="str">
        <f>VLOOKUP(1600,Sprachindex!$A:$Z,Erhebungsbogen!$Y$20,FALSE)</f>
        <v>[Stk]</v>
      </c>
      <c r="F406" s="60" t="s">
        <v>21826</v>
      </c>
      <c r="G406" s="514" t="str">
        <f>VLOOKUP(2136,Sprachindex!$A:$Z,Erhebungsbogen!$Y$20,FALSE) &amp; ", " &amp; VLOOKUP(1648,Sprachindex!$A:$Z,Erhebungsbogen!$Y$20,FALSE)</f>
        <v>Rundprofil 50-Vario 60° Sonderlänge exkl. Dichtung, (Stangenware), blank</v>
      </c>
      <c r="H406" s="514"/>
      <c r="I406" s="514"/>
      <c r="J406" s="514"/>
      <c r="K406" s="514"/>
      <c r="L406" s="514"/>
      <c r="M406" s="514"/>
      <c r="N406" s="514"/>
      <c r="O406" s="514"/>
      <c r="P406" s="514"/>
      <c r="Q406" s="514"/>
      <c r="R406" s="514"/>
      <c r="S406" s="514"/>
      <c r="T406" s="514"/>
      <c r="U406" s="354">
        <f>VLOOKUP(F406,Preisliste!C:F,4,FALSE)</f>
        <v>0</v>
      </c>
      <c r="V406" s="352">
        <f t="shared" si="183"/>
        <v>0</v>
      </c>
      <c r="W406" s="146"/>
      <c r="X406" s="146"/>
      <c r="Y406" s="86"/>
      <c r="Z406" s="86"/>
      <c r="AA406" s="86"/>
      <c r="AB406" s="86"/>
      <c r="AC406" s="86"/>
      <c r="AD406" s="86"/>
      <c r="AE406" s="86"/>
      <c r="AF406" s="86"/>
      <c r="AK406" s="86">
        <f>'STK2'!$C$135</f>
        <v>0</v>
      </c>
      <c r="AL406" s="86">
        <f>'STK2'!$B$135</f>
        <v>0</v>
      </c>
      <c r="CK406" s="245"/>
    </row>
    <row r="407" spans="2:89" ht="24.95" customHeight="1">
      <c r="B407" s="92">
        <f t="shared" si="164"/>
        <v>0</v>
      </c>
      <c r="C407" s="138">
        <f t="shared" si="186"/>
        <v>0</v>
      </c>
      <c r="D407" s="60"/>
      <c r="E407" s="60" t="str">
        <f>VLOOKUP(1600,Sprachindex!$A:$Z,Erhebungsbogen!$Y$20,FALSE)</f>
        <v>[Stk]</v>
      </c>
      <c r="F407" s="60" t="s">
        <v>21826</v>
      </c>
      <c r="G407" s="514" t="str">
        <f>VLOOKUP(2136,Sprachindex!$A:$Z,Erhebungsbogen!$Y$20,FALSE) &amp; ", " &amp; VLOOKUP(1648,Sprachindex!$A:$Z,Erhebungsbogen!$Y$20,FALSE)</f>
        <v>Rundprofil 50-Vario 60° Sonderlänge exkl. Dichtung, (Stangenware), blank</v>
      </c>
      <c r="H407" s="514"/>
      <c r="I407" s="514"/>
      <c r="J407" s="514"/>
      <c r="K407" s="514"/>
      <c r="L407" s="514"/>
      <c r="M407" s="514"/>
      <c r="N407" s="514"/>
      <c r="O407" s="514"/>
      <c r="P407" s="514"/>
      <c r="Q407" s="514"/>
      <c r="R407" s="514"/>
      <c r="S407" s="514"/>
      <c r="T407" s="514"/>
      <c r="U407" s="354">
        <f>VLOOKUP(F407,Preisliste!C:F,4,FALSE)</f>
        <v>0</v>
      </c>
      <c r="V407" s="352">
        <f t="shared" ref="V407" si="187">U407*B407</f>
        <v>0</v>
      </c>
      <c r="W407" s="146"/>
      <c r="X407" s="146"/>
      <c r="Y407" s="86"/>
      <c r="Z407" s="86"/>
      <c r="AA407" s="86"/>
      <c r="AB407" s="86"/>
      <c r="AC407" s="86"/>
      <c r="AD407" s="86"/>
      <c r="AE407" s="86"/>
      <c r="AF407" s="86"/>
      <c r="AK407" s="86">
        <f>'STK3'!$C$135</f>
        <v>0</v>
      </c>
      <c r="AL407" s="86">
        <f>'STK3'!$B$135</f>
        <v>0</v>
      </c>
      <c r="CK407" s="245"/>
    </row>
    <row r="408" spans="2:89" ht="24.95" customHeight="1">
      <c r="B408" s="92">
        <f t="shared" si="164"/>
        <v>0</v>
      </c>
      <c r="C408" s="138">
        <f t="shared" si="186"/>
        <v>0</v>
      </c>
      <c r="D408" s="60"/>
      <c r="E408" s="60" t="str">
        <f>VLOOKUP(1600,Sprachindex!$A:$Z,Erhebungsbogen!$Y$20,FALSE)</f>
        <v>[Stk]</v>
      </c>
      <c r="F408" s="60" t="s">
        <v>21826</v>
      </c>
      <c r="G408" s="514" t="str">
        <f>VLOOKUP(2136,Sprachindex!$A:$Z,Erhebungsbogen!$Y$20,FALSE) &amp; ", " &amp; VLOOKUP(1648,Sprachindex!$A:$Z,Erhebungsbogen!$Y$20,FALSE)</f>
        <v>Rundprofil 50-Vario 60° Sonderlänge exkl. Dichtung, (Stangenware), blank</v>
      </c>
      <c r="H408" s="514"/>
      <c r="I408" s="514"/>
      <c r="J408" s="514"/>
      <c r="K408" s="514"/>
      <c r="L408" s="514"/>
      <c r="M408" s="514"/>
      <c r="N408" s="514"/>
      <c r="O408" s="514"/>
      <c r="P408" s="514"/>
      <c r="Q408" s="514"/>
      <c r="R408" s="514"/>
      <c r="S408" s="514"/>
      <c r="T408" s="514"/>
      <c r="U408" s="354">
        <f>VLOOKUP(F408,Preisliste!C:F,4,FALSE)</f>
        <v>0</v>
      </c>
      <c r="V408" s="352">
        <f t="shared" ref="V408" si="188">U408*B408</f>
        <v>0</v>
      </c>
      <c r="W408" s="146"/>
      <c r="X408" s="146"/>
      <c r="Y408" s="86"/>
      <c r="Z408" s="86"/>
      <c r="AA408" s="86"/>
      <c r="AB408" s="86"/>
      <c r="AC408" s="86"/>
      <c r="AD408" s="86"/>
      <c r="AE408" s="86"/>
      <c r="AF408" s="86"/>
      <c r="AK408" s="86">
        <f>'STK4'!$C$135</f>
        <v>0</v>
      </c>
      <c r="AL408" s="86">
        <f>'STK4'!$B$135</f>
        <v>0</v>
      </c>
      <c r="CK408" s="245"/>
    </row>
    <row r="409" spans="2:89" ht="24.95" customHeight="1">
      <c r="B409" s="92">
        <f t="shared" si="164"/>
        <v>0</v>
      </c>
      <c r="C409" s="138">
        <f t="shared" si="186"/>
        <v>0</v>
      </c>
      <c r="D409" s="60"/>
      <c r="E409" s="60" t="str">
        <f>VLOOKUP(1600,Sprachindex!$A:$Z,Erhebungsbogen!$Y$20,FALSE)</f>
        <v>[Stk]</v>
      </c>
      <c r="F409" s="60" t="s">
        <v>21826</v>
      </c>
      <c r="G409" s="514" t="str">
        <f>VLOOKUP(2136,Sprachindex!$A:$Z,Erhebungsbogen!$Y$20,FALSE) &amp; ", " &amp; VLOOKUP(1648,Sprachindex!$A:$Z,Erhebungsbogen!$Y$20,FALSE)</f>
        <v>Rundprofil 50-Vario 60° Sonderlänge exkl. Dichtung, (Stangenware), blank</v>
      </c>
      <c r="H409" s="514"/>
      <c r="I409" s="514"/>
      <c r="J409" s="514"/>
      <c r="K409" s="514"/>
      <c r="L409" s="514"/>
      <c r="M409" s="514"/>
      <c r="N409" s="514"/>
      <c r="O409" s="514"/>
      <c r="P409" s="514"/>
      <c r="Q409" s="514"/>
      <c r="R409" s="514"/>
      <c r="S409" s="514"/>
      <c r="T409" s="514"/>
      <c r="U409" s="354">
        <f>VLOOKUP(F409,Preisliste!C:F,4,FALSE)</f>
        <v>0</v>
      </c>
      <c r="V409" s="352">
        <f t="shared" si="183"/>
        <v>0</v>
      </c>
      <c r="W409" s="146"/>
      <c r="X409" s="146"/>
      <c r="Y409" s="86"/>
      <c r="Z409" s="86"/>
      <c r="AA409" s="86"/>
      <c r="AB409" s="86"/>
      <c r="AC409" s="86"/>
      <c r="AD409" s="86"/>
      <c r="AE409" s="86"/>
      <c r="AF409" s="86"/>
      <c r="AK409" s="86">
        <f>'STK5'!$C$135</f>
        <v>0</v>
      </c>
      <c r="AL409" s="86">
        <f>'STK5'!$B$135</f>
        <v>0</v>
      </c>
      <c r="CK409" s="245"/>
    </row>
    <row r="410" spans="2:89" ht="24.95" customHeight="1">
      <c r="B410" s="92">
        <f t="shared" si="164"/>
        <v>0</v>
      </c>
      <c r="C410" s="60">
        <v>750</v>
      </c>
      <c r="D410" s="60"/>
      <c r="E410" s="60" t="str">
        <f>VLOOKUP(1600,Sprachindex!$A:$Z,Erhebungsbogen!$Y$20,FALSE)</f>
        <v>[Stk]</v>
      </c>
      <c r="F410" s="60" t="s">
        <v>22013</v>
      </c>
      <c r="G410" s="514" t="str">
        <f>VLOOKUP(2137,Sprachindex!$A:$Z,Erhebungsbogen!$Y$20,FALSE) &amp; ", " &amp; VLOOKUP(1648,Sprachindex!$A:$Z,Erhebungsbogen!$Y$20,FALSE)</f>
        <v>Rundprofil 50-Vario 75° exkl. Dichtung, gebohrt und entgratet, blank</v>
      </c>
      <c r="H410" s="514"/>
      <c r="I410" s="514"/>
      <c r="J410" s="514"/>
      <c r="K410" s="514"/>
      <c r="L410" s="514"/>
      <c r="M410" s="514"/>
      <c r="N410" s="514"/>
      <c r="O410" s="514"/>
      <c r="P410" s="514"/>
      <c r="Q410" s="514"/>
      <c r="R410" s="514"/>
      <c r="S410" s="514"/>
      <c r="T410" s="514"/>
      <c r="U410" s="352">
        <f>VLOOKUP(F410,Preisliste!C:F,4,FALSE)</f>
        <v>805.1</v>
      </c>
      <c r="V410" s="352">
        <f t="shared" si="183"/>
        <v>0</v>
      </c>
      <c r="W410" s="146"/>
      <c r="X410" s="146"/>
      <c r="Y410" s="86"/>
      <c r="Z410" s="86"/>
      <c r="AA410" s="86"/>
      <c r="AB410" s="86"/>
      <c r="AC410" s="86"/>
      <c r="AD410" s="86"/>
      <c r="AE410" s="86"/>
      <c r="AF410" s="86"/>
      <c r="AG410" s="86">
        <f>'STK1'!$B136</f>
        <v>0</v>
      </c>
      <c r="AH410" s="86">
        <f>'STK2'!$B136</f>
        <v>0</v>
      </c>
      <c r="AI410" s="86">
        <f>'STK3'!$B136</f>
        <v>0</v>
      </c>
      <c r="AJ410" s="86">
        <f>'STK4'!$B136</f>
        <v>0</v>
      </c>
      <c r="AK410" s="86">
        <f>'STK5'!$B136</f>
        <v>0</v>
      </c>
      <c r="AL410" s="86">
        <f t="shared" ref="AL410" si="189">SUM(AG410:AK410)</f>
        <v>0</v>
      </c>
    </row>
    <row r="411" spans="2:89" ht="24.95" customHeight="1">
      <c r="B411" s="92">
        <f t="shared" si="164"/>
        <v>0</v>
      </c>
      <c r="C411" s="60">
        <v>1350</v>
      </c>
      <c r="D411" s="60"/>
      <c r="E411" s="60" t="str">
        <f>VLOOKUP(1600,Sprachindex!$A:$Z,Erhebungsbogen!$Y$20,FALSE)</f>
        <v>[Stk]</v>
      </c>
      <c r="F411" s="60" t="s">
        <v>22014</v>
      </c>
      <c r="G411" s="514" t="str">
        <f>VLOOKUP(2137,Sprachindex!$A:$Z,Erhebungsbogen!$Y$20,FALSE) &amp; ", " &amp; VLOOKUP(1648,Sprachindex!$A:$Z,Erhebungsbogen!$Y$20,FALSE)</f>
        <v>Rundprofil 50-Vario 75° exkl. Dichtung, gebohrt und entgratet, blank</v>
      </c>
      <c r="H411" s="514"/>
      <c r="I411" s="514"/>
      <c r="J411" s="514"/>
      <c r="K411" s="514"/>
      <c r="L411" s="514"/>
      <c r="M411" s="514"/>
      <c r="N411" s="514"/>
      <c r="O411" s="514"/>
      <c r="P411" s="514"/>
      <c r="Q411" s="514"/>
      <c r="R411" s="514"/>
      <c r="S411" s="514"/>
      <c r="T411" s="514"/>
      <c r="U411" s="352">
        <f>VLOOKUP(F411,Preisliste!C:F,4,FALSE)</f>
        <v>988.05</v>
      </c>
      <c r="V411" s="352">
        <f t="shared" si="183"/>
        <v>0</v>
      </c>
      <c r="W411" s="146"/>
      <c r="X411" s="146"/>
      <c r="Y411" s="86"/>
      <c r="Z411" s="86"/>
      <c r="AA411" s="86"/>
      <c r="AB411" s="86"/>
      <c r="AC411" s="86"/>
      <c r="AD411" s="86"/>
      <c r="AE411" s="86"/>
      <c r="AF411" s="86"/>
      <c r="AG411" s="86">
        <f>'STK1'!$B137</f>
        <v>0</v>
      </c>
      <c r="AH411" s="86">
        <f>'STK2'!$B137</f>
        <v>0</v>
      </c>
      <c r="AI411" s="86">
        <f>'STK3'!$B137</f>
        <v>0</v>
      </c>
      <c r="AJ411" s="86">
        <f>'STK4'!$B137</f>
        <v>0</v>
      </c>
      <c r="AK411" s="86">
        <f>'STK5'!$B137</f>
        <v>0</v>
      </c>
      <c r="AL411" s="86">
        <f t="shared" ref="AL411:AL413" si="190">SUM(AG411:AK411)</f>
        <v>0</v>
      </c>
    </row>
    <row r="412" spans="2:89" ht="24.95" customHeight="1">
      <c r="B412" s="92">
        <f t="shared" si="164"/>
        <v>0</v>
      </c>
      <c r="C412" s="60">
        <v>1750</v>
      </c>
      <c r="D412" s="60"/>
      <c r="E412" s="60" t="str">
        <f>VLOOKUP(1600,Sprachindex!$A:$Z,Erhebungsbogen!$Y$20,FALSE)</f>
        <v>[Stk]</v>
      </c>
      <c r="F412" s="60" t="s">
        <v>22015</v>
      </c>
      <c r="G412" s="514" t="str">
        <f>VLOOKUP(2137,Sprachindex!$A:$Z,Erhebungsbogen!$Y$20,FALSE) &amp; ", " &amp; VLOOKUP(1648,Sprachindex!$A:$Z,Erhebungsbogen!$Y$20,FALSE)</f>
        <v>Rundprofil 50-Vario 75° exkl. Dichtung, gebohrt und entgratet, blank</v>
      </c>
      <c r="H412" s="514"/>
      <c r="I412" s="514"/>
      <c r="J412" s="514"/>
      <c r="K412" s="514"/>
      <c r="L412" s="514"/>
      <c r="M412" s="514"/>
      <c r="N412" s="514"/>
      <c r="O412" s="514"/>
      <c r="P412" s="514"/>
      <c r="Q412" s="514"/>
      <c r="R412" s="514"/>
      <c r="S412" s="514"/>
      <c r="T412" s="514"/>
      <c r="U412" s="352">
        <f>VLOOKUP(F412,Preisliste!C:F,4,FALSE)</f>
        <v>1110.0999999999999</v>
      </c>
      <c r="V412" s="352">
        <f t="shared" si="183"/>
        <v>0</v>
      </c>
      <c r="W412" s="146"/>
      <c r="X412" s="146"/>
      <c r="Y412" s="86"/>
      <c r="Z412" s="86"/>
      <c r="AA412" s="86"/>
      <c r="AB412" s="86"/>
      <c r="AC412" s="86"/>
      <c r="AD412" s="86"/>
      <c r="AE412" s="86"/>
      <c r="AF412" s="86"/>
      <c r="AG412" s="86">
        <f>'STK1'!$B138</f>
        <v>0</v>
      </c>
      <c r="AH412" s="86">
        <f>'STK2'!$B138</f>
        <v>0</v>
      </c>
      <c r="AI412" s="86">
        <f>'STK3'!$B138</f>
        <v>0</v>
      </c>
      <c r="AJ412" s="86">
        <f>'STK4'!$B138</f>
        <v>0</v>
      </c>
      <c r="AK412" s="86">
        <f>'STK5'!$B138</f>
        <v>0</v>
      </c>
      <c r="AL412" s="86">
        <f t="shared" si="190"/>
        <v>0</v>
      </c>
    </row>
    <row r="413" spans="2:89" ht="24.95" customHeight="1">
      <c r="B413" s="92">
        <f t="shared" si="164"/>
        <v>0</v>
      </c>
      <c r="C413" s="60">
        <v>2150</v>
      </c>
      <c r="D413" s="60"/>
      <c r="E413" s="60" t="str">
        <f>VLOOKUP(1600,Sprachindex!$A:$Z,Erhebungsbogen!$Y$20,FALSE)</f>
        <v>[Stk]</v>
      </c>
      <c r="F413" s="60" t="s">
        <v>22016</v>
      </c>
      <c r="G413" s="514" t="str">
        <f>VLOOKUP(2137,Sprachindex!$A:$Z,Erhebungsbogen!$Y$20,FALSE) &amp; ", " &amp; VLOOKUP(1648,Sprachindex!$A:$Z,Erhebungsbogen!$Y$20,FALSE)</f>
        <v>Rundprofil 50-Vario 75° exkl. Dichtung, gebohrt und entgratet, blank</v>
      </c>
      <c r="H413" s="514"/>
      <c r="I413" s="514"/>
      <c r="J413" s="514"/>
      <c r="K413" s="514"/>
      <c r="L413" s="514"/>
      <c r="M413" s="514"/>
      <c r="N413" s="514"/>
      <c r="O413" s="514"/>
      <c r="P413" s="514"/>
      <c r="Q413" s="514"/>
      <c r="R413" s="514"/>
      <c r="S413" s="514"/>
      <c r="T413" s="514"/>
      <c r="U413" s="352">
        <f>VLOOKUP(F413,Preisliste!C:F,4,FALSE)</f>
        <v>1231.95</v>
      </c>
      <c r="V413" s="352">
        <f t="shared" si="183"/>
        <v>0</v>
      </c>
      <c r="W413" s="146"/>
      <c r="X413" s="146"/>
      <c r="Y413" s="86"/>
      <c r="Z413" s="86"/>
      <c r="AA413" s="86"/>
      <c r="AB413" s="86"/>
      <c r="AC413" s="86"/>
      <c r="AD413" s="86"/>
      <c r="AE413" s="86"/>
      <c r="AF413" s="86"/>
      <c r="AG413" s="86">
        <f>'STK1'!$B139</f>
        <v>0</v>
      </c>
      <c r="AH413" s="86">
        <f>'STK2'!$B139</f>
        <v>0</v>
      </c>
      <c r="AI413" s="86">
        <f>'STK3'!$B139</f>
        <v>0</v>
      </c>
      <c r="AJ413" s="86">
        <f>'STK4'!$B139</f>
        <v>0</v>
      </c>
      <c r="AK413" s="86">
        <f>'STK5'!$B139</f>
        <v>0</v>
      </c>
      <c r="AL413" s="86">
        <f t="shared" si="190"/>
        <v>0</v>
      </c>
    </row>
    <row r="414" spans="2:89" ht="24.95" customHeight="1">
      <c r="B414" s="92">
        <f t="shared" si="164"/>
        <v>0</v>
      </c>
      <c r="C414" s="138">
        <f>AK414</f>
        <v>0</v>
      </c>
      <c r="D414" s="60"/>
      <c r="E414" s="60" t="str">
        <f>VLOOKUP(1600,Sprachindex!$A:$Z,Erhebungsbogen!$Y$20,FALSE)</f>
        <v>[Stk]</v>
      </c>
      <c r="F414" s="60" t="s">
        <v>21826</v>
      </c>
      <c r="G414" s="514" t="str">
        <f>VLOOKUP(2138,Sprachindex!$A:$Z,Erhebungsbogen!$Y$20,FALSE) &amp; ", " &amp; VLOOKUP(1648,Sprachindex!$A:$Z,Erhebungsbogen!$Y$20,FALSE)</f>
        <v>Rundprofil 50-Vario 75° Sonderlänge exkl. Dichtung, (Stangenware), blank</v>
      </c>
      <c r="H414" s="514"/>
      <c r="I414" s="514"/>
      <c r="J414" s="514"/>
      <c r="K414" s="514"/>
      <c r="L414" s="514"/>
      <c r="M414" s="514"/>
      <c r="N414" s="514"/>
      <c r="O414" s="514"/>
      <c r="P414" s="514"/>
      <c r="Q414" s="514"/>
      <c r="R414" s="514"/>
      <c r="S414" s="514"/>
      <c r="T414" s="514"/>
      <c r="U414" s="354">
        <f>VLOOKUP(F414,Preisliste!C:F,4,FALSE)</f>
        <v>0</v>
      </c>
      <c r="V414" s="352">
        <f t="shared" si="183"/>
        <v>0</v>
      </c>
      <c r="W414" s="146"/>
      <c r="X414" s="146"/>
      <c r="Y414" s="86"/>
      <c r="Z414" s="86"/>
      <c r="AA414" s="86"/>
      <c r="AB414" s="86"/>
      <c r="AC414" s="86"/>
      <c r="AD414" s="86"/>
      <c r="AE414" s="86"/>
      <c r="AF414" s="86"/>
      <c r="AK414" s="86">
        <f>'STK1'!$C$140</f>
        <v>0</v>
      </c>
      <c r="AL414" s="86">
        <f>'STK1'!$B$140</f>
        <v>0</v>
      </c>
      <c r="CK414" s="245"/>
    </row>
    <row r="415" spans="2:89" ht="24.95" customHeight="1">
      <c r="B415" s="92">
        <f t="shared" si="164"/>
        <v>0</v>
      </c>
      <c r="C415" s="138">
        <f t="shared" ref="C415:C418" si="191">AK415</f>
        <v>0</v>
      </c>
      <c r="D415" s="60"/>
      <c r="E415" s="60" t="str">
        <f>VLOOKUP(1600,Sprachindex!$A:$Z,Erhebungsbogen!$Y$20,FALSE)</f>
        <v>[Stk]</v>
      </c>
      <c r="F415" s="60" t="s">
        <v>21826</v>
      </c>
      <c r="G415" s="514" t="str">
        <f>VLOOKUP(2138,Sprachindex!$A:$Z,Erhebungsbogen!$Y$20,FALSE) &amp; ", " &amp; VLOOKUP(1648,Sprachindex!$A:$Z,Erhebungsbogen!$Y$20,FALSE)</f>
        <v>Rundprofil 50-Vario 75° Sonderlänge exkl. Dichtung, (Stangenware), blank</v>
      </c>
      <c r="H415" s="514"/>
      <c r="I415" s="514"/>
      <c r="J415" s="514"/>
      <c r="K415" s="514"/>
      <c r="L415" s="514"/>
      <c r="M415" s="514"/>
      <c r="N415" s="514"/>
      <c r="O415" s="514"/>
      <c r="P415" s="514"/>
      <c r="Q415" s="514"/>
      <c r="R415" s="514"/>
      <c r="S415" s="514"/>
      <c r="T415" s="514"/>
      <c r="U415" s="354">
        <f>VLOOKUP(F415,Preisliste!C:F,4,FALSE)</f>
        <v>0</v>
      </c>
      <c r="V415" s="352">
        <f t="shared" si="183"/>
        <v>0</v>
      </c>
      <c r="W415" s="146"/>
      <c r="X415" s="146"/>
      <c r="Y415" s="86"/>
      <c r="Z415" s="86"/>
      <c r="AA415" s="86"/>
      <c r="AB415" s="86"/>
      <c r="AC415" s="86"/>
      <c r="AD415" s="86"/>
      <c r="AE415" s="86"/>
      <c r="AF415" s="86"/>
      <c r="AK415" s="86">
        <f>'STK2'!$C$140</f>
        <v>0</v>
      </c>
      <c r="AL415" s="86">
        <f>'STK2'!$B$140</f>
        <v>0</v>
      </c>
      <c r="CK415" s="245"/>
    </row>
    <row r="416" spans="2:89" ht="24.95" customHeight="1">
      <c r="B416" s="92">
        <f t="shared" si="164"/>
        <v>0</v>
      </c>
      <c r="C416" s="138">
        <f t="shared" si="191"/>
        <v>0</v>
      </c>
      <c r="D416" s="60"/>
      <c r="E416" s="60" t="str">
        <f>VLOOKUP(1600,Sprachindex!$A:$Z,Erhebungsbogen!$Y$20,FALSE)</f>
        <v>[Stk]</v>
      </c>
      <c r="F416" s="60" t="s">
        <v>21826</v>
      </c>
      <c r="G416" s="514" t="str">
        <f>VLOOKUP(2138,Sprachindex!$A:$Z,Erhebungsbogen!$Y$20,FALSE) &amp; ", " &amp; VLOOKUP(1648,Sprachindex!$A:$Z,Erhebungsbogen!$Y$20,FALSE)</f>
        <v>Rundprofil 50-Vario 75° Sonderlänge exkl. Dichtung, (Stangenware), blank</v>
      </c>
      <c r="H416" s="514"/>
      <c r="I416" s="514"/>
      <c r="J416" s="514"/>
      <c r="K416" s="514"/>
      <c r="L416" s="514"/>
      <c r="M416" s="514"/>
      <c r="N416" s="514"/>
      <c r="O416" s="514"/>
      <c r="P416" s="514"/>
      <c r="Q416" s="514"/>
      <c r="R416" s="514"/>
      <c r="S416" s="514"/>
      <c r="T416" s="514"/>
      <c r="U416" s="354">
        <f>VLOOKUP(F416,Preisliste!C:F,4,FALSE)</f>
        <v>0</v>
      </c>
      <c r="V416" s="352">
        <f t="shared" ref="V416" si="192">U416*B416</f>
        <v>0</v>
      </c>
      <c r="W416" s="146"/>
      <c r="X416" s="146"/>
      <c r="Y416" s="86"/>
      <c r="Z416" s="86"/>
      <c r="AA416" s="86"/>
      <c r="AB416" s="86"/>
      <c r="AC416" s="86"/>
      <c r="AD416" s="86"/>
      <c r="AE416" s="86"/>
      <c r="AF416" s="86"/>
      <c r="AK416" s="86">
        <f>'STK3'!$C$140</f>
        <v>0</v>
      </c>
      <c r="AL416" s="86">
        <f>'STK3'!$B$140</f>
        <v>0</v>
      </c>
      <c r="CK416" s="245"/>
    </row>
    <row r="417" spans="2:89" ht="24.95" customHeight="1">
      <c r="B417" s="92">
        <f t="shared" si="164"/>
        <v>0</v>
      </c>
      <c r="C417" s="138">
        <f t="shared" si="191"/>
        <v>0</v>
      </c>
      <c r="D417" s="60"/>
      <c r="E417" s="60" t="str">
        <f>VLOOKUP(1600,Sprachindex!$A:$Z,Erhebungsbogen!$Y$20,FALSE)</f>
        <v>[Stk]</v>
      </c>
      <c r="F417" s="60" t="s">
        <v>21826</v>
      </c>
      <c r="G417" s="514" t="str">
        <f>VLOOKUP(2138,Sprachindex!$A:$Z,Erhebungsbogen!$Y$20,FALSE) &amp; ", " &amp; VLOOKUP(1648,Sprachindex!$A:$Z,Erhebungsbogen!$Y$20,FALSE)</f>
        <v>Rundprofil 50-Vario 75° Sonderlänge exkl. Dichtung, (Stangenware), blank</v>
      </c>
      <c r="H417" s="514"/>
      <c r="I417" s="514"/>
      <c r="J417" s="514"/>
      <c r="K417" s="514"/>
      <c r="L417" s="514"/>
      <c r="M417" s="514"/>
      <c r="N417" s="514"/>
      <c r="O417" s="514"/>
      <c r="P417" s="514"/>
      <c r="Q417" s="514"/>
      <c r="R417" s="514"/>
      <c r="S417" s="514"/>
      <c r="T417" s="514"/>
      <c r="U417" s="354">
        <f>VLOOKUP(F417,Preisliste!C:F,4,FALSE)</f>
        <v>0</v>
      </c>
      <c r="V417" s="352">
        <f t="shared" ref="V417" si="193">U417*B417</f>
        <v>0</v>
      </c>
      <c r="W417" s="146"/>
      <c r="X417" s="146"/>
      <c r="Y417" s="86"/>
      <c r="Z417" s="86"/>
      <c r="AA417" s="86"/>
      <c r="AB417" s="86"/>
      <c r="AC417" s="86"/>
      <c r="AD417" s="86"/>
      <c r="AE417" s="86"/>
      <c r="AF417" s="86"/>
      <c r="AK417" s="86">
        <f>'STK4'!$C$140</f>
        <v>0</v>
      </c>
      <c r="AL417" s="86">
        <f>'STK4'!$B$140</f>
        <v>0</v>
      </c>
      <c r="CK417" s="245"/>
    </row>
    <row r="418" spans="2:89" ht="24.95" customHeight="1">
      <c r="B418" s="92">
        <f t="shared" si="164"/>
        <v>0</v>
      </c>
      <c r="C418" s="138">
        <f t="shared" si="191"/>
        <v>0</v>
      </c>
      <c r="D418" s="60"/>
      <c r="E418" s="60" t="str">
        <f>VLOOKUP(1600,Sprachindex!$A:$Z,Erhebungsbogen!$Y$20,FALSE)</f>
        <v>[Stk]</v>
      </c>
      <c r="F418" s="60" t="s">
        <v>21826</v>
      </c>
      <c r="G418" s="514" t="str">
        <f>VLOOKUP(2138,Sprachindex!$A:$Z,Erhebungsbogen!$Y$20,FALSE) &amp; ", " &amp; VLOOKUP(1648,Sprachindex!$A:$Z,Erhebungsbogen!$Y$20,FALSE)</f>
        <v>Rundprofil 50-Vario 75° Sonderlänge exkl. Dichtung, (Stangenware), blank</v>
      </c>
      <c r="H418" s="514"/>
      <c r="I418" s="514"/>
      <c r="J418" s="514"/>
      <c r="K418" s="514"/>
      <c r="L418" s="514"/>
      <c r="M418" s="514"/>
      <c r="N418" s="514"/>
      <c r="O418" s="514"/>
      <c r="P418" s="514"/>
      <c r="Q418" s="514"/>
      <c r="R418" s="514"/>
      <c r="S418" s="514"/>
      <c r="T418" s="514"/>
      <c r="U418" s="354">
        <f>VLOOKUP(F418,Preisliste!C:F,4,FALSE)</f>
        <v>0</v>
      </c>
      <c r="V418" s="352">
        <f t="shared" si="183"/>
        <v>0</v>
      </c>
      <c r="W418" s="146"/>
      <c r="X418" s="146"/>
      <c r="Y418" s="86"/>
      <c r="Z418" s="86"/>
      <c r="AA418" s="86"/>
      <c r="AB418" s="86"/>
      <c r="AC418" s="86"/>
      <c r="AD418" s="86"/>
      <c r="AE418" s="86"/>
      <c r="AF418" s="86"/>
      <c r="AK418" s="86">
        <f>'STK5'!$C$140</f>
        <v>0</v>
      </c>
      <c r="AL418" s="86">
        <f>'STK5'!$B$140</f>
        <v>0</v>
      </c>
      <c r="CK418" s="245"/>
    </row>
    <row r="419" spans="2:89" ht="24.95" customHeight="1">
      <c r="B419" s="92">
        <f t="shared" si="164"/>
        <v>0</v>
      </c>
      <c r="C419" s="60">
        <v>750</v>
      </c>
      <c r="D419" s="60"/>
      <c r="E419" s="60" t="str">
        <f>VLOOKUP(1600,Sprachindex!$A:$Z,Erhebungsbogen!$Y$20,FALSE)</f>
        <v>[Stk]</v>
      </c>
      <c r="F419" s="60" t="s">
        <v>21930</v>
      </c>
      <c r="G419" s="514" t="str">
        <f>VLOOKUP(2139,Sprachindex!$A:$Z,Erhebungsbogen!$Y$20,FALSE) &amp; ", " &amp; VLOOKUP(1648,Sprachindex!$A:$Z,Erhebungsbogen!$Y$20,FALSE)</f>
        <v>Rundprofil 80-Vario 15° exkl. Dichtung, gebohrt und entgratet, blank</v>
      </c>
      <c r="H419" s="514"/>
      <c r="I419" s="514"/>
      <c r="J419" s="514"/>
      <c r="K419" s="514"/>
      <c r="L419" s="514"/>
      <c r="M419" s="514"/>
      <c r="N419" s="514"/>
      <c r="O419" s="514"/>
      <c r="P419" s="514"/>
      <c r="Q419" s="514"/>
      <c r="R419" s="514"/>
      <c r="S419" s="514"/>
      <c r="T419" s="514"/>
      <c r="U419" s="352">
        <f>VLOOKUP(F419,Preisliste!C:F,4,FALSE)</f>
        <v>628.54999999999995</v>
      </c>
      <c r="V419" s="352">
        <f t="shared" si="183"/>
        <v>0</v>
      </c>
      <c r="W419" s="146"/>
      <c r="X419" s="146"/>
      <c r="Y419" s="86"/>
      <c r="Z419" s="86"/>
      <c r="AA419" s="86"/>
      <c r="AB419" s="86"/>
      <c r="AC419" s="86"/>
      <c r="AD419" s="86"/>
      <c r="AE419" s="86"/>
      <c r="AF419" s="86"/>
      <c r="AG419" s="86">
        <f>'STK1'!$B141</f>
        <v>0</v>
      </c>
      <c r="AH419" s="86">
        <f>'STK2'!$B141</f>
        <v>0</v>
      </c>
      <c r="AI419" s="86">
        <f>'STK3'!$B141</f>
        <v>0</v>
      </c>
      <c r="AJ419" s="86">
        <f>'STK4'!$B141</f>
        <v>0</v>
      </c>
      <c r="AK419" s="86">
        <f>'STK5'!$B141</f>
        <v>0</v>
      </c>
      <c r="AL419" s="86">
        <f t="shared" ref="AL419" si="194">SUM(AG419:AK419)</f>
        <v>0</v>
      </c>
    </row>
    <row r="420" spans="2:89" ht="24.95" customHeight="1">
      <c r="B420" s="92">
        <f t="shared" si="164"/>
        <v>0</v>
      </c>
      <c r="C420" s="60">
        <v>1350</v>
      </c>
      <c r="D420" s="60"/>
      <c r="E420" s="60" t="str">
        <f>VLOOKUP(1600,Sprachindex!$A:$Z,Erhebungsbogen!$Y$20,FALSE)</f>
        <v>[Stk]</v>
      </c>
      <c r="F420" s="60" t="s">
        <v>21931</v>
      </c>
      <c r="G420" s="514" t="str">
        <f>VLOOKUP(2139,Sprachindex!$A:$Z,Erhebungsbogen!$Y$20,FALSE) &amp; ", " &amp; VLOOKUP(1648,Sprachindex!$A:$Z,Erhebungsbogen!$Y$20,FALSE)</f>
        <v>Rundprofil 80-Vario 15° exkl. Dichtung, gebohrt und entgratet, blank</v>
      </c>
      <c r="H420" s="514"/>
      <c r="I420" s="514"/>
      <c r="J420" s="514"/>
      <c r="K420" s="514"/>
      <c r="L420" s="514"/>
      <c r="M420" s="514"/>
      <c r="N420" s="514"/>
      <c r="O420" s="514"/>
      <c r="P420" s="514"/>
      <c r="Q420" s="514"/>
      <c r="R420" s="514"/>
      <c r="S420" s="514"/>
      <c r="T420" s="514"/>
      <c r="U420" s="352">
        <f>VLOOKUP(F420,Preisliste!C:F,4,FALSE)</f>
        <v>814.15</v>
      </c>
      <c r="V420" s="352">
        <f t="shared" si="183"/>
        <v>0</v>
      </c>
      <c r="W420" s="146"/>
      <c r="X420" s="146"/>
      <c r="Y420" s="86"/>
      <c r="Z420" s="86"/>
      <c r="AA420" s="86"/>
      <c r="AB420" s="86"/>
      <c r="AC420" s="86"/>
      <c r="AD420" s="86"/>
      <c r="AE420" s="86"/>
      <c r="AF420" s="86"/>
      <c r="AG420" s="86">
        <f>'STK1'!$B142</f>
        <v>0</v>
      </c>
      <c r="AH420" s="86">
        <f>'STK2'!$B142</f>
        <v>0</v>
      </c>
      <c r="AI420" s="86">
        <f>'STK3'!$B142</f>
        <v>0</v>
      </c>
      <c r="AJ420" s="86">
        <f>'STK4'!$B142</f>
        <v>0</v>
      </c>
      <c r="AK420" s="86">
        <f>'STK5'!$B142</f>
        <v>0</v>
      </c>
      <c r="AL420" s="86">
        <f t="shared" ref="AL420:AL422" si="195">SUM(AG420:AK420)</f>
        <v>0</v>
      </c>
    </row>
    <row r="421" spans="2:89" ht="24.95" customHeight="1">
      <c r="B421" s="92">
        <f t="shared" si="164"/>
        <v>0</v>
      </c>
      <c r="C421" s="60">
        <v>1750</v>
      </c>
      <c r="D421" s="60"/>
      <c r="E421" s="60" t="str">
        <f>VLOOKUP(1600,Sprachindex!$A:$Z,Erhebungsbogen!$Y$20,FALSE)</f>
        <v>[Stk]</v>
      </c>
      <c r="F421" s="60" t="s">
        <v>21932</v>
      </c>
      <c r="G421" s="514" t="str">
        <f>VLOOKUP(2139,Sprachindex!$A:$Z,Erhebungsbogen!$Y$20,FALSE) &amp; ", " &amp; VLOOKUP(1648,Sprachindex!$A:$Z,Erhebungsbogen!$Y$20,FALSE)</f>
        <v>Rundprofil 80-Vario 15° exkl. Dichtung, gebohrt und entgratet, blank</v>
      </c>
      <c r="H421" s="514"/>
      <c r="I421" s="514"/>
      <c r="J421" s="514"/>
      <c r="K421" s="514"/>
      <c r="L421" s="514"/>
      <c r="M421" s="514"/>
      <c r="N421" s="514"/>
      <c r="O421" s="514"/>
      <c r="P421" s="514"/>
      <c r="Q421" s="514"/>
      <c r="R421" s="514"/>
      <c r="S421" s="514"/>
      <c r="T421" s="514"/>
      <c r="U421" s="352">
        <f>VLOOKUP(F421,Preisliste!C:F,4,FALSE)</f>
        <v>937.8</v>
      </c>
      <c r="V421" s="352">
        <f t="shared" si="183"/>
        <v>0</v>
      </c>
      <c r="W421" s="146"/>
      <c r="X421" s="146"/>
      <c r="Y421" s="86"/>
      <c r="Z421" s="86"/>
      <c r="AA421" s="86"/>
      <c r="AB421" s="86"/>
      <c r="AC421" s="86"/>
      <c r="AD421" s="86"/>
      <c r="AE421" s="86"/>
      <c r="AF421" s="86"/>
      <c r="AG421" s="86">
        <f>'STK1'!$B143</f>
        <v>0</v>
      </c>
      <c r="AH421" s="86">
        <f>'STK2'!$B143</f>
        <v>0</v>
      </c>
      <c r="AI421" s="86">
        <f>'STK3'!$B143</f>
        <v>0</v>
      </c>
      <c r="AJ421" s="86">
        <f>'STK4'!$B143</f>
        <v>0</v>
      </c>
      <c r="AK421" s="86">
        <f>'STK5'!$B143</f>
        <v>0</v>
      </c>
      <c r="AL421" s="86">
        <f t="shared" si="195"/>
        <v>0</v>
      </c>
    </row>
    <row r="422" spans="2:89" ht="24.95" customHeight="1">
      <c r="B422" s="92">
        <f t="shared" si="164"/>
        <v>0</v>
      </c>
      <c r="C422" s="60">
        <v>2150</v>
      </c>
      <c r="D422" s="60"/>
      <c r="E422" s="60" t="str">
        <f>VLOOKUP(1600,Sprachindex!$A:$Z,Erhebungsbogen!$Y$20,FALSE)</f>
        <v>[Stk]</v>
      </c>
      <c r="F422" s="60" t="s">
        <v>21933</v>
      </c>
      <c r="G422" s="514" t="str">
        <f>VLOOKUP(2139,Sprachindex!$A:$Z,Erhebungsbogen!$Y$20,FALSE) &amp; ", " &amp; VLOOKUP(1648,Sprachindex!$A:$Z,Erhebungsbogen!$Y$20,FALSE)</f>
        <v>Rundprofil 80-Vario 15° exkl. Dichtung, gebohrt und entgratet, blank</v>
      </c>
      <c r="H422" s="514"/>
      <c r="I422" s="514"/>
      <c r="J422" s="514"/>
      <c r="K422" s="514"/>
      <c r="L422" s="514"/>
      <c r="M422" s="514"/>
      <c r="N422" s="514"/>
      <c r="O422" s="514"/>
      <c r="P422" s="514"/>
      <c r="Q422" s="514"/>
      <c r="R422" s="514"/>
      <c r="S422" s="514"/>
      <c r="T422" s="514"/>
      <c r="U422" s="352">
        <f>VLOOKUP(F422,Preisliste!C:F,4,FALSE)</f>
        <v>1061.5</v>
      </c>
      <c r="V422" s="352">
        <f t="shared" si="183"/>
        <v>0</v>
      </c>
      <c r="W422" s="146"/>
      <c r="X422" s="146"/>
      <c r="Y422" s="86"/>
      <c r="Z422" s="86"/>
      <c r="AA422" s="86"/>
      <c r="AB422" s="86"/>
      <c r="AC422" s="86"/>
      <c r="AD422" s="86"/>
      <c r="AE422" s="86"/>
      <c r="AF422" s="86"/>
      <c r="AG422" s="86">
        <f>'STK1'!$B144</f>
        <v>0</v>
      </c>
      <c r="AH422" s="86">
        <f>'STK2'!$B144</f>
        <v>0</v>
      </c>
      <c r="AI422" s="86">
        <f>'STK3'!$B144</f>
        <v>0</v>
      </c>
      <c r="AJ422" s="86">
        <f>'STK4'!$B144</f>
        <v>0</v>
      </c>
      <c r="AK422" s="86">
        <f>'STK5'!$B144</f>
        <v>0</v>
      </c>
      <c r="AL422" s="86">
        <f t="shared" si="195"/>
        <v>0</v>
      </c>
    </row>
    <row r="423" spans="2:89" ht="24.95" customHeight="1">
      <c r="B423" s="92">
        <f t="shared" si="164"/>
        <v>0</v>
      </c>
      <c r="C423" s="138">
        <f>AK423</f>
        <v>0</v>
      </c>
      <c r="D423" s="60"/>
      <c r="E423" s="60" t="str">
        <f>VLOOKUP(1600,Sprachindex!$A:$Z,Erhebungsbogen!$Y$20,FALSE)</f>
        <v>[Stk]</v>
      </c>
      <c r="F423" s="60" t="s">
        <v>21826</v>
      </c>
      <c r="G423" s="514" t="str">
        <f>VLOOKUP(2140,Sprachindex!$A:$Z,Erhebungsbogen!$Y$20,FALSE) &amp; ", " &amp; VLOOKUP(1648,Sprachindex!$A:$Z,Erhebungsbogen!$Y$20,FALSE)</f>
        <v>Rundprofil 80-Vario 15° Sonderlänge exkl. Dichtung, (Stangenware), blank</v>
      </c>
      <c r="H423" s="514"/>
      <c r="I423" s="514"/>
      <c r="J423" s="514"/>
      <c r="K423" s="514"/>
      <c r="L423" s="514"/>
      <c r="M423" s="514"/>
      <c r="N423" s="514"/>
      <c r="O423" s="514"/>
      <c r="P423" s="514"/>
      <c r="Q423" s="514"/>
      <c r="R423" s="514"/>
      <c r="S423" s="514"/>
      <c r="T423" s="514"/>
      <c r="U423" s="354">
        <f>VLOOKUP(F423,Preisliste!C:F,4,FALSE)</f>
        <v>0</v>
      </c>
      <c r="V423" s="352">
        <f t="shared" si="183"/>
        <v>0</v>
      </c>
      <c r="W423" s="146"/>
      <c r="X423" s="146"/>
      <c r="Y423" s="86"/>
      <c r="Z423" s="86"/>
      <c r="AA423" s="86"/>
      <c r="AB423" s="86"/>
      <c r="AC423" s="86"/>
      <c r="AD423" s="86"/>
      <c r="AE423" s="86"/>
      <c r="AF423" s="86"/>
      <c r="AK423" s="86">
        <f>'STK1'!$C$145</f>
        <v>0</v>
      </c>
      <c r="AL423" s="86">
        <f>'STK1'!$B$145</f>
        <v>0</v>
      </c>
      <c r="CK423" s="245"/>
    </row>
    <row r="424" spans="2:89" ht="24.95" customHeight="1">
      <c r="B424" s="92">
        <f t="shared" si="164"/>
        <v>0</v>
      </c>
      <c r="C424" s="138">
        <f t="shared" ref="C424:C427" si="196">AK424</f>
        <v>0</v>
      </c>
      <c r="D424" s="60"/>
      <c r="E424" s="60" t="str">
        <f>VLOOKUP(1600,Sprachindex!$A:$Z,Erhebungsbogen!$Y$20,FALSE)</f>
        <v>[Stk]</v>
      </c>
      <c r="F424" s="60" t="s">
        <v>21826</v>
      </c>
      <c r="G424" s="514" t="str">
        <f>VLOOKUP(2140,Sprachindex!$A:$Z,Erhebungsbogen!$Y$20,FALSE) &amp; ", " &amp; VLOOKUP(1648,Sprachindex!$A:$Z,Erhebungsbogen!$Y$20,FALSE)</f>
        <v>Rundprofil 80-Vario 15° Sonderlänge exkl. Dichtung, (Stangenware), blank</v>
      </c>
      <c r="H424" s="514"/>
      <c r="I424" s="514"/>
      <c r="J424" s="514"/>
      <c r="K424" s="514"/>
      <c r="L424" s="514"/>
      <c r="M424" s="514"/>
      <c r="N424" s="514"/>
      <c r="O424" s="514"/>
      <c r="P424" s="514"/>
      <c r="Q424" s="514"/>
      <c r="R424" s="514"/>
      <c r="S424" s="514"/>
      <c r="T424" s="514"/>
      <c r="U424" s="354">
        <f>VLOOKUP(F424,Preisliste!C:F,4,FALSE)</f>
        <v>0</v>
      </c>
      <c r="V424" s="352">
        <f t="shared" si="183"/>
        <v>0</v>
      </c>
      <c r="W424" s="146"/>
      <c r="X424" s="146"/>
      <c r="Y424" s="86"/>
      <c r="Z424" s="86"/>
      <c r="AA424" s="86"/>
      <c r="AB424" s="86"/>
      <c r="AC424" s="86"/>
      <c r="AD424" s="86"/>
      <c r="AE424" s="86"/>
      <c r="AF424" s="86"/>
      <c r="AK424" s="86">
        <f>'STK2'!$C$145</f>
        <v>0</v>
      </c>
      <c r="AL424" s="86">
        <f>'STK2'!$B$145</f>
        <v>0</v>
      </c>
      <c r="CK424" s="245"/>
    </row>
    <row r="425" spans="2:89" ht="24.95" customHeight="1">
      <c r="B425" s="92">
        <f t="shared" si="164"/>
        <v>0</v>
      </c>
      <c r="C425" s="138">
        <f t="shared" si="196"/>
        <v>0</v>
      </c>
      <c r="D425" s="60"/>
      <c r="E425" s="60" t="str">
        <f>VLOOKUP(1600,Sprachindex!$A:$Z,Erhebungsbogen!$Y$20,FALSE)</f>
        <v>[Stk]</v>
      </c>
      <c r="F425" s="60" t="s">
        <v>21826</v>
      </c>
      <c r="G425" s="514" t="str">
        <f>VLOOKUP(2140,Sprachindex!$A:$Z,Erhebungsbogen!$Y$20,FALSE) &amp; ", " &amp; VLOOKUP(1648,Sprachindex!$A:$Z,Erhebungsbogen!$Y$20,FALSE)</f>
        <v>Rundprofil 80-Vario 15° Sonderlänge exkl. Dichtung, (Stangenware), blank</v>
      </c>
      <c r="H425" s="514"/>
      <c r="I425" s="514"/>
      <c r="J425" s="514"/>
      <c r="K425" s="514"/>
      <c r="L425" s="514"/>
      <c r="M425" s="514"/>
      <c r="N425" s="514"/>
      <c r="O425" s="514"/>
      <c r="P425" s="514"/>
      <c r="Q425" s="514"/>
      <c r="R425" s="514"/>
      <c r="S425" s="514"/>
      <c r="T425" s="514"/>
      <c r="U425" s="354">
        <f>VLOOKUP(F425,Preisliste!C:F,4,FALSE)</f>
        <v>0</v>
      </c>
      <c r="V425" s="352">
        <f t="shared" ref="V425" si="197">U425*B425</f>
        <v>0</v>
      </c>
      <c r="W425" s="146"/>
      <c r="X425" s="146"/>
      <c r="Y425" s="86"/>
      <c r="Z425" s="86"/>
      <c r="AA425" s="86"/>
      <c r="AB425" s="86"/>
      <c r="AC425" s="86"/>
      <c r="AD425" s="86"/>
      <c r="AE425" s="86"/>
      <c r="AF425" s="86"/>
      <c r="AK425" s="86">
        <f>'STK3'!$C$145</f>
        <v>0</v>
      </c>
      <c r="AL425" s="86">
        <f>'STK3'!$B$145</f>
        <v>0</v>
      </c>
      <c r="CK425" s="245"/>
    </row>
    <row r="426" spans="2:89" ht="24.95" customHeight="1">
      <c r="B426" s="92">
        <f t="shared" si="164"/>
        <v>0</v>
      </c>
      <c r="C426" s="138">
        <f t="shared" si="196"/>
        <v>0</v>
      </c>
      <c r="D426" s="60"/>
      <c r="E426" s="60" t="str">
        <f>VLOOKUP(1600,Sprachindex!$A:$Z,Erhebungsbogen!$Y$20,FALSE)</f>
        <v>[Stk]</v>
      </c>
      <c r="F426" s="60" t="s">
        <v>21826</v>
      </c>
      <c r="G426" s="514" t="str">
        <f>VLOOKUP(2140,Sprachindex!$A:$Z,Erhebungsbogen!$Y$20,FALSE) &amp; ", " &amp; VLOOKUP(1648,Sprachindex!$A:$Z,Erhebungsbogen!$Y$20,FALSE)</f>
        <v>Rundprofil 80-Vario 15° Sonderlänge exkl. Dichtung, (Stangenware), blank</v>
      </c>
      <c r="H426" s="514"/>
      <c r="I426" s="514"/>
      <c r="J426" s="514"/>
      <c r="K426" s="514"/>
      <c r="L426" s="514"/>
      <c r="M426" s="514"/>
      <c r="N426" s="514"/>
      <c r="O426" s="514"/>
      <c r="P426" s="514"/>
      <c r="Q426" s="514"/>
      <c r="R426" s="514"/>
      <c r="S426" s="514"/>
      <c r="T426" s="514"/>
      <c r="U426" s="354">
        <f>VLOOKUP(F426,Preisliste!C:F,4,FALSE)</f>
        <v>0</v>
      </c>
      <c r="V426" s="352">
        <f t="shared" ref="V426" si="198">U426*B426</f>
        <v>0</v>
      </c>
      <c r="W426" s="146"/>
      <c r="X426" s="146"/>
      <c r="Y426" s="86"/>
      <c r="Z426" s="86"/>
      <c r="AA426" s="86"/>
      <c r="AB426" s="86"/>
      <c r="AC426" s="86"/>
      <c r="AD426" s="86"/>
      <c r="AE426" s="86"/>
      <c r="AF426" s="86"/>
      <c r="AK426" s="86">
        <f>'STK4'!$C$145</f>
        <v>0</v>
      </c>
      <c r="AL426" s="86">
        <f>'STK4'!$B$145</f>
        <v>0</v>
      </c>
      <c r="CK426" s="245"/>
    </row>
    <row r="427" spans="2:89" ht="24.95" customHeight="1">
      <c r="B427" s="92">
        <f t="shared" si="164"/>
        <v>0</v>
      </c>
      <c r="C427" s="138">
        <f t="shared" si="196"/>
        <v>0</v>
      </c>
      <c r="D427" s="60"/>
      <c r="E427" s="60" t="str">
        <f>VLOOKUP(1600,Sprachindex!$A:$Z,Erhebungsbogen!$Y$20,FALSE)</f>
        <v>[Stk]</v>
      </c>
      <c r="F427" s="60" t="s">
        <v>21826</v>
      </c>
      <c r="G427" s="514" t="str">
        <f>VLOOKUP(2140,Sprachindex!$A:$Z,Erhebungsbogen!$Y$20,FALSE) &amp; ", " &amp; VLOOKUP(1648,Sprachindex!$A:$Z,Erhebungsbogen!$Y$20,FALSE)</f>
        <v>Rundprofil 80-Vario 15° Sonderlänge exkl. Dichtung, (Stangenware), blank</v>
      </c>
      <c r="H427" s="514"/>
      <c r="I427" s="514"/>
      <c r="J427" s="514"/>
      <c r="K427" s="514"/>
      <c r="L427" s="514"/>
      <c r="M427" s="514"/>
      <c r="N427" s="514"/>
      <c r="O427" s="514"/>
      <c r="P427" s="514"/>
      <c r="Q427" s="514"/>
      <c r="R427" s="514"/>
      <c r="S427" s="514"/>
      <c r="T427" s="514"/>
      <c r="U427" s="354">
        <f>VLOOKUP(F427,Preisliste!C:F,4,FALSE)</f>
        <v>0</v>
      </c>
      <c r="V427" s="352">
        <f t="shared" si="183"/>
        <v>0</v>
      </c>
      <c r="W427" s="146"/>
      <c r="X427" s="146"/>
      <c r="Y427" s="86"/>
      <c r="Z427" s="86"/>
      <c r="AA427" s="86"/>
      <c r="AB427" s="86"/>
      <c r="AC427" s="86"/>
      <c r="AD427" s="86"/>
      <c r="AE427" s="86"/>
      <c r="AF427" s="86"/>
      <c r="AK427" s="86">
        <f>'STK5'!$C$145</f>
        <v>0</v>
      </c>
      <c r="AL427" s="86">
        <f>'STK5'!$B$145</f>
        <v>0</v>
      </c>
      <c r="CK427" s="245"/>
    </row>
    <row r="428" spans="2:89" ht="24.95" customHeight="1">
      <c r="B428" s="92">
        <f t="shared" si="164"/>
        <v>0</v>
      </c>
      <c r="C428" s="60">
        <v>750</v>
      </c>
      <c r="D428" s="60"/>
      <c r="E428" s="60" t="str">
        <f>VLOOKUP(1600,Sprachindex!$A:$Z,Erhebungsbogen!$Y$20,FALSE)</f>
        <v>[Stk]</v>
      </c>
      <c r="F428" s="60" t="s">
        <v>21989</v>
      </c>
      <c r="G428" s="514" t="str">
        <f>VLOOKUP(2141,Sprachindex!$A:$Z,Erhebungsbogen!$Y$20,FALSE) &amp; ", " &amp; VLOOKUP(1648,Sprachindex!$A:$Z,Erhebungsbogen!$Y$20,FALSE)</f>
        <v>Rundprofil 80-Vario 30° exkl. Dichtung, gebohrt und entgratet, blank</v>
      </c>
      <c r="H428" s="514"/>
      <c r="I428" s="514"/>
      <c r="J428" s="514"/>
      <c r="K428" s="514"/>
      <c r="L428" s="514"/>
      <c r="M428" s="514"/>
      <c r="N428" s="514"/>
      <c r="O428" s="514"/>
      <c r="P428" s="514"/>
      <c r="Q428" s="514"/>
      <c r="R428" s="514"/>
      <c r="S428" s="514"/>
      <c r="T428" s="514"/>
      <c r="U428" s="352">
        <f>VLOOKUP(F428,Preisliste!C:F,4,FALSE)</f>
        <v>628.54999999999995</v>
      </c>
      <c r="V428" s="352">
        <f t="shared" si="183"/>
        <v>0</v>
      </c>
      <c r="W428" s="146"/>
      <c r="X428" s="146"/>
      <c r="Y428" s="86"/>
      <c r="Z428" s="86"/>
      <c r="AA428" s="86"/>
      <c r="AB428" s="86"/>
      <c r="AC428" s="86"/>
      <c r="AD428" s="86"/>
      <c r="AE428" s="86"/>
      <c r="AF428" s="86"/>
      <c r="AG428" s="86">
        <f>'STK1'!$B146</f>
        <v>0</v>
      </c>
      <c r="AH428" s="86">
        <f>'STK2'!$B146</f>
        <v>0</v>
      </c>
      <c r="AI428" s="86">
        <f>'STK3'!$B146</f>
        <v>0</v>
      </c>
      <c r="AJ428" s="86">
        <f>'STK4'!$B146</f>
        <v>0</v>
      </c>
      <c r="AK428" s="86">
        <f>'STK5'!$B146</f>
        <v>0</v>
      </c>
      <c r="AL428" s="86">
        <f t="shared" ref="AL428" si="199">SUM(AG428:AK428)</f>
        <v>0</v>
      </c>
    </row>
    <row r="429" spans="2:89" ht="24.95" customHeight="1">
      <c r="B429" s="92">
        <f t="shared" si="164"/>
        <v>0</v>
      </c>
      <c r="C429" s="60">
        <v>1350</v>
      </c>
      <c r="D429" s="60"/>
      <c r="E429" s="60" t="str">
        <f>VLOOKUP(1600,Sprachindex!$A:$Z,Erhebungsbogen!$Y$20,FALSE)</f>
        <v>[Stk]</v>
      </c>
      <c r="F429" s="60" t="s">
        <v>21990</v>
      </c>
      <c r="G429" s="514" t="str">
        <f>VLOOKUP(2141,Sprachindex!$A:$Z,Erhebungsbogen!$Y$20,FALSE) &amp; ", " &amp; VLOOKUP(1648,Sprachindex!$A:$Z,Erhebungsbogen!$Y$20,FALSE)</f>
        <v>Rundprofil 80-Vario 30° exkl. Dichtung, gebohrt und entgratet, blank</v>
      </c>
      <c r="H429" s="514"/>
      <c r="I429" s="514"/>
      <c r="J429" s="514"/>
      <c r="K429" s="514"/>
      <c r="L429" s="514"/>
      <c r="M429" s="514"/>
      <c r="N429" s="514"/>
      <c r="O429" s="514"/>
      <c r="P429" s="514"/>
      <c r="Q429" s="514"/>
      <c r="R429" s="514"/>
      <c r="S429" s="514"/>
      <c r="T429" s="514"/>
      <c r="U429" s="352">
        <f>VLOOKUP(F429,Preisliste!C:F,4,FALSE)</f>
        <v>814.15</v>
      </c>
      <c r="V429" s="352">
        <f t="shared" si="183"/>
        <v>0</v>
      </c>
      <c r="W429" s="146"/>
      <c r="X429" s="146"/>
      <c r="Y429" s="86"/>
      <c r="Z429" s="86"/>
      <c r="AA429" s="86"/>
      <c r="AB429" s="86"/>
      <c r="AC429" s="86"/>
      <c r="AD429" s="86"/>
      <c r="AE429" s="86"/>
      <c r="AF429" s="86"/>
      <c r="AG429" s="86">
        <f>'STK1'!$B147</f>
        <v>0</v>
      </c>
      <c r="AH429" s="86">
        <f>'STK2'!$B147</f>
        <v>0</v>
      </c>
      <c r="AI429" s="86">
        <f>'STK3'!$B147</f>
        <v>0</v>
      </c>
      <c r="AJ429" s="86">
        <f>'STK4'!$B147</f>
        <v>0</v>
      </c>
      <c r="AK429" s="86">
        <f>'STK5'!$B147</f>
        <v>0</v>
      </c>
      <c r="AL429" s="86">
        <f t="shared" ref="AL429:AL431" si="200">SUM(AG429:AK429)</f>
        <v>0</v>
      </c>
    </row>
    <row r="430" spans="2:89" ht="24.95" customHeight="1">
      <c r="B430" s="92">
        <f t="shared" si="164"/>
        <v>0</v>
      </c>
      <c r="C430" s="60">
        <v>1750</v>
      </c>
      <c r="D430" s="60"/>
      <c r="E430" s="60" t="str">
        <f>VLOOKUP(1600,Sprachindex!$A:$Z,Erhebungsbogen!$Y$20,FALSE)</f>
        <v>[Stk]</v>
      </c>
      <c r="F430" s="60" t="s">
        <v>21991</v>
      </c>
      <c r="G430" s="514" t="str">
        <f>VLOOKUP(2141,Sprachindex!$A:$Z,Erhebungsbogen!$Y$20,FALSE) &amp; ", " &amp; VLOOKUP(1648,Sprachindex!$A:$Z,Erhebungsbogen!$Y$20,FALSE)</f>
        <v>Rundprofil 80-Vario 30° exkl. Dichtung, gebohrt und entgratet, blank</v>
      </c>
      <c r="H430" s="514"/>
      <c r="I430" s="514"/>
      <c r="J430" s="514"/>
      <c r="K430" s="514"/>
      <c r="L430" s="514"/>
      <c r="M430" s="514"/>
      <c r="N430" s="514"/>
      <c r="O430" s="514"/>
      <c r="P430" s="514"/>
      <c r="Q430" s="514"/>
      <c r="R430" s="514"/>
      <c r="S430" s="514"/>
      <c r="T430" s="514"/>
      <c r="U430" s="352">
        <f>VLOOKUP(F430,Preisliste!C:F,4,FALSE)</f>
        <v>937.8</v>
      </c>
      <c r="V430" s="352">
        <f t="shared" si="183"/>
        <v>0</v>
      </c>
      <c r="W430" s="146"/>
      <c r="X430" s="146"/>
      <c r="Y430" s="86"/>
      <c r="Z430" s="86"/>
      <c r="AA430" s="86"/>
      <c r="AB430" s="86"/>
      <c r="AC430" s="86"/>
      <c r="AD430" s="86"/>
      <c r="AE430" s="86"/>
      <c r="AF430" s="86"/>
      <c r="AG430" s="86">
        <f>'STK1'!$B148</f>
        <v>0</v>
      </c>
      <c r="AH430" s="86">
        <f>'STK2'!$B148</f>
        <v>0</v>
      </c>
      <c r="AI430" s="86">
        <f>'STK3'!$B148</f>
        <v>0</v>
      </c>
      <c r="AJ430" s="86">
        <f>'STK4'!$B148</f>
        <v>0</v>
      </c>
      <c r="AK430" s="86">
        <f>'STK5'!$B148</f>
        <v>0</v>
      </c>
      <c r="AL430" s="86">
        <f t="shared" si="200"/>
        <v>0</v>
      </c>
    </row>
    <row r="431" spans="2:89" ht="24.95" customHeight="1">
      <c r="B431" s="92">
        <f t="shared" si="164"/>
        <v>0</v>
      </c>
      <c r="C431" s="60">
        <v>2150</v>
      </c>
      <c r="D431" s="60"/>
      <c r="E431" s="60" t="str">
        <f>VLOOKUP(1600,Sprachindex!$A:$Z,Erhebungsbogen!$Y$20,FALSE)</f>
        <v>[Stk]</v>
      </c>
      <c r="F431" s="60" t="s">
        <v>21992</v>
      </c>
      <c r="G431" s="514" t="str">
        <f>VLOOKUP(2141,Sprachindex!$A:$Z,Erhebungsbogen!$Y$20,FALSE) &amp; ", " &amp; VLOOKUP(1648,Sprachindex!$A:$Z,Erhebungsbogen!$Y$20,FALSE)</f>
        <v>Rundprofil 80-Vario 30° exkl. Dichtung, gebohrt und entgratet, blank</v>
      </c>
      <c r="H431" s="514"/>
      <c r="I431" s="514"/>
      <c r="J431" s="514"/>
      <c r="K431" s="514"/>
      <c r="L431" s="514"/>
      <c r="M431" s="514"/>
      <c r="N431" s="514"/>
      <c r="O431" s="514"/>
      <c r="P431" s="514"/>
      <c r="Q431" s="514"/>
      <c r="R431" s="514"/>
      <c r="S431" s="514"/>
      <c r="T431" s="514"/>
      <c r="U431" s="352">
        <f>VLOOKUP(F431,Preisliste!C:F,4,FALSE)</f>
        <v>1061.5</v>
      </c>
      <c r="V431" s="352">
        <f t="shared" si="183"/>
        <v>0</v>
      </c>
      <c r="W431" s="146"/>
      <c r="X431" s="146"/>
      <c r="Y431" s="86"/>
      <c r="Z431" s="86"/>
      <c r="AA431" s="86"/>
      <c r="AB431" s="86"/>
      <c r="AC431" s="86"/>
      <c r="AD431" s="86"/>
      <c r="AE431" s="86"/>
      <c r="AF431" s="86"/>
      <c r="AG431" s="86">
        <f>'STK1'!$B149</f>
        <v>0</v>
      </c>
      <c r="AH431" s="86">
        <f>'STK2'!$B149</f>
        <v>0</v>
      </c>
      <c r="AI431" s="86">
        <f>'STK3'!$B149</f>
        <v>0</v>
      </c>
      <c r="AJ431" s="86">
        <f>'STK4'!$B149</f>
        <v>0</v>
      </c>
      <c r="AK431" s="86">
        <f>'STK5'!$B149</f>
        <v>0</v>
      </c>
      <c r="AL431" s="86">
        <f t="shared" si="200"/>
        <v>0</v>
      </c>
    </row>
    <row r="432" spans="2:89" ht="24.95" customHeight="1">
      <c r="B432" s="92">
        <f t="shared" ref="B432:B543" si="201">AL432</f>
        <v>0</v>
      </c>
      <c r="C432" s="138">
        <f>AK432</f>
        <v>0</v>
      </c>
      <c r="D432" s="60"/>
      <c r="E432" s="60" t="str">
        <f>VLOOKUP(1600,Sprachindex!$A:$Z,Erhebungsbogen!$Y$20,FALSE)</f>
        <v>[Stk]</v>
      </c>
      <c r="F432" s="60" t="s">
        <v>21826</v>
      </c>
      <c r="G432" s="514" t="str">
        <f>VLOOKUP(2142,Sprachindex!$A:$Z,Erhebungsbogen!$Y$20,FALSE) &amp; ", " &amp; VLOOKUP(1648,Sprachindex!$A:$Z,Erhebungsbogen!$Y$20,FALSE)</f>
        <v>Rundprofil 80-Vario 30° Sonderlänge exkl. Dichtung, (Stangenware), blank</v>
      </c>
      <c r="H432" s="514"/>
      <c r="I432" s="514"/>
      <c r="J432" s="514"/>
      <c r="K432" s="514"/>
      <c r="L432" s="514"/>
      <c r="M432" s="514"/>
      <c r="N432" s="514"/>
      <c r="O432" s="514"/>
      <c r="P432" s="514"/>
      <c r="Q432" s="514"/>
      <c r="R432" s="514"/>
      <c r="S432" s="514"/>
      <c r="T432" s="514"/>
      <c r="U432" s="354">
        <f>VLOOKUP(F432,Preisliste!C:F,4,FALSE)</f>
        <v>0</v>
      </c>
      <c r="V432" s="352">
        <f t="shared" si="183"/>
        <v>0</v>
      </c>
      <c r="W432" s="146"/>
      <c r="X432" s="146"/>
      <c r="Y432" s="86"/>
      <c r="Z432" s="86"/>
      <c r="AA432" s="86"/>
      <c r="AB432" s="86"/>
      <c r="AC432" s="86"/>
      <c r="AD432" s="86"/>
      <c r="AE432" s="86"/>
      <c r="AF432" s="86"/>
      <c r="AK432" s="86">
        <f>'STK1'!$C$150</f>
        <v>0</v>
      </c>
      <c r="AL432" s="86">
        <f>'STK1'!$B$150</f>
        <v>0</v>
      </c>
      <c r="CK432" s="245"/>
    </row>
    <row r="433" spans="2:89" ht="24.95" customHeight="1">
      <c r="B433" s="92">
        <f t="shared" si="201"/>
        <v>0</v>
      </c>
      <c r="C433" s="138">
        <f t="shared" ref="C433:C436" si="202">AK433</f>
        <v>0</v>
      </c>
      <c r="D433" s="60"/>
      <c r="E433" s="60" t="str">
        <f>VLOOKUP(1600,Sprachindex!$A:$Z,Erhebungsbogen!$Y$20,FALSE)</f>
        <v>[Stk]</v>
      </c>
      <c r="F433" s="60" t="s">
        <v>21826</v>
      </c>
      <c r="G433" s="514" t="str">
        <f>VLOOKUP(2142,Sprachindex!$A:$Z,Erhebungsbogen!$Y$20,FALSE) &amp; ", " &amp; VLOOKUP(1648,Sprachindex!$A:$Z,Erhebungsbogen!$Y$20,FALSE)</f>
        <v>Rundprofil 80-Vario 30° Sonderlänge exkl. Dichtung, (Stangenware), blank</v>
      </c>
      <c r="H433" s="514"/>
      <c r="I433" s="514"/>
      <c r="J433" s="514"/>
      <c r="K433" s="514"/>
      <c r="L433" s="514"/>
      <c r="M433" s="514"/>
      <c r="N433" s="514"/>
      <c r="O433" s="514"/>
      <c r="P433" s="514"/>
      <c r="Q433" s="514"/>
      <c r="R433" s="514"/>
      <c r="S433" s="514"/>
      <c r="T433" s="514"/>
      <c r="U433" s="354">
        <f>VLOOKUP(F433,Preisliste!C:F,4,FALSE)</f>
        <v>0</v>
      </c>
      <c r="V433" s="352">
        <f t="shared" si="183"/>
        <v>0</v>
      </c>
      <c r="W433" s="146"/>
      <c r="X433" s="146"/>
      <c r="Y433" s="86"/>
      <c r="Z433" s="86"/>
      <c r="AA433" s="86"/>
      <c r="AB433" s="86"/>
      <c r="AC433" s="86"/>
      <c r="AD433" s="86"/>
      <c r="AE433" s="86"/>
      <c r="AF433" s="86"/>
      <c r="AK433" s="86">
        <f>'STK2'!$C$150</f>
        <v>0</v>
      </c>
      <c r="AL433" s="86">
        <f>'STK2'!$B$150</f>
        <v>0</v>
      </c>
      <c r="CK433" s="245"/>
    </row>
    <row r="434" spans="2:89" ht="24.95" customHeight="1">
      <c r="B434" s="92">
        <f t="shared" si="201"/>
        <v>0</v>
      </c>
      <c r="C434" s="138">
        <f t="shared" si="202"/>
        <v>0</v>
      </c>
      <c r="D434" s="60"/>
      <c r="E434" s="60" t="str">
        <f>VLOOKUP(1600,Sprachindex!$A:$Z,Erhebungsbogen!$Y$20,FALSE)</f>
        <v>[Stk]</v>
      </c>
      <c r="F434" s="60" t="s">
        <v>21826</v>
      </c>
      <c r="G434" s="514" t="str">
        <f>VLOOKUP(2142,Sprachindex!$A:$Z,Erhebungsbogen!$Y$20,FALSE) &amp; ", " &amp; VLOOKUP(1648,Sprachindex!$A:$Z,Erhebungsbogen!$Y$20,FALSE)</f>
        <v>Rundprofil 80-Vario 30° Sonderlänge exkl. Dichtung, (Stangenware), blank</v>
      </c>
      <c r="H434" s="514"/>
      <c r="I434" s="514"/>
      <c r="J434" s="514"/>
      <c r="K434" s="514"/>
      <c r="L434" s="514"/>
      <c r="M434" s="514"/>
      <c r="N434" s="514"/>
      <c r="O434" s="514"/>
      <c r="P434" s="514"/>
      <c r="Q434" s="514"/>
      <c r="R434" s="514"/>
      <c r="S434" s="514"/>
      <c r="T434" s="514"/>
      <c r="U434" s="354">
        <f>VLOOKUP(F434,Preisliste!C:F,4,FALSE)</f>
        <v>0</v>
      </c>
      <c r="V434" s="352">
        <f t="shared" ref="V434" si="203">U434*B434</f>
        <v>0</v>
      </c>
      <c r="W434" s="146"/>
      <c r="X434" s="146"/>
      <c r="Y434" s="86"/>
      <c r="Z434" s="86"/>
      <c r="AA434" s="86"/>
      <c r="AB434" s="86"/>
      <c r="AC434" s="86"/>
      <c r="AD434" s="86"/>
      <c r="AE434" s="86"/>
      <c r="AF434" s="86"/>
      <c r="AK434" s="86">
        <f>'STK3'!$C$150</f>
        <v>0</v>
      </c>
      <c r="AL434" s="86">
        <f>'STK3'!$B$150</f>
        <v>0</v>
      </c>
      <c r="CK434" s="245"/>
    </row>
    <row r="435" spans="2:89" ht="24.95" customHeight="1">
      <c r="B435" s="92">
        <f t="shared" si="201"/>
        <v>0</v>
      </c>
      <c r="C435" s="138">
        <f t="shared" si="202"/>
        <v>0</v>
      </c>
      <c r="D435" s="60"/>
      <c r="E435" s="60" t="str">
        <f>VLOOKUP(1600,Sprachindex!$A:$Z,Erhebungsbogen!$Y$20,FALSE)</f>
        <v>[Stk]</v>
      </c>
      <c r="F435" s="60" t="s">
        <v>21826</v>
      </c>
      <c r="G435" s="514" t="str">
        <f>VLOOKUP(2142,Sprachindex!$A:$Z,Erhebungsbogen!$Y$20,FALSE) &amp; ", " &amp; VLOOKUP(1648,Sprachindex!$A:$Z,Erhebungsbogen!$Y$20,FALSE)</f>
        <v>Rundprofil 80-Vario 30° Sonderlänge exkl. Dichtung, (Stangenware), blank</v>
      </c>
      <c r="H435" s="514"/>
      <c r="I435" s="514"/>
      <c r="J435" s="514"/>
      <c r="K435" s="514"/>
      <c r="L435" s="514"/>
      <c r="M435" s="514"/>
      <c r="N435" s="514"/>
      <c r="O435" s="514"/>
      <c r="P435" s="514"/>
      <c r="Q435" s="514"/>
      <c r="R435" s="514"/>
      <c r="S435" s="514"/>
      <c r="T435" s="514"/>
      <c r="U435" s="354">
        <f>VLOOKUP(F435,Preisliste!C:F,4,FALSE)</f>
        <v>0</v>
      </c>
      <c r="V435" s="352">
        <f t="shared" ref="V435" si="204">U435*B435</f>
        <v>0</v>
      </c>
      <c r="W435" s="146"/>
      <c r="X435" s="146"/>
      <c r="Y435" s="86"/>
      <c r="Z435" s="86"/>
      <c r="AA435" s="86"/>
      <c r="AB435" s="86"/>
      <c r="AC435" s="86"/>
      <c r="AD435" s="86"/>
      <c r="AE435" s="86"/>
      <c r="AF435" s="86"/>
      <c r="AK435" s="86">
        <f>'STK4'!$C$150</f>
        <v>0</v>
      </c>
      <c r="AL435" s="86">
        <f>'STK4'!$B$150</f>
        <v>0</v>
      </c>
      <c r="CK435" s="245"/>
    </row>
    <row r="436" spans="2:89" ht="24.95" customHeight="1">
      <c r="B436" s="92">
        <f t="shared" si="201"/>
        <v>0</v>
      </c>
      <c r="C436" s="138">
        <f t="shared" si="202"/>
        <v>0</v>
      </c>
      <c r="D436" s="60"/>
      <c r="E436" s="60" t="str">
        <f>VLOOKUP(1600,Sprachindex!$A:$Z,Erhebungsbogen!$Y$20,FALSE)</f>
        <v>[Stk]</v>
      </c>
      <c r="F436" s="60" t="s">
        <v>21826</v>
      </c>
      <c r="G436" s="514" t="str">
        <f>VLOOKUP(2142,Sprachindex!$A:$Z,Erhebungsbogen!$Y$20,FALSE) &amp; ", " &amp; VLOOKUP(1648,Sprachindex!$A:$Z,Erhebungsbogen!$Y$20,FALSE)</f>
        <v>Rundprofil 80-Vario 30° Sonderlänge exkl. Dichtung, (Stangenware), blank</v>
      </c>
      <c r="H436" s="514"/>
      <c r="I436" s="514"/>
      <c r="J436" s="514"/>
      <c r="K436" s="514"/>
      <c r="L436" s="514"/>
      <c r="M436" s="514"/>
      <c r="N436" s="514"/>
      <c r="O436" s="514"/>
      <c r="P436" s="514"/>
      <c r="Q436" s="514"/>
      <c r="R436" s="514"/>
      <c r="S436" s="514"/>
      <c r="T436" s="514"/>
      <c r="U436" s="354">
        <f>VLOOKUP(F436,Preisliste!C:F,4,FALSE)</f>
        <v>0</v>
      </c>
      <c r="V436" s="352">
        <f t="shared" si="183"/>
        <v>0</v>
      </c>
      <c r="W436" s="146"/>
      <c r="X436" s="146"/>
      <c r="Y436" s="86"/>
      <c r="Z436" s="86"/>
      <c r="AA436" s="86"/>
      <c r="AB436" s="86"/>
      <c r="AC436" s="86"/>
      <c r="AD436" s="86"/>
      <c r="AE436" s="86"/>
      <c r="AF436" s="86"/>
      <c r="AK436" s="86">
        <f>'STK5'!$C$150</f>
        <v>0</v>
      </c>
      <c r="AL436" s="86">
        <f>'STK5'!$B$150</f>
        <v>0</v>
      </c>
      <c r="CK436" s="245"/>
    </row>
    <row r="437" spans="2:89" ht="24.95" customHeight="1">
      <c r="B437" s="92">
        <f t="shared" si="201"/>
        <v>0</v>
      </c>
      <c r="C437" s="60">
        <v>750</v>
      </c>
      <c r="D437" s="60"/>
      <c r="E437" s="60" t="str">
        <f>VLOOKUP(1600,Sprachindex!$A:$Z,Erhebungsbogen!$Y$20,FALSE)</f>
        <v>[Stk]</v>
      </c>
      <c r="F437" s="60" t="s">
        <v>21993</v>
      </c>
      <c r="G437" s="514" t="str">
        <f>VLOOKUP(2143,Sprachindex!$A:$Z,Erhebungsbogen!$Y$20,FALSE) &amp; ", " &amp; VLOOKUP(1648,Sprachindex!$A:$Z,Erhebungsbogen!$Y$20,FALSE)</f>
        <v>Rundprofil 80-Vario 45° exkl. Dichtung, gebohrt und entgratet, blank</v>
      </c>
      <c r="H437" s="514"/>
      <c r="I437" s="514"/>
      <c r="J437" s="514"/>
      <c r="K437" s="514"/>
      <c r="L437" s="514"/>
      <c r="M437" s="514"/>
      <c r="N437" s="514"/>
      <c r="O437" s="514"/>
      <c r="P437" s="514"/>
      <c r="Q437" s="514"/>
      <c r="R437" s="514"/>
      <c r="S437" s="514"/>
      <c r="T437" s="514"/>
      <c r="U437" s="352">
        <f>VLOOKUP(F437,Preisliste!C:F,4,FALSE)</f>
        <v>628.54999999999995</v>
      </c>
      <c r="V437" s="352">
        <f t="shared" si="183"/>
        <v>0</v>
      </c>
      <c r="W437" s="146"/>
      <c r="X437" s="146"/>
      <c r="Y437" s="86"/>
      <c r="Z437" s="86"/>
      <c r="AA437" s="86"/>
      <c r="AB437" s="86"/>
      <c r="AC437" s="86"/>
      <c r="AD437" s="86"/>
      <c r="AE437" s="86"/>
      <c r="AF437" s="86"/>
      <c r="AG437" s="86">
        <f>'STK1'!$B151</f>
        <v>0</v>
      </c>
      <c r="AH437" s="86">
        <f>'STK2'!$B151</f>
        <v>0</v>
      </c>
      <c r="AI437" s="86">
        <f>'STK3'!$B151</f>
        <v>0</v>
      </c>
      <c r="AJ437" s="86">
        <f>'STK4'!$B151</f>
        <v>0</v>
      </c>
      <c r="AK437" s="86">
        <f>'STK5'!$B151</f>
        <v>0</v>
      </c>
      <c r="AL437" s="86">
        <f t="shared" ref="AL437" si="205">SUM(AG437:AK437)</f>
        <v>0</v>
      </c>
    </row>
    <row r="438" spans="2:89" ht="24.95" customHeight="1">
      <c r="B438" s="92">
        <f t="shared" si="201"/>
        <v>0</v>
      </c>
      <c r="C438" s="60">
        <v>1350</v>
      </c>
      <c r="D438" s="60"/>
      <c r="E438" s="60" t="str">
        <f>VLOOKUP(1600,Sprachindex!$A:$Z,Erhebungsbogen!$Y$20,FALSE)</f>
        <v>[Stk]</v>
      </c>
      <c r="F438" s="60" t="s">
        <v>21994</v>
      </c>
      <c r="G438" s="514" t="str">
        <f>VLOOKUP(2143,Sprachindex!$A:$Z,Erhebungsbogen!$Y$20,FALSE) &amp; ", " &amp; VLOOKUP(1648,Sprachindex!$A:$Z,Erhebungsbogen!$Y$20,FALSE)</f>
        <v>Rundprofil 80-Vario 45° exkl. Dichtung, gebohrt und entgratet, blank</v>
      </c>
      <c r="H438" s="514"/>
      <c r="I438" s="514"/>
      <c r="J438" s="514"/>
      <c r="K438" s="514"/>
      <c r="L438" s="514"/>
      <c r="M438" s="514"/>
      <c r="N438" s="514"/>
      <c r="O438" s="514"/>
      <c r="P438" s="514"/>
      <c r="Q438" s="514"/>
      <c r="R438" s="514"/>
      <c r="S438" s="514"/>
      <c r="T438" s="514"/>
      <c r="U438" s="352">
        <f>VLOOKUP(F438,Preisliste!C:F,4,FALSE)</f>
        <v>814.15</v>
      </c>
      <c r="V438" s="352">
        <f t="shared" si="183"/>
        <v>0</v>
      </c>
      <c r="W438" s="146"/>
      <c r="X438" s="146"/>
      <c r="Y438" s="86"/>
      <c r="Z438" s="86"/>
      <c r="AA438" s="86"/>
      <c r="AB438" s="86"/>
      <c r="AC438" s="86"/>
      <c r="AD438" s="86"/>
      <c r="AE438" s="86"/>
      <c r="AF438" s="86"/>
      <c r="AG438" s="86">
        <f>'STK1'!$B152</f>
        <v>0</v>
      </c>
      <c r="AH438" s="86">
        <f>'STK2'!$B152</f>
        <v>0</v>
      </c>
      <c r="AI438" s="86">
        <f>'STK3'!$B152</f>
        <v>0</v>
      </c>
      <c r="AJ438" s="86">
        <f>'STK4'!$B152</f>
        <v>0</v>
      </c>
      <c r="AK438" s="86">
        <f>'STK5'!$B152</f>
        <v>0</v>
      </c>
      <c r="AL438" s="86">
        <f t="shared" ref="AL438:AL440" si="206">SUM(AG438:AK438)</f>
        <v>0</v>
      </c>
    </row>
    <row r="439" spans="2:89" ht="24.95" customHeight="1">
      <c r="B439" s="92">
        <f t="shared" si="201"/>
        <v>0</v>
      </c>
      <c r="C439" s="60">
        <v>1750</v>
      </c>
      <c r="D439" s="60"/>
      <c r="E439" s="60" t="str">
        <f>VLOOKUP(1600,Sprachindex!$A:$Z,Erhebungsbogen!$Y$20,FALSE)</f>
        <v>[Stk]</v>
      </c>
      <c r="F439" s="60" t="s">
        <v>21995</v>
      </c>
      <c r="G439" s="514" t="str">
        <f>VLOOKUP(2143,Sprachindex!$A:$Z,Erhebungsbogen!$Y$20,FALSE) &amp; ", " &amp; VLOOKUP(1648,Sprachindex!$A:$Z,Erhebungsbogen!$Y$20,FALSE)</f>
        <v>Rundprofil 80-Vario 45° exkl. Dichtung, gebohrt und entgratet, blank</v>
      </c>
      <c r="H439" s="514"/>
      <c r="I439" s="514"/>
      <c r="J439" s="514"/>
      <c r="K439" s="514"/>
      <c r="L439" s="514"/>
      <c r="M439" s="514"/>
      <c r="N439" s="514"/>
      <c r="O439" s="514"/>
      <c r="P439" s="514"/>
      <c r="Q439" s="514"/>
      <c r="R439" s="514"/>
      <c r="S439" s="514"/>
      <c r="T439" s="514"/>
      <c r="U439" s="352">
        <f>VLOOKUP(F439,Preisliste!C:F,4,FALSE)</f>
        <v>937.8</v>
      </c>
      <c r="V439" s="352">
        <f t="shared" si="183"/>
        <v>0</v>
      </c>
      <c r="W439" s="146"/>
      <c r="X439" s="146"/>
      <c r="Y439" s="86"/>
      <c r="Z439" s="86"/>
      <c r="AA439" s="86"/>
      <c r="AB439" s="86"/>
      <c r="AC439" s="86"/>
      <c r="AD439" s="86"/>
      <c r="AE439" s="86"/>
      <c r="AF439" s="86"/>
      <c r="AG439" s="86">
        <f>'STK1'!$B153</f>
        <v>0</v>
      </c>
      <c r="AH439" s="86">
        <f>'STK2'!$B153</f>
        <v>0</v>
      </c>
      <c r="AI439" s="86">
        <f>'STK3'!$B153</f>
        <v>0</v>
      </c>
      <c r="AJ439" s="86">
        <f>'STK4'!$B153</f>
        <v>0</v>
      </c>
      <c r="AK439" s="86">
        <f>'STK5'!$B153</f>
        <v>0</v>
      </c>
      <c r="AL439" s="86">
        <f t="shared" si="206"/>
        <v>0</v>
      </c>
    </row>
    <row r="440" spans="2:89" ht="24.95" customHeight="1">
      <c r="B440" s="92">
        <f t="shared" si="201"/>
        <v>0</v>
      </c>
      <c r="C440" s="60">
        <v>2150</v>
      </c>
      <c r="D440" s="60"/>
      <c r="E440" s="60" t="str">
        <f>VLOOKUP(1600,Sprachindex!$A:$Z,Erhebungsbogen!$Y$20,FALSE)</f>
        <v>[Stk]</v>
      </c>
      <c r="F440" s="60" t="s">
        <v>21996</v>
      </c>
      <c r="G440" s="514" t="str">
        <f>VLOOKUP(2143,Sprachindex!$A:$Z,Erhebungsbogen!$Y$20,FALSE) &amp; ", " &amp; VLOOKUP(1648,Sprachindex!$A:$Z,Erhebungsbogen!$Y$20,FALSE)</f>
        <v>Rundprofil 80-Vario 45° exkl. Dichtung, gebohrt und entgratet, blank</v>
      </c>
      <c r="H440" s="514"/>
      <c r="I440" s="514"/>
      <c r="J440" s="514"/>
      <c r="K440" s="514"/>
      <c r="L440" s="514"/>
      <c r="M440" s="514"/>
      <c r="N440" s="514"/>
      <c r="O440" s="514"/>
      <c r="P440" s="514"/>
      <c r="Q440" s="514"/>
      <c r="R440" s="514"/>
      <c r="S440" s="514"/>
      <c r="T440" s="514"/>
      <c r="U440" s="352">
        <f>VLOOKUP(F440,Preisliste!C:F,4,FALSE)</f>
        <v>1061.5</v>
      </c>
      <c r="V440" s="352">
        <f t="shared" si="183"/>
        <v>0</v>
      </c>
      <c r="W440" s="146"/>
      <c r="X440" s="146"/>
      <c r="Y440" s="86"/>
      <c r="Z440" s="86"/>
      <c r="AA440" s="86"/>
      <c r="AB440" s="86"/>
      <c r="AC440" s="86"/>
      <c r="AD440" s="86"/>
      <c r="AE440" s="86"/>
      <c r="AF440" s="86"/>
      <c r="AG440" s="86">
        <f>'STK1'!$B154</f>
        <v>0</v>
      </c>
      <c r="AH440" s="86">
        <f>'STK2'!$B154</f>
        <v>0</v>
      </c>
      <c r="AI440" s="86">
        <f>'STK3'!$B154</f>
        <v>0</v>
      </c>
      <c r="AJ440" s="86">
        <f>'STK4'!$B154</f>
        <v>0</v>
      </c>
      <c r="AK440" s="86">
        <f>'STK5'!$B154</f>
        <v>0</v>
      </c>
      <c r="AL440" s="86">
        <f t="shared" si="206"/>
        <v>0</v>
      </c>
    </row>
    <row r="441" spans="2:89" ht="24.95" customHeight="1">
      <c r="B441" s="92">
        <f t="shared" si="201"/>
        <v>0</v>
      </c>
      <c r="C441" s="138">
        <f>AK441</f>
        <v>0</v>
      </c>
      <c r="D441" s="60"/>
      <c r="E441" s="60" t="str">
        <f>VLOOKUP(1600,Sprachindex!$A:$Z,Erhebungsbogen!$Y$20,FALSE)</f>
        <v>[Stk]</v>
      </c>
      <c r="F441" s="60" t="s">
        <v>21826</v>
      </c>
      <c r="G441" s="514" t="str">
        <f>VLOOKUP(2144,Sprachindex!$A:$Z,Erhebungsbogen!$Y$20,FALSE) &amp; ", " &amp; VLOOKUP(1648,Sprachindex!$A:$Z,Erhebungsbogen!$Y$20,FALSE)</f>
        <v>Rundprofil 80-Vario 45° Sonderlänge exkl. Dichtung, (Stangenware), blank</v>
      </c>
      <c r="H441" s="514"/>
      <c r="I441" s="514"/>
      <c r="J441" s="514"/>
      <c r="K441" s="514"/>
      <c r="L441" s="514"/>
      <c r="M441" s="514"/>
      <c r="N441" s="514"/>
      <c r="O441" s="514"/>
      <c r="P441" s="514"/>
      <c r="Q441" s="514"/>
      <c r="R441" s="514"/>
      <c r="S441" s="514"/>
      <c r="T441" s="514"/>
      <c r="U441" s="354">
        <f>VLOOKUP(F441,Preisliste!C:F,4,FALSE)</f>
        <v>0</v>
      </c>
      <c r="V441" s="352">
        <f t="shared" si="183"/>
        <v>0</v>
      </c>
      <c r="W441" s="146"/>
      <c r="X441" s="146"/>
      <c r="Y441" s="86"/>
      <c r="Z441" s="86"/>
      <c r="AA441" s="86"/>
      <c r="AB441" s="86"/>
      <c r="AC441" s="86"/>
      <c r="AD441" s="86"/>
      <c r="AE441" s="86"/>
      <c r="AF441" s="86"/>
      <c r="AK441" s="86">
        <f>'STK1'!$C$155</f>
        <v>0</v>
      </c>
      <c r="AL441" s="86">
        <f>'STK1'!$B$155</f>
        <v>0</v>
      </c>
      <c r="CK441" s="245"/>
    </row>
    <row r="442" spans="2:89" ht="24.95" customHeight="1">
      <c r="B442" s="92">
        <f t="shared" si="201"/>
        <v>0</v>
      </c>
      <c r="C442" s="138">
        <f t="shared" ref="C442:C445" si="207">AK442</f>
        <v>0</v>
      </c>
      <c r="D442" s="60"/>
      <c r="E442" s="60" t="str">
        <f>VLOOKUP(1600,Sprachindex!$A:$Z,Erhebungsbogen!$Y$20,FALSE)</f>
        <v>[Stk]</v>
      </c>
      <c r="F442" s="60" t="s">
        <v>21826</v>
      </c>
      <c r="G442" s="514" t="str">
        <f>VLOOKUP(2144,Sprachindex!$A:$Z,Erhebungsbogen!$Y$20,FALSE) &amp; ", " &amp; VLOOKUP(1648,Sprachindex!$A:$Z,Erhebungsbogen!$Y$20,FALSE)</f>
        <v>Rundprofil 80-Vario 45° Sonderlänge exkl. Dichtung, (Stangenware), blank</v>
      </c>
      <c r="H442" s="514"/>
      <c r="I442" s="514"/>
      <c r="J442" s="514"/>
      <c r="K442" s="514"/>
      <c r="L442" s="514"/>
      <c r="M442" s="514"/>
      <c r="N442" s="514"/>
      <c r="O442" s="514"/>
      <c r="P442" s="514"/>
      <c r="Q442" s="514"/>
      <c r="R442" s="514"/>
      <c r="S442" s="514"/>
      <c r="T442" s="514"/>
      <c r="U442" s="354">
        <f>VLOOKUP(F442,Preisliste!C:F,4,FALSE)</f>
        <v>0</v>
      </c>
      <c r="V442" s="352">
        <f t="shared" si="183"/>
        <v>0</v>
      </c>
      <c r="W442" s="146"/>
      <c r="X442" s="146"/>
      <c r="Y442" s="86"/>
      <c r="Z442" s="86"/>
      <c r="AA442" s="86"/>
      <c r="AB442" s="86"/>
      <c r="AC442" s="86"/>
      <c r="AD442" s="86"/>
      <c r="AE442" s="86"/>
      <c r="AF442" s="86"/>
      <c r="AK442" s="86">
        <f>'STK2'!$C$155</f>
        <v>0</v>
      </c>
      <c r="AL442" s="86">
        <f>'STK2'!$B$155</f>
        <v>0</v>
      </c>
      <c r="CK442" s="245"/>
    </row>
    <row r="443" spans="2:89" ht="24.95" customHeight="1">
      <c r="B443" s="92">
        <f t="shared" si="201"/>
        <v>0</v>
      </c>
      <c r="C443" s="138">
        <f t="shared" si="207"/>
        <v>0</v>
      </c>
      <c r="D443" s="60"/>
      <c r="E443" s="60" t="str">
        <f>VLOOKUP(1600,Sprachindex!$A:$Z,Erhebungsbogen!$Y$20,FALSE)</f>
        <v>[Stk]</v>
      </c>
      <c r="F443" s="60" t="s">
        <v>21826</v>
      </c>
      <c r="G443" s="514" t="str">
        <f>VLOOKUP(2144,Sprachindex!$A:$Z,Erhebungsbogen!$Y$20,FALSE) &amp; ", " &amp; VLOOKUP(1648,Sprachindex!$A:$Z,Erhebungsbogen!$Y$20,FALSE)</f>
        <v>Rundprofil 80-Vario 45° Sonderlänge exkl. Dichtung, (Stangenware), blank</v>
      </c>
      <c r="H443" s="514"/>
      <c r="I443" s="514"/>
      <c r="J443" s="514"/>
      <c r="K443" s="514"/>
      <c r="L443" s="514"/>
      <c r="M443" s="514"/>
      <c r="N443" s="514"/>
      <c r="O443" s="514"/>
      <c r="P443" s="514"/>
      <c r="Q443" s="514"/>
      <c r="R443" s="514"/>
      <c r="S443" s="514"/>
      <c r="T443" s="514"/>
      <c r="U443" s="354">
        <f>VLOOKUP(F443,Preisliste!C:F,4,FALSE)</f>
        <v>0</v>
      </c>
      <c r="V443" s="352">
        <f t="shared" ref="V443" si="208">U443*B443</f>
        <v>0</v>
      </c>
      <c r="W443" s="146"/>
      <c r="X443" s="146"/>
      <c r="Y443" s="86"/>
      <c r="Z443" s="86"/>
      <c r="AA443" s="86"/>
      <c r="AB443" s="86"/>
      <c r="AC443" s="86"/>
      <c r="AD443" s="86"/>
      <c r="AE443" s="86"/>
      <c r="AF443" s="86"/>
      <c r="AK443" s="86">
        <f>'STK3'!$C$155</f>
        <v>0</v>
      </c>
      <c r="AL443" s="86">
        <f>'STK3'!$B$155</f>
        <v>0</v>
      </c>
      <c r="CK443" s="245"/>
    </row>
    <row r="444" spans="2:89" ht="24.95" customHeight="1">
      <c r="B444" s="92">
        <f t="shared" si="201"/>
        <v>0</v>
      </c>
      <c r="C444" s="138">
        <f t="shared" si="207"/>
        <v>0</v>
      </c>
      <c r="D444" s="60"/>
      <c r="E444" s="60" t="str">
        <f>VLOOKUP(1600,Sprachindex!$A:$Z,Erhebungsbogen!$Y$20,FALSE)</f>
        <v>[Stk]</v>
      </c>
      <c r="F444" s="60" t="s">
        <v>21826</v>
      </c>
      <c r="G444" s="514" t="str">
        <f>VLOOKUP(2144,Sprachindex!$A:$Z,Erhebungsbogen!$Y$20,FALSE) &amp; ", " &amp; VLOOKUP(1648,Sprachindex!$A:$Z,Erhebungsbogen!$Y$20,FALSE)</f>
        <v>Rundprofil 80-Vario 45° Sonderlänge exkl. Dichtung, (Stangenware), blank</v>
      </c>
      <c r="H444" s="514"/>
      <c r="I444" s="514"/>
      <c r="J444" s="514"/>
      <c r="K444" s="514"/>
      <c r="L444" s="514"/>
      <c r="M444" s="514"/>
      <c r="N444" s="514"/>
      <c r="O444" s="514"/>
      <c r="P444" s="514"/>
      <c r="Q444" s="514"/>
      <c r="R444" s="514"/>
      <c r="S444" s="514"/>
      <c r="T444" s="514"/>
      <c r="U444" s="354">
        <f>VLOOKUP(F444,Preisliste!C:F,4,FALSE)</f>
        <v>0</v>
      </c>
      <c r="V444" s="352">
        <f t="shared" ref="V444" si="209">U444*B444</f>
        <v>0</v>
      </c>
      <c r="W444" s="146"/>
      <c r="X444" s="146"/>
      <c r="Y444" s="86"/>
      <c r="Z444" s="86"/>
      <c r="AA444" s="86"/>
      <c r="AB444" s="86"/>
      <c r="AC444" s="86"/>
      <c r="AD444" s="86"/>
      <c r="AE444" s="86"/>
      <c r="AF444" s="86"/>
      <c r="AK444" s="86">
        <f>'STK4'!$C$155</f>
        <v>0</v>
      </c>
      <c r="AL444" s="86">
        <f>'STK4'!$B$155</f>
        <v>0</v>
      </c>
      <c r="CK444" s="245"/>
    </row>
    <row r="445" spans="2:89" ht="24.95" customHeight="1">
      <c r="B445" s="92">
        <f t="shared" si="201"/>
        <v>0</v>
      </c>
      <c r="C445" s="138">
        <f t="shared" si="207"/>
        <v>0</v>
      </c>
      <c r="D445" s="60"/>
      <c r="E445" s="60" t="str">
        <f>VLOOKUP(1600,Sprachindex!$A:$Z,Erhebungsbogen!$Y$20,FALSE)</f>
        <v>[Stk]</v>
      </c>
      <c r="F445" s="60" t="s">
        <v>21826</v>
      </c>
      <c r="G445" s="514" t="str">
        <f>VLOOKUP(2144,Sprachindex!$A:$Z,Erhebungsbogen!$Y$20,FALSE) &amp; ", " &amp; VLOOKUP(1648,Sprachindex!$A:$Z,Erhebungsbogen!$Y$20,FALSE)</f>
        <v>Rundprofil 80-Vario 45° Sonderlänge exkl. Dichtung, (Stangenware), blank</v>
      </c>
      <c r="H445" s="514"/>
      <c r="I445" s="514"/>
      <c r="J445" s="514"/>
      <c r="K445" s="514"/>
      <c r="L445" s="514"/>
      <c r="M445" s="514"/>
      <c r="N445" s="514"/>
      <c r="O445" s="514"/>
      <c r="P445" s="514"/>
      <c r="Q445" s="514"/>
      <c r="R445" s="514"/>
      <c r="S445" s="514"/>
      <c r="T445" s="514"/>
      <c r="U445" s="354">
        <f>VLOOKUP(F445,Preisliste!C:F,4,FALSE)</f>
        <v>0</v>
      </c>
      <c r="V445" s="352">
        <f t="shared" si="183"/>
        <v>0</v>
      </c>
      <c r="W445" s="146"/>
      <c r="X445" s="146"/>
      <c r="Y445" s="86"/>
      <c r="Z445" s="86"/>
      <c r="AA445" s="86"/>
      <c r="AB445" s="86"/>
      <c r="AC445" s="86"/>
      <c r="AD445" s="86"/>
      <c r="AE445" s="86"/>
      <c r="AF445" s="86"/>
      <c r="AK445" s="86">
        <f>'STK5'!$C$155</f>
        <v>0</v>
      </c>
      <c r="AL445" s="86">
        <f>'STK5'!$B$155</f>
        <v>0</v>
      </c>
      <c r="CK445" s="245"/>
    </row>
    <row r="446" spans="2:89" ht="24.95" customHeight="1">
      <c r="B446" s="92">
        <f t="shared" si="201"/>
        <v>0</v>
      </c>
      <c r="C446" s="60">
        <v>750</v>
      </c>
      <c r="D446" s="60"/>
      <c r="E446" s="60" t="str">
        <f>VLOOKUP(1600,Sprachindex!$A:$Z,Erhebungsbogen!$Y$20,FALSE)</f>
        <v>[Stk]</v>
      </c>
      <c r="F446" s="60" t="s">
        <v>21997</v>
      </c>
      <c r="G446" s="517" t="str">
        <f>VLOOKUP(2145,Sprachindex!$A:$Z,Erhebungsbogen!$Y$20,FALSE) &amp; ", " &amp; VLOOKUP(1648,Sprachindex!$A:$Z,Erhebungsbogen!$Y$20,FALSE)</f>
        <v>Rundprofil 80-Vario 60° exkl. Dichtung, gebohrt und entgratet, blank</v>
      </c>
      <c r="H446" s="515"/>
      <c r="I446" s="515"/>
      <c r="J446" s="515"/>
      <c r="K446" s="515"/>
      <c r="L446" s="515"/>
      <c r="M446" s="515"/>
      <c r="N446" s="515"/>
      <c r="O446" s="515"/>
      <c r="P446" s="515"/>
      <c r="Q446" s="515"/>
      <c r="R446" s="515"/>
      <c r="S446" s="515"/>
      <c r="T446" s="516"/>
      <c r="U446" s="352">
        <f>VLOOKUP(F446,Preisliste!C:F,4,FALSE)</f>
        <v>628.54999999999995</v>
      </c>
      <c r="V446" s="352">
        <f t="shared" si="183"/>
        <v>0</v>
      </c>
      <c r="W446" s="146"/>
      <c r="X446" s="146"/>
      <c r="Y446" s="86"/>
      <c r="Z446" s="86"/>
      <c r="AA446" s="86"/>
      <c r="AB446" s="86"/>
      <c r="AC446" s="86"/>
      <c r="AD446" s="86"/>
      <c r="AE446" s="86"/>
      <c r="AF446" s="86"/>
      <c r="AG446" s="86">
        <f>'STK1'!$B156</f>
        <v>0</v>
      </c>
      <c r="AH446" s="86">
        <f>'STK2'!$B156</f>
        <v>0</v>
      </c>
      <c r="AI446" s="86">
        <f>'STK3'!$B156</f>
        <v>0</v>
      </c>
      <c r="AJ446" s="86">
        <f>'STK4'!$B156</f>
        <v>0</v>
      </c>
      <c r="AK446" s="86">
        <f>'STK5'!$B156</f>
        <v>0</v>
      </c>
      <c r="AL446" s="86">
        <f t="shared" ref="AL446" si="210">SUM(AG446:AK446)</f>
        <v>0</v>
      </c>
    </row>
    <row r="447" spans="2:89" ht="24.95" customHeight="1">
      <c r="B447" s="92">
        <f t="shared" si="201"/>
        <v>0</v>
      </c>
      <c r="C447" s="60">
        <v>1350</v>
      </c>
      <c r="D447" s="60"/>
      <c r="E447" s="60" t="str">
        <f>VLOOKUP(1600,Sprachindex!$A:$Z,Erhebungsbogen!$Y$20,FALSE)</f>
        <v>[Stk]</v>
      </c>
      <c r="F447" s="60" t="s">
        <v>21998</v>
      </c>
      <c r="G447" s="517" t="str">
        <f>VLOOKUP(2145,Sprachindex!$A:$Z,Erhebungsbogen!$Y$20,FALSE) &amp; ", " &amp; VLOOKUP(1648,Sprachindex!$A:$Z,Erhebungsbogen!$Y$20,FALSE)</f>
        <v>Rundprofil 80-Vario 60° exkl. Dichtung, gebohrt und entgratet, blank</v>
      </c>
      <c r="H447" s="515"/>
      <c r="I447" s="515"/>
      <c r="J447" s="515"/>
      <c r="K447" s="515"/>
      <c r="L447" s="515"/>
      <c r="M447" s="515"/>
      <c r="N447" s="515"/>
      <c r="O447" s="515"/>
      <c r="P447" s="515"/>
      <c r="Q447" s="515"/>
      <c r="R447" s="515"/>
      <c r="S447" s="515"/>
      <c r="T447" s="516"/>
      <c r="U447" s="352">
        <f>VLOOKUP(F447,Preisliste!C:F,4,FALSE)</f>
        <v>814.15</v>
      </c>
      <c r="V447" s="352">
        <f t="shared" si="183"/>
        <v>0</v>
      </c>
      <c r="W447" s="146"/>
      <c r="X447" s="146"/>
      <c r="Y447" s="86"/>
      <c r="Z447" s="86"/>
      <c r="AA447" s="86"/>
      <c r="AB447" s="86"/>
      <c r="AC447" s="86"/>
      <c r="AD447" s="86"/>
      <c r="AE447" s="86"/>
      <c r="AF447" s="86"/>
      <c r="AG447" s="86">
        <f>'STK1'!$B157</f>
        <v>0</v>
      </c>
      <c r="AH447" s="86">
        <f>'STK2'!$B157</f>
        <v>0</v>
      </c>
      <c r="AI447" s="86">
        <f>'STK3'!$B157</f>
        <v>0</v>
      </c>
      <c r="AJ447" s="86">
        <f>'STK4'!$B157</f>
        <v>0</v>
      </c>
      <c r="AK447" s="86">
        <f>'STK5'!$B157</f>
        <v>0</v>
      </c>
      <c r="AL447" s="86">
        <f t="shared" ref="AL447:AL449" si="211">SUM(AG447:AK447)</f>
        <v>0</v>
      </c>
    </row>
    <row r="448" spans="2:89" ht="24.95" customHeight="1">
      <c r="B448" s="92">
        <f t="shared" si="201"/>
        <v>0</v>
      </c>
      <c r="C448" s="60">
        <v>1750</v>
      </c>
      <c r="D448" s="60"/>
      <c r="E448" s="60" t="str">
        <f>VLOOKUP(1600,Sprachindex!$A:$Z,Erhebungsbogen!$Y$20,FALSE)</f>
        <v>[Stk]</v>
      </c>
      <c r="F448" s="60" t="s">
        <v>21999</v>
      </c>
      <c r="G448" s="517" t="str">
        <f>VLOOKUP(2145,Sprachindex!$A:$Z,Erhebungsbogen!$Y$20,FALSE) &amp; ", " &amp; VLOOKUP(1648,Sprachindex!$A:$Z,Erhebungsbogen!$Y$20,FALSE)</f>
        <v>Rundprofil 80-Vario 60° exkl. Dichtung, gebohrt und entgratet, blank</v>
      </c>
      <c r="H448" s="515"/>
      <c r="I448" s="515"/>
      <c r="J448" s="515"/>
      <c r="K448" s="515"/>
      <c r="L448" s="515"/>
      <c r="M448" s="515"/>
      <c r="N448" s="515"/>
      <c r="O448" s="515"/>
      <c r="P448" s="515"/>
      <c r="Q448" s="515"/>
      <c r="R448" s="515"/>
      <c r="S448" s="515"/>
      <c r="T448" s="516"/>
      <c r="U448" s="352">
        <f>VLOOKUP(F448,Preisliste!C:F,4,FALSE)</f>
        <v>937.8</v>
      </c>
      <c r="V448" s="352">
        <f t="shared" si="183"/>
        <v>0</v>
      </c>
      <c r="W448" s="146"/>
      <c r="X448" s="146"/>
      <c r="Y448" s="86"/>
      <c r="Z448" s="86"/>
      <c r="AA448" s="86"/>
      <c r="AB448" s="86"/>
      <c r="AC448" s="86"/>
      <c r="AD448" s="86"/>
      <c r="AE448" s="86"/>
      <c r="AF448" s="86"/>
      <c r="AG448" s="86">
        <f>'STK1'!$B158</f>
        <v>0</v>
      </c>
      <c r="AH448" s="86">
        <f>'STK2'!$B158</f>
        <v>0</v>
      </c>
      <c r="AI448" s="86">
        <f>'STK3'!$B158</f>
        <v>0</v>
      </c>
      <c r="AJ448" s="86">
        <f>'STK4'!$B158</f>
        <v>0</v>
      </c>
      <c r="AK448" s="86">
        <f>'STK5'!$B158</f>
        <v>0</v>
      </c>
      <c r="AL448" s="86">
        <f t="shared" si="211"/>
        <v>0</v>
      </c>
      <c r="BC448" s="84"/>
    </row>
    <row r="449" spans="2:89" ht="24.95" customHeight="1">
      <c r="B449" s="92">
        <f t="shared" si="201"/>
        <v>0</v>
      </c>
      <c r="C449" s="60">
        <v>2150</v>
      </c>
      <c r="D449" s="60"/>
      <c r="E449" s="60" t="str">
        <f>VLOOKUP(1600,Sprachindex!$A:$Z,Erhebungsbogen!$Y$20,FALSE)</f>
        <v>[Stk]</v>
      </c>
      <c r="F449" s="60" t="s">
        <v>22000</v>
      </c>
      <c r="G449" s="517" t="str">
        <f>VLOOKUP(2145,Sprachindex!$A:$Z,Erhebungsbogen!$Y$20,FALSE) &amp; ", " &amp; VLOOKUP(1648,Sprachindex!$A:$Z,Erhebungsbogen!$Y$20,FALSE)</f>
        <v>Rundprofil 80-Vario 60° exkl. Dichtung, gebohrt und entgratet, blank</v>
      </c>
      <c r="H449" s="515"/>
      <c r="I449" s="515"/>
      <c r="J449" s="515"/>
      <c r="K449" s="515"/>
      <c r="L449" s="515"/>
      <c r="M449" s="515"/>
      <c r="N449" s="515"/>
      <c r="O449" s="515"/>
      <c r="P449" s="515"/>
      <c r="Q449" s="515"/>
      <c r="R449" s="515"/>
      <c r="S449" s="515"/>
      <c r="T449" s="516"/>
      <c r="U449" s="352">
        <f>VLOOKUP(F449,Preisliste!C:F,4,FALSE)</f>
        <v>1061.5</v>
      </c>
      <c r="V449" s="352">
        <f t="shared" si="183"/>
        <v>0</v>
      </c>
      <c r="W449" s="146"/>
      <c r="X449" s="146"/>
      <c r="Y449" s="86"/>
      <c r="Z449" s="86"/>
      <c r="AA449" s="86"/>
      <c r="AB449" s="86"/>
      <c r="AC449" s="86"/>
      <c r="AD449" s="86"/>
      <c r="AE449" s="86"/>
      <c r="AF449" s="86"/>
      <c r="AG449" s="86">
        <f>'STK1'!$B159</f>
        <v>0</v>
      </c>
      <c r="AH449" s="86">
        <f>'STK2'!$B159</f>
        <v>0</v>
      </c>
      <c r="AI449" s="86">
        <f>'STK3'!$B159</f>
        <v>0</v>
      </c>
      <c r="AJ449" s="86">
        <f>'STK4'!$B159</f>
        <v>0</v>
      </c>
      <c r="AK449" s="86">
        <f>'STK5'!$B159</f>
        <v>0</v>
      </c>
      <c r="AL449" s="86">
        <f t="shared" si="211"/>
        <v>0</v>
      </c>
      <c r="BC449" s="84"/>
    </row>
    <row r="450" spans="2:89" ht="24.95" customHeight="1">
      <c r="B450" s="92">
        <f t="shared" si="201"/>
        <v>0</v>
      </c>
      <c r="C450" s="138">
        <f>AK450</f>
        <v>0</v>
      </c>
      <c r="D450" s="60"/>
      <c r="E450" s="60" t="str">
        <f>VLOOKUP(1600,Sprachindex!$A:$Z,Erhebungsbogen!$Y$20,FALSE)</f>
        <v>[Stk]</v>
      </c>
      <c r="F450" s="60" t="s">
        <v>21826</v>
      </c>
      <c r="G450" s="517" t="str">
        <f>VLOOKUP(2146,Sprachindex!$A:$Z,Erhebungsbogen!$Y$20,FALSE) &amp; ", " &amp; VLOOKUP(1648,Sprachindex!$A:$Z,Erhebungsbogen!$Y$20,FALSE)</f>
        <v>Rundprofil 80-Vario 60° Sonderlänge exkl. Dichtung, (Stangenware), blank</v>
      </c>
      <c r="H450" s="515"/>
      <c r="I450" s="515"/>
      <c r="J450" s="515"/>
      <c r="K450" s="515"/>
      <c r="L450" s="515"/>
      <c r="M450" s="515"/>
      <c r="N450" s="515"/>
      <c r="O450" s="515"/>
      <c r="P450" s="515"/>
      <c r="Q450" s="515"/>
      <c r="R450" s="515"/>
      <c r="S450" s="515"/>
      <c r="T450" s="516"/>
      <c r="U450" s="354">
        <f>VLOOKUP(F450,Preisliste!C:F,4,FALSE)</f>
        <v>0</v>
      </c>
      <c r="V450" s="352">
        <f t="shared" si="183"/>
        <v>0</v>
      </c>
      <c r="W450" s="146"/>
      <c r="X450" s="146"/>
      <c r="Y450" s="86"/>
      <c r="Z450" s="86"/>
      <c r="AA450" s="86"/>
      <c r="AB450" s="86"/>
      <c r="AC450" s="86"/>
      <c r="AD450" s="86"/>
      <c r="AE450" s="86"/>
      <c r="AF450" s="86"/>
      <c r="AK450" s="86">
        <f>'STK1'!$C$160</f>
        <v>0</v>
      </c>
      <c r="AL450" s="86">
        <f>'STK1'!$B$160</f>
        <v>0</v>
      </c>
      <c r="CK450" s="245"/>
    </row>
    <row r="451" spans="2:89" ht="24.95" customHeight="1">
      <c r="B451" s="92">
        <f t="shared" si="201"/>
        <v>0</v>
      </c>
      <c r="C451" s="138">
        <f t="shared" ref="C451:C454" si="212">AK451</f>
        <v>0</v>
      </c>
      <c r="D451" s="60"/>
      <c r="E451" s="60" t="str">
        <f>VLOOKUP(1600,Sprachindex!$A:$Z,Erhebungsbogen!$Y$20,FALSE)</f>
        <v>[Stk]</v>
      </c>
      <c r="F451" s="60" t="s">
        <v>21826</v>
      </c>
      <c r="G451" s="517" t="str">
        <f>VLOOKUP(2146,Sprachindex!$A:$Z,Erhebungsbogen!$Y$20,FALSE) &amp; ", " &amp; VLOOKUP(1648,Sprachindex!$A:$Z,Erhebungsbogen!$Y$20,FALSE)</f>
        <v>Rundprofil 80-Vario 60° Sonderlänge exkl. Dichtung, (Stangenware), blank</v>
      </c>
      <c r="H451" s="515"/>
      <c r="I451" s="515"/>
      <c r="J451" s="515"/>
      <c r="K451" s="515"/>
      <c r="L451" s="515"/>
      <c r="M451" s="515"/>
      <c r="N451" s="515"/>
      <c r="O451" s="515"/>
      <c r="P451" s="515"/>
      <c r="Q451" s="515"/>
      <c r="R451" s="515"/>
      <c r="S451" s="515"/>
      <c r="T451" s="516"/>
      <c r="U451" s="354">
        <f>VLOOKUP(F451,Preisliste!C:F,4,FALSE)</f>
        <v>0</v>
      </c>
      <c r="V451" s="352">
        <f t="shared" si="183"/>
        <v>0</v>
      </c>
      <c r="W451" s="146"/>
      <c r="X451" s="146"/>
      <c r="Y451" s="86"/>
      <c r="Z451" s="86"/>
      <c r="AA451" s="86"/>
      <c r="AB451" s="86"/>
      <c r="AC451" s="86"/>
      <c r="AD451" s="86"/>
      <c r="AE451" s="86"/>
      <c r="AF451" s="86"/>
      <c r="AK451" s="86">
        <f>'STK2'!$C$160</f>
        <v>0</v>
      </c>
      <c r="AL451" s="86">
        <f>'STK2'!$B$160</f>
        <v>0</v>
      </c>
      <c r="CK451" s="245"/>
    </row>
    <row r="452" spans="2:89" ht="24.95" customHeight="1">
      <c r="B452" s="92">
        <f t="shared" si="201"/>
        <v>0</v>
      </c>
      <c r="C452" s="138">
        <f t="shared" si="212"/>
        <v>0</v>
      </c>
      <c r="D452" s="60"/>
      <c r="E452" s="60" t="str">
        <f>VLOOKUP(1600,Sprachindex!$A:$Z,Erhebungsbogen!$Y$20,FALSE)</f>
        <v>[Stk]</v>
      </c>
      <c r="F452" s="60" t="s">
        <v>21826</v>
      </c>
      <c r="G452" s="517" t="str">
        <f>VLOOKUP(2146,Sprachindex!$A:$Z,Erhebungsbogen!$Y$20,FALSE) &amp; ", " &amp; VLOOKUP(1648,Sprachindex!$A:$Z,Erhebungsbogen!$Y$20,FALSE)</f>
        <v>Rundprofil 80-Vario 60° Sonderlänge exkl. Dichtung, (Stangenware), blank</v>
      </c>
      <c r="H452" s="515"/>
      <c r="I452" s="515"/>
      <c r="J452" s="515"/>
      <c r="K452" s="515"/>
      <c r="L452" s="515"/>
      <c r="M452" s="515"/>
      <c r="N452" s="515"/>
      <c r="O452" s="515"/>
      <c r="P452" s="515"/>
      <c r="Q452" s="515"/>
      <c r="R452" s="515"/>
      <c r="S452" s="515"/>
      <c r="T452" s="516"/>
      <c r="U452" s="354">
        <f>VLOOKUP(F452,Preisliste!C:F,4,FALSE)</f>
        <v>0</v>
      </c>
      <c r="V452" s="352">
        <f t="shared" ref="V452" si="213">U452*B452</f>
        <v>0</v>
      </c>
      <c r="W452" s="146"/>
      <c r="X452" s="146"/>
      <c r="Y452" s="86"/>
      <c r="Z452" s="86"/>
      <c r="AA452" s="86"/>
      <c r="AB452" s="86"/>
      <c r="AC452" s="86"/>
      <c r="AD452" s="86"/>
      <c r="AE452" s="86"/>
      <c r="AF452" s="86"/>
      <c r="AK452" s="86">
        <f>'STK3'!$C$160</f>
        <v>0</v>
      </c>
      <c r="AL452" s="86">
        <f>'STK3'!$B$160</f>
        <v>0</v>
      </c>
      <c r="CK452" s="245"/>
    </row>
    <row r="453" spans="2:89" ht="24.95" customHeight="1">
      <c r="B453" s="92">
        <f t="shared" si="201"/>
        <v>0</v>
      </c>
      <c r="C453" s="138">
        <f t="shared" si="212"/>
        <v>0</v>
      </c>
      <c r="D453" s="60"/>
      <c r="E453" s="60" t="str">
        <f>VLOOKUP(1600,Sprachindex!$A:$Z,Erhebungsbogen!$Y$20,FALSE)</f>
        <v>[Stk]</v>
      </c>
      <c r="F453" s="60" t="s">
        <v>21826</v>
      </c>
      <c r="G453" s="517" t="str">
        <f>VLOOKUP(2146,Sprachindex!$A:$Z,Erhebungsbogen!$Y$20,FALSE) &amp; ", " &amp; VLOOKUP(1648,Sprachindex!$A:$Z,Erhebungsbogen!$Y$20,FALSE)</f>
        <v>Rundprofil 80-Vario 60° Sonderlänge exkl. Dichtung, (Stangenware), blank</v>
      </c>
      <c r="H453" s="515"/>
      <c r="I453" s="515"/>
      <c r="J453" s="515"/>
      <c r="K453" s="515"/>
      <c r="L453" s="515"/>
      <c r="M453" s="515"/>
      <c r="N453" s="515"/>
      <c r="O453" s="515"/>
      <c r="P453" s="515"/>
      <c r="Q453" s="515"/>
      <c r="R453" s="515"/>
      <c r="S453" s="515"/>
      <c r="T453" s="516"/>
      <c r="U453" s="354">
        <f>VLOOKUP(F453,Preisliste!C:F,4,FALSE)</f>
        <v>0</v>
      </c>
      <c r="V453" s="352">
        <f t="shared" ref="V453" si="214">U453*B453</f>
        <v>0</v>
      </c>
      <c r="W453" s="146"/>
      <c r="X453" s="146"/>
      <c r="Y453" s="86"/>
      <c r="Z453" s="86"/>
      <c r="AA453" s="86"/>
      <c r="AB453" s="86"/>
      <c r="AC453" s="86"/>
      <c r="AD453" s="86"/>
      <c r="AE453" s="86"/>
      <c r="AF453" s="86"/>
      <c r="AK453" s="86">
        <f>'STK4'!$C$160</f>
        <v>0</v>
      </c>
      <c r="AL453" s="86">
        <f>'STK4'!$B$160</f>
        <v>0</v>
      </c>
      <c r="CK453" s="245"/>
    </row>
    <row r="454" spans="2:89" ht="24.95" customHeight="1">
      <c r="B454" s="92">
        <f t="shared" si="201"/>
        <v>0</v>
      </c>
      <c r="C454" s="138">
        <f t="shared" si="212"/>
        <v>0</v>
      </c>
      <c r="D454" s="60"/>
      <c r="E454" s="60" t="str">
        <f>VLOOKUP(1600,Sprachindex!$A:$Z,Erhebungsbogen!$Y$20,FALSE)</f>
        <v>[Stk]</v>
      </c>
      <c r="F454" s="60" t="s">
        <v>21826</v>
      </c>
      <c r="G454" s="517" t="str">
        <f>VLOOKUP(2146,Sprachindex!$A:$Z,Erhebungsbogen!$Y$20,FALSE) &amp; ", " &amp; VLOOKUP(1648,Sprachindex!$A:$Z,Erhebungsbogen!$Y$20,FALSE)</f>
        <v>Rundprofil 80-Vario 60° Sonderlänge exkl. Dichtung, (Stangenware), blank</v>
      </c>
      <c r="H454" s="515"/>
      <c r="I454" s="515"/>
      <c r="J454" s="515"/>
      <c r="K454" s="515"/>
      <c r="L454" s="515"/>
      <c r="M454" s="515"/>
      <c r="N454" s="515"/>
      <c r="O454" s="515"/>
      <c r="P454" s="515"/>
      <c r="Q454" s="515"/>
      <c r="R454" s="515"/>
      <c r="S454" s="515"/>
      <c r="T454" s="516"/>
      <c r="U454" s="354">
        <f>VLOOKUP(F454,Preisliste!C:F,4,FALSE)</f>
        <v>0</v>
      </c>
      <c r="V454" s="352">
        <f t="shared" si="183"/>
        <v>0</v>
      </c>
      <c r="W454" s="146"/>
      <c r="X454" s="146"/>
      <c r="Y454" s="86"/>
      <c r="Z454" s="86"/>
      <c r="AA454" s="86"/>
      <c r="AB454" s="86"/>
      <c r="AC454" s="86"/>
      <c r="AD454" s="86"/>
      <c r="AE454" s="86"/>
      <c r="AF454" s="86"/>
      <c r="AK454" s="86">
        <f>'STK5'!$C$160</f>
        <v>0</v>
      </c>
      <c r="AL454" s="86">
        <f>'STK5'!$B$160</f>
        <v>0</v>
      </c>
      <c r="CK454" s="245"/>
    </row>
    <row r="455" spans="2:89" ht="24.95" customHeight="1">
      <c r="B455" s="92">
        <f t="shared" si="201"/>
        <v>0</v>
      </c>
      <c r="C455" s="60"/>
      <c r="D455" s="60"/>
      <c r="E455" s="60" t="str">
        <f>VLOOKUP(1600,Sprachindex!$A:$Z,Erhebungsbogen!$Y$20,FALSE)</f>
        <v>[Stk]</v>
      </c>
      <c r="F455" s="60" t="s">
        <v>21971</v>
      </c>
      <c r="G455" s="514" t="str">
        <f>VLOOKUP(1814,Sprachindex!$A:$Z,Erhebungsbogen!$Y$20,FALSE)</f>
        <v>Sicherungsschraube für Abdeckung</v>
      </c>
      <c r="H455" s="514"/>
      <c r="I455" s="514"/>
      <c r="J455" s="514"/>
      <c r="K455" s="514"/>
      <c r="L455" s="514"/>
      <c r="M455" s="514"/>
      <c r="N455" s="514"/>
      <c r="O455" s="514"/>
      <c r="P455" s="514"/>
      <c r="Q455" s="514"/>
      <c r="R455" s="514"/>
      <c r="S455" s="514"/>
      <c r="T455" s="514"/>
      <c r="U455" s="352">
        <f>VLOOKUP(F455,Preisliste!C:F,4,FALSE)</f>
        <v>15.9</v>
      </c>
      <c r="V455" s="352">
        <f t="shared" si="183"/>
        <v>0</v>
      </c>
      <c r="W455" s="146"/>
      <c r="X455" s="146"/>
      <c r="Y455" s="86"/>
      <c r="Z455" s="86"/>
      <c r="AA455" s="86"/>
      <c r="AB455" s="86"/>
      <c r="AC455" s="86"/>
      <c r="AD455" s="86"/>
      <c r="AE455" s="86"/>
      <c r="AF455" s="86"/>
      <c r="AG455" s="86">
        <f>'STK1'!$B161</f>
        <v>0</v>
      </c>
      <c r="AH455" s="86">
        <f>'STK2'!$B161</f>
        <v>0</v>
      </c>
      <c r="AI455" s="86">
        <f>'STK3'!$B161</f>
        <v>0</v>
      </c>
      <c r="AJ455" s="86">
        <f>'STK4'!$B161</f>
        <v>0</v>
      </c>
      <c r="AK455" s="86">
        <f>'STK5'!$B161</f>
        <v>0</v>
      </c>
      <c r="AL455" s="86">
        <f t="shared" ref="AL455" si="215">SUM(AG455:AK455)</f>
        <v>0</v>
      </c>
    </row>
    <row r="456" spans="2:89" ht="24.95" customHeight="1">
      <c r="B456" s="92">
        <f t="shared" si="201"/>
        <v>0</v>
      </c>
      <c r="C456" s="60"/>
      <c r="D456" s="60"/>
      <c r="E456" s="60" t="str">
        <f>VLOOKUP(1600,Sprachindex!$A:$Z,Erhebungsbogen!$Y$20,FALSE)</f>
        <v>[Stk]</v>
      </c>
      <c r="F456" s="60" t="s">
        <v>21942</v>
      </c>
      <c r="G456" s="514" t="str">
        <f>VLOOKUP(1817,Sprachindex!$A:$Z,Erhebungsbogen!$Y$20,FALSE)</f>
        <v>Spannstück mit 6-Kantschraube</v>
      </c>
      <c r="H456" s="514"/>
      <c r="I456" s="514"/>
      <c r="J456" s="514"/>
      <c r="K456" s="514"/>
      <c r="L456" s="514"/>
      <c r="M456" s="514"/>
      <c r="N456" s="514"/>
      <c r="O456" s="514"/>
      <c r="P456" s="514"/>
      <c r="Q456" s="514"/>
      <c r="R456" s="514"/>
      <c r="S456" s="514"/>
      <c r="T456" s="514"/>
      <c r="U456" s="352">
        <f>VLOOKUP(F456,Preisliste!C:F,4,FALSE)</f>
        <v>98.9</v>
      </c>
      <c r="V456" s="352">
        <f t="shared" si="183"/>
        <v>0</v>
      </c>
      <c r="W456" s="146"/>
      <c r="X456" s="146"/>
      <c r="Y456" s="86"/>
      <c r="Z456" s="86"/>
      <c r="AA456" s="86"/>
      <c r="AB456" s="86"/>
      <c r="AC456" s="86"/>
      <c r="AD456" s="86"/>
      <c r="AE456" s="86"/>
      <c r="AF456" s="86"/>
      <c r="AG456" s="86">
        <f>'STK1'!$B162</f>
        <v>0</v>
      </c>
      <c r="AH456" s="86">
        <f>'STK2'!$B162</f>
        <v>0</v>
      </c>
      <c r="AI456" s="86">
        <f>'STK3'!$B162</f>
        <v>0</v>
      </c>
      <c r="AJ456" s="86">
        <f>'STK4'!$B162</f>
        <v>0</v>
      </c>
      <c r="AK456" s="86">
        <f>'STK5'!$B162</f>
        <v>0</v>
      </c>
      <c r="AL456" s="86">
        <f t="shared" ref="AL456:AL459" si="216">SUM(AG456:AK456)</f>
        <v>0</v>
      </c>
    </row>
    <row r="457" spans="2:89" ht="24.95" customHeight="1">
      <c r="B457" s="92">
        <f t="shared" si="201"/>
        <v>0</v>
      </c>
      <c r="C457" s="60"/>
      <c r="D457" s="60"/>
      <c r="E457" s="60" t="str">
        <f>VLOOKUP(1600,Sprachindex!$A:$Z,Erhebungsbogen!$Y$20,FALSE)</f>
        <v>[Stk]</v>
      </c>
      <c r="F457" s="60" t="s">
        <v>21941</v>
      </c>
      <c r="G457" s="514" t="str">
        <f>VLOOKUP(1819,Sprachindex!$A:$Z,Erhebungsbogen!$Y$20,FALSE)</f>
        <v>Spannstück mit Sterngriff</v>
      </c>
      <c r="H457" s="514"/>
      <c r="I457" s="514"/>
      <c r="J457" s="514"/>
      <c r="K457" s="514"/>
      <c r="L457" s="514"/>
      <c r="M457" s="514"/>
      <c r="N457" s="514"/>
      <c r="O457" s="514"/>
      <c r="P457" s="514"/>
      <c r="Q457" s="514"/>
      <c r="R457" s="514"/>
      <c r="S457" s="514"/>
      <c r="T457" s="514"/>
      <c r="U457" s="352">
        <f>VLOOKUP(F457,Preisliste!C:F,4,FALSE)</f>
        <v>104.9</v>
      </c>
      <c r="V457" s="352">
        <f t="shared" si="183"/>
        <v>0</v>
      </c>
      <c r="W457" s="146"/>
      <c r="X457" s="146"/>
      <c r="Y457" s="86"/>
      <c r="Z457" s="86"/>
      <c r="AA457" s="86"/>
      <c r="AB457" s="86"/>
      <c r="AC457" s="86"/>
      <c r="AD457" s="86"/>
      <c r="AE457" s="86"/>
      <c r="AF457" s="86"/>
      <c r="AG457" s="86">
        <f>'STK1'!$B163</f>
        <v>0</v>
      </c>
      <c r="AH457" s="86">
        <f>'STK2'!$B163</f>
        <v>0</v>
      </c>
      <c r="AI457" s="86">
        <f>'STK3'!$B163</f>
        <v>0</v>
      </c>
      <c r="AJ457" s="86">
        <f>'STK4'!$B163</f>
        <v>0</v>
      </c>
      <c r="AK457" s="86">
        <f>'STK5'!$B163</f>
        <v>0</v>
      </c>
      <c r="AL457" s="86">
        <f t="shared" si="216"/>
        <v>0</v>
      </c>
    </row>
    <row r="458" spans="2:89" ht="24.95" customHeight="1">
      <c r="B458" s="92">
        <f t="shared" si="201"/>
        <v>0</v>
      </c>
      <c r="C458" s="60"/>
      <c r="D458" s="60"/>
      <c r="E458" s="60" t="str">
        <f>VLOOKUP(1600,Sprachindex!$A:$Z,Erhebungsbogen!$Y$20,FALSE)</f>
        <v>[Stk]</v>
      </c>
      <c r="F458" s="60" t="s">
        <v>21981</v>
      </c>
      <c r="G458" s="514" t="str">
        <f>VLOOKUP(2147,Sprachindex!$A:$Z,Erhebungsbogen!$Y$20,FALSE)</f>
        <v>Spannstück mit Sterngriff zum seitlich Einfädeln</v>
      </c>
      <c r="H458" s="514"/>
      <c r="I458" s="514"/>
      <c r="J458" s="514"/>
      <c r="K458" s="514"/>
      <c r="L458" s="514"/>
      <c r="M458" s="514"/>
      <c r="N458" s="514"/>
      <c r="O458" s="514"/>
      <c r="P458" s="514"/>
      <c r="Q458" s="514"/>
      <c r="R458" s="514"/>
      <c r="S458" s="514"/>
      <c r="T458" s="514"/>
      <c r="U458" s="352">
        <f>VLOOKUP(F458,Preisliste!C:F,4,FALSE)</f>
        <v>110.9</v>
      </c>
      <c r="V458" s="352">
        <f t="shared" si="183"/>
        <v>0</v>
      </c>
      <c r="W458" s="146"/>
      <c r="X458" s="146"/>
      <c r="Y458" s="86"/>
      <c r="Z458" s="86"/>
      <c r="AA458" s="86"/>
      <c r="AB458" s="86"/>
      <c r="AC458" s="86"/>
      <c r="AD458" s="86"/>
      <c r="AE458" s="86"/>
      <c r="AF458" s="86"/>
      <c r="AG458" s="86">
        <f>'STK1'!$B164</f>
        <v>0</v>
      </c>
      <c r="AH458" s="86">
        <f>'STK2'!$B164</f>
        <v>0</v>
      </c>
      <c r="AI458" s="86">
        <f>'STK3'!$B164</f>
        <v>0</v>
      </c>
      <c r="AJ458" s="86">
        <f>'STK4'!$B164</f>
        <v>0</v>
      </c>
      <c r="AK458" s="86">
        <f>'STK5'!$B164</f>
        <v>0</v>
      </c>
      <c r="AL458" s="86">
        <f t="shared" si="216"/>
        <v>0</v>
      </c>
    </row>
    <row r="459" spans="2:89" ht="24.95" customHeight="1">
      <c r="B459" s="92">
        <f t="shared" si="201"/>
        <v>0</v>
      </c>
      <c r="C459" s="60"/>
      <c r="D459" s="60"/>
      <c r="E459" s="60" t="str">
        <f>VLOOKUP(1600,Sprachindex!$A:$Z,Erhebungsbogen!$Y$20,FALSE)</f>
        <v>[Stk]</v>
      </c>
      <c r="F459" s="60" t="s">
        <v>21980</v>
      </c>
      <c r="G459" s="514" t="str">
        <f>VLOOKUP(2148,Sprachindex!$A:$Z,Erhebungsbogen!$Y$20,FALSE)</f>
        <v>Spannstück mit Sechskantschraube zum seitlichen Einfädeln</v>
      </c>
      <c r="H459" s="515"/>
      <c r="I459" s="515"/>
      <c r="J459" s="515"/>
      <c r="K459" s="515"/>
      <c r="L459" s="515"/>
      <c r="M459" s="515"/>
      <c r="N459" s="515"/>
      <c r="O459" s="515"/>
      <c r="P459" s="515"/>
      <c r="Q459" s="515"/>
      <c r="R459" s="515"/>
      <c r="S459" s="515"/>
      <c r="T459" s="516"/>
      <c r="U459" s="352">
        <f>VLOOKUP(F459,Preisliste!C:F,4,FALSE)</f>
        <v>106.9</v>
      </c>
      <c r="V459" s="352">
        <f t="shared" si="183"/>
        <v>0</v>
      </c>
      <c r="W459" s="146"/>
      <c r="X459" s="146"/>
      <c r="Y459" s="86"/>
      <c r="Z459" s="86"/>
      <c r="AA459" s="86"/>
      <c r="AB459" s="86"/>
      <c r="AC459" s="86"/>
      <c r="AD459" s="86"/>
      <c r="AE459" s="86"/>
      <c r="AF459" s="86"/>
      <c r="AG459" s="86">
        <f>'STK1'!$B165</f>
        <v>0</v>
      </c>
      <c r="AH459" s="86">
        <f>'STK2'!$B165</f>
        <v>0</v>
      </c>
      <c r="AI459" s="86">
        <f>'STK3'!$B165</f>
        <v>0</v>
      </c>
      <c r="AJ459" s="86">
        <f>'STK4'!$B165</f>
        <v>0</v>
      </c>
      <c r="AK459" s="86">
        <f>'STK5'!$B165</f>
        <v>0</v>
      </c>
      <c r="AL459" s="86">
        <f t="shared" si="216"/>
        <v>0</v>
      </c>
    </row>
    <row r="460" spans="2:89" ht="24.95" customHeight="1">
      <c r="B460" s="92">
        <f t="shared" si="201"/>
        <v>0</v>
      </c>
      <c r="C460" s="60">
        <v>750</v>
      </c>
      <c r="D460" s="60"/>
      <c r="E460" s="60" t="str">
        <f>VLOOKUP(1600,Sprachindex!$A:$Z,Erhebungsbogen!$Y$20,FALSE)</f>
        <v>[Stk]</v>
      </c>
      <c r="F460" s="60" t="s">
        <v>21881</v>
      </c>
      <c r="G460" s="514" t="str">
        <f>VLOOKUP(2149,Sprachindex!$A:$Z,Erhebungsbogen!$Y$20,FALSE) &amp; ", " &amp; VLOOKUP(1648,Sprachindex!$A:$Z,Erhebungsbogen!$Y$20,FALSE)</f>
        <v>U-Profil 25 (in der Laibung) exkl. Dichtung, gebohrt und entgratet, blank</v>
      </c>
      <c r="H460" s="515"/>
      <c r="I460" s="515"/>
      <c r="J460" s="515"/>
      <c r="K460" s="515"/>
      <c r="L460" s="515"/>
      <c r="M460" s="515"/>
      <c r="N460" s="515"/>
      <c r="O460" s="515"/>
      <c r="P460" s="515"/>
      <c r="Q460" s="515"/>
      <c r="R460" s="515"/>
      <c r="S460" s="515"/>
      <c r="T460" s="516"/>
      <c r="U460" s="352">
        <f>VLOOKUP(F460,Preisliste!C:F,4,FALSE)</f>
        <v>81.150000000000006</v>
      </c>
      <c r="V460" s="352">
        <f t="shared" ref="V460:V464" si="217">U460*B460</f>
        <v>0</v>
      </c>
      <c r="W460" s="146"/>
      <c r="X460" s="146"/>
      <c r="Y460" s="86"/>
      <c r="Z460" s="143"/>
      <c r="AA460" s="86"/>
      <c r="AB460" s="86"/>
      <c r="AC460" s="86"/>
      <c r="AD460" s="86"/>
      <c r="AE460" s="86"/>
      <c r="AF460" s="86"/>
      <c r="AG460" s="86">
        <f>IF(Kalk1!$AA$13=FALSE,'STK1'!$B166,0)</f>
        <v>0</v>
      </c>
      <c r="AH460" s="86">
        <f>IF(Kalk2!$AA$13=FALSE,'STK2'!$B166,0)</f>
        <v>0</v>
      </c>
      <c r="AI460" s="86">
        <f>IF(Kalk3!$AA$13=FALSE,'STK3'!$B166,0)</f>
        <v>0</v>
      </c>
      <c r="AJ460" s="86">
        <f>IF(Kalk4!$AA$13=FALSE,'STK4'!$B166,0)</f>
        <v>0</v>
      </c>
      <c r="AK460" s="86">
        <f>IF(Kalk5!$AA$13=FALSE,'STK5'!$B166,0)</f>
        <v>0</v>
      </c>
      <c r="AL460" s="86">
        <f t="shared" ref="AL460:AL523" si="218">SUM(AG460:AK460)</f>
        <v>0</v>
      </c>
    </row>
    <row r="461" spans="2:89" ht="24.95" customHeight="1">
      <c r="B461" s="92">
        <f t="shared" ref="B461:B464" si="219">AL461</f>
        <v>0</v>
      </c>
      <c r="C461" s="60">
        <v>750</v>
      </c>
      <c r="D461" s="60"/>
      <c r="E461" s="60" t="str">
        <f>VLOOKUP(1600,Sprachindex!$A:$Z,Erhebungsbogen!$Y$20,FALSE)</f>
        <v>[Stk]</v>
      </c>
      <c r="F461" s="60" t="s">
        <v>21881</v>
      </c>
      <c r="G461" s="514" t="str">
        <f>VLOOKUP(2149,Sprachindex!$A:$Z,Erhebungsbogen!$Y$20,FALSE) &amp; ", " &amp; VLOOKUP(1645,Sprachindex!$A:$Z,Erhebungsbogen!$Y$20,FALSE) &amp; " " &amp; $AG$18</f>
        <v xml:space="preserve">U-Profil 25 (in der Laibung) exkl. Dichtung, gebohrt und entgratet, beschichtet </v>
      </c>
      <c r="H461" s="515"/>
      <c r="I461" s="515"/>
      <c r="J461" s="515"/>
      <c r="K461" s="515"/>
      <c r="L461" s="515"/>
      <c r="M461" s="515"/>
      <c r="N461" s="515"/>
      <c r="O461" s="515"/>
      <c r="P461" s="515"/>
      <c r="Q461" s="515"/>
      <c r="R461" s="515"/>
      <c r="S461" s="515"/>
      <c r="T461" s="516"/>
      <c r="U461" s="353">
        <f>VLOOKUP(F461,Preisliste!C:G,5,FALSE)</f>
        <v>89.265000000000015</v>
      </c>
      <c r="V461" s="352">
        <f t="shared" si="217"/>
        <v>0</v>
      </c>
      <c r="W461" s="146"/>
      <c r="X461" s="146"/>
      <c r="Y461" s="86"/>
      <c r="Z461" s="143">
        <f>(VLOOKUP(F461,Preisliste!C:G,5,FALSE)-VLOOKUP(F461,Preisliste!C:G,4,FALSE))*B461</f>
        <v>0</v>
      </c>
      <c r="AA461" s="86"/>
      <c r="AB461" s="86"/>
      <c r="AC461" s="86"/>
      <c r="AD461" s="86"/>
      <c r="AE461" s="86"/>
      <c r="AF461" s="86"/>
      <c r="AG461" s="86">
        <f>IF(Kalk1!$AA$13,'STK1'!$B166,0)</f>
        <v>0</v>
      </c>
      <c r="AL461" s="86">
        <f>SUM(AG461:AK461)</f>
        <v>0</v>
      </c>
    </row>
    <row r="462" spans="2:89" ht="24.95" customHeight="1">
      <c r="B462" s="92">
        <f t="shared" si="219"/>
        <v>0</v>
      </c>
      <c r="C462" s="60">
        <v>750</v>
      </c>
      <c r="D462" s="60"/>
      <c r="E462" s="60" t="str">
        <f>VLOOKUP(1600,Sprachindex!$A:$Z,Erhebungsbogen!$Y$20,FALSE)</f>
        <v>[Stk]</v>
      </c>
      <c r="F462" s="60" t="s">
        <v>21881</v>
      </c>
      <c r="G462" s="514" t="str">
        <f>VLOOKUP(2149,Sprachindex!$A:$Z,Erhebungsbogen!$Y$20,FALSE) &amp; ", " &amp; VLOOKUP(1645,Sprachindex!$A:$Z,Erhebungsbogen!$Y$20,FALSE) &amp; " " &amp; $AH$18</f>
        <v>U-Profil 25 (in der Laibung) exkl. Dichtung, gebohrt und entgratet, beschichtet 0</v>
      </c>
      <c r="H462" s="515"/>
      <c r="I462" s="515"/>
      <c r="J462" s="515"/>
      <c r="K462" s="515"/>
      <c r="L462" s="515"/>
      <c r="M462" s="515"/>
      <c r="N462" s="515"/>
      <c r="O462" s="515"/>
      <c r="P462" s="515"/>
      <c r="Q462" s="515"/>
      <c r="R462" s="515"/>
      <c r="S462" s="515"/>
      <c r="T462" s="516"/>
      <c r="U462" s="353">
        <f>VLOOKUP(F462,Preisliste!C:G,5,FALSE)</f>
        <v>89.265000000000015</v>
      </c>
      <c r="V462" s="352">
        <f t="shared" si="217"/>
        <v>0</v>
      </c>
      <c r="W462" s="146"/>
      <c r="X462" s="146"/>
      <c r="Y462" s="86"/>
      <c r="Z462" s="143">
        <f>(VLOOKUP(F462,Preisliste!C:G,5,FALSE)-VLOOKUP(F462,Preisliste!C:G,4,FALSE))*B462</f>
        <v>0</v>
      </c>
      <c r="AA462" s="86"/>
      <c r="AB462" s="86"/>
      <c r="AC462" s="86"/>
      <c r="AD462" s="86"/>
      <c r="AE462" s="86"/>
      <c r="AF462" s="86"/>
      <c r="AH462" s="86">
        <f>IF(Kalk2!$AA$13,'STK2'!$B166,0)</f>
        <v>0</v>
      </c>
      <c r="AL462" s="86">
        <f t="shared" si="218"/>
        <v>0</v>
      </c>
    </row>
    <row r="463" spans="2:89" ht="24.95" customHeight="1">
      <c r="B463" s="92">
        <f t="shared" si="219"/>
        <v>0</v>
      </c>
      <c r="C463" s="60">
        <v>750</v>
      </c>
      <c r="D463" s="60"/>
      <c r="E463" s="60" t="str">
        <f>VLOOKUP(1600,Sprachindex!$A:$Z,Erhebungsbogen!$Y$20,FALSE)</f>
        <v>[Stk]</v>
      </c>
      <c r="F463" s="60" t="s">
        <v>21881</v>
      </c>
      <c r="G463" s="514" t="str">
        <f>VLOOKUP(2149,Sprachindex!$A:$Z,Erhebungsbogen!$Y$20,FALSE) &amp; ", " &amp; VLOOKUP(1645,Sprachindex!$A:$Z,Erhebungsbogen!$Y$20,FALSE) &amp; " " &amp; $AI$18</f>
        <v>U-Profil 25 (in der Laibung) exkl. Dichtung, gebohrt und entgratet, beschichtet 0</v>
      </c>
      <c r="H463" s="515"/>
      <c r="I463" s="515"/>
      <c r="J463" s="515"/>
      <c r="K463" s="515"/>
      <c r="L463" s="515"/>
      <c r="M463" s="515"/>
      <c r="N463" s="515"/>
      <c r="O463" s="515"/>
      <c r="P463" s="515"/>
      <c r="Q463" s="515"/>
      <c r="R463" s="515"/>
      <c r="S463" s="515"/>
      <c r="T463" s="516"/>
      <c r="U463" s="353">
        <f>VLOOKUP(F463,Preisliste!C:G,5,FALSE)</f>
        <v>89.265000000000015</v>
      </c>
      <c r="V463" s="352">
        <f t="shared" si="217"/>
        <v>0</v>
      </c>
      <c r="W463" s="146"/>
      <c r="X463" s="146"/>
      <c r="Y463" s="86"/>
      <c r="Z463" s="143">
        <f>(VLOOKUP(F463,Preisliste!C:G,5,FALSE)-VLOOKUP(F463,Preisliste!C:G,4,FALSE))*B463</f>
        <v>0</v>
      </c>
      <c r="AA463" s="86"/>
      <c r="AB463" s="86"/>
      <c r="AC463" s="86"/>
      <c r="AD463" s="86"/>
      <c r="AE463" s="86"/>
      <c r="AF463" s="86"/>
      <c r="AI463" s="86">
        <f>IF(Kalk3!$AA$13,'STK3'!$B166,0)</f>
        <v>0</v>
      </c>
      <c r="AL463" s="86">
        <f t="shared" si="218"/>
        <v>0</v>
      </c>
    </row>
    <row r="464" spans="2:89" ht="24.95" customHeight="1">
      <c r="B464" s="92">
        <f t="shared" si="219"/>
        <v>0</v>
      </c>
      <c r="C464" s="60">
        <v>750</v>
      </c>
      <c r="D464" s="60"/>
      <c r="E464" s="60" t="str">
        <f>VLOOKUP(1600,Sprachindex!$A:$Z,Erhebungsbogen!$Y$20,FALSE)</f>
        <v>[Stk]</v>
      </c>
      <c r="F464" s="60" t="s">
        <v>21881</v>
      </c>
      <c r="G464" s="514" t="str">
        <f>VLOOKUP(2149,Sprachindex!$A:$Z,Erhebungsbogen!$Y$20,FALSE) &amp; ", " &amp; VLOOKUP(1645,Sprachindex!$A:$Z,Erhebungsbogen!$Y$20,FALSE) &amp; " " &amp; $AJ$18</f>
        <v>U-Profil 25 (in der Laibung) exkl. Dichtung, gebohrt und entgratet, beschichtet 0</v>
      </c>
      <c r="H464" s="515"/>
      <c r="I464" s="515"/>
      <c r="J464" s="515"/>
      <c r="K464" s="515"/>
      <c r="L464" s="515"/>
      <c r="M464" s="515"/>
      <c r="N464" s="515"/>
      <c r="O464" s="515"/>
      <c r="P464" s="515"/>
      <c r="Q464" s="515"/>
      <c r="R464" s="515"/>
      <c r="S464" s="515"/>
      <c r="T464" s="516"/>
      <c r="U464" s="353">
        <f>VLOOKUP(F464,Preisliste!C:G,5,FALSE)</f>
        <v>89.265000000000015</v>
      </c>
      <c r="V464" s="352">
        <f t="shared" si="217"/>
        <v>0</v>
      </c>
      <c r="W464" s="146"/>
      <c r="X464" s="146"/>
      <c r="Y464" s="86"/>
      <c r="Z464" s="143">
        <f>(VLOOKUP(F464,Preisliste!C:G,5,FALSE)-VLOOKUP(F464,Preisliste!C:G,4,FALSE))*B464</f>
        <v>0</v>
      </c>
      <c r="AA464" s="86"/>
      <c r="AB464" s="86"/>
      <c r="AC464" s="86"/>
      <c r="AD464" s="86"/>
      <c r="AE464" s="86"/>
      <c r="AF464" s="86"/>
      <c r="AJ464" s="86">
        <f>IF(Kalk4!$AA$13,'STK4'!$B166,0)</f>
        <v>0</v>
      </c>
      <c r="AL464" s="86">
        <f t="shared" si="218"/>
        <v>0</v>
      </c>
    </row>
    <row r="465" spans="2:38" ht="24.95" customHeight="1">
      <c r="B465" s="92">
        <f t="shared" si="201"/>
        <v>0</v>
      </c>
      <c r="C465" s="60">
        <v>750</v>
      </c>
      <c r="D465" s="60"/>
      <c r="E465" s="60" t="str">
        <f>VLOOKUP(1600,Sprachindex!$A:$Z,Erhebungsbogen!$Y$20,FALSE)</f>
        <v>[Stk]</v>
      </c>
      <c r="F465" s="60" t="s">
        <v>21881</v>
      </c>
      <c r="G465" s="514" t="str">
        <f>VLOOKUP(2149,Sprachindex!$A:$Z,Erhebungsbogen!$Y$20,FALSE) &amp; ", " &amp; VLOOKUP(1645,Sprachindex!$A:$Z,Erhebungsbogen!$Y$20,FALSE) &amp; " " &amp; $AK$18</f>
        <v>U-Profil 25 (in der Laibung) exkl. Dichtung, gebohrt und entgratet, beschichtet 0</v>
      </c>
      <c r="H465" s="515"/>
      <c r="I465" s="515"/>
      <c r="J465" s="515"/>
      <c r="K465" s="515"/>
      <c r="L465" s="515"/>
      <c r="M465" s="515"/>
      <c r="N465" s="515"/>
      <c r="O465" s="515"/>
      <c r="P465" s="515"/>
      <c r="Q465" s="515"/>
      <c r="R465" s="515"/>
      <c r="S465" s="515"/>
      <c r="T465" s="516"/>
      <c r="U465" s="353">
        <f>VLOOKUP(F465,Preisliste!C:G,5,FALSE)</f>
        <v>89.265000000000015</v>
      </c>
      <c r="V465" s="352">
        <f t="shared" si="183"/>
        <v>0</v>
      </c>
      <c r="W465" s="146"/>
      <c r="X465" s="146"/>
      <c r="Y465" s="86"/>
      <c r="Z465" s="143">
        <f>(VLOOKUP(F465,Preisliste!C:G,5,FALSE)-VLOOKUP(F465,Preisliste!C:G,4,FALSE))*B465</f>
        <v>0</v>
      </c>
      <c r="AA465" s="86"/>
      <c r="AB465" s="86"/>
      <c r="AC465" s="86"/>
      <c r="AD465" s="86"/>
      <c r="AE465" s="86"/>
      <c r="AF465" s="86"/>
      <c r="AK465" s="86">
        <f>IF(Kalk5!$AA$13,'STK5'!$B166,0)</f>
        <v>0</v>
      </c>
      <c r="AL465" s="86">
        <f t="shared" si="218"/>
        <v>0</v>
      </c>
    </row>
    <row r="466" spans="2:38" ht="24.95" customHeight="1">
      <c r="B466" s="92">
        <f t="shared" si="201"/>
        <v>0</v>
      </c>
      <c r="C466" s="60">
        <v>1350</v>
      </c>
      <c r="D466" s="60"/>
      <c r="E466" s="60" t="str">
        <f>VLOOKUP(1600,Sprachindex!$A:$Z,Erhebungsbogen!$Y$20,FALSE)</f>
        <v>[Stk]</v>
      </c>
      <c r="F466" s="60" t="s">
        <v>21882</v>
      </c>
      <c r="G466" s="514" t="str">
        <f>VLOOKUP(2149,Sprachindex!$A:$Z,Erhebungsbogen!$Y$20,FALSE) &amp; ", " &amp; VLOOKUP(1648,Sprachindex!$A:$Z,Erhebungsbogen!$Y$20,FALSE)</f>
        <v>U-Profil 25 (in der Laibung) exkl. Dichtung, gebohrt und entgratet, blank</v>
      </c>
      <c r="H466" s="515"/>
      <c r="I466" s="515"/>
      <c r="J466" s="515"/>
      <c r="K466" s="515"/>
      <c r="L466" s="515"/>
      <c r="M466" s="515"/>
      <c r="N466" s="515"/>
      <c r="O466" s="515"/>
      <c r="P466" s="515"/>
      <c r="Q466" s="515"/>
      <c r="R466" s="515"/>
      <c r="S466" s="515"/>
      <c r="T466" s="516"/>
      <c r="U466" s="352">
        <f>VLOOKUP(F466,Preisliste!C:F,4,FALSE)</f>
        <v>123.15</v>
      </c>
      <c r="V466" s="352">
        <f t="shared" ref="V466:V470" si="220">U466*B466</f>
        <v>0</v>
      </c>
      <c r="W466" s="146"/>
      <c r="X466" s="146"/>
      <c r="Y466" s="86"/>
      <c r="Z466" s="143"/>
      <c r="AA466" s="86"/>
      <c r="AB466" s="86"/>
      <c r="AC466" s="86"/>
      <c r="AD466" s="86"/>
      <c r="AE466" s="86"/>
      <c r="AF466" s="86"/>
      <c r="AG466" s="86">
        <f>IF(Kalk1!$AA$13=FALSE,'STK1'!$B167,0)</f>
        <v>0</v>
      </c>
      <c r="AH466" s="86">
        <f>IF(Kalk2!$AA$13=FALSE,'STK2'!$B167,0)</f>
        <v>0</v>
      </c>
      <c r="AI466" s="86">
        <f>IF(Kalk3!$AA$13=FALSE,'STK3'!$B167,0)</f>
        <v>0</v>
      </c>
      <c r="AJ466" s="86">
        <f>IF(Kalk4!$AA$13=FALSE,'STK4'!$B167,0)</f>
        <v>0</v>
      </c>
      <c r="AK466" s="86">
        <f>IF(Kalk5!$AA$13=FALSE,'STK5'!$B167,0)</f>
        <v>0</v>
      </c>
      <c r="AL466" s="86">
        <f t="shared" si="218"/>
        <v>0</v>
      </c>
    </row>
    <row r="467" spans="2:38" ht="24.95" customHeight="1">
      <c r="B467" s="92">
        <f t="shared" ref="B467:B470" si="221">AL467</f>
        <v>0</v>
      </c>
      <c r="C467" s="60">
        <v>1350</v>
      </c>
      <c r="D467" s="60"/>
      <c r="E467" s="60" t="str">
        <f>VLOOKUP(1600,Sprachindex!$A:$Z,Erhebungsbogen!$Y$20,FALSE)</f>
        <v>[Stk]</v>
      </c>
      <c r="F467" s="60" t="s">
        <v>21882</v>
      </c>
      <c r="G467" s="514" t="str">
        <f>VLOOKUP(2149,Sprachindex!$A:$Z,Erhebungsbogen!$Y$20,FALSE) &amp; ", " &amp; VLOOKUP(1645,Sprachindex!$A:$Z,Erhebungsbogen!$Y$20,FALSE) &amp; " " &amp; $AG$18</f>
        <v xml:space="preserve">U-Profil 25 (in der Laibung) exkl. Dichtung, gebohrt und entgratet, beschichtet </v>
      </c>
      <c r="H467" s="515"/>
      <c r="I467" s="515"/>
      <c r="J467" s="515"/>
      <c r="K467" s="515"/>
      <c r="L467" s="515"/>
      <c r="M467" s="515"/>
      <c r="N467" s="515"/>
      <c r="O467" s="515"/>
      <c r="P467" s="515"/>
      <c r="Q467" s="515"/>
      <c r="R467" s="515"/>
      <c r="S467" s="515"/>
      <c r="T467" s="516"/>
      <c r="U467" s="353">
        <f>VLOOKUP(F467,Preisliste!C:G,5,FALSE)</f>
        <v>135.465</v>
      </c>
      <c r="V467" s="352">
        <f t="shared" si="220"/>
        <v>0</v>
      </c>
      <c r="W467" s="146"/>
      <c r="X467" s="146"/>
      <c r="Y467" s="86"/>
      <c r="Z467" s="143">
        <f>(VLOOKUP(F467,Preisliste!C:G,5,FALSE)-VLOOKUP(F467,Preisliste!C:G,4,FALSE))*B467</f>
        <v>0</v>
      </c>
      <c r="AA467" s="86"/>
      <c r="AB467" s="86"/>
      <c r="AC467" s="86"/>
      <c r="AD467" s="86"/>
      <c r="AE467" s="86"/>
      <c r="AF467" s="86"/>
      <c r="AG467" s="86">
        <f>IF(Kalk1!$AA$13,'STK1'!$B167,0)</f>
        <v>0</v>
      </c>
      <c r="AL467" s="86">
        <f>SUM(AG467:AK467)</f>
        <v>0</v>
      </c>
    </row>
    <row r="468" spans="2:38" ht="24.95" customHeight="1">
      <c r="B468" s="92">
        <f t="shared" si="221"/>
        <v>0</v>
      </c>
      <c r="C468" s="60">
        <v>1350</v>
      </c>
      <c r="D468" s="60"/>
      <c r="E468" s="60" t="str">
        <f>VLOOKUP(1600,Sprachindex!$A:$Z,Erhebungsbogen!$Y$20,FALSE)</f>
        <v>[Stk]</v>
      </c>
      <c r="F468" s="60" t="s">
        <v>21882</v>
      </c>
      <c r="G468" s="514" t="str">
        <f>VLOOKUP(2149,Sprachindex!$A:$Z,Erhebungsbogen!$Y$20,FALSE) &amp; ", " &amp; VLOOKUP(1645,Sprachindex!$A:$Z,Erhebungsbogen!$Y$20,FALSE) &amp; " " &amp; $AH$18</f>
        <v>U-Profil 25 (in der Laibung) exkl. Dichtung, gebohrt und entgratet, beschichtet 0</v>
      </c>
      <c r="H468" s="515"/>
      <c r="I468" s="515"/>
      <c r="J468" s="515"/>
      <c r="K468" s="515"/>
      <c r="L468" s="515"/>
      <c r="M468" s="515"/>
      <c r="N468" s="515"/>
      <c r="O468" s="515"/>
      <c r="P468" s="515"/>
      <c r="Q468" s="515"/>
      <c r="R468" s="515"/>
      <c r="S468" s="515"/>
      <c r="T468" s="516"/>
      <c r="U468" s="353">
        <f>VLOOKUP(F468,Preisliste!C:G,5,FALSE)</f>
        <v>135.465</v>
      </c>
      <c r="V468" s="352">
        <f t="shared" si="220"/>
        <v>0</v>
      </c>
      <c r="W468" s="146"/>
      <c r="X468" s="146"/>
      <c r="Y468" s="86"/>
      <c r="Z468" s="143">
        <f>(VLOOKUP(F468,Preisliste!C:G,5,FALSE)-VLOOKUP(F468,Preisliste!C:G,4,FALSE))*B468</f>
        <v>0</v>
      </c>
      <c r="AA468" s="86"/>
      <c r="AB468" s="86"/>
      <c r="AC468" s="86"/>
      <c r="AD468" s="86"/>
      <c r="AE468" s="86"/>
      <c r="AF468" s="86"/>
      <c r="AH468" s="86">
        <f>IF(Kalk2!$AA$13,'STK2'!$B167,0)</f>
        <v>0</v>
      </c>
      <c r="AL468" s="86">
        <f t="shared" si="218"/>
        <v>0</v>
      </c>
    </row>
    <row r="469" spans="2:38" ht="24.95" customHeight="1">
      <c r="B469" s="92">
        <f t="shared" si="221"/>
        <v>0</v>
      </c>
      <c r="C469" s="60">
        <v>1350</v>
      </c>
      <c r="D469" s="60"/>
      <c r="E469" s="60" t="str">
        <f>VLOOKUP(1600,Sprachindex!$A:$Z,Erhebungsbogen!$Y$20,FALSE)</f>
        <v>[Stk]</v>
      </c>
      <c r="F469" s="60" t="s">
        <v>21882</v>
      </c>
      <c r="G469" s="514" t="str">
        <f>VLOOKUP(2149,Sprachindex!$A:$Z,Erhebungsbogen!$Y$20,FALSE) &amp; ", " &amp; VLOOKUP(1645,Sprachindex!$A:$Z,Erhebungsbogen!$Y$20,FALSE) &amp; " " &amp; $AI$18</f>
        <v>U-Profil 25 (in der Laibung) exkl. Dichtung, gebohrt und entgratet, beschichtet 0</v>
      </c>
      <c r="H469" s="515"/>
      <c r="I469" s="515"/>
      <c r="J469" s="515"/>
      <c r="K469" s="515"/>
      <c r="L469" s="515"/>
      <c r="M469" s="515"/>
      <c r="N469" s="515"/>
      <c r="O469" s="515"/>
      <c r="P469" s="515"/>
      <c r="Q469" s="515"/>
      <c r="R469" s="515"/>
      <c r="S469" s="515"/>
      <c r="T469" s="516"/>
      <c r="U469" s="353">
        <f>VLOOKUP(F469,Preisliste!C:G,5,FALSE)</f>
        <v>135.465</v>
      </c>
      <c r="V469" s="352">
        <f t="shared" si="220"/>
        <v>0</v>
      </c>
      <c r="W469" s="146"/>
      <c r="X469" s="146"/>
      <c r="Y469" s="86"/>
      <c r="Z469" s="143">
        <f>(VLOOKUP(F469,Preisliste!C:G,5,FALSE)-VLOOKUP(F469,Preisliste!C:G,4,FALSE))*B469</f>
        <v>0</v>
      </c>
      <c r="AA469" s="86"/>
      <c r="AB469" s="86"/>
      <c r="AC469" s="86"/>
      <c r="AD469" s="86"/>
      <c r="AE469" s="86"/>
      <c r="AF469" s="86"/>
      <c r="AI469" s="86">
        <f>IF(Kalk3!$AA$13,'STK3'!$B167,0)</f>
        <v>0</v>
      </c>
      <c r="AL469" s="86">
        <f t="shared" si="218"/>
        <v>0</v>
      </c>
    </row>
    <row r="470" spans="2:38" ht="24.95" customHeight="1">
      <c r="B470" s="92">
        <f t="shared" si="221"/>
        <v>0</v>
      </c>
      <c r="C470" s="60">
        <v>1350</v>
      </c>
      <c r="D470" s="60"/>
      <c r="E470" s="60" t="str">
        <f>VLOOKUP(1600,Sprachindex!$A:$Z,Erhebungsbogen!$Y$20,FALSE)</f>
        <v>[Stk]</v>
      </c>
      <c r="F470" s="60" t="s">
        <v>21882</v>
      </c>
      <c r="G470" s="514" t="str">
        <f>VLOOKUP(2149,Sprachindex!$A:$Z,Erhebungsbogen!$Y$20,FALSE) &amp; ", " &amp; VLOOKUP(1645,Sprachindex!$A:$Z,Erhebungsbogen!$Y$20,FALSE) &amp; " " &amp; $AJ$18</f>
        <v>U-Profil 25 (in der Laibung) exkl. Dichtung, gebohrt und entgratet, beschichtet 0</v>
      </c>
      <c r="H470" s="515"/>
      <c r="I470" s="515"/>
      <c r="J470" s="515"/>
      <c r="K470" s="515"/>
      <c r="L470" s="515"/>
      <c r="M470" s="515"/>
      <c r="N470" s="515"/>
      <c r="O470" s="515"/>
      <c r="P470" s="515"/>
      <c r="Q470" s="515"/>
      <c r="R470" s="515"/>
      <c r="S470" s="515"/>
      <c r="T470" s="516"/>
      <c r="U470" s="353">
        <f>VLOOKUP(F470,Preisliste!C:G,5,FALSE)</f>
        <v>135.465</v>
      </c>
      <c r="V470" s="352">
        <f t="shared" si="220"/>
        <v>0</v>
      </c>
      <c r="W470" s="146"/>
      <c r="X470" s="146"/>
      <c r="Y470" s="86"/>
      <c r="Z470" s="143">
        <f>(VLOOKUP(F470,Preisliste!C:G,5,FALSE)-VLOOKUP(F470,Preisliste!C:G,4,FALSE))*B470</f>
        <v>0</v>
      </c>
      <c r="AA470" s="86"/>
      <c r="AB470" s="86"/>
      <c r="AC470" s="86"/>
      <c r="AD470" s="86"/>
      <c r="AE470" s="86"/>
      <c r="AF470" s="86"/>
      <c r="AJ470" s="86">
        <f>IF(Kalk4!$AA$13,'STK4'!$B167,0)</f>
        <v>0</v>
      </c>
      <c r="AL470" s="86">
        <f t="shared" si="218"/>
        <v>0</v>
      </c>
    </row>
    <row r="471" spans="2:38" ht="24.95" customHeight="1">
      <c r="B471" s="92">
        <f t="shared" si="201"/>
        <v>0</v>
      </c>
      <c r="C471" s="60">
        <v>1350</v>
      </c>
      <c r="D471" s="60"/>
      <c r="E471" s="60" t="str">
        <f>VLOOKUP(1600,Sprachindex!$A:$Z,Erhebungsbogen!$Y$20,FALSE)</f>
        <v>[Stk]</v>
      </c>
      <c r="F471" s="60" t="s">
        <v>21882</v>
      </c>
      <c r="G471" s="514" t="str">
        <f>VLOOKUP(2149,Sprachindex!$A:$Z,Erhebungsbogen!$Y$20,FALSE) &amp; ", " &amp; VLOOKUP(1645,Sprachindex!$A:$Z,Erhebungsbogen!$Y$20,FALSE) &amp; " " &amp; $AK$18</f>
        <v>U-Profil 25 (in der Laibung) exkl. Dichtung, gebohrt und entgratet, beschichtet 0</v>
      </c>
      <c r="H471" s="515"/>
      <c r="I471" s="515"/>
      <c r="J471" s="515"/>
      <c r="K471" s="515"/>
      <c r="L471" s="515"/>
      <c r="M471" s="515"/>
      <c r="N471" s="515"/>
      <c r="O471" s="515"/>
      <c r="P471" s="515"/>
      <c r="Q471" s="515"/>
      <c r="R471" s="515"/>
      <c r="S471" s="515"/>
      <c r="T471" s="516"/>
      <c r="U471" s="353">
        <f>VLOOKUP(F471,Preisliste!C:G,5,FALSE)</f>
        <v>135.465</v>
      </c>
      <c r="V471" s="352">
        <f t="shared" si="183"/>
        <v>0</v>
      </c>
      <c r="W471" s="146"/>
      <c r="X471" s="146"/>
      <c r="Y471" s="86"/>
      <c r="Z471" s="143">
        <f>(VLOOKUP(F471,Preisliste!C:G,5,FALSE)-VLOOKUP(F471,Preisliste!C:G,4,FALSE))*B471</f>
        <v>0</v>
      </c>
      <c r="AA471" s="86"/>
      <c r="AB471" s="86"/>
      <c r="AC471" s="86"/>
      <c r="AD471" s="86"/>
      <c r="AE471" s="86"/>
      <c r="AF471" s="86"/>
      <c r="AK471" s="86">
        <f>IF(Kalk5!$AA$13,'STK5'!$B167,0)</f>
        <v>0</v>
      </c>
      <c r="AL471" s="86">
        <f t="shared" si="218"/>
        <v>0</v>
      </c>
    </row>
    <row r="472" spans="2:38" ht="24.95" customHeight="1">
      <c r="B472" s="92">
        <f t="shared" si="201"/>
        <v>0</v>
      </c>
      <c r="C472" s="60">
        <v>1750</v>
      </c>
      <c r="D472" s="60"/>
      <c r="E472" s="60" t="str">
        <f>VLOOKUP(1600,Sprachindex!$A:$Z,Erhebungsbogen!$Y$20,FALSE)</f>
        <v>[Stk]</v>
      </c>
      <c r="F472" s="60" t="s">
        <v>21982</v>
      </c>
      <c r="G472" s="514" t="str">
        <f>VLOOKUP(2149,Sprachindex!$A:$Z,Erhebungsbogen!$Y$20,FALSE) &amp; ", " &amp; VLOOKUP(1648,Sprachindex!$A:$Z,Erhebungsbogen!$Y$20,FALSE)</f>
        <v>U-Profil 25 (in der Laibung) exkl. Dichtung, gebohrt und entgratet, blank</v>
      </c>
      <c r="H472" s="515"/>
      <c r="I472" s="515"/>
      <c r="J472" s="515"/>
      <c r="K472" s="515"/>
      <c r="L472" s="515"/>
      <c r="M472" s="515"/>
      <c r="N472" s="515"/>
      <c r="O472" s="515"/>
      <c r="P472" s="515"/>
      <c r="Q472" s="515"/>
      <c r="R472" s="515"/>
      <c r="S472" s="515"/>
      <c r="T472" s="516"/>
      <c r="U472" s="352">
        <f>VLOOKUP(F472,Preisliste!C:F,4,FALSE)</f>
        <v>137.5</v>
      </c>
      <c r="V472" s="352">
        <f t="shared" ref="V472:V476" si="222">U472*B472</f>
        <v>0</v>
      </c>
      <c r="W472" s="146"/>
      <c r="X472" s="146"/>
      <c r="Y472" s="86"/>
      <c r="Z472" s="143"/>
      <c r="AA472" s="86"/>
      <c r="AB472" s="86"/>
      <c r="AC472" s="86"/>
      <c r="AD472" s="86"/>
      <c r="AE472" s="86"/>
      <c r="AF472" s="86"/>
      <c r="AG472" s="86">
        <f>IF(Kalk1!$AA$13=FALSE,'STK1'!$B168,0)</f>
        <v>0</v>
      </c>
      <c r="AH472" s="86">
        <f>IF(Kalk2!$AA$13=FALSE,'STK2'!$B168,0)</f>
        <v>0</v>
      </c>
      <c r="AI472" s="86">
        <f>IF(Kalk3!$AA$13=FALSE,'STK3'!$B168,0)</f>
        <v>0</v>
      </c>
      <c r="AJ472" s="86">
        <f>IF(Kalk4!$AA$13=FALSE,'STK4'!$B168,0)</f>
        <v>0</v>
      </c>
      <c r="AK472" s="86">
        <f>IF(Kalk5!$AA$13=FALSE,'STK5'!$B168,0)</f>
        <v>0</v>
      </c>
      <c r="AL472" s="86">
        <f t="shared" si="218"/>
        <v>0</v>
      </c>
    </row>
    <row r="473" spans="2:38" ht="24.95" customHeight="1">
      <c r="B473" s="92">
        <f t="shared" ref="B473:B476" si="223">AL473</f>
        <v>0</v>
      </c>
      <c r="C473" s="60">
        <v>1750</v>
      </c>
      <c r="D473" s="60"/>
      <c r="E473" s="60" t="str">
        <f>VLOOKUP(1600,Sprachindex!$A:$Z,Erhebungsbogen!$Y$20,FALSE)</f>
        <v>[Stk]</v>
      </c>
      <c r="F473" s="60" t="s">
        <v>21982</v>
      </c>
      <c r="G473" s="514" t="str">
        <f>VLOOKUP(2149,Sprachindex!$A:$Z,Erhebungsbogen!$Y$20,FALSE) &amp; ", " &amp; VLOOKUP(1645,Sprachindex!$A:$Z,Erhebungsbogen!$Y$20,FALSE) &amp; " " &amp; $AG$18</f>
        <v xml:space="preserve">U-Profil 25 (in der Laibung) exkl. Dichtung, gebohrt und entgratet, beschichtet </v>
      </c>
      <c r="H473" s="515"/>
      <c r="I473" s="515"/>
      <c r="J473" s="515"/>
      <c r="K473" s="515"/>
      <c r="L473" s="515"/>
      <c r="M473" s="515"/>
      <c r="N473" s="515"/>
      <c r="O473" s="515"/>
      <c r="P473" s="515"/>
      <c r="Q473" s="515"/>
      <c r="R473" s="515"/>
      <c r="S473" s="515"/>
      <c r="T473" s="516"/>
      <c r="U473" s="353">
        <f>VLOOKUP(F473,Preisliste!C:G,5,FALSE)</f>
        <v>151.25</v>
      </c>
      <c r="V473" s="352">
        <f t="shared" si="222"/>
        <v>0</v>
      </c>
      <c r="W473" s="146"/>
      <c r="X473" s="146"/>
      <c r="Y473" s="86"/>
      <c r="Z473" s="143">
        <f>(VLOOKUP(F473,Preisliste!C:G,5,FALSE)-VLOOKUP(F473,Preisliste!C:G,4,FALSE))*B473</f>
        <v>0</v>
      </c>
      <c r="AA473" s="86"/>
      <c r="AB473" s="86"/>
      <c r="AC473" s="86"/>
      <c r="AD473" s="86"/>
      <c r="AE473" s="86"/>
      <c r="AF473" s="86"/>
      <c r="AG473" s="86">
        <f>IF(Kalk1!$AA$13,'STK1'!$B168,0)</f>
        <v>0</v>
      </c>
      <c r="AL473" s="86">
        <f>SUM(AG473:AK473)</f>
        <v>0</v>
      </c>
    </row>
    <row r="474" spans="2:38" ht="24.95" customHeight="1">
      <c r="B474" s="92">
        <f t="shared" si="223"/>
        <v>0</v>
      </c>
      <c r="C474" s="60">
        <v>1750</v>
      </c>
      <c r="D474" s="60"/>
      <c r="E474" s="60" t="str">
        <f>VLOOKUP(1600,Sprachindex!$A:$Z,Erhebungsbogen!$Y$20,FALSE)</f>
        <v>[Stk]</v>
      </c>
      <c r="F474" s="60" t="s">
        <v>21982</v>
      </c>
      <c r="G474" s="514" t="str">
        <f>VLOOKUP(2149,Sprachindex!$A:$Z,Erhebungsbogen!$Y$20,FALSE) &amp; ", " &amp; VLOOKUP(1645,Sprachindex!$A:$Z,Erhebungsbogen!$Y$20,FALSE) &amp; " " &amp; $AH$18</f>
        <v>U-Profil 25 (in der Laibung) exkl. Dichtung, gebohrt und entgratet, beschichtet 0</v>
      </c>
      <c r="H474" s="515"/>
      <c r="I474" s="515"/>
      <c r="J474" s="515"/>
      <c r="K474" s="515"/>
      <c r="L474" s="515"/>
      <c r="M474" s="515"/>
      <c r="N474" s="515"/>
      <c r="O474" s="515"/>
      <c r="P474" s="515"/>
      <c r="Q474" s="515"/>
      <c r="R474" s="515"/>
      <c r="S474" s="515"/>
      <c r="T474" s="516"/>
      <c r="U474" s="353">
        <f>VLOOKUP(F474,Preisliste!C:G,5,FALSE)</f>
        <v>151.25</v>
      </c>
      <c r="V474" s="352">
        <f t="shared" si="222"/>
        <v>0</v>
      </c>
      <c r="W474" s="146"/>
      <c r="X474" s="146"/>
      <c r="Y474" s="86"/>
      <c r="Z474" s="143">
        <f>(VLOOKUP(F474,Preisliste!C:G,5,FALSE)-VLOOKUP(F474,Preisliste!C:G,4,FALSE))*B474</f>
        <v>0</v>
      </c>
      <c r="AA474" s="86"/>
      <c r="AB474" s="86"/>
      <c r="AC474" s="86"/>
      <c r="AD474" s="86"/>
      <c r="AE474" s="86"/>
      <c r="AF474" s="86"/>
      <c r="AH474" s="86">
        <f>IF(Kalk2!$AA$13,'STK2'!$B168,0)</f>
        <v>0</v>
      </c>
      <c r="AL474" s="86">
        <f t="shared" si="218"/>
        <v>0</v>
      </c>
    </row>
    <row r="475" spans="2:38" ht="24.95" customHeight="1">
      <c r="B475" s="92">
        <f t="shared" si="223"/>
        <v>0</v>
      </c>
      <c r="C475" s="60">
        <v>1750</v>
      </c>
      <c r="D475" s="60"/>
      <c r="E475" s="60" t="str">
        <f>VLOOKUP(1600,Sprachindex!$A:$Z,Erhebungsbogen!$Y$20,FALSE)</f>
        <v>[Stk]</v>
      </c>
      <c r="F475" s="60" t="s">
        <v>21982</v>
      </c>
      <c r="G475" s="514" t="str">
        <f>VLOOKUP(2149,Sprachindex!$A:$Z,Erhebungsbogen!$Y$20,FALSE) &amp; ", " &amp; VLOOKUP(1645,Sprachindex!$A:$Z,Erhebungsbogen!$Y$20,FALSE) &amp; " " &amp; $AI$18</f>
        <v>U-Profil 25 (in der Laibung) exkl. Dichtung, gebohrt und entgratet, beschichtet 0</v>
      </c>
      <c r="H475" s="515"/>
      <c r="I475" s="515"/>
      <c r="J475" s="515"/>
      <c r="K475" s="515"/>
      <c r="L475" s="515"/>
      <c r="M475" s="515"/>
      <c r="N475" s="515"/>
      <c r="O475" s="515"/>
      <c r="P475" s="515"/>
      <c r="Q475" s="515"/>
      <c r="R475" s="515"/>
      <c r="S475" s="515"/>
      <c r="T475" s="516"/>
      <c r="U475" s="353">
        <f>VLOOKUP(F475,Preisliste!C:G,5,FALSE)</f>
        <v>151.25</v>
      </c>
      <c r="V475" s="352">
        <f t="shared" si="222"/>
        <v>0</v>
      </c>
      <c r="W475" s="146"/>
      <c r="X475" s="146"/>
      <c r="Y475" s="86"/>
      <c r="Z475" s="143">
        <f>(VLOOKUP(F475,Preisliste!C:G,5,FALSE)-VLOOKUP(F475,Preisliste!C:G,4,FALSE))*B475</f>
        <v>0</v>
      </c>
      <c r="AA475" s="86"/>
      <c r="AB475" s="86"/>
      <c r="AC475" s="86"/>
      <c r="AD475" s="86"/>
      <c r="AE475" s="86"/>
      <c r="AF475" s="86"/>
      <c r="AI475" s="86">
        <f>IF(Kalk3!$AA$13,'STK3'!$B168,0)</f>
        <v>0</v>
      </c>
      <c r="AL475" s="86">
        <f t="shared" si="218"/>
        <v>0</v>
      </c>
    </row>
    <row r="476" spans="2:38" ht="24.95" customHeight="1">
      <c r="B476" s="92">
        <f t="shared" si="223"/>
        <v>0</v>
      </c>
      <c r="C476" s="60">
        <v>1750</v>
      </c>
      <c r="D476" s="60"/>
      <c r="E476" s="60" t="str">
        <f>VLOOKUP(1600,Sprachindex!$A:$Z,Erhebungsbogen!$Y$20,FALSE)</f>
        <v>[Stk]</v>
      </c>
      <c r="F476" s="60" t="s">
        <v>21982</v>
      </c>
      <c r="G476" s="514" t="str">
        <f>VLOOKUP(2149,Sprachindex!$A:$Z,Erhebungsbogen!$Y$20,FALSE) &amp; ", " &amp; VLOOKUP(1645,Sprachindex!$A:$Z,Erhebungsbogen!$Y$20,FALSE) &amp; " " &amp; $AJ$18</f>
        <v>U-Profil 25 (in der Laibung) exkl. Dichtung, gebohrt und entgratet, beschichtet 0</v>
      </c>
      <c r="H476" s="515"/>
      <c r="I476" s="515"/>
      <c r="J476" s="515"/>
      <c r="K476" s="515"/>
      <c r="L476" s="515"/>
      <c r="M476" s="515"/>
      <c r="N476" s="515"/>
      <c r="O476" s="515"/>
      <c r="P476" s="515"/>
      <c r="Q476" s="515"/>
      <c r="R476" s="515"/>
      <c r="S476" s="515"/>
      <c r="T476" s="516"/>
      <c r="U476" s="353">
        <f>VLOOKUP(F476,Preisliste!C:G,5,FALSE)</f>
        <v>151.25</v>
      </c>
      <c r="V476" s="352">
        <f t="shared" si="222"/>
        <v>0</v>
      </c>
      <c r="W476" s="146"/>
      <c r="X476" s="146"/>
      <c r="Y476" s="86"/>
      <c r="Z476" s="143">
        <f>(VLOOKUP(F476,Preisliste!C:G,5,FALSE)-VLOOKUP(F476,Preisliste!C:G,4,FALSE))*B476</f>
        <v>0</v>
      </c>
      <c r="AA476" s="86"/>
      <c r="AB476" s="86"/>
      <c r="AC476" s="86"/>
      <c r="AD476" s="86"/>
      <c r="AE476" s="86"/>
      <c r="AF476" s="86"/>
      <c r="AJ476" s="86">
        <f>IF(Kalk4!$AA$13,'STK4'!$B168,0)</f>
        <v>0</v>
      </c>
      <c r="AL476" s="86">
        <f t="shared" si="218"/>
        <v>0</v>
      </c>
    </row>
    <row r="477" spans="2:38" ht="24.95" customHeight="1">
      <c r="B477" s="92">
        <f t="shared" si="201"/>
        <v>0</v>
      </c>
      <c r="C477" s="60">
        <v>1750</v>
      </c>
      <c r="D477" s="60"/>
      <c r="E477" s="60" t="str">
        <f>VLOOKUP(1600,Sprachindex!$A:$Z,Erhebungsbogen!$Y$20,FALSE)</f>
        <v>[Stk]</v>
      </c>
      <c r="F477" s="60" t="s">
        <v>21982</v>
      </c>
      <c r="G477" s="514" t="str">
        <f>VLOOKUP(2149,Sprachindex!$A:$Z,Erhebungsbogen!$Y$20,FALSE) &amp; ", " &amp; VLOOKUP(1645,Sprachindex!$A:$Z,Erhebungsbogen!$Y$20,FALSE) &amp; " " &amp; $AK$18</f>
        <v>U-Profil 25 (in der Laibung) exkl. Dichtung, gebohrt und entgratet, beschichtet 0</v>
      </c>
      <c r="H477" s="515"/>
      <c r="I477" s="515"/>
      <c r="J477" s="515"/>
      <c r="K477" s="515"/>
      <c r="L477" s="515"/>
      <c r="M477" s="515"/>
      <c r="N477" s="515"/>
      <c r="O477" s="515"/>
      <c r="P477" s="515"/>
      <c r="Q477" s="515"/>
      <c r="R477" s="515"/>
      <c r="S477" s="515"/>
      <c r="T477" s="516"/>
      <c r="U477" s="353">
        <f>VLOOKUP(F477,Preisliste!C:G,5,FALSE)</f>
        <v>151.25</v>
      </c>
      <c r="V477" s="352">
        <f t="shared" si="183"/>
        <v>0</v>
      </c>
      <c r="W477" s="146"/>
      <c r="X477" s="146"/>
      <c r="Y477" s="86"/>
      <c r="Z477" s="143">
        <f>(VLOOKUP(F477,Preisliste!C:G,5,FALSE)-VLOOKUP(F477,Preisliste!C:G,4,FALSE))*B477</f>
        <v>0</v>
      </c>
      <c r="AA477" s="86"/>
      <c r="AB477" s="86"/>
      <c r="AC477" s="86"/>
      <c r="AD477" s="86"/>
      <c r="AE477" s="86"/>
      <c r="AF477" s="86"/>
      <c r="AK477" s="86">
        <f>IF(Kalk5!$AA$13,'STK5'!$B168,0)</f>
        <v>0</v>
      </c>
      <c r="AL477" s="86">
        <f t="shared" si="218"/>
        <v>0</v>
      </c>
    </row>
    <row r="478" spans="2:38" ht="24.95" customHeight="1">
      <c r="B478" s="92">
        <f t="shared" si="201"/>
        <v>0</v>
      </c>
      <c r="C478" s="60">
        <v>2150</v>
      </c>
      <c r="D478" s="60"/>
      <c r="E478" s="60" t="str">
        <f>VLOOKUP(1600,Sprachindex!$A:$Z,Erhebungsbogen!$Y$20,FALSE)</f>
        <v>[Stk]</v>
      </c>
      <c r="F478" s="60" t="s">
        <v>21983</v>
      </c>
      <c r="G478" s="514" t="str">
        <f>VLOOKUP(2149,Sprachindex!$A:$Z,Erhebungsbogen!$Y$20,FALSE) &amp; ", " &amp; VLOOKUP(1648,Sprachindex!$A:$Z,Erhebungsbogen!$Y$20,FALSE)</f>
        <v>U-Profil 25 (in der Laibung) exkl. Dichtung, gebohrt und entgratet, blank</v>
      </c>
      <c r="H478" s="515"/>
      <c r="I478" s="515"/>
      <c r="J478" s="515"/>
      <c r="K478" s="515"/>
      <c r="L478" s="515"/>
      <c r="M478" s="515"/>
      <c r="N478" s="515"/>
      <c r="O478" s="515"/>
      <c r="P478" s="515"/>
      <c r="Q478" s="515"/>
      <c r="R478" s="515"/>
      <c r="S478" s="515"/>
      <c r="T478" s="516"/>
      <c r="U478" s="352">
        <f>VLOOKUP(F478,Preisliste!C:F,4,FALSE)</f>
        <v>162.9</v>
      </c>
      <c r="V478" s="352">
        <f t="shared" ref="V478:V482" si="224">U478*B478</f>
        <v>0</v>
      </c>
      <c r="W478" s="146"/>
      <c r="X478" s="146"/>
      <c r="Y478" s="86"/>
      <c r="Z478" s="143"/>
      <c r="AA478" s="86"/>
      <c r="AB478" s="86"/>
      <c r="AC478" s="86"/>
      <c r="AD478" s="86"/>
      <c r="AE478" s="86"/>
      <c r="AF478" s="86"/>
      <c r="AG478" s="86">
        <f>IF(Kalk1!$AA$13=FALSE,'STK1'!$B169,0)</f>
        <v>0</v>
      </c>
      <c r="AH478" s="86">
        <f>IF(Kalk2!$AA$13=FALSE,'STK2'!$B169,0)</f>
        <v>0</v>
      </c>
      <c r="AI478" s="86">
        <f>IF(Kalk3!$AA$13=FALSE,'STK3'!$B169,0)</f>
        <v>0</v>
      </c>
      <c r="AJ478" s="86">
        <f>IF(Kalk4!$AA$13=FALSE,'STK4'!$B169,0)</f>
        <v>0</v>
      </c>
      <c r="AK478" s="86">
        <f>IF(Kalk5!$AA$13=FALSE,'STK5'!$B169,0)</f>
        <v>0</v>
      </c>
      <c r="AL478" s="86">
        <f t="shared" si="218"/>
        <v>0</v>
      </c>
    </row>
    <row r="479" spans="2:38" ht="24.95" customHeight="1">
      <c r="B479" s="92">
        <f t="shared" ref="B479:B482" si="225">AL479</f>
        <v>0</v>
      </c>
      <c r="C479" s="60">
        <v>2150</v>
      </c>
      <c r="D479" s="60"/>
      <c r="E479" s="60" t="str">
        <f>VLOOKUP(1600,Sprachindex!$A:$Z,Erhebungsbogen!$Y$20,FALSE)</f>
        <v>[Stk]</v>
      </c>
      <c r="F479" s="60" t="s">
        <v>21983</v>
      </c>
      <c r="G479" s="514" t="str">
        <f>VLOOKUP(2149,Sprachindex!$A:$Z,Erhebungsbogen!$Y$20,FALSE) &amp; ", " &amp; VLOOKUP(1645,Sprachindex!$A:$Z,Erhebungsbogen!$Y$20,FALSE) &amp; " " &amp; $AG$18</f>
        <v xml:space="preserve">U-Profil 25 (in der Laibung) exkl. Dichtung, gebohrt und entgratet, beschichtet </v>
      </c>
      <c r="H479" s="515"/>
      <c r="I479" s="515"/>
      <c r="J479" s="515"/>
      <c r="K479" s="515"/>
      <c r="L479" s="515"/>
      <c r="M479" s="515"/>
      <c r="N479" s="515"/>
      <c r="O479" s="515"/>
      <c r="P479" s="515"/>
      <c r="Q479" s="515"/>
      <c r="R479" s="515"/>
      <c r="S479" s="515"/>
      <c r="T479" s="516"/>
      <c r="U479" s="353">
        <f>VLOOKUP(F479,Preisliste!C:G,5,FALSE)</f>
        <v>179.19000000000003</v>
      </c>
      <c r="V479" s="352">
        <f t="shared" si="224"/>
        <v>0</v>
      </c>
      <c r="W479" s="146"/>
      <c r="X479" s="146"/>
      <c r="Y479" s="86"/>
      <c r="Z479" s="143">
        <f>(VLOOKUP(F479,Preisliste!C:G,5,FALSE)-VLOOKUP(F479,Preisliste!C:G,4,FALSE))*B479</f>
        <v>0</v>
      </c>
      <c r="AA479" s="86"/>
      <c r="AB479" s="86"/>
      <c r="AC479" s="86"/>
      <c r="AD479" s="86"/>
      <c r="AE479" s="86"/>
      <c r="AF479" s="86"/>
      <c r="AG479" s="86">
        <f>IF(Kalk1!$AA$13,'STK1'!$B169,0)</f>
        <v>0</v>
      </c>
      <c r="AL479" s="86">
        <f>SUM(AG479:AK479)</f>
        <v>0</v>
      </c>
    </row>
    <row r="480" spans="2:38" ht="24.95" customHeight="1">
      <c r="B480" s="92">
        <f t="shared" si="225"/>
        <v>0</v>
      </c>
      <c r="C480" s="60">
        <v>2150</v>
      </c>
      <c r="D480" s="60"/>
      <c r="E480" s="60" t="str">
        <f>VLOOKUP(1600,Sprachindex!$A:$Z,Erhebungsbogen!$Y$20,FALSE)</f>
        <v>[Stk]</v>
      </c>
      <c r="F480" s="60" t="s">
        <v>21983</v>
      </c>
      <c r="G480" s="514" t="str">
        <f>VLOOKUP(2149,Sprachindex!$A:$Z,Erhebungsbogen!$Y$20,FALSE) &amp; ", " &amp; VLOOKUP(1645,Sprachindex!$A:$Z,Erhebungsbogen!$Y$20,FALSE) &amp; " " &amp; $AH$18</f>
        <v>U-Profil 25 (in der Laibung) exkl. Dichtung, gebohrt und entgratet, beschichtet 0</v>
      </c>
      <c r="H480" s="515"/>
      <c r="I480" s="515"/>
      <c r="J480" s="515"/>
      <c r="K480" s="515"/>
      <c r="L480" s="515"/>
      <c r="M480" s="515"/>
      <c r="N480" s="515"/>
      <c r="O480" s="515"/>
      <c r="P480" s="515"/>
      <c r="Q480" s="515"/>
      <c r="R480" s="515"/>
      <c r="S480" s="515"/>
      <c r="T480" s="516"/>
      <c r="U480" s="353">
        <f>VLOOKUP(F480,Preisliste!C:G,5,FALSE)</f>
        <v>179.19000000000003</v>
      </c>
      <c r="V480" s="352">
        <f t="shared" si="224"/>
        <v>0</v>
      </c>
      <c r="W480" s="146"/>
      <c r="X480" s="146"/>
      <c r="Y480" s="86"/>
      <c r="Z480" s="143">
        <f>(VLOOKUP(F480,Preisliste!C:G,5,FALSE)-VLOOKUP(F480,Preisliste!C:G,4,FALSE))*B480</f>
        <v>0</v>
      </c>
      <c r="AA480" s="86"/>
      <c r="AB480" s="86"/>
      <c r="AC480" s="86"/>
      <c r="AD480" s="86"/>
      <c r="AE480" s="86"/>
      <c r="AF480" s="86"/>
      <c r="AH480" s="86">
        <f>IF(Kalk2!$AA$13,'STK2'!$B169,0)</f>
        <v>0</v>
      </c>
      <c r="AL480" s="86">
        <f t="shared" si="218"/>
        <v>0</v>
      </c>
    </row>
    <row r="481" spans="2:89" ht="24.95" customHeight="1">
      <c r="B481" s="92">
        <f t="shared" si="225"/>
        <v>0</v>
      </c>
      <c r="C481" s="60">
        <v>2150</v>
      </c>
      <c r="D481" s="60"/>
      <c r="E481" s="60" t="str">
        <f>VLOOKUP(1600,Sprachindex!$A:$Z,Erhebungsbogen!$Y$20,FALSE)</f>
        <v>[Stk]</v>
      </c>
      <c r="F481" s="60" t="s">
        <v>21983</v>
      </c>
      <c r="G481" s="514" t="str">
        <f>VLOOKUP(2149,Sprachindex!$A:$Z,Erhebungsbogen!$Y$20,FALSE) &amp; ", " &amp; VLOOKUP(1645,Sprachindex!$A:$Z,Erhebungsbogen!$Y$20,FALSE) &amp; " " &amp; $AI$18</f>
        <v>U-Profil 25 (in der Laibung) exkl. Dichtung, gebohrt und entgratet, beschichtet 0</v>
      </c>
      <c r="H481" s="515"/>
      <c r="I481" s="515"/>
      <c r="J481" s="515"/>
      <c r="K481" s="515"/>
      <c r="L481" s="515"/>
      <c r="M481" s="515"/>
      <c r="N481" s="515"/>
      <c r="O481" s="515"/>
      <c r="P481" s="515"/>
      <c r="Q481" s="515"/>
      <c r="R481" s="515"/>
      <c r="S481" s="515"/>
      <c r="T481" s="516"/>
      <c r="U481" s="353">
        <f>VLOOKUP(F481,Preisliste!C:G,5,FALSE)</f>
        <v>179.19000000000003</v>
      </c>
      <c r="V481" s="352">
        <f t="shared" si="224"/>
        <v>0</v>
      </c>
      <c r="W481" s="146"/>
      <c r="X481" s="146"/>
      <c r="Y481" s="86"/>
      <c r="Z481" s="143">
        <f>(VLOOKUP(F481,Preisliste!C:G,5,FALSE)-VLOOKUP(F481,Preisliste!C:G,4,FALSE))*B481</f>
        <v>0</v>
      </c>
      <c r="AA481" s="86"/>
      <c r="AB481" s="86"/>
      <c r="AC481" s="86"/>
      <c r="AD481" s="86"/>
      <c r="AE481" s="86"/>
      <c r="AF481" s="86"/>
      <c r="AI481" s="86">
        <f>IF(Kalk3!$AA$13,'STK3'!$B169,0)</f>
        <v>0</v>
      </c>
      <c r="AL481" s="86">
        <f t="shared" si="218"/>
        <v>0</v>
      </c>
    </row>
    <row r="482" spans="2:89" ht="24.95" customHeight="1">
      <c r="B482" s="92">
        <f t="shared" si="225"/>
        <v>0</v>
      </c>
      <c r="C482" s="60">
        <v>2150</v>
      </c>
      <c r="D482" s="60"/>
      <c r="E482" s="60" t="str">
        <f>VLOOKUP(1600,Sprachindex!$A:$Z,Erhebungsbogen!$Y$20,FALSE)</f>
        <v>[Stk]</v>
      </c>
      <c r="F482" s="60" t="s">
        <v>21983</v>
      </c>
      <c r="G482" s="514" t="str">
        <f>VLOOKUP(2149,Sprachindex!$A:$Z,Erhebungsbogen!$Y$20,FALSE) &amp; ", " &amp; VLOOKUP(1645,Sprachindex!$A:$Z,Erhebungsbogen!$Y$20,FALSE) &amp; " " &amp; $AJ$18</f>
        <v>U-Profil 25 (in der Laibung) exkl. Dichtung, gebohrt und entgratet, beschichtet 0</v>
      </c>
      <c r="H482" s="515"/>
      <c r="I482" s="515"/>
      <c r="J482" s="515"/>
      <c r="K482" s="515"/>
      <c r="L482" s="515"/>
      <c r="M482" s="515"/>
      <c r="N482" s="515"/>
      <c r="O482" s="515"/>
      <c r="P482" s="515"/>
      <c r="Q482" s="515"/>
      <c r="R482" s="515"/>
      <c r="S482" s="515"/>
      <c r="T482" s="516"/>
      <c r="U482" s="353">
        <f>VLOOKUP(F482,Preisliste!C:G,5,FALSE)</f>
        <v>179.19000000000003</v>
      </c>
      <c r="V482" s="352">
        <f t="shared" si="224"/>
        <v>0</v>
      </c>
      <c r="W482" s="146"/>
      <c r="X482" s="146"/>
      <c r="Y482" s="86"/>
      <c r="Z482" s="143">
        <f>(VLOOKUP(F482,Preisliste!C:G,5,FALSE)-VLOOKUP(F482,Preisliste!C:G,4,FALSE))*B482</f>
        <v>0</v>
      </c>
      <c r="AA482" s="86"/>
      <c r="AB482" s="86"/>
      <c r="AC482" s="86"/>
      <c r="AD482" s="86"/>
      <c r="AE482" s="86"/>
      <c r="AF482" s="86"/>
      <c r="AJ482" s="86">
        <f>IF(Kalk4!$AA$13,'STK4'!$B169,0)</f>
        <v>0</v>
      </c>
      <c r="AL482" s="86">
        <f t="shared" si="218"/>
        <v>0</v>
      </c>
    </row>
    <row r="483" spans="2:89" ht="24.95" customHeight="1">
      <c r="B483" s="92">
        <f t="shared" si="201"/>
        <v>0</v>
      </c>
      <c r="C483" s="60">
        <v>2150</v>
      </c>
      <c r="D483" s="60"/>
      <c r="E483" s="60" t="str">
        <f>VLOOKUP(1600,Sprachindex!$A:$Z,Erhebungsbogen!$Y$20,FALSE)</f>
        <v>[Stk]</v>
      </c>
      <c r="F483" s="60" t="s">
        <v>21983</v>
      </c>
      <c r="G483" s="514" t="str">
        <f>VLOOKUP(2149,Sprachindex!$A:$Z,Erhebungsbogen!$Y$20,FALSE) &amp; ", " &amp; VLOOKUP(1645,Sprachindex!$A:$Z,Erhebungsbogen!$Y$20,FALSE) &amp; " " &amp; $AK$18</f>
        <v>U-Profil 25 (in der Laibung) exkl. Dichtung, gebohrt und entgratet, beschichtet 0</v>
      </c>
      <c r="H483" s="515"/>
      <c r="I483" s="515"/>
      <c r="J483" s="515"/>
      <c r="K483" s="515"/>
      <c r="L483" s="515"/>
      <c r="M483" s="515"/>
      <c r="N483" s="515"/>
      <c r="O483" s="515"/>
      <c r="P483" s="515"/>
      <c r="Q483" s="515"/>
      <c r="R483" s="515"/>
      <c r="S483" s="515"/>
      <c r="T483" s="516"/>
      <c r="U483" s="353">
        <f>VLOOKUP(F483,Preisliste!C:G,5,FALSE)</f>
        <v>179.19000000000003</v>
      </c>
      <c r="V483" s="352">
        <f t="shared" si="183"/>
        <v>0</v>
      </c>
      <c r="W483" s="146"/>
      <c r="X483" s="146"/>
      <c r="Y483" s="86"/>
      <c r="Z483" s="143">
        <f>(VLOOKUP(F483,Preisliste!C:G,5,FALSE)-VLOOKUP(F483,Preisliste!C:G,4,FALSE))*B483</f>
        <v>0</v>
      </c>
      <c r="AA483" s="86"/>
      <c r="AB483" s="86"/>
      <c r="AC483" s="86"/>
      <c r="AD483" s="86"/>
      <c r="AE483" s="86"/>
      <c r="AF483" s="86"/>
      <c r="AK483" s="86">
        <f>IF(Kalk5!$AA$13,'STK5'!$B169,0)</f>
        <v>0</v>
      </c>
      <c r="AL483" s="86">
        <f t="shared" si="218"/>
        <v>0</v>
      </c>
    </row>
    <row r="484" spans="2:89" ht="24.95" customHeight="1">
      <c r="B484" s="92">
        <f t="shared" si="201"/>
        <v>0</v>
      </c>
      <c r="C484" s="138">
        <f>AK484</f>
        <v>0</v>
      </c>
      <c r="D484" s="60"/>
      <c r="E484" s="60" t="str">
        <f>VLOOKUP(1600,Sprachindex!$A:$Z,Erhebungsbogen!$Y$20,FALSE)</f>
        <v>[Stk]</v>
      </c>
      <c r="F484" s="60" t="s">
        <v>21883</v>
      </c>
      <c r="G484" s="514" t="str">
        <f>VLOOKUP(1858,Sprachindex!$A:$Z,Erhebungsbogen!$Y$20,FALSE) &amp; ", " &amp; VLOOKUP(1648,Sprachindex!$A:$Z,Erhebungsbogen!$Y$20,FALSE)</f>
        <v>U-Profil 25 Sonderlänge exkl. Dichtung, (Stangenware), blank</v>
      </c>
      <c r="H484" s="515"/>
      <c r="I484" s="515"/>
      <c r="J484" s="515"/>
      <c r="K484" s="515"/>
      <c r="L484" s="515"/>
      <c r="M484" s="515"/>
      <c r="N484" s="515"/>
      <c r="O484" s="515"/>
      <c r="P484" s="515"/>
      <c r="Q484" s="515"/>
      <c r="R484" s="515"/>
      <c r="S484" s="515"/>
      <c r="T484" s="516"/>
      <c r="U484" s="352">
        <f>VLOOKUP(F484,Preisliste!C:F,4,FALSE)</f>
        <v>72</v>
      </c>
      <c r="V484" s="352">
        <f t="shared" si="183"/>
        <v>0</v>
      </c>
      <c r="W484" s="146"/>
      <c r="X484" s="146"/>
      <c r="Y484" s="86"/>
      <c r="Z484" s="143"/>
      <c r="AA484" s="86"/>
      <c r="AB484" s="86"/>
      <c r="AC484" s="86"/>
      <c r="AD484" s="86"/>
      <c r="AE484" s="86"/>
      <c r="AF484" s="86"/>
      <c r="AK484" s="86">
        <f>'STK1'!$C$170</f>
        <v>0</v>
      </c>
      <c r="AL484" s="86">
        <f>'STK1'!$B$170</f>
        <v>0</v>
      </c>
      <c r="CK484" s="245"/>
    </row>
    <row r="485" spans="2:89" ht="24.95" customHeight="1">
      <c r="B485" s="92">
        <f t="shared" si="201"/>
        <v>0</v>
      </c>
      <c r="C485" s="138">
        <f t="shared" ref="C485:C488" si="226">AK485</f>
        <v>0</v>
      </c>
      <c r="D485" s="60"/>
      <c r="E485" s="60" t="str">
        <f>VLOOKUP(1600,Sprachindex!$A:$Z,Erhebungsbogen!$Y$20,FALSE)</f>
        <v>[Stk]</v>
      </c>
      <c r="F485" s="60" t="s">
        <v>21883</v>
      </c>
      <c r="G485" s="514" t="str">
        <f>VLOOKUP(1858,Sprachindex!$A:$Z,Erhebungsbogen!$Y$20,FALSE) &amp; ", " &amp; VLOOKUP(1648,Sprachindex!$A:$Z,Erhebungsbogen!$Y$20,FALSE)</f>
        <v>U-Profil 25 Sonderlänge exkl. Dichtung, (Stangenware), blank</v>
      </c>
      <c r="H485" s="515"/>
      <c r="I485" s="515"/>
      <c r="J485" s="515"/>
      <c r="K485" s="515"/>
      <c r="L485" s="515"/>
      <c r="M485" s="515"/>
      <c r="N485" s="515"/>
      <c r="O485" s="515"/>
      <c r="P485" s="515"/>
      <c r="Q485" s="515"/>
      <c r="R485" s="515"/>
      <c r="S485" s="515"/>
      <c r="T485" s="516"/>
      <c r="U485" s="352">
        <f>VLOOKUP(F485,Preisliste!C:F,4,FALSE)</f>
        <v>72</v>
      </c>
      <c r="V485" s="352">
        <f t="shared" si="183"/>
        <v>0</v>
      </c>
      <c r="W485" s="146"/>
      <c r="X485" s="146"/>
      <c r="Y485" s="86"/>
      <c r="Z485" s="143"/>
      <c r="AA485" s="86"/>
      <c r="AB485" s="86"/>
      <c r="AC485" s="86"/>
      <c r="AD485" s="86"/>
      <c r="AE485" s="86"/>
      <c r="AF485" s="86"/>
      <c r="AK485" s="86">
        <f>'STK2'!$C$170</f>
        <v>0</v>
      </c>
      <c r="AL485" s="86">
        <f>'STK2'!$B$170</f>
        <v>0</v>
      </c>
      <c r="CK485" s="245"/>
    </row>
    <row r="486" spans="2:89" ht="24.95" customHeight="1">
      <c r="B486" s="92">
        <f t="shared" si="201"/>
        <v>0</v>
      </c>
      <c r="C486" s="138">
        <f t="shared" si="226"/>
        <v>0</v>
      </c>
      <c r="D486" s="60"/>
      <c r="E486" s="60" t="str">
        <f>VLOOKUP(1600,Sprachindex!$A:$Z,Erhebungsbogen!$Y$20,FALSE)</f>
        <v>[Stk]</v>
      </c>
      <c r="F486" s="60" t="s">
        <v>21883</v>
      </c>
      <c r="G486" s="514" t="str">
        <f>VLOOKUP(1858,Sprachindex!$A:$Z,Erhebungsbogen!$Y$20,FALSE) &amp; ", " &amp; VLOOKUP(1648,Sprachindex!$A:$Z,Erhebungsbogen!$Y$20,FALSE)</f>
        <v>U-Profil 25 Sonderlänge exkl. Dichtung, (Stangenware), blank</v>
      </c>
      <c r="H486" s="515"/>
      <c r="I486" s="515"/>
      <c r="J486" s="515"/>
      <c r="K486" s="515"/>
      <c r="L486" s="515"/>
      <c r="M486" s="515"/>
      <c r="N486" s="515"/>
      <c r="O486" s="515"/>
      <c r="P486" s="515"/>
      <c r="Q486" s="515"/>
      <c r="R486" s="515"/>
      <c r="S486" s="515"/>
      <c r="T486" s="516"/>
      <c r="U486" s="352">
        <f>VLOOKUP(F486,Preisliste!C:F,4,FALSE)</f>
        <v>72</v>
      </c>
      <c r="V486" s="352">
        <f t="shared" ref="V486" si="227">U486*B486</f>
        <v>0</v>
      </c>
      <c r="W486" s="146"/>
      <c r="X486" s="146"/>
      <c r="Y486" s="86"/>
      <c r="Z486" s="143"/>
      <c r="AA486" s="86"/>
      <c r="AB486" s="86"/>
      <c r="AC486" s="86"/>
      <c r="AD486" s="86"/>
      <c r="AE486" s="86"/>
      <c r="AF486" s="86"/>
      <c r="AK486" s="86">
        <f>'STK3'!$C$170</f>
        <v>0</v>
      </c>
      <c r="AL486" s="86">
        <f>'STK3'!$B$170</f>
        <v>0</v>
      </c>
      <c r="CK486" s="245"/>
    </row>
    <row r="487" spans="2:89" ht="24.95" customHeight="1">
      <c r="B487" s="92">
        <f t="shared" si="201"/>
        <v>0</v>
      </c>
      <c r="C487" s="138">
        <f t="shared" si="226"/>
        <v>0</v>
      </c>
      <c r="D487" s="60"/>
      <c r="E487" s="60" t="str">
        <f>VLOOKUP(1600,Sprachindex!$A:$Z,Erhebungsbogen!$Y$20,FALSE)</f>
        <v>[Stk]</v>
      </c>
      <c r="F487" s="60" t="s">
        <v>21883</v>
      </c>
      <c r="G487" s="514" t="str">
        <f>VLOOKUP(1858,Sprachindex!$A:$Z,Erhebungsbogen!$Y$20,FALSE) &amp; ", " &amp; VLOOKUP(1648,Sprachindex!$A:$Z,Erhebungsbogen!$Y$20,FALSE)</f>
        <v>U-Profil 25 Sonderlänge exkl. Dichtung, (Stangenware), blank</v>
      </c>
      <c r="H487" s="515"/>
      <c r="I487" s="515"/>
      <c r="J487" s="515"/>
      <c r="K487" s="515"/>
      <c r="L487" s="515"/>
      <c r="M487" s="515"/>
      <c r="N487" s="515"/>
      <c r="O487" s="515"/>
      <c r="P487" s="515"/>
      <c r="Q487" s="515"/>
      <c r="R487" s="515"/>
      <c r="S487" s="515"/>
      <c r="T487" s="516"/>
      <c r="U487" s="352">
        <f>VLOOKUP(F487,Preisliste!C:F,4,FALSE)</f>
        <v>72</v>
      </c>
      <c r="V487" s="352">
        <f t="shared" ref="V487" si="228">U487*B487</f>
        <v>0</v>
      </c>
      <c r="W487" s="146"/>
      <c r="X487" s="146"/>
      <c r="Y487" s="86"/>
      <c r="Z487" s="143"/>
      <c r="AA487" s="86"/>
      <c r="AB487" s="86"/>
      <c r="AC487" s="86"/>
      <c r="AD487" s="86"/>
      <c r="AE487" s="86"/>
      <c r="AF487" s="86"/>
      <c r="AK487" s="86">
        <f>'STK4'!$C$170</f>
        <v>0</v>
      </c>
      <c r="AL487" s="86">
        <f>'STK4'!$B$170</f>
        <v>0</v>
      </c>
      <c r="CK487" s="245"/>
    </row>
    <row r="488" spans="2:89" ht="24.95" customHeight="1">
      <c r="B488" s="92">
        <f t="shared" si="201"/>
        <v>0</v>
      </c>
      <c r="C488" s="138">
        <f t="shared" si="226"/>
        <v>0</v>
      </c>
      <c r="D488" s="60"/>
      <c r="E488" s="60" t="str">
        <f>VLOOKUP(1600,Sprachindex!$A:$Z,Erhebungsbogen!$Y$20,FALSE)</f>
        <v>[Stk]</v>
      </c>
      <c r="F488" s="60" t="s">
        <v>21883</v>
      </c>
      <c r="G488" s="514" t="str">
        <f>VLOOKUP(1858,Sprachindex!$A:$Z,Erhebungsbogen!$Y$20,FALSE) &amp; ", " &amp; VLOOKUP(1648,Sprachindex!$A:$Z,Erhebungsbogen!$Y$20,FALSE)</f>
        <v>U-Profil 25 Sonderlänge exkl. Dichtung, (Stangenware), blank</v>
      </c>
      <c r="H488" s="515"/>
      <c r="I488" s="515"/>
      <c r="J488" s="515"/>
      <c r="K488" s="515"/>
      <c r="L488" s="515"/>
      <c r="M488" s="515"/>
      <c r="N488" s="515"/>
      <c r="O488" s="515"/>
      <c r="P488" s="515"/>
      <c r="Q488" s="515"/>
      <c r="R488" s="515"/>
      <c r="S488" s="515"/>
      <c r="T488" s="516"/>
      <c r="U488" s="352">
        <f>VLOOKUP(F488,Preisliste!C:F,4,FALSE)</f>
        <v>72</v>
      </c>
      <c r="V488" s="352">
        <f t="shared" si="183"/>
        <v>0</v>
      </c>
      <c r="W488" s="146"/>
      <c r="X488" s="146"/>
      <c r="Y488" s="86"/>
      <c r="Z488" s="143"/>
      <c r="AA488" s="86"/>
      <c r="AB488" s="86"/>
      <c r="AC488" s="86"/>
      <c r="AD488" s="86"/>
      <c r="AE488" s="86"/>
      <c r="AF488" s="86"/>
      <c r="AK488" s="86">
        <f>'STK5'!$C$170</f>
        <v>0</v>
      </c>
      <c r="AL488" s="86">
        <f>'STK5'!$B$170</f>
        <v>0</v>
      </c>
      <c r="CK488" s="245"/>
    </row>
    <row r="489" spans="2:89" ht="24.95" customHeight="1">
      <c r="B489" s="92">
        <f t="shared" si="201"/>
        <v>0</v>
      </c>
      <c r="C489" s="60">
        <v>750</v>
      </c>
      <c r="D489" s="60"/>
      <c r="E489" s="60" t="str">
        <f>VLOOKUP(1600,Sprachindex!$A:$Z,Erhebungsbogen!$Y$20,FALSE)</f>
        <v>[Stk]</v>
      </c>
      <c r="F489" s="60" t="s">
        <v>21886</v>
      </c>
      <c r="G489" s="514" t="str">
        <f>VLOOKUP(1859,Sprachindex!$A:$Z,Erhebungsbogen!$Y$20,FALSE) &amp; ", " &amp; VLOOKUP(1648,Sprachindex!$A:$Z,Erhebungsbogen!$Y$20,FALSE)</f>
        <v>U-Profil 50 exkl. Dichtung, gebohrt und entgratet, blank</v>
      </c>
      <c r="H489" s="514"/>
      <c r="I489" s="514"/>
      <c r="J489" s="514"/>
      <c r="K489" s="514"/>
      <c r="L489" s="514"/>
      <c r="M489" s="514"/>
      <c r="N489" s="514"/>
      <c r="O489" s="514"/>
      <c r="P489" s="514"/>
      <c r="Q489" s="514"/>
      <c r="R489" s="514"/>
      <c r="S489" s="514"/>
      <c r="T489" s="514"/>
      <c r="U489" s="352">
        <f>VLOOKUP(F489,Preisliste!C:F,4,FALSE)</f>
        <v>134.25</v>
      </c>
      <c r="V489" s="352">
        <f t="shared" ref="V489:V493" si="229">U489*B489</f>
        <v>0</v>
      </c>
      <c r="W489" s="146"/>
      <c r="X489" s="146"/>
      <c r="Y489" s="86"/>
      <c r="Z489" s="143"/>
      <c r="AA489" s="86"/>
      <c r="AB489" s="86"/>
      <c r="AC489" s="86"/>
      <c r="AD489" s="86"/>
      <c r="AE489" s="86"/>
      <c r="AF489" s="86"/>
      <c r="AG489" s="86">
        <f>IF(Kalk1!$AA$13=FALSE,'STK1'!$B171,0)</f>
        <v>0</v>
      </c>
      <c r="AH489" s="86">
        <f>IF(Kalk2!$AA$13=FALSE,'STK2'!$B171,0)</f>
        <v>0</v>
      </c>
      <c r="AI489" s="86">
        <f>IF(Kalk3!$AA$13=FALSE,'STK3'!$B171,0)</f>
        <v>0</v>
      </c>
      <c r="AJ489" s="86">
        <f>IF(Kalk4!$AA$13=FALSE,'STK4'!$B171,0)</f>
        <v>0</v>
      </c>
      <c r="AK489" s="86">
        <f>IF(Kalk5!$AA$13=FALSE,'STK5'!$B171,0)</f>
        <v>0</v>
      </c>
      <c r="AL489" s="86">
        <f t="shared" si="218"/>
        <v>0</v>
      </c>
    </row>
    <row r="490" spans="2:89" ht="24.95" customHeight="1">
      <c r="B490" s="92">
        <f t="shared" ref="B490:B493" si="230">AL490</f>
        <v>0</v>
      </c>
      <c r="C490" s="60">
        <v>750</v>
      </c>
      <c r="D490" s="60"/>
      <c r="E490" s="60" t="str">
        <f>VLOOKUP(1600,Sprachindex!$A:$Z,Erhebungsbogen!$Y$20,FALSE)</f>
        <v>[Stk]</v>
      </c>
      <c r="F490" s="60" t="s">
        <v>21886</v>
      </c>
      <c r="G490" s="514" t="str">
        <f>VLOOKUP(1859,Sprachindex!$A:$Z,Erhebungsbogen!$Y$20,FALSE) &amp; ", " &amp; VLOOKUP(1645,Sprachindex!$A:$Z,Erhebungsbogen!$Y$20,FALSE) &amp; " " &amp; $AG$18</f>
        <v xml:space="preserve">U-Profil 50 exkl. Dichtung, gebohrt und entgratet, beschichtet </v>
      </c>
      <c r="H490" s="514"/>
      <c r="I490" s="514"/>
      <c r="J490" s="514"/>
      <c r="K490" s="514"/>
      <c r="L490" s="514"/>
      <c r="M490" s="514"/>
      <c r="N490" s="514"/>
      <c r="O490" s="514"/>
      <c r="P490" s="514"/>
      <c r="Q490" s="514"/>
      <c r="R490" s="514"/>
      <c r="S490" s="514"/>
      <c r="T490" s="514"/>
      <c r="U490" s="353">
        <f>VLOOKUP(F490,Preisliste!C:G,5,FALSE)</f>
        <v>147.67500000000001</v>
      </c>
      <c r="V490" s="352">
        <f t="shared" si="229"/>
        <v>0</v>
      </c>
      <c r="W490" s="146"/>
      <c r="X490" s="146"/>
      <c r="Y490" s="86"/>
      <c r="Z490" s="143">
        <f>(VLOOKUP(F490,Preisliste!C:G,5,FALSE)-VLOOKUP(F490,Preisliste!C:G,4,FALSE))*B490</f>
        <v>0</v>
      </c>
      <c r="AA490" s="86"/>
      <c r="AB490" s="86"/>
      <c r="AC490" s="86"/>
      <c r="AD490" s="86"/>
      <c r="AE490" s="86"/>
      <c r="AF490" s="86"/>
      <c r="AG490" s="86">
        <f>IF(Kalk1!$AA$13,'STK1'!$B171,0)</f>
        <v>0</v>
      </c>
      <c r="AL490" s="86">
        <f>SUM(AG490:AK490)</f>
        <v>0</v>
      </c>
    </row>
    <row r="491" spans="2:89" ht="24.95" customHeight="1">
      <c r="B491" s="92">
        <f t="shared" si="230"/>
        <v>0</v>
      </c>
      <c r="C491" s="60">
        <v>750</v>
      </c>
      <c r="D491" s="60"/>
      <c r="E491" s="60" t="str">
        <f>VLOOKUP(1600,Sprachindex!$A:$Z,Erhebungsbogen!$Y$20,FALSE)</f>
        <v>[Stk]</v>
      </c>
      <c r="F491" s="60" t="s">
        <v>21886</v>
      </c>
      <c r="G491" s="514" t="str">
        <f>VLOOKUP(1859,Sprachindex!$A:$Z,Erhebungsbogen!$Y$20,FALSE) &amp; ", " &amp; VLOOKUP(1645,Sprachindex!$A:$Z,Erhebungsbogen!$Y$20,FALSE) &amp; " " &amp; $AH$18</f>
        <v>U-Profil 50 exkl. Dichtung, gebohrt und entgratet, beschichtet 0</v>
      </c>
      <c r="H491" s="514"/>
      <c r="I491" s="514"/>
      <c r="J491" s="514"/>
      <c r="K491" s="514"/>
      <c r="L491" s="514"/>
      <c r="M491" s="514"/>
      <c r="N491" s="514"/>
      <c r="O491" s="514"/>
      <c r="P491" s="514"/>
      <c r="Q491" s="514"/>
      <c r="R491" s="514"/>
      <c r="S491" s="514"/>
      <c r="T491" s="514"/>
      <c r="U491" s="353">
        <f>VLOOKUP(F491,Preisliste!C:G,5,FALSE)</f>
        <v>147.67500000000001</v>
      </c>
      <c r="V491" s="352">
        <f t="shared" si="229"/>
        <v>0</v>
      </c>
      <c r="W491" s="146"/>
      <c r="X491" s="146"/>
      <c r="Y491" s="86"/>
      <c r="Z491" s="143">
        <f>(VLOOKUP(F491,Preisliste!C:G,5,FALSE)-VLOOKUP(F491,Preisliste!C:G,4,FALSE))*B491</f>
        <v>0</v>
      </c>
      <c r="AA491" s="86"/>
      <c r="AB491" s="86"/>
      <c r="AC491" s="86"/>
      <c r="AD491" s="86"/>
      <c r="AE491" s="86"/>
      <c r="AF491" s="86"/>
      <c r="AH491" s="86">
        <f>IF(Kalk2!$AA$13,'STK2'!$B171,0)</f>
        <v>0</v>
      </c>
      <c r="AL491" s="86">
        <f t="shared" si="218"/>
        <v>0</v>
      </c>
    </row>
    <row r="492" spans="2:89" ht="24.95" customHeight="1">
      <c r="B492" s="92">
        <f t="shared" si="230"/>
        <v>0</v>
      </c>
      <c r="C492" s="60">
        <v>750</v>
      </c>
      <c r="D492" s="60"/>
      <c r="E492" s="60" t="str">
        <f>VLOOKUP(1600,Sprachindex!$A:$Z,Erhebungsbogen!$Y$20,FALSE)</f>
        <v>[Stk]</v>
      </c>
      <c r="F492" s="60" t="s">
        <v>21886</v>
      </c>
      <c r="G492" s="514" t="str">
        <f>VLOOKUP(1859,Sprachindex!$A:$Z,Erhebungsbogen!$Y$20,FALSE) &amp; ", " &amp; VLOOKUP(1645,Sprachindex!$A:$Z,Erhebungsbogen!$Y$20,FALSE) &amp; " " &amp; $AI$18</f>
        <v>U-Profil 50 exkl. Dichtung, gebohrt und entgratet, beschichtet 0</v>
      </c>
      <c r="H492" s="514"/>
      <c r="I492" s="514"/>
      <c r="J492" s="514"/>
      <c r="K492" s="514"/>
      <c r="L492" s="514"/>
      <c r="M492" s="514"/>
      <c r="N492" s="514"/>
      <c r="O492" s="514"/>
      <c r="P492" s="514"/>
      <c r="Q492" s="514"/>
      <c r="R492" s="514"/>
      <c r="S492" s="514"/>
      <c r="T492" s="514"/>
      <c r="U492" s="353">
        <f>VLOOKUP(F492,Preisliste!C:G,5,FALSE)</f>
        <v>147.67500000000001</v>
      </c>
      <c r="V492" s="352">
        <f t="shared" si="229"/>
        <v>0</v>
      </c>
      <c r="W492" s="146"/>
      <c r="X492" s="146"/>
      <c r="Y492" s="86"/>
      <c r="Z492" s="143">
        <f>(VLOOKUP(F492,Preisliste!C:G,5,FALSE)-VLOOKUP(F492,Preisliste!C:G,4,FALSE))*B492</f>
        <v>0</v>
      </c>
      <c r="AA492" s="86"/>
      <c r="AB492" s="86"/>
      <c r="AC492" s="86"/>
      <c r="AD492" s="86"/>
      <c r="AE492" s="86"/>
      <c r="AF492" s="86"/>
      <c r="AI492" s="86">
        <f>IF(Kalk3!$AA$13,'STK3'!$B171,0)</f>
        <v>0</v>
      </c>
      <c r="AL492" s="86">
        <f t="shared" si="218"/>
        <v>0</v>
      </c>
    </row>
    <row r="493" spans="2:89" ht="24.95" customHeight="1">
      <c r="B493" s="92">
        <f t="shared" si="230"/>
        <v>0</v>
      </c>
      <c r="C493" s="60">
        <v>750</v>
      </c>
      <c r="D493" s="60"/>
      <c r="E493" s="60" t="str">
        <f>VLOOKUP(1600,Sprachindex!$A:$Z,Erhebungsbogen!$Y$20,FALSE)</f>
        <v>[Stk]</v>
      </c>
      <c r="F493" s="60" t="s">
        <v>21886</v>
      </c>
      <c r="G493" s="514" t="str">
        <f>VLOOKUP(1859,Sprachindex!$A:$Z,Erhebungsbogen!$Y$20,FALSE) &amp; ", " &amp; VLOOKUP(1645,Sprachindex!$A:$Z,Erhebungsbogen!$Y$20,FALSE) &amp; " " &amp; $AJ$18</f>
        <v>U-Profil 50 exkl. Dichtung, gebohrt und entgratet, beschichtet 0</v>
      </c>
      <c r="H493" s="514"/>
      <c r="I493" s="514"/>
      <c r="J493" s="514"/>
      <c r="K493" s="514"/>
      <c r="L493" s="514"/>
      <c r="M493" s="514"/>
      <c r="N493" s="514"/>
      <c r="O493" s="514"/>
      <c r="P493" s="514"/>
      <c r="Q493" s="514"/>
      <c r="R493" s="514"/>
      <c r="S493" s="514"/>
      <c r="T493" s="514"/>
      <c r="U493" s="353">
        <f>VLOOKUP(F493,Preisliste!C:G,5,FALSE)</f>
        <v>147.67500000000001</v>
      </c>
      <c r="V493" s="352">
        <f t="shared" si="229"/>
        <v>0</v>
      </c>
      <c r="W493" s="146"/>
      <c r="X493" s="146"/>
      <c r="Y493" s="86"/>
      <c r="Z493" s="143">
        <f>(VLOOKUP(F493,Preisliste!C:G,5,FALSE)-VLOOKUP(F493,Preisliste!C:G,4,FALSE))*B493</f>
        <v>0</v>
      </c>
      <c r="AA493" s="86"/>
      <c r="AB493" s="86"/>
      <c r="AC493" s="86"/>
      <c r="AD493" s="86"/>
      <c r="AE493" s="86"/>
      <c r="AF493" s="86"/>
      <c r="AJ493" s="86">
        <f>IF(Kalk4!$AA$13,'STK4'!$B171,0)</f>
        <v>0</v>
      </c>
      <c r="AL493" s="86">
        <f t="shared" si="218"/>
        <v>0</v>
      </c>
    </row>
    <row r="494" spans="2:89" ht="24.95" customHeight="1">
      <c r="B494" s="92">
        <f t="shared" si="201"/>
        <v>0</v>
      </c>
      <c r="C494" s="60">
        <v>750</v>
      </c>
      <c r="D494" s="60"/>
      <c r="E494" s="60" t="str">
        <f>VLOOKUP(1600,Sprachindex!$A:$Z,Erhebungsbogen!$Y$20,FALSE)</f>
        <v>[Stk]</v>
      </c>
      <c r="F494" s="60" t="s">
        <v>21886</v>
      </c>
      <c r="G494" s="514" t="str">
        <f>VLOOKUP(1859,Sprachindex!$A:$Z,Erhebungsbogen!$Y$20,FALSE) &amp; ", " &amp; VLOOKUP(1645,Sprachindex!$A:$Z,Erhebungsbogen!$Y$20,FALSE) &amp; " " &amp; $AK$18</f>
        <v>U-Profil 50 exkl. Dichtung, gebohrt und entgratet, beschichtet 0</v>
      </c>
      <c r="H494" s="514"/>
      <c r="I494" s="514"/>
      <c r="J494" s="514"/>
      <c r="K494" s="514"/>
      <c r="L494" s="514"/>
      <c r="M494" s="514"/>
      <c r="N494" s="514"/>
      <c r="O494" s="514"/>
      <c r="P494" s="514"/>
      <c r="Q494" s="514"/>
      <c r="R494" s="514"/>
      <c r="S494" s="514"/>
      <c r="T494" s="514"/>
      <c r="U494" s="353">
        <f>VLOOKUP(F494,Preisliste!C:G,5,FALSE)</f>
        <v>147.67500000000001</v>
      </c>
      <c r="V494" s="352">
        <f t="shared" si="183"/>
        <v>0</v>
      </c>
      <c r="W494" s="146"/>
      <c r="X494" s="146"/>
      <c r="Y494" s="86"/>
      <c r="Z494" s="143">
        <f>(VLOOKUP(F494,Preisliste!C:G,5,FALSE)-VLOOKUP(F494,Preisliste!C:G,4,FALSE))*B494</f>
        <v>0</v>
      </c>
      <c r="AA494" s="86"/>
      <c r="AB494" s="86"/>
      <c r="AC494" s="86"/>
      <c r="AD494" s="86"/>
      <c r="AE494" s="86"/>
      <c r="AF494" s="86"/>
      <c r="AK494" s="86">
        <f>IF(Kalk5!$AA$13,'STK5'!$B171,0)</f>
        <v>0</v>
      </c>
      <c r="AL494" s="86">
        <f t="shared" si="218"/>
        <v>0</v>
      </c>
    </row>
    <row r="495" spans="2:89" ht="24.95" customHeight="1">
      <c r="B495" s="92">
        <f t="shared" si="201"/>
        <v>0</v>
      </c>
      <c r="C495" s="60">
        <v>1350</v>
      </c>
      <c r="D495" s="60"/>
      <c r="E495" s="60" t="str">
        <f>VLOOKUP(1600,Sprachindex!$A:$Z,Erhebungsbogen!$Y$20,FALSE)</f>
        <v>[Stk]</v>
      </c>
      <c r="F495" s="60" t="s">
        <v>21887</v>
      </c>
      <c r="G495" s="514" t="str">
        <f>VLOOKUP(1859,Sprachindex!$A:$Z,Erhebungsbogen!$Y$20,FALSE) &amp; ", " &amp; VLOOKUP(1648,Sprachindex!$A:$Z,Erhebungsbogen!$Y$20,FALSE)</f>
        <v>U-Profil 50 exkl. Dichtung, gebohrt und entgratet, blank</v>
      </c>
      <c r="H495" s="514"/>
      <c r="I495" s="514"/>
      <c r="J495" s="514"/>
      <c r="K495" s="514"/>
      <c r="L495" s="514"/>
      <c r="M495" s="514"/>
      <c r="N495" s="514"/>
      <c r="O495" s="514"/>
      <c r="P495" s="514"/>
      <c r="Q495" s="514"/>
      <c r="R495" s="514"/>
      <c r="S495" s="514"/>
      <c r="T495" s="514"/>
      <c r="U495" s="352">
        <f>VLOOKUP(F495,Preisliste!C:F,4,FALSE)</f>
        <v>206.7</v>
      </c>
      <c r="V495" s="352">
        <f t="shared" ref="V495:V499" si="231">U495*B495</f>
        <v>0</v>
      </c>
      <c r="W495" s="146"/>
      <c r="X495" s="146"/>
      <c r="Y495" s="86"/>
      <c r="Z495" s="143"/>
      <c r="AA495" s="86"/>
      <c r="AB495" s="86"/>
      <c r="AC495" s="86"/>
      <c r="AD495" s="86"/>
      <c r="AE495" s="86"/>
      <c r="AF495" s="86"/>
      <c r="AG495" s="86">
        <f>IF(Kalk1!$AA$13=FALSE,'STK1'!$B172,0)</f>
        <v>0</v>
      </c>
      <c r="AH495" s="86">
        <f>IF(Kalk2!$AA$13=FALSE,'STK2'!$B172,0)</f>
        <v>0</v>
      </c>
      <c r="AI495" s="86">
        <f>IF(Kalk3!$AA$13=FALSE,'STK3'!$B172,0)</f>
        <v>0</v>
      </c>
      <c r="AJ495" s="86">
        <f>IF(Kalk4!$AA$13=FALSE,'STK4'!$B172,0)</f>
        <v>0</v>
      </c>
      <c r="AK495" s="86">
        <f>IF(Kalk5!$AA$13=FALSE,'STK5'!$B172,0)</f>
        <v>0</v>
      </c>
      <c r="AL495" s="86">
        <f t="shared" si="218"/>
        <v>0</v>
      </c>
    </row>
    <row r="496" spans="2:89" ht="24.95" customHeight="1">
      <c r="B496" s="92">
        <f t="shared" ref="B496:B499" si="232">AL496</f>
        <v>0</v>
      </c>
      <c r="C496" s="60">
        <v>1350</v>
      </c>
      <c r="D496" s="60"/>
      <c r="E496" s="60" t="str">
        <f>VLOOKUP(1600,Sprachindex!$A:$Z,Erhebungsbogen!$Y$20,FALSE)</f>
        <v>[Stk]</v>
      </c>
      <c r="F496" s="60" t="s">
        <v>21887</v>
      </c>
      <c r="G496" s="514" t="str">
        <f>VLOOKUP(1859,Sprachindex!$A:$Z,Erhebungsbogen!$Y$20,FALSE) &amp; ", " &amp; VLOOKUP(1645,Sprachindex!$A:$Z,Erhebungsbogen!$Y$20,FALSE) &amp; " " &amp; $AG$18</f>
        <v xml:space="preserve">U-Profil 50 exkl. Dichtung, gebohrt und entgratet, beschichtet </v>
      </c>
      <c r="H496" s="514"/>
      <c r="I496" s="514"/>
      <c r="J496" s="514"/>
      <c r="K496" s="514"/>
      <c r="L496" s="514"/>
      <c r="M496" s="514"/>
      <c r="N496" s="514"/>
      <c r="O496" s="514"/>
      <c r="P496" s="514"/>
      <c r="Q496" s="514"/>
      <c r="R496" s="514"/>
      <c r="S496" s="514"/>
      <c r="T496" s="514"/>
      <c r="U496" s="353">
        <f>VLOOKUP(F496,Preisliste!C:G,5,FALSE)</f>
        <v>227.37</v>
      </c>
      <c r="V496" s="352">
        <f t="shared" si="231"/>
        <v>0</v>
      </c>
      <c r="W496" s="146"/>
      <c r="X496" s="146"/>
      <c r="Y496" s="86"/>
      <c r="Z496" s="143">
        <f>(VLOOKUP(F496,Preisliste!C:G,5,FALSE)-VLOOKUP(F496,Preisliste!C:G,4,FALSE))*B496</f>
        <v>0</v>
      </c>
      <c r="AA496" s="86"/>
      <c r="AB496" s="86"/>
      <c r="AC496" s="86"/>
      <c r="AD496" s="86"/>
      <c r="AE496" s="86"/>
      <c r="AF496" s="86"/>
      <c r="AG496" s="86">
        <f>IF(Kalk1!$AA$13,'STK1'!$B172,0)</f>
        <v>0</v>
      </c>
      <c r="AL496" s="86">
        <f>SUM(AG496:AK496)</f>
        <v>0</v>
      </c>
    </row>
    <row r="497" spans="2:38" ht="24.95" customHeight="1">
      <c r="B497" s="92">
        <f t="shared" si="232"/>
        <v>0</v>
      </c>
      <c r="C497" s="60">
        <v>1350</v>
      </c>
      <c r="D497" s="60"/>
      <c r="E497" s="60" t="str">
        <f>VLOOKUP(1600,Sprachindex!$A:$Z,Erhebungsbogen!$Y$20,FALSE)</f>
        <v>[Stk]</v>
      </c>
      <c r="F497" s="60" t="s">
        <v>21887</v>
      </c>
      <c r="G497" s="514" t="str">
        <f>VLOOKUP(1859,Sprachindex!$A:$Z,Erhebungsbogen!$Y$20,FALSE) &amp; ", " &amp; VLOOKUP(1645,Sprachindex!$A:$Z,Erhebungsbogen!$Y$20,FALSE) &amp; " " &amp; $AH$18</f>
        <v>U-Profil 50 exkl. Dichtung, gebohrt und entgratet, beschichtet 0</v>
      </c>
      <c r="H497" s="514"/>
      <c r="I497" s="514"/>
      <c r="J497" s="514"/>
      <c r="K497" s="514"/>
      <c r="L497" s="514"/>
      <c r="M497" s="514"/>
      <c r="N497" s="514"/>
      <c r="O497" s="514"/>
      <c r="P497" s="514"/>
      <c r="Q497" s="514"/>
      <c r="R497" s="514"/>
      <c r="S497" s="514"/>
      <c r="T497" s="514"/>
      <c r="U497" s="353">
        <f>VLOOKUP(F497,Preisliste!C:G,5,FALSE)</f>
        <v>227.37</v>
      </c>
      <c r="V497" s="352">
        <f t="shared" si="231"/>
        <v>0</v>
      </c>
      <c r="W497" s="146"/>
      <c r="X497" s="146"/>
      <c r="Y497" s="86"/>
      <c r="Z497" s="143">
        <f>(VLOOKUP(F497,Preisliste!C:G,5,FALSE)-VLOOKUP(F497,Preisliste!C:G,4,FALSE))*B497</f>
        <v>0</v>
      </c>
      <c r="AA497" s="86"/>
      <c r="AB497" s="86"/>
      <c r="AC497" s="86"/>
      <c r="AD497" s="86"/>
      <c r="AE497" s="86"/>
      <c r="AF497" s="86"/>
      <c r="AH497" s="86">
        <f>IF(Kalk2!$AA$13,'STK2'!$B172,0)</f>
        <v>0</v>
      </c>
      <c r="AL497" s="86">
        <f t="shared" si="218"/>
        <v>0</v>
      </c>
    </row>
    <row r="498" spans="2:38" ht="24.95" customHeight="1">
      <c r="B498" s="92">
        <f t="shared" si="232"/>
        <v>0</v>
      </c>
      <c r="C498" s="60">
        <v>1350</v>
      </c>
      <c r="D498" s="60"/>
      <c r="E498" s="60" t="str">
        <f>VLOOKUP(1600,Sprachindex!$A:$Z,Erhebungsbogen!$Y$20,FALSE)</f>
        <v>[Stk]</v>
      </c>
      <c r="F498" s="60" t="s">
        <v>21887</v>
      </c>
      <c r="G498" s="514" t="str">
        <f>VLOOKUP(1859,Sprachindex!$A:$Z,Erhebungsbogen!$Y$20,FALSE) &amp; ", " &amp; VLOOKUP(1645,Sprachindex!$A:$Z,Erhebungsbogen!$Y$20,FALSE) &amp; " " &amp; $AI$18</f>
        <v>U-Profil 50 exkl. Dichtung, gebohrt und entgratet, beschichtet 0</v>
      </c>
      <c r="H498" s="514"/>
      <c r="I498" s="514"/>
      <c r="J498" s="514"/>
      <c r="K498" s="514"/>
      <c r="L498" s="514"/>
      <c r="M498" s="514"/>
      <c r="N498" s="514"/>
      <c r="O498" s="514"/>
      <c r="P498" s="514"/>
      <c r="Q498" s="514"/>
      <c r="R498" s="514"/>
      <c r="S498" s="514"/>
      <c r="T498" s="514"/>
      <c r="U498" s="353">
        <f>VLOOKUP(F498,Preisliste!C:G,5,FALSE)</f>
        <v>227.37</v>
      </c>
      <c r="V498" s="352">
        <f t="shared" si="231"/>
        <v>0</v>
      </c>
      <c r="W498" s="146"/>
      <c r="X498" s="146"/>
      <c r="Y498" s="86"/>
      <c r="Z498" s="143">
        <f>(VLOOKUP(F498,Preisliste!C:G,5,FALSE)-VLOOKUP(F498,Preisliste!C:G,4,FALSE))*B498</f>
        <v>0</v>
      </c>
      <c r="AA498" s="86"/>
      <c r="AB498" s="86"/>
      <c r="AC498" s="86"/>
      <c r="AD498" s="86"/>
      <c r="AE498" s="86"/>
      <c r="AF498" s="86"/>
      <c r="AI498" s="86">
        <f>IF(Kalk3!$AA$13,'STK3'!$B172,0)</f>
        <v>0</v>
      </c>
      <c r="AL498" s="86">
        <f t="shared" si="218"/>
        <v>0</v>
      </c>
    </row>
    <row r="499" spans="2:38" ht="24.95" customHeight="1">
      <c r="B499" s="92">
        <f t="shared" si="232"/>
        <v>0</v>
      </c>
      <c r="C499" s="60">
        <v>1350</v>
      </c>
      <c r="D499" s="60"/>
      <c r="E499" s="60" t="str">
        <f>VLOOKUP(1600,Sprachindex!$A:$Z,Erhebungsbogen!$Y$20,FALSE)</f>
        <v>[Stk]</v>
      </c>
      <c r="F499" s="60" t="s">
        <v>21887</v>
      </c>
      <c r="G499" s="514" t="str">
        <f>VLOOKUP(1859,Sprachindex!$A:$Z,Erhebungsbogen!$Y$20,FALSE) &amp; ", " &amp; VLOOKUP(1645,Sprachindex!$A:$Z,Erhebungsbogen!$Y$20,FALSE) &amp; " " &amp; $AJ$18</f>
        <v>U-Profil 50 exkl. Dichtung, gebohrt und entgratet, beschichtet 0</v>
      </c>
      <c r="H499" s="514"/>
      <c r="I499" s="514"/>
      <c r="J499" s="514"/>
      <c r="K499" s="514"/>
      <c r="L499" s="514"/>
      <c r="M499" s="514"/>
      <c r="N499" s="514"/>
      <c r="O499" s="514"/>
      <c r="P499" s="514"/>
      <c r="Q499" s="514"/>
      <c r="R499" s="514"/>
      <c r="S499" s="514"/>
      <c r="T499" s="514"/>
      <c r="U499" s="353">
        <f>VLOOKUP(F499,Preisliste!C:G,5,FALSE)</f>
        <v>227.37</v>
      </c>
      <c r="V499" s="352">
        <f t="shared" si="231"/>
        <v>0</v>
      </c>
      <c r="W499" s="146"/>
      <c r="X499" s="146"/>
      <c r="Y499" s="86"/>
      <c r="Z499" s="143">
        <f>(VLOOKUP(F499,Preisliste!C:G,5,FALSE)-VLOOKUP(F499,Preisliste!C:G,4,FALSE))*B499</f>
        <v>0</v>
      </c>
      <c r="AA499" s="86"/>
      <c r="AB499" s="86"/>
      <c r="AC499" s="86"/>
      <c r="AD499" s="86"/>
      <c r="AE499" s="86"/>
      <c r="AF499" s="86"/>
      <c r="AJ499" s="86">
        <f>IF(Kalk4!$AA$13,'STK4'!$B172,0)</f>
        <v>0</v>
      </c>
      <c r="AL499" s="86">
        <f t="shared" si="218"/>
        <v>0</v>
      </c>
    </row>
    <row r="500" spans="2:38" ht="24.95" customHeight="1">
      <c r="B500" s="92">
        <f t="shared" si="201"/>
        <v>0</v>
      </c>
      <c r="C500" s="60">
        <v>1350</v>
      </c>
      <c r="D500" s="60"/>
      <c r="E500" s="60" t="str">
        <f>VLOOKUP(1600,Sprachindex!$A:$Z,Erhebungsbogen!$Y$20,FALSE)</f>
        <v>[Stk]</v>
      </c>
      <c r="F500" s="60" t="s">
        <v>21887</v>
      </c>
      <c r="G500" s="514" t="str">
        <f>VLOOKUP(1859,Sprachindex!$A:$Z,Erhebungsbogen!$Y$20,FALSE) &amp; ", " &amp; VLOOKUP(1645,Sprachindex!$A:$Z,Erhebungsbogen!$Y$20,FALSE) &amp; " " &amp; $AK$18</f>
        <v>U-Profil 50 exkl. Dichtung, gebohrt und entgratet, beschichtet 0</v>
      </c>
      <c r="H500" s="514"/>
      <c r="I500" s="514"/>
      <c r="J500" s="514"/>
      <c r="K500" s="514"/>
      <c r="L500" s="514"/>
      <c r="M500" s="514"/>
      <c r="N500" s="514"/>
      <c r="O500" s="514"/>
      <c r="P500" s="514"/>
      <c r="Q500" s="514"/>
      <c r="R500" s="514"/>
      <c r="S500" s="514"/>
      <c r="T500" s="514"/>
      <c r="U500" s="353">
        <f>VLOOKUP(F500,Preisliste!C:G,5,FALSE)</f>
        <v>227.37</v>
      </c>
      <c r="V500" s="352">
        <f t="shared" si="183"/>
        <v>0</v>
      </c>
      <c r="W500" s="146"/>
      <c r="X500" s="146"/>
      <c r="Y500" s="86"/>
      <c r="Z500" s="143">
        <f>(VLOOKUP(F500,Preisliste!C:G,5,FALSE)-VLOOKUP(F500,Preisliste!C:G,4,FALSE))*B500</f>
        <v>0</v>
      </c>
      <c r="AA500" s="86"/>
      <c r="AB500" s="86"/>
      <c r="AC500" s="86"/>
      <c r="AD500" s="86"/>
      <c r="AE500" s="86"/>
      <c r="AF500" s="86"/>
      <c r="AK500" s="86">
        <f>IF(Kalk5!$AA$13,'STK5'!$B172,0)</f>
        <v>0</v>
      </c>
      <c r="AL500" s="86">
        <f t="shared" si="218"/>
        <v>0</v>
      </c>
    </row>
    <row r="501" spans="2:38" ht="24.95" customHeight="1">
      <c r="B501" s="92">
        <f t="shared" si="201"/>
        <v>0</v>
      </c>
      <c r="C501" s="60">
        <v>1750</v>
      </c>
      <c r="D501" s="60"/>
      <c r="E501" s="60" t="str">
        <f>VLOOKUP(1600,Sprachindex!$A:$Z,Erhebungsbogen!$Y$20,FALSE)</f>
        <v>[Stk]</v>
      </c>
      <c r="F501" s="60" t="s">
        <v>21888</v>
      </c>
      <c r="G501" s="514" t="str">
        <f>VLOOKUP(1859,Sprachindex!$A:$Z,Erhebungsbogen!$Y$20,FALSE) &amp; ", " &amp; VLOOKUP(1648,Sprachindex!$A:$Z,Erhebungsbogen!$Y$20,FALSE)</f>
        <v>U-Profil 50 exkl. Dichtung, gebohrt und entgratet, blank</v>
      </c>
      <c r="H501" s="514"/>
      <c r="I501" s="514"/>
      <c r="J501" s="514"/>
      <c r="K501" s="514"/>
      <c r="L501" s="514"/>
      <c r="M501" s="514"/>
      <c r="N501" s="514"/>
      <c r="O501" s="514"/>
      <c r="P501" s="514"/>
      <c r="Q501" s="514"/>
      <c r="R501" s="514"/>
      <c r="S501" s="514"/>
      <c r="T501" s="514"/>
      <c r="U501" s="352">
        <f>VLOOKUP(F501,Preisliste!C:F,4,FALSE)</f>
        <v>256.25</v>
      </c>
      <c r="V501" s="352">
        <f t="shared" ref="V501:V505" si="233">U501*B501</f>
        <v>0</v>
      </c>
      <c r="W501" s="146"/>
      <c r="X501" s="146"/>
      <c r="Y501" s="86"/>
      <c r="Z501" s="143"/>
      <c r="AA501" s="86"/>
      <c r="AB501" s="86"/>
      <c r="AC501" s="86"/>
      <c r="AD501" s="86"/>
      <c r="AE501" s="86"/>
      <c r="AF501" s="86"/>
      <c r="AG501" s="86">
        <f>IF(Kalk1!$AA$13=FALSE,'STK1'!$B173,0)</f>
        <v>0</v>
      </c>
      <c r="AH501" s="86">
        <f>IF(Kalk2!$AA$13=FALSE,'STK2'!$B173,0)</f>
        <v>0</v>
      </c>
      <c r="AI501" s="86">
        <f>IF(Kalk3!$AA$13=FALSE,'STK3'!$B173,0)</f>
        <v>0</v>
      </c>
      <c r="AJ501" s="86">
        <f>IF(Kalk4!$AA$13=FALSE,'STK4'!$B173,0)</f>
        <v>0</v>
      </c>
      <c r="AK501" s="86">
        <f>IF(Kalk5!$AA$13=FALSE,'STK5'!$B173,0)</f>
        <v>0</v>
      </c>
      <c r="AL501" s="86">
        <f t="shared" si="218"/>
        <v>0</v>
      </c>
    </row>
    <row r="502" spans="2:38" ht="24.95" customHeight="1">
      <c r="B502" s="92">
        <f t="shared" ref="B502:B505" si="234">AL502</f>
        <v>0</v>
      </c>
      <c r="C502" s="60">
        <v>1750</v>
      </c>
      <c r="D502" s="60"/>
      <c r="E502" s="60" t="str">
        <f>VLOOKUP(1600,Sprachindex!$A:$Z,Erhebungsbogen!$Y$20,FALSE)</f>
        <v>[Stk]</v>
      </c>
      <c r="F502" s="60" t="s">
        <v>21888</v>
      </c>
      <c r="G502" s="514" t="str">
        <f>VLOOKUP(1859,Sprachindex!$A:$Z,Erhebungsbogen!$Y$20,FALSE) &amp; ", " &amp; VLOOKUP(1645,Sprachindex!$A:$Z,Erhebungsbogen!$Y$20,FALSE) &amp; " " &amp; $AG$18</f>
        <v xml:space="preserve">U-Profil 50 exkl. Dichtung, gebohrt und entgratet, beschichtet </v>
      </c>
      <c r="H502" s="514"/>
      <c r="I502" s="514"/>
      <c r="J502" s="514"/>
      <c r="K502" s="514"/>
      <c r="L502" s="514"/>
      <c r="M502" s="514"/>
      <c r="N502" s="514"/>
      <c r="O502" s="514"/>
      <c r="P502" s="514"/>
      <c r="Q502" s="514"/>
      <c r="R502" s="514"/>
      <c r="S502" s="514"/>
      <c r="T502" s="514"/>
      <c r="U502" s="353">
        <f>VLOOKUP(F502,Preisliste!C:G,5,FALSE)</f>
        <v>281.875</v>
      </c>
      <c r="V502" s="352">
        <f t="shared" si="233"/>
        <v>0</v>
      </c>
      <c r="W502" s="146"/>
      <c r="X502" s="146"/>
      <c r="Y502" s="86"/>
      <c r="Z502" s="143">
        <f>(VLOOKUP(F502,Preisliste!C:G,5,FALSE)-VLOOKUP(F502,Preisliste!C:G,4,FALSE))*B502</f>
        <v>0</v>
      </c>
      <c r="AA502" s="86"/>
      <c r="AB502" s="86"/>
      <c r="AC502" s="86"/>
      <c r="AD502" s="86"/>
      <c r="AE502" s="86"/>
      <c r="AF502" s="86"/>
      <c r="AG502" s="86">
        <f>IF(Kalk1!$AA$13,'STK1'!$B173,0)</f>
        <v>0</v>
      </c>
      <c r="AL502" s="86">
        <f>SUM(AG502:AK502)</f>
        <v>0</v>
      </c>
    </row>
    <row r="503" spans="2:38" ht="24.95" customHeight="1">
      <c r="B503" s="92">
        <f t="shared" si="234"/>
        <v>0</v>
      </c>
      <c r="C503" s="60">
        <v>1750</v>
      </c>
      <c r="D503" s="60"/>
      <c r="E503" s="60" t="str">
        <f>VLOOKUP(1600,Sprachindex!$A:$Z,Erhebungsbogen!$Y$20,FALSE)</f>
        <v>[Stk]</v>
      </c>
      <c r="F503" s="60" t="s">
        <v>21888</v>
      </c>
      <c r="G503" s="514" t="str">
        <f>VLOOKUP(1859,Sprachindex!$A:$Z,Erhebungsbogen!$Y$20,FALSE) &amp; ", " &amp; VLOOKUP(1645,Sprachindex!$A:$Z,Erhebungsbogen!$Y$20,FALSE) &amp; " " &amp; $AH$18</f>
        <v>U-Profil 50 exkl. Dichtung, gebohrt und entgratet, beschichtet 0</v>
      </c>
      <c r="H503" s="514"/>
      <c r="I503" s="514"/>
      <c r="J503" s="514"/>
      <c r="K503" s="514"/>
      <c r="L503" s="514"/>
      <c r="M503" s="514"/>
      <c r="N503" s="514"/>
      <c r="O503" s="514"/>
      <c r="P503" s="514"/>
      <c r="Q503" s="514"/>
      <c r="R503" s="514"/>
      <c r="S503" s="514"/>
      <c r="T503" s="514"/>
      <c r="U503" s="353">
        <f>VLOOKUP(F503,Preisliste!C:G,5,FALSE)</f>
        <v>281.875</v>
      </c>
      <c r="V503" s="352">
        <f t="shared" si="233"/>
        <v>0</v>
      </c>
      <c r="W503" s="146"/>
      <c r="X503" s="146"/>
      <c r="Y503" s="86"/>
      <c r="Z503" s="143">
        <f>(VLOOKUP(F503,Preisliste!C:G,5,FALSE)-VLOOKUP(F503,Preisliste!C:G,4,FALSE))*B503</f>
        <v>0</v>
      </c>
      <c r="AA503" s="86"/>
      <c r="AB503" s="86"/>
      <c r="AC503" s="86"/>
      <c r="AD503" s="86"/>
      <c r="AE503" s="86"/>
      <c r="AF503" s="86"/>
      <c r="AH503" s="86">
        <f>IF(Kalk2!$AA$13,'STK2'!$B173,0)</f>
        <v>0</v>
      </c>
      <c r="AL503" s="86">
        <f t="shared" si="218"/>
        <v>0</v>
      </c>
    </row>
    <row r="504" spans="2:38" ht="24.95" customHeight="1">
      <c r="B504" s="92">
        <f t="shared" si="234"/>
        <v>0</v>
      </c>
      <c r="C504" s="60">
        <v>1750</v>
      </c>
      <c r="D504" s="60"/>
      <c r="E504" s="60" t="str">
        <f>VLOOKUP(1600,Sprachindex!$A:$Z,Erhebungsbogen!$Y$20,FALSE)</f>
        <v>[Stk]</v>
      </c>
      <c r="F504" s="60" t="s">
        <v>21888</v>
      </c>
      <c r="G504" s="514" t="str">
        <f>VLOOKUP(1859,Sprachindex!$A:$Z,Erhebungsbogen!$Y$20,FALSE) &amp; ", " &amp; VLOOKUP(1645,Sprachindex!$A:$Z,Erhebungsbogen!$Y$20,FALSE) &amp; " " &amp; $AI$18</f>
        <v>U-Profil 50 exkl. Dichtung, gebohrt und entgratet, beschichtet 0</v>
      </c>
      <c r="H504" s="514"/>
      <c r="I504" s="514"/>
      <c r="J504" s="514"/>
      <c r="K504" s="514"/>
      <c r="L504" s="514"/>
      <c r="M504" s="514"/>
      <c r="N504" s="514"/>
      <c r="O504" s="514"/>
      <c r="P504" s="514"/>
      <c r="Q504" s="514"/>
      <c r="R504" s="514"/>
      <c r="S504" s="514"/>
      <c r="T504" s="514"/>
      <c r="U504" s="353">
        <f>VLOOKUP(F504,Preisliste!C:G,5,FALSE)</f>
        <v>281.875</v>
      </c>
      <c r="V504" s="352">
        <f t="shared" si="233"/>
        <v>0</v>
      </c>
      <c r="W504" s="146"/>
      <c r="X504" s="146"/>
      <c r="Y504" s="86"/>
      <c r="Z504" s="143">
        <f>(VLOOKUP(F504,Preisliste!C:G,5,FALSE)-VLOOKUP(F504,Preisliste!C:G,4,FALSE))*B504</f>
        <v>0</v>
      </c>
      <c r="AA504" s="86"/>
      <c r="AB504" s="86"/>
      <c r="AC504" s="86"/>
      <c r="AD504" s="86"/>
      <c r="AE504" s="86"/>
      <c r="AF504" s="86"/>
      <c r="AI504" s="86">
        <f>IF(Kalk3!$AA$13,'STK3'!$B173,0)</f>
        <v>0</v>
      </c>
      <c r="AL504" s="86">
        <f t="shared" si="218"/>
        <v>0</v>
      </c>
    </row>
    <row r="505" spans="2:38" ht="24.95" customHeight="1">
      <c r="B505" s="92">
        <f t="shared" si="234"/>
        <v>0</v>
      </c>
      <c r="C505" s="60">
        <v>1750</v>
      </c>
      <c r="D505" s="60"/>
      <c r="E505" s="60" t="str">
        <f>VLOOKUP(1600,Sprachindex!$A:$Z,Erhebungsbogen!$Y$20,FALSE)</f>
        <v>[Stk]</v>
      </c>
      <c r="F505" s="60" t="s">
        <v>21888</v>
      </c>
      <c r="G505" s="514" t="str">
        <f>VLOOKUP(1859,Sprachindex!$A:$Z,Erhebungsbogen!$Y$20,FALSE) &amp; ", " &amp; VLOOKUP(1645,Sprachindex!$A:$Z,Erhebungsbogen!$Y$20,FALSE) &amp; " " &amp; $AJ$18</f>
        <v>U-Profil 50 exkl. Dichtung, gebohrt und entgratet, beschichtet 0</v>
      </c>
      <c r="H505" s="514"/>
      <c r="I505" s="514"/>
      <c r="J505" s="514"/>
      <c r="K505" s="514"/>
      <c r="L505" s="514"/>
      <c r="M505" s="514"/>
      <c r="N505" s="514"/>
      <c r="O505" s="514"/>
      <c r="P505" s="514"/>
      <c r="Q505" s="514"/>
      <c r="R505" s="514"/>
      <c r="S505" s="514"/>
      <c r="T505" s="514"/>
      <c r="U505" s="353">
        <f>VLOOKUP(F505,Preisliste!C:G,5,FALSE)</f>
        <v>281.875</v>
      </c>
      <c r="V505" s="352">
        <f t="shared" si="233"/>
        <v>0</v>
      </c>
      <c r="W505" s="146"/>
      <c r="X505" s="146"/>
      <c r="Y505" s="86"/>
      <c r="Z505" s="143">
        <f>(VLOOKUP(F505,Preisliste!C:G,5,FALSE)-VLOOKUP(F505,Preisliste!C:G,4,FALSE))*B505</f>
        <v>0</v>
      </c>
      <c r="AA505" s="86"/>
      <c r="AB505" s="86"/>
      <c r="AC505" s="86"/>
      <c r="AD505" s="86"/>
      <c r="AE505" s="86"/>
      <c r="AF505" s="86"/>
      <c r="AJ505" s="86">
        <f>IF(Kalk4!$AA$13,'STK4'!$B173,0)</f>
        <v>0</v>
      </c>
      <c r="AL505" s="86">
        <f t="shared" si="218"/>
        <v>0</v>
      </c>
    </row>
    <row r="506" spans="2:38" ht="24.95" customHeight="1">
      <c r="B506" s="92">
        <f t="shared" si="201"/>
        <v>0</v>
      </c>
      <c r="C506" s="60">
        <v>1750</v>
      </c>
      <c r="D506" s="60"/>
      <c r="E506" s="60" t="str">
        <f>VLOOKUP(1600,Sprachindex!$A:$Z,Erhebungsbogen!$Y$20,FALSE)</f>
        <v>[Stk]</v>
      </c>
      <c r="F506" s="60" t="s">
        <v>21888</v>
      </c>
      <c r="G506" s="514" t="str">
        <f>VLOOKUP(1859,Sprachindex!$A:$Z,Erhebungsbogen!$Y$20,FALSE) &amp; ", " &amp; VLOOKUP(1645,Sprachindex!$A:$Z,Erhebungsbogen!$Y$20,FALSE) &amp; " " &amp; $AK$18</f>
        <v>U-Profil 50 exkl. Dichtung, gebohrt und entgratet, beschichtet 0</v>
      </c>
      <c r="H506" s="514"/>
      <c r="I506" s="514"/>
      <c r="J506" s="514"/>
      <c r="K506" s="514"/>
      <c r="L506" s="514"/>
      <c r="M506" s="514"/>
      <c r="N506" s="514"/>
      <c r="O506" s="514"/>
      <c r="P506" s="514"/>
      <c r="Q506" s="514"/>
      <c r="R506" s="514"/>
      <c r="S506" s="514"/>
      <c r="T506" s="514"/>
      <c r="U506" s="353">
        <f>VLOOKUP(F506,Preisliste!C:G,5,FALSE)</f>
        <v>281.875</v>
      </c>
      <c r="V506" s="352">
        <f t="shared" si="183"/>
        <v>0</v>
      </c>
      <c r="W506" s="146"/>
      <c r="X506" s="146"/>
      <c r="Y506" s="86"/>
      <c r="Z506" s="143">
        <f>(VLOOKUP(F506,Preisliste!C:G,5,FALSE)-VLOOKUP(F506,Preisliste!C:G,4,FALSE))*B506</f>
        <v>0</v>
      </c>
      <c r="AA506" s="86"/>
      <c r="AB506" s="86"/>
      <c r="AC506" s="86"/>
      <c r="AD506" s="86"/>
      <c r="AE506" s="86"/>
      <c r="AF506" s="86"/>
      <c r="AK506" s="86">
        <f>IF(Kalk5!$AA$13,'STK5'!$B173,0)</f>
        <v>0</v>
      </c>
      <c r="AL506" s="86">
        <f t="shared" si="218"/>
        <v>0</v>
      </c>
    </row>
    <row r="507" spans="2:38" ht="24.95" customHeight="1">
      <c r="B507" s="92">
        <f t="shared" si="201"/>
        <v>0</v>
      </c>
      <c r="C507" s="60">
        <v>2150</v>
      </c>
      <c r="D507" s="60"/>
      <c r="E507" s="60" t="str">
        <f>VLOOKUP(1600,Sprachindex!$A:$Z,Erhebungsbogen!$Y$20,FALSE)</f>
        <v>[Stk]</v>
      </c>
      <c r="F507" s="60" t="s">
        <v>21889</v>
      </c>
      <c r="G507" s="514" t="str">
        <f>VLOOKUP(1859,Sprachindex!$A:$Z,Erhebungsbogen!$Y$20,FALSE) &amp; ", " &amp; VLOOKUP(1648,Sprachindex!$A:$Z,Erhebungsbogen!$Y$20,FALSE)</f>
        <v>U-Profil 50 exkl. Dichtung, gebohrt und entgratet, blank</v>
      </c>
      <c r="H507" s="514"/>
      <c r="I507" s="514"/>
      <c r="J507" s="514"/>
      <c r="K507" s="514"/>
      <c r="L507" s="514"/>
      <c r="M507" s="514"/>
      <c r="N507" s="514"/>
      <c r="O507" s="514"/>
      <c r="P507" s="514"/>
      <c r="Q507" s="514"/>
      <c r="R507" s="514"/>
      <c r="S507" s="514"/>
      <c r="T507" s="514"/>
      <c r="U507" s="352">
        <f>VLOOKUP(F507,Preisliste!C:F,4,FALSE)</f>
        <v>306.5</v>
      </c>
      <c r="V507" s="352">
        <f t="shared" ref="V507:V511" si="235">U507*B507</f>
        <v>0</v>
      </c>
      <c r="W507" s="146"/>
      <c r="X507" s="146"/>
      <c r="Y507" s="86"/>
      <c r="Z507" s="143"/>
      <c r="AA507" s="86"/>
      <c r="AB507" s="86"/>
      <c r="AC507" s="86"/>
      <c r="AD507" s="86"/>
      <c r="AE507" s="86"/>
      <c r="AF507" s="86"/>
      <c r="AG507" s="86">
        <f>IF(Kalk1!$AA$13=FALSE,'STK1'!$B174,0)</f>
        <v>0</v>
      </c>
      <c r="AH507" s="86">
        <f>IF(Kalk2!$AA$13=FALSE,'STK2'!$B174,0)</f>
        <v>0</v>
      </c>
      <c r="AI507" s="86">
        <f>IF(Kalk3!$AA$13=FALSE,'STK3'!$B174,0)</f>
        <v>0</v>
      </c>
      <c r="AJ507" s="86">
        <f>IF(Kalk4!$AA$13=FALSE,'STK4'!$B174,0)</f>
        <v>0</v>
      </c>
      <c r="AK507" s="86">
        <f>IF(Kalk5!$AA$13=FALSE,'STK5'!$B174,0)</f>
        <v>0</v>
      </c>
      <c r="AL507" s="86">
        <f t="shared" si="218"/>
        <v>0</v>
      </c>
    </row>
    <row r="508" spans="2:38" ht="24.95" customHeight="1">
      <c r="B508" s="92">
        <f t="shared" ref="B508:B511" si="236">AL508</f>
        <v>0</v>
      </c>
      <c r="C508" s="60">
        <v>2150</v>
      </c>
      <c r="D508" s="60"/>
      <c r="E508" s="60" t="str">
        <f>VLOOKUP(1600,Sprachindex!$A:$Z,Erhebungsbogen!$Y$20,FALSE)</f>
        <v>[Stk]</v>
      </c>
      <c r="F508" s="60" t="s">
        <v>21889</v>
      </c>
      <c r="G508" s="514" t="str">
        <f>VLOOKUP(1859,Sprachindex!$A:$Z,Erhebungsbogen!$Y$20,FALSE) &amp; ", " &amp; VLOOKUP(1645,Sprachindex!$A:$Z,Erhebungsbogen!$Y$20,FALSE) &amp; " " &amp; $AG$18</f>
        <v xml:space="preserve">U-Profil 50 exkl. Dichtung, gebohrt und entgratet, beschichtet </v>
      </c>
      <c r="H508" s="514"/>
      <c r="I508" s="514"/>
      <c r="J508" s="514"/>
      <c r="K508" s="514"/>
      <c r="L508" s="514"/>
      <c r="M508" s="514"/>
      <c r="N508" s="514"/>
      <c r="O508" s="514"/>
      <c r="P508" s="514"/>
      <c r="Q508" s="514"/>
      <c r="R508" s="514"/>
      <c r="S508" s="514"/>
      <c r="T508" s="514"/>
      <c r="U508" s="353">
        <f>VLOOKUP(F508,Preisliste!C:G,5,FALSE)</f>
        <v>337.15000000000003</v>
      </c>
      <c r="V508" s="352">
        <f t="shared" si="235"/>
        <v>0</v>
      </c>
      <c r="W508" s="146"/>
      <c r="X508" s="146"/>
      <c r="Y508" s="86"/>
      <c r="Z508" s="143">
        <f>(VLOOKUP(F508,Preisliste!C:G,5,FALSE)-VLOOKUP(F508,Preisliste!C:G,4,FALSE))*B508</f>
        <v>0</v>
      </c>
      <c r="AA508" s="86"/>
      <c r="AB508" s="86"/>
      <c r="AC508" s="86"/>
      <c r="AD508" s="86"/>
      <c r="AE508" s="86"/>
      <c r="AF508" s="86"/>
      <c r="AG508" s="86">
        <f>IF(Kalk1!$AA$13,'STK1'!$B174,0)</f>
        <v>0</v>
      </c>
      <c r="AL508" s="86">
        <f>SUM(AG508:AK508)</f>
        <v>0</v>
      </c>
    </row>
    <row r="509" spans="2:38" ht="24.95" customHeight="1">
      <c r="B509" s="92">
        <f t="shared" si="236"/>
        <v>0</v>
      </c>
      <c r="C509" s="60">
        <v>2150</v>
      </c>
      <c r="D509" s="60"/>
      <c r="E509" s="60" t="str">
        <f>VLOOKUP(1600,Sprachindex!$A:$Z,Erhebungsbogen!$Y$20,FALSE)</f>
        <v>[Stk]</v>
      </c>
      <c r="F509" s="60" t="s">
        <v>21889</v>
      </c>
      <c r="G509" s="514" t="str">
        <f>VLOOKUP(1859,Sprachindex!$A:$Z,Erhebungsbogen!$Y$20,FALSE) &amp; ", " &amp; VLOOKUP(1645,Sprachindex!$A:$Z,Erhebungsbogen!$Y$20,FALSE) &amp; " " &amp; $AH$18</f>
        <v>U-Profil 50 exkl. Dichtung, gebohrt und entgratet, beschichtet 0</v>
      </c>
      <c r="H509" s="514"/>
      <c r="I509" s="514"/>
      <c r="J509" s="514"/>
      <c r="K509" s="514"/>
      <c r="L509" s="514"/>
      <c r="M509" s="514"/>
      <c r="N509" s="514"/>
      <c r="O509" s="514"/>
      <c r="P509" s="514"/>
      <c r="Q509" s="514"/>
      <c r="R509" s="514"/>
      <c r="S509" s="514"/>
      <c r="T509" s="514"/>
      <c r="U509" s="353">
        <f>VLOOKUP(F509,Preisliste!C:G,5,FALSE)</f>
        <v>337.15000000000003</v>
      </c>
      <c r="V509" s="352">
        <f t="shared" si="235"/>
        <v>0</v>
      </c>
      <c r="W509" s="146"/>
      <c r="X509" s="146"/>
      <c r="Y509" s="86"/>
      <c r="Z509" s="143">
        <f>(VLOOKUP(F509,Preisliste!C:G,5,FALSE)-VLOOKUP(F509,Preisliste!C:G,4,FALSE))*B509</f>
        <v>0</v>
      </c>
      <c r="AA509" s="86"/>
      <c r="AB509" s="86"/>
      <c r="AC509" s="86"/>
      <c r="AD509" s="86"/>
      <c r="AE509" s="86"/>
      <c r="AF509" s="86"/>
      <c r="AH509" s="86">
        <f>IF(Kalk2!$AA$13,'STK2'!$B174,0)</f>
        <v>0</v>
      </c>
      <c r="AL509" s="86">
        <f t="shared" si="218"/>
        <v>0</v>
      </c>
    </row>
    <row r="510" spans="2:38" ht="24.95" customHeight="1">
      <c r="B510" s="92">
        <f t="shared" si="236"/>
        <v>0</v>
      </c>
      <c r="C510" s="60">
        <v>2150</v>
      </c>
      <c r="D510" s="60"/>
      <c r="E510" s="60" t="str">
        <f>VLOOKUP(1600,Sprachindex!$A:$Z,Erhebungsbogen!$Y$20,FALSE)</f>
        <v>[Stk]</v>
      </c>
      <c r="F510" s="60" t="s">
        <v>21889</v>
      </c>
      <c r="G510" s="514" t="str">
        <f>VLOOKUP(1859,Sprachindex!$A:$Z,Erhebungsbogen!$Y$20,FALSE) &amp; ", " &amp; VLOOKUP(1645,Sprachindex!$A:$Z,Erhebungsbogen!$Y$20,FALSE) &amp; " " &amp; $AI$18</f>
        <v>U-Profil 50 exkl. Dichtung, gebohrt und entgratet, beschichtet 0</v>
      </c>
      <c r="H510" s="514"/>
      <c r="I510" s="514"/>
      <c r="J510" s="514"/>
      <c r="K510" s="514"/>
      <c r="L510" s="514"/>
      <c r="M510" s="514"/>
      <c r="N510" s="514"/>
      <c r="O510" s="514"/>
      <c r="P510" s="514"/>
      <c r="Q510" s="514"/>
      <c r="R510" s="514"/>
      <c r="S510" s="514"/>
      <c r="T510" s="514"/>
      <c r="U510" s="353">
        <f>VLOOKUP(F510,Preisliste!C:G,5,FALSE)</f>
        <v>337.15000000000003</v>
      </c>
      <c r="V510" s="352">
        <f t="shared" si="235"/>
        <v>0</v>
      </c>
      <c r="W510" s="146"/>
      <c r="X510" s="146"/>
      <c r="Y510" s="86"/>
      <c r="Z510" s="143">
        <f>(VLOOKUP(F510,Preisliste!C:G,5,FALSE)-VLOOKUP(F510,Preisliste!C:G,4,FALSE))*B510</f>
        <v>0</v>
      </c>
      <c r="AA510" s="86"/>
      <c r="AB510" s="86"/>
      <c r="AC510" s="86"/>
      <c r="AD510" s="86"/>
      <c r="AE510" s="86"/>
      <c r="AF510" s="86"/>
      <c r="AI510" s="86">
        <f>IF(Kalk3!$AA$13,'STK3'!$B174,0)</f>
        <v>0</v>
      </c>
      <c r="AL510" s="86">
        <f t="shared" si="218"/>
        <v>0</v>
      </c>
    </row>
    <row r="511" spans="2:38" ht="24.95" customHeight="1">
      <c r="B511" s="92">
        <f t="shared" si="236"/>
        <v>0</v>
      </c>
      <c r="C511" s="60">
        <v>2150</v>
      </c>
      <c r="D511" s="60"/>
      <c r="E511" s="60" t="str">
        <f>VLOOKUP(1600,Sprachindex!$A:$Z,Erhebungsbogen!$Y$20,FALSE)</f>
        <v>[Stk]</v>
      </c>
      <c r="F511" s="60" t="s">
        <v>21889</v>
      </c>
      <c r="G511" s="514" t="str">
        <f>VLOOKUP(1859,Sprachindex!$A:$Z,Erhebungsbogen!$Y$20,FALSE) &amp; ", " &amp; VLOOKUP(1645,Sprachindex!$A:$Z,Erhebungsbogen!$Y$20,FALSE) &amp; " " &amp; $AJ$18</f>
        <v>U-Profil 50 exkl. Dichtung, gebohrt und entgratet, beschichtet 0</v>
      </c>
      <c r="H511" s="514"/>
      <c r="I511" s="514"/>
      <c r="J511" s="514"/>
      <c r="K511" s="514"/>
      <c r="L511" s="514"/>
      <c r="M511" s="514"/>
      <c r="N511" s="514"/>
      <c r="O511" s="514"/>
      <c r="P511" s="514"/>
      <c r="Q511" s="514"/>
      <c r="R511" s="514"/>
      <c r="S511" s="514"/>
      <c r="T511" s="514"/>
      <c r="U511" s="353">
        <f>VLOOKUP(F511,Preisliste!C:G,5,FALSE)</f>
        <v>337.15000000000003</v>
      </c>
      <c r="V511" s="352">
        <f t="shared" si="235"/>
        <v>0</v>
      </c>
      <c r="W511" s="146"/>
      <c r="X511" s="146"/>
      <c r="Y511" s="86"/>
      <c r="Z511" s="143">
        <f>(VLOOKUP(F511,Preisliste!C:G,5,FALSE)-VLOOKUP(F511,Preisliste!C:G,4,FALSE))*B511</f>
        <v>0</v>
      </c>
      <c r="AA511" s="86"/>
      <c r="AB511" s="86"/>
      <c r="AC511" s="86"/>
      <c r="AD511" s="86"/>
      <c r="AE511" s="86"/>
      <c r="AF511" s="86"/>
      <c r="AJ511" s="86">
        <f>IF(Kalk4!$AA$13,'STK4'!$B174,0)</f>
        <v>0</v>
      </c>
      <c r="AL511" s="86">
        <f t="shared" si="218"/>
        <v>0</v>
      </c>
    </row>
    <row r="512" spans="2:38" ht="24.95" customHeight="1">
      <c r="B512" s="92">
        <f t="shared" si="201"/>
        <v>0</v>
      </c>
      <c r="C512" s="60">
        <v>2150</v>
      </c>
      <c r="D512" s="60"/>
      <c r="E512" s="60" t="str">
        <f>VLOOKUP(1600,Sprachindex!$A:$Z,Erhebungsbogen!$Y$20,FALSE)</f>
        <v>[Stk]</v>
      </c>
      <c r="F512" s="60" t="s">
        <v>21889</v>
      </c>
      <c r="G512" s="514" t="str">
        <f>VLOOKUP(1859,Sprachindex!$A:$Z,Erhebungsbogen!$Y$20,FALSE) &amp; ", " &amp; VLOOKUP(1645,Sprachindex!$A:$Z,Erhebungsbogen!$Y$20,FALSE) &amp; " " &amp; $AK$18</f>
        <v>U-Profil 50 exkl. Dichtung, gebohrt und entgratet, beschichtet 0</v>
      </c>
      <c r="H512" s="514"/>
      <c r="I512" s="514"/>
      <c r="J512" s="514"/>
      <c r="K512" s="514"/>
      <c r="L512" s="514"/>
      <c r="M512" s="514"/>
      <c r="N512" s="514"/>
      <c r="O512" s="514"/>
      <c r="P512" s="514"/>
      <c r="Q512" s="514"/>
      <c r="R512" s="514"/>
      <c r="S512" s="514"/>
      <c r="T512" s="514"/>
      <c r="U512" s="353">
        <f>VLOOKUP(F512,Preisliste!C:G,5,FALSE)</f>
        <v>337.15000000000003</v>
      </c>
      <c r="V512" s="352">
        <f t="shared" si="183"/>
        <v>0</v>
      </c>
      <c r="W512" s="146"/>
      <c r="X512" s="146"/>
      <c r="Y512" s="86"/>
      <c r="Z512" s="143">
        <f>(VLOOKUP(F512,Preisliste!C:G,5,FALSE)-VLOOKUP(F512,Preisliste!C:G,4,FALSE))*B512</f>
        <v>0</v>
      </c>
      <c r="AA512" s="86"/>
      <c r="AB512" s="86"/>
      <c r="AC512" s="86"/>
      <c r="AD512" s="86"/>
      <c r="AE512" s="86"/>
      <c r="AF512" s="86"/>
      <c r="AK512" s="86">
        <f>IF(Kalk5!$AA$13,'STK5'!$B174,0)</f>
        <v>0</v>
      </c>
      <c r="AL512" s="86">
        <f t="shared" si="218"/>
        <v>0</v>
      </c>
    </row>
    <row r="513" spans="2:89" ht="24.95" customHeight="1">
      <c r="B513" s="92">
        <f t="shared" si="201"/>
        <v>0</v>
      </c>
      <c r="C513" s="138">
        <f>AK513</f>
        <v>0</v>
      </c>
      <c r="D513" s="60"/>
      <c r="E513" s="60" t="str">
        <f>VLOOKUP(1600,Sprachindex!$A:$Z,Erhebungsbogen!$Y$20,FALSE)</f>
        <v>[Stk]</v>
      </c>
      <c r="F513" s="60" t="s">
        <v>21890</v>
      </c>
      <c r="G513" s="514" t="str">
        <f>VLOOKUP(1860,Sprachindex!$A:$Z,Erhebungsbogen!$Y$20,FALSE) &amp; ", " &amp; VLOOKUP(1648,Sprachindex!$A:$Z,Erhebungsbogen!$Y$20,FALSE)</f>
        <v>U-Profil 50 Sonderlänge exkl. Dichtung, (Stangenware), blank</v>
      </c>
      <c r="H513" s="514"/>
      <c r="I513" s="514"/>
      <c r="J513" s="514"/>
      <c r="K513" s="514"/>
      <c r="L513" s="514"/>
      <c r="M513" s="514"/>
      <c r="N513" s="514"/>
      <c r="O513" s="514"/>
      <c r="P513" s="514"/>
      <c r="Q513" s="514"/>
      <c r="R513" s="514"/>
      <c r="S513" s="514"/>
      <c r="T513" s="514"/>
      <c r="U513" s="352">
        <f>VLOOKUP(F513,Preisliste!C:F,4,FALSE)</f>
        <v>117.2</v>
      </c>
      <c r="V513" s="352">
        <f t="shared" si="183"/>
        <v>0</v>
      </c>
      <c r="W513" s="146"/>
      <c r="X513" s="146"/>
      <c r="Y513" s="86"/>
      <c r="Z513" s="143"/>
      <c r="AA513" s="86"/>
      <c r="AB513" s="86"/>
      <c r="AC513" s="86"/>
      <c r="AD513" s="86"/>
      <c r="AE513" s="86"/>
      <c r="AF513" s="86"/>
      <c r="AK513" s="86">
        <f>'STK1'!$C$175</f>
        <v>0</v>
      </c>
      <c r="AL513" s="86">
        <f>'STK1'!$B$175</f>
        <v>0</v>
      </c>
      <c r="CK513" s="245"/>
    </row>
    <row r="514" spans="2:89" ht="24.95" customHeight="1">
      <c r="B514" s="92">
        <f t="shared" si="201"/>
        <v>0</v>
      </c>
      <c r="C514" s="138">
        <f t="shared" ref="C514:C517" si="237">AK514</f>
        <v>0</v>
      </c>
      <c r="D514" s="60"/>
      <c r="E514" s="60" t="str">
        <f>VLOOKUP(1600,Sprachindex!$A:$Z,Erhebungsbogen!$Y$20,FALSE)</f>
        <v>[Stk]</v>
      </c>
      <c r="F514" s="60" t="s">
        <v>21890</v>
      </c>
      <c r="G514" s="514" t="str">
        <f>VLOOKUP(1860,Sprachindex!$A:$Z,Erhebungsbogen!$Y$20,FALSE) &amp; ", " &amp; VLOOKUP(1648,Sprachindex!$A:$Z,Erhebungsbogen!$Y$20,FALSE)</f>
        <v>U-Profil 50 Sonderlänge exkl. Dichtung, (Stangenware), blank</v>
      </c>
      <c r="H514" s="514"/>
      <c r="I514" s="514"/>
      <c r="J514" s="514"/>
      <c r="K514" s="514"/>
      <c r="L514" s="514"/>
      <c r="M514" s="514"/>
      <c r="N514" s="514"/>
      <c r="O514" s="514"/>
      <c r="P514" s="514"/>
      <c r="Q514" s="514"/>
      <c r="R514" s="514"/>
      <c r="S514" s="514"/>
      <c r="T514" s="514"/>
      <c r="U514" s="352">
        <f>VLOOKUP(F514,Preisliste!C:F,4,FALSE)</f>
        <v>117.2</v>
      </c>
      <c r="V514" s="352">
        <f t="shared" si="183"/>
        <v>0</v>
      </c>
      <c r="W514" s="146"/>
      <c r="X514" s="146"/>
      <c r="Y514" s="86"/>
      <c r="Z514" s="143"/>
      <c r="AA514" s="86"/>
      <c r="AB514" s="86"/>
      <c r="AC514" s="86"/>
      <c r="AD514" s="86"/>
      <c r="AE514" s="86"/>
      <c r="AF514" s="86"/>
      <c r="AK514" s="86">
        <f>'STK2'!$C$175</f>
        <v>0</v>
      </c>
      <c r="AL514" s="86">
        <f>'STK2'!$B$175</f>
        <v>0</v>
      </c>
      <c r="CK514" s="245"/>
    </row>
    <row r="515" spans="2:89" ht="24.95" customHeight="1">
      <c r="B515" s="92">
        <f t="shared" si="201"/>
        <v>0</v>
      </c>
      <c r="C515" s="138">
        <f t="shared" si="237"/>
        <v>0</v>
      </c>
      <c r="D515" s="60"/>
      <c r="E515" s="60" t="str">
        <f>VLOOKUP(1600,Sprachindex!$A:$Z,Erhebungsbogen!$Y$20,FALSE)</f>
        <v>[Stk]</v>
      </c>
      <c r="F515" s="60" t="s">
        <v>21890</v>
      </c>
      <c r="G515" s="514" t="str">
        <f>VLOOKUP(1860,Sprachindex!$A:$Z,Erhebungsbogen!$Y$20,FALSE) &amp; ", " &amp; VLOOKUP(1648,Sprachindex!$A:$Z,Erhebungsbogen!$Y$20,FALSE)</f>
        <v>U-Profil 50 Sonderlänge exkl. Dichtung, (Stangenware), blank</v>
      </c>
      <c r="H515" s="514"/>
      <c r="I515" s="514"/>
      <c r="J515" s="514"/>
      <c r="K515" s="514"/>
      <c r="L515" s="514"/>
      <c r="M515" s="514"/>
      <c r="N515" s="514"/>
      <c r="O515" s="514"/>
      <c r="P515" s="514"/>
      <c r="Q515" s="514"/>
      <c r="R515" s="514"/>
      <c r="S515" s="514"/>
      <c r="T515" s="514"/>
      <c r="U515" s="352">
        <f>VLOOKUP(F515,Preisliste!C:F,4,FALSE)</f>
        <v>117.2</v>
      </c>
      <c r="V515" s="352">
        <f t="shared" ref="V515" si="238">U515*B515</f>
        <v>0</v>
      </c>
      <c r="W515" s="146"/>
      <c r="X515" s="146"/>
      <c r="Y515" s="86"/>
      <c r="Z515" s="143"/>
      <c r="AA515" s="86"/>
      <c r="AB515" s="86"/>
      <c r="AC515" s="86"/>
      <c r="AD515" s="86"/>
      <c r="AE515" s="86"/>
      <c r="AF515" s="86"/>
      <c r="AK515" s="86">
        <f>'STK3'!$C$175</f>
        <v>0</v>
      </c>
      <c r="AL515" s="86">
        <f>'STK3'!$B$175</f>
        <v>0</v>
      </c>
      <c r="CK515" s="245"/>
    </row>
    <row r="516" spans="2:89" ht="24.95" customHeight="1">
      <c r="B516" s="92">
        <f t="shared" si="201"/>
        <v>0</v>
      </c>
      <c r="C516" s="138">
        <f t="shared" si="237"/>
        <v>0</v>
      </c>
      <c r="D516" s="60"/>
      <c r="E516" s="60" t="str">
        <f>VLOOKUP(1600,Sprachindex!$A:$Z,Erhebungsbogen!$Y$20,FALSE)</f>
        <v>[Stk]</v>
      </c>
      <c r="F516" s="60" t="s">
        <v>21890</v>
      </c>
      <c r="G516" s="514" t="str">
        <f>VLOOKUP(1860,Sprachindex!$A:$Z,Erhebungsbogen!$Y$20,FALSE) &amp; ", " &amp; VLOOKUP(1648,Sprachindex!$A:$Z,Erhebungsbogen!$Y$20,FALSE)</f>
        <v>U-Profil 50 Sonderlänge exkl. Dichtung, (Stangenware), blank</v>
      </c>
      <c r="H516" s="514"/>
      <c r="I516" s="514"/>
      <c r="J516" s="514"/>
      <c r="K516" s="514"/>
      <c r="L516" s="514"/>
      <c r="M516" s="514"/>
      <c r="N516" s="514"/>
      <c r="O516" s="514"/>
      <c r="P516" s="514"/>
      <c r="Q516" s="514"/>
      <c r="R516" s="514"/>
      <c r="S516" s="514"/>
      <c r="T516" s="514"/>
      <c r="U516" s="352">
        <f>VLOOKUP(F516,Preisliste!C:F,4,FALSE)</f>
        <v>117.2</v>
      </c>
      <c r="V516" s="352">
        <f t="shared" ref="V516" si="239">U516*B516</f>
        <v>0</v>
      </c>
      <c r="W516" s="146"/>
      <c r="X516" s="146"/>
      <c r="Y516" s="86"/>
      <c r="Z516" s="143"/>
      <c r="AA516" s="86"/>
      <c r="AB516" s="86"/>
      <c r="AC516" s="86"/>
      <c r="AD516" s="86"/>
      <c r="AE516" s="86"/>
      <c r="AF516" s="86"/>
      <c r="AK516" s="86">
        <f>'STK4'!$C$175</f>
        <v>0</v>
      </c>
      <c r="AL516" s="86">
        <f>'STK4'!$B$175</f>
        <v>0</v>
      </c>
      <c r="CK516" s="245"/>
    </row>
    <row r="517" spans="2:89" ht="24.95" customHeight="1">
      <c r="B517" s="92">
        <f t="shared" si="201"/>
        <v>0</v>
      </c>
      <c r="C517" s="138">
        <f t="shared" si="237"/>
        <v>0</v>
      </c>
      <c r="D517" s="60"/>
      <c r="E517" s="60" t="str">
        <f>VLOOKUP(1600,Sprachindex!$A:$Z,Erhebungsbogen!$Y$20,FALSE)</f>
        <v>[Stk]</v>
      </c>
      <c r="F517" s="60" t="s">
        <v>21890</v>
      </c>
      <c r="G517" s="514" t="str">
        <f>VLOOKUP(1860,Sprachindex!$A:$Z,Erhebungsbogen!$Y$20,FALSE) &amp; ", " &amp; VLOOKUP(1648,Sprachindex!$A:$Z,Erhebungsbogen!$Y$20,FALSE)</f>
        <v>U-Profil 50 Sonderlänge exkl. Dichtung, (Stangenware), blank</v>
      </c>
      <c r="H517" s="514"/>
      <c r="I517" s="514"/>
      <c r="J517" s="514"/>
      <c r="K517" s="514"/>
      <c r="L517" s="514"/>
      <c r="M517" s="514"/>
      <c r="N517" s="514"/>
      <c r="O517" s="514"/>
      <c r="P517" s="514"/>
      <c r="Q517" s="514"/>
      <c r="R517" s="514"/>
      <c r="S517" s="514"/>
      <c r="T517" s="514"/>
      <c r="U517" s="352">
        <f>VLOOKUP(F517,Preisliste!C:F,4,FALSE)</f>
        <v>117.2</v>
      </c>
      <c r="V517" s="352">
        <f t="shared" si="183"/>
        <v>0</v>
      </c>
      <c r="W517" s="146"/>
      <c r="X517" s="146"/>
      <c r="Y517" s="86"/>
      <c r="Z517" s="143"/>
      <c r="AA517" s="86"/>
      <c r="AB517" s="86"/>
      <c r="AC517" s="86"/>
      <c r="AD517" s="86"/>
      <c r="AE517" s="86"/>
      <c r="AF517" s="86"/>
      <c r="AK517" s="86">
        <f>'STK5'!$C$175</f>
        <v>0</v>
      </c>
      <c r="AL517" s="86">
        <f>'STK5'!$B$175</f>
        <v>0</v>
      </c>
      <c r="CK517" s="245"/>
    </row>
    <row r="518" spans="2:89" ht="24.95" customHeight="1">
      <c r="B518" s="92">
        <f t="shared" si="201"/>
        <v>0</v>
      </c>
      <c r="C518" s="60">
        <v>750</v>
      </c>
      <c r="D518" s="60"/>
      <c r="E518" s="60" t="str">
        <f>VLOOKUP(1600,Sprachindex!$A:$Z,Erhebungsbogen!$Y$20,FALSE)</f>
        <v>[Stk]</v>
      </c>
      <c r="F518" s="60" t="s">
        <v>21891</v>
      </c>
      <c r="G518" s="514" t="str">
        <f>VLOOKUP(1861,Sprachindex!$A:$Z,Erhebungsbogen!$Y$20,FALSE) &amp; ", " &amp; VLOOKUP(1648,Sprachindex!$A:$Z,Erhebungsbogen!$Y$20,FALSE)</f>
        <v>U-Profil 80 exkl. Dichtung, gebohrt und entgratet, blank</v>
      </c>
      <c r="H518" s="514"/>
      <c r="I518" s="514"/>
      <c r="J518" s="514"/>
      <c r="K518" s="514"/>
      <c r="L518" s="514"/>
      <c r="M518" s="514"/>
      <c r="N518" s="514"/>
      <c r="O518" s="514"/>
      <c r="P518" s="514"/>
      <c r="Q518" s="514"/>
      <c r="R518" s="514"/>
      <c r="S518" s="514"/>
      <c r="T518" s="514"/>
      <c r="U518" s="352">
        <f>VLOOKUP(F518,Preisliste!C:F,4,FALSE)</f>
        <v>153.25</v>
      </c>
      <c r="V518" s="352">
        <f t="shared" ref="V518:V522" si="240">U518*B518</f>
        <v>0</v>
      </c>
      <c r="W518" s="146"/>
      <c r="X518" s="146"/>
      <c r="Y518" s="86"/>
      <c r="Z518" s="143"/>
      <c r="AA518" s="86"/>
      <c r="AB518" s="86"/>
      <c r="AC518" s="86"/>
      <c r="AD518" s="86"/>
      <c r="AE518" s="86"/>
      <c r="AF518" s="86"/>
      <c r="AG518" s="86">
        <f>IF(Kalk1!$AA$13=FALSE,'STK1'!$B176,0)</f>
        <v>0</v>
      </c>
      <c r="AH518" s="86">
        <f>IF(Kalk2!$AA$13=FALSE,'STK2'!$B176,0)</f>
        <v>0</v>
      </c>
      <c r="AI518" s="86">
        <f>IF(Kalk3!$AA$13=FALSE,'STK3'!$B176,0)</f>
        <v>0</v>
      </c>
      <c r="AJ518" s="86">
        <f>IF(Kalk4!$AA$13=FALSE,'STK4'!$B176,0)</f>
        <v>0</v>
      </c>
      <c r="AK518" s="86">
        <f>IF(Kalk5!$AA$13=FALSE,'STK5'!$B176,0)</f>
        <v>0</v>
      </c>
      <c r="AL518" s="86">
        <f t="shared" si="218"/>
        <v>0</v>
      </c>
    </row>
    <row r="519" spans="2:89" ht="24.95" customHeight="1">
      <c r="B519" s="92">
        <f t="shared" ref="B519:B522" si="241">AL519</f>
        <v>0</v>
      </c>
      <c r="C519" s="60">
        <v>750</v>
      </c>
      <c r="D519" s="60"/>
      <c r="E519" s="60" t="str">
        <f>VLOOKUP(1600,Sprachindex!$A:$Z,Erhebungsbogen!$Y$20,FALSE)</f>
        <v>[Stk]</v>
      </c>
      <c r="F519" s="60" t="s">
        <v>21891</v>
      </c>
      <c r="G519" s="514" t="str">
        <f>VLOOKUP(1861,Sprachindex!$A:$Z,Erhebungsbogen!$Y$20,FALSE) &amp; ", " &amp; VLOOKUP(1645,Sprachindex!$A:$Z,Erhebungsbogen!$Y$20,FALSE) &amp; " " &amp; $AG$18</f>
        <v xml:space="preserve">U-Profil 80 exkl. Dichtung, gebohrt und entgratet, beschichtet </v>
      </c>
      <c r="H519" s="514"/>
      <c r="I519" s="514"/>
      <c r="J519" s="514"/>
      <c r="K519" s="514"/>
      <c r="L519" s="514"/>
      <c r="M519" s="514"/>
      <c r="N519" s="514"/>
      <c r="O519" s="514"/>
      <c r="P519" s="514"/>
      <c r="Q519" s="514"/>
      <c r="R519" s="514"/>
      <c r="S519" s="514"/>
      <c r="T519" s="514"/>
      <c r="U519" s="353">
        <f>VLOOKUP(F519,Preisliste!C:G,5,FALSE)</f>
        <v>168.57500000000002</v>
      </c>
      <c r="V519" s="352">
        <f t="shared" si="240"/>
        <v>0</v>
      </c>
      <c r="W519" s="146"/>
      <c r="X519" s="146"/>
      <c r="Y519" s="86"/>
      <c r="Z519" s="143">
        <f>(VLOOKUP(F519,Preisliste!C:G,5,FALSE)-VLOOKUP(F519,Preisliste!C:G,4,FALSE))*B519</f>
        <v>0</v>
      </c>
      <c r="AA519" s="86"/>
      <c r="AB519" s="86"/>
      <c r="AC519" s="86"/>
      <c r="AD519" s="86"/>
      <c r="AE519" s="86"/>
      <c r="AF519" s="86"/>
      <c r="AG519" s="86">
        <f>IF(Kalk1!$AA$13,'STK1'!$B176,0)</f>
        <v>0</v>
      </c>
      <c r="AL519" s="86">
        <f>SUM(AG519:AK519)</f>
        <v>0</v>
      </c>
    </row>
    <row r="520" spans="2:89" ht="24.95" customHeight="1">
      <c r="B520" s="92">
        <f t="shared" si="241"/>
        <v>0</v>
      </c>
      <c r="C520" s="60">
        <v>750</v>
      </c>
      <c r="D520" s="60"/>
      <c r="E520" s="60" t="str">
        <f>VLOOKUP(1600,Sprachindex!$A:$Z,Erhebungsbogen!$Y$20,FALSE)</f>
        <v>[Stk]</v>
      </c>
      <c r="F520" s="60" t="s">
        <v>21891</v>
      </c>
      <c r="G520" s="514" t="str">
        <f>VLOOKUP(1861,Sprachindex!$A:$Z,Erhebungsbogen!$Y$20,FALSE) &amp; ", " &amp; VLOOKUP(1645,Sprachindex!$A:$Z,Erhebungsbogen!$Y$20,FALSE) &amp; " " &amp; $AH$18</f>
        <v>U-Profil 80 exkl. Dichtung, gebohrt und entgratet, beschichtet 0</v>
      </c>
      <c r="H520" s="514"/>
      <c r="I520" s="514"/>
      <c r="J520" s="514"/>
      <c r="K520" s="514"/>
      <c r="L520" s="514"/>
      <c r="M520" s="514"/>
      <c r="N520" s="514"/>
      <c r="O520" s="514"/>
      <c r="P520" s="514"/>
      <c r="Q520" s="514"/>
      <c r="R520" s="514"/>
      <c r="S520" s="514"/>
      <c r="T520" s="514"/>
      <c r="U520" s="353">
        <f>VLOOKUP(F520,Preisliste!C:G,5,FALSE)</f>
        <v>168.57500000000002</v>
      </c>
      <c r="V520" s="352">
        <f t="shared" si="240"/>
        <v>0</v>
      </c>
      <c r="W520" s="146"/>
      <c r="X520" s="146"/>
      <c r="Y520" s="86"/>
      <c r="Z520" s="143">
        <f>(VLOOKUP(F520,Preisliste!C:G,5,FALSE)-VLOOKUP(F520,Preisliste!C:G,4,FALSE))*B520</f>
        <v>0</v>
      </c>
      <c r="AA520" s="86"/>
      <c r="AB520" s="86"/>
      <c r="AC520" s="86"/>
      <c r="AD520" s="86"/>
      <c r="AE520" s="86"/>
      <c r="AF520" s="86"/>
      <c r="AH520" s="86">
        <f>IF(Kalk2!$AA$13,'STK2'!$B176,0)</f>
        <v>0</v>
      </c>
      <c r="AL520" s="86">
        <f t="shared" si="218"/>
        <v>0</v>
      </c>
    </row>
    <row r="521" spans="2:89" ht="24.95" customHeight="1">
      <c r="B521" s="92">
        <f t="shared" si="241"/>
        <v>0</v>
      </c>
      <c r="C521" s="60">
        <v>750</v>
      </c>
      <c r="D521" s="60"/>
      <c r="E521" s="60" t="str">
        <f>VLOOKUP(1600,Sprachindex!$A:$Z,Erhebungsbogen!$Y$20,FALSE)</f>
        <v>[Stk]</v>
      </c>
      <c r="F521" s="60" t="s">
        <v>21891</v>
      </c>
      <c r="G521" s="514" t="str">
        <f>VLOOKUP(1861,Sprachindex!$A:$Z,Erhebungsbogen!$Y$20,FALSE) &amp; ", " &amp; VLOOKUP(1645,Sprachindex!$A:$Z,Erhebungsbogen!$Y$20,FALSE) &amp; " " &amp; $AI$18</f>
        <v>U-Profil 80 exkl. Dichtung, gebohrt und entgratet, beschichtet 0</v>
      </c>
      <c r="H521" s="514"/>
      <c r="I521" s="514"/>
      <c r="J521" s="514"/>
      <c r="K521" s="514"/>
      <c r="L521" s="514"/>
      <c r="M521" s="514"/>
      <c r="N521" s="514"/>
      <c r="O521" s="514"/>
      <c r="P521" s="514"/>
      <c r="Q521" s="514"/>
      <c r="R521" s="514"/>
      <c r="S521" s="514"/>
      <c r="T521" s="514"/>
      <c r="U521" s="353">
        <f>VLOOKUP(F521,Preisliste!C:G,5,FALSE)</f>
        <v>168.57500000000002</v>
      </c>
      <c r="V521" s="352">
        <f t="shared" si="240"/>
        <v>0</v>
      </c>
      <c r="W521" s="146"/>
      <c r="X521" s="146"/>
      <c r="Y521" s="86"/>
      <c r="Z521" s="143">
        <f>(VLOOKUP(F521,Preisliste!C:G,5,FALSE)-VLOOKUP(F521,Preisliste!C:G,4,FALSE))*B521</f>
        <v>0</v>
      </c>
      <c r="AA521" s="86"/>
      <c r="AB521" s="86"/>
      <c r="AC521" s="86"/>
      <c r="AD521" s="86"/>
      <c r="AE521" s="86"/>
      <c r="AF521" s="86"/>
      <c r="AI521" s="86">
        <f>IF(Kalk3!$AA$13,'STK3'!$B176,0)</f>
        <v>0</v>
      </c>
      <c r="AL521" s="86">
        <f t="shared" si="218"/>
        <v>0</v>
      </c>
    </row>
    <row r="522" spans="2:89" ht="24.95" customHeight="1">
      <c r="B522" s="92">
        <f t="shared" si="241"/>
        <v>0</v>
      </c>
      <c r="C522" s="60">
        <v>750</v>
      </c>
      <c r="D522" s="60"/>
      <c r="E522" s="60" t="str">
        <f>VLOOKUP(1600,Sprachindex!$A:$Z,Erhebungsbogen!$Y$20,FALSE)</f>
        <v>[Stk]</v>
      </c>
      <c r="F522" s="60" t="s">
        <v>21891</v>
      </c>
      <c r="G522" s="514" t="str">
        <f>VLOOKUP(1861,Sprachindex!$A:$Z,Erhebungsbogen!$Y$20,FALSE) &amp; ", " &amp; VLOOKUP(1645,Sprachindex!$A:$Z,Erhebungsbogen!$Y$20,FALSE) &amp; " " &amp; $AJ$18</f>
        <v>U-Profil 80 exkl. Dichtung, gebohrt und entgratet, beschichtet 0</v>
      </c>
      <c r="H522" s="514"/>
      <c r="I522" s="514"/>
      <c r="J522" s="514"/>
      <c r="K522" s="514"/>
      <c r="L522" s="514"/>
      <c r="M522" s="514"/>
      <c r="N522" s="514"/>
      <c r="O522" s="514"/>
      <c r="P522" s="514"/>
      <c r="Q522" s="514"/>
      <c r="R522" s="514"/>
      <c r="S522" s="514"/>
      <c r="T522" s="514"/>
      <c r="U522" s="353">
        <f>VLOOKUP(F522,Preisliste!C:G,5,FALSE)</f>
        <v>168.57500000000002</v>
      </c>
      <c r="V522" s="352">
        <f t="shared" si="240"/>
        <v>0</v>
      </c>
      <c r="W522" s="146"/>
      <c r="X522" s="146"/>
      <c r="Y522" s="86"/>
      <c r="Z522" s="143">
        <f>(VLOOKUP(F522,Preisliste!C:G,5,FALSE)-VLOOKUP(F522,Preisliste!C:G,4,FALSE))*B522</f>
        <v>0</v>
      </c>
      <c r="AA522" s="86"/>
      <c r="AB522" s="86"/>
      <c r="AC522" s="86"/>
      <c r="AD522" s="86"/>
      <c r="AE522" s="86"/>
      <c r="AF522" s="86"/>
      <c r="AJ522" s="86">
        <f>IF(Kalk4!$AA$13,'STK4'!$B176,0)</f>
        <v>0</v>
      </c>
      <c r="AL522" s="86">
        <f t="shared" si="218"/>
        <v>0</v>
      </c>
    </row>
    <row r="523" spans="2:89" ht="24.95" customHeight="1">
      <c r="B523" s="92">
        <f t="shared" si="201"/>
        <v>0</v>
      </c>
      <c r="C523" s="60">
        <v>750</v>
      </c>
      <c r="D523" s="60"/>
      <c r="E523" s="60" t="str">
        <f>VLOOKUP(1600,Sprachindex!$A:$Z,Erhebungsbogen!$Y$20,FALSE)</f>
        <v>[Stk]</v>
      </c>
      <c r="F523" s="60" t="s">
        <v>21891</v>
      </c>
      <c r="G523" s="514" t="str">
        <f>VLOOKUP(1861,Sprachindex!$A:$Z,Erhebungsbogen!$Y$20,FALSE) &amp; ", " &amp; VLOOKUP(1645,Sprachindex!$A:$Z,Erhebungsbogen!$Y$20,FALSE) &amp; " " &amp; $AK$18</f>
        <v>U-Profil 80 exkl. Dichtung, gebohrt und entgratet, beschichtet 0</v>
      </c>
      <c r="H523" s="514"/>
      <c r="I523" s="514"/>
      <c r="J523" s="514"/>
      <c r="K523" s="514"/>
      <c r="L523" s="514"/>
      <c r="M523" s="514"/>
      <c r="N523" s="514"/>
      <c r="O523" s="514"/>
      <c r="P523" s="514"/>
      <c r="Q523" s="514"/>
      <c r="R523" s="514"/>
      <c r="S523" s="514"/>
      <c r="T523" s="514"/>
      <c r="U523" s="353">
        <f>VLOOKUP(F523,Preisliste!C:G,5,FALSE)</f>
        <v>168.57500000000002</v>
      </c>
      <c r="V523" s="352">
        <f t="shared" si="183"/>
        <v>0</v>
      </c>
      <c r="W523" s="146"/>
      <c r="X523" s="146"/>
      <c r="Y523" s="86"/>
      <c r="Z523" s="143">
        <f>(VLOOKUP(F523,Preisliste!C:G,5,FALSE)-VLOOKUP(F523,Preisliste!C:G,4,FALSE))*B523</f>
        <v>0</v>
      </c>
      <c r="AA523" s="86"/>
      <c r="AB523" s="86"/>
      <c r="AC523" s="86"/>
      <c r="AD523" s="86"/>
      <c r="AE523" s="86"/>
      <c r="AF523" s="86"/>
      <c r="AK523" s="86">
        <f>IF(Kalk5!$AA$13,'STK5'!$B176,0)</f>
        <v>0</v>
      </c>
      <c r="AL523" s="86">
        <f t="shared" si="218"/>
        <v>0</v>
      </c>
    </row>
    <row r="524" spans="2:89" ht="24.95" customHeight="1">
      <c r="B524" s="92">
        <f t="shared" si="201"/>
        <v>0</v>
      </c>
      <c r="C524" s="60">
        <v>1350</v>
      </c>
      <c r="D524" s="60"/>
      <c r="E524" s="60" t="str">
        <f>VLOOKUP(1600,Sprachindex!$A:$Z,Erhebungsbogen!$Y$20,FALSE)</f>
        <v>[Stk]</v>
      </c>
      <c r="F524" s="60" t="s">
        <v>21892</v>
      </c>
      <c r="G524" s="514" t="str">
        <f>VLOOKUP(1861,Sprachindex!$A:$Z,Erhebungsbogen!$Y$20,FALSE) &amp; ", " &amp; VLOOKUP(1648,Sprachindex!$A:$Z,Erhebungsbogen!$Y$20,FALSE)</f>
        <v>U-Profil 80 exkl. Dichtung, gebohrt und entgratet, blank</v>
      </c>
      <c r="H524" s="514"/>
      <c r="I524" s="514"/>
      <c r="J524" s="514"/>
      <c r="K524" s="514"/>
      <c r="L524" s="514"/>
      <c r="M524" s="514"/>
      <c r="N524" s="514"/>
      <c r="O524" s="514"/>
      <c r="P524" s="514"/>
      <c r="Q524" s="514"/>
      <c r="R524" s="514"/>
      <c r="S524" s="514"/>
      <c r="T524" s="514"/>
      <c r="U524" s="352">
        <f>VLOOKUP(F524,Preisliste!C:F,4,FALSE)</f>
        <v>239.85</v>
      </c>
      <c r="V524" s="352">
        <f t="shared" ref="V524:V528" si="242">U524*B524</f>
        <v>0</v>
      </c>
      <c r="W524" s="146"/>
      <c r="X524" s="146"/>
      <c r="Y524" s="86"/>
      <c r="Z524" s="143"/>
      <c r="AA524" s="86"/>
      <c r="AB524" s="86"/>
      <c r="AC524" s="86"/>
      <c r="AD524" s="86"/>
      <c r="AE524" s="86"/>
      <c r="AF524" s="86"/>
      <c r="AG524" s="86">
        <f>IF(Kalk1!$AA$13=FALSE,'STK1'!$B177,0)</f>
        <v>0</v>
      </c>
      <c r="AH524" s="86">
        <f>IF(Kalk2!$AA$13=FALSE,'STK2'!$B177,0)</f>
        <v>0</v>
      </c>
      <c r="AI524" s="86">
        <f>IF(Kalk3!$AA$13=FALSE,'STK3'!$B177,0)</f>
        <v>0</v>
      </c>
      <c r="AJ524" s="86">
        <f>IF(Kalk4!$AA$13=FALSE,'STK4'!$B177,0)</f>
        <v>0</v>
      </c>
      <c r="AK524" s="86">
        <f>IF(Kalk5!$AA$13=FALSE,'STK5'!$B177,0)</f>
        <v>0</v>
      </c>
      <c r="AL524" s="86">
        <f t="shared" ref="AL524:AL540" si="243">SUM(AG524:AK524)</f>
        <v>0</v>
      </c>
    </row>
    <row r="525" spans="2:89" ht="24.95" customHeight="1">
      <c r="B525" s="92">
        <f t="shared" ref="B525:B528" si="244">AL525</f>
        <v>0</v>
      </c>
      <c r="C525" s="60">
        <v>1350</v>
      </c>
      <c r="D525" s="60"/>
      <c r="E525" s="60" t="str">
        <f>VLOOKUP(1600,Sprachindex!$A:$Z,Erhebungsbogen!$Y$20,FALSE)</f>
        <v>[Stk]</v>
      </c>
      <c r="F525" s="60" t="s">
        <v>21892</v>
      </c>
      <c r="G525" s="514" t="str">
        <f>VLOOKUP(1861,Sprachindex!$A:$Z,Erhebungsbogen!$Y$20,FALSE) &amp; ", " &amp; VLOOKUP(1645,Sprachindex!$A:$Z,Erhebungsbogen!$Y$20,FALSE) &amp; " " &amp; $AG$18</f>
        <v xml:space="preserve">U-Profil 80 exkl. Dichtung, gebohrt und entgratet, beschichtet </v>
      </c>
      <c r="H525" s="514"/>
      <c r="I525" s="514"/>
      <c r="J525" s="514"/>
      <c r="K525" s="514"/>
      <c r="L525" s="514"/>
      <c r="M525" s="514"/>
      <c r="N525" s="514"/>
      <c r="O525" s="514"/>
      <c r="P525" s="514"/>
      <c r="Q525" s="514"/>
      <c r="R525" s="514"/>
      <c r="S525" s="514"/>
      <c r="T525" s="514"/>
      <c r="U525" s="353">
        <f>VLOOKUP(F525,Preisliste!C:G,5,FALSE)</f>
        <v>263.83500000000004</v>
      </c>
      <c r="V525" s="352">
        <f t="shared" si="242"/>
        <v>0</v>
      </c>
      <c r="W525" s="146"/>
      <c r="X525" s="146"/>
      <c r="Y525" s="86"/>
      <c r="Z525" s="143">
        <f>(VLOOKUP(F525,Preisliste!C:G,5,FALSE)-VLOOKUP(F525,Preisliste!C:G,4,FALSE))*B525</f>
        <v>0</v>
      </c>
      <c r="AA525" s="86"/>
      <c r="AB525" s="86"/>
      <c r="AC525" s="86"/>
      <c r="AD525" s="86"/>
      <c r="AE525" s="86"/>
      <c r="AF525" s="86"/>
      <c r="AG525" s="86">
        <f>IF(Kalk1!$AA$13,'STK1'!$B177,0)</f>
        <v>0</v>
      </c>
      <c r="AL525" s="86">
        <f>SUM(AG525:AK525)</f>
        <v>0</v>
      </c>
    </row>
    <row r="526" spans="2:89" ht="24.95" customHeight="1">
      <c r="B526" s="92">
        <f t="shared" si="244"/>
        <v>0</v>
      </c>
      <c r="C526" s="60">
        <v>1350</v>
      </c>
      <c r="D526" s="60"/>
      <c r="E526" s="60" t="str">
        <f>VLOOKUP(1600,Sprachindex!$A:$Z,Erhebungsbogen!$Y$20,FALSE)</f>
        <v>[Stk]</v>
      </c>
      <c r="F526" s="60" t="s">
        <v>21892</v>
      </c>
      <c r="G526" s="514" t="str">
        <f>VLOOKUP(1861,Sprachindex!$A:$Z,Erhebungsbogen!$Y$20,FALSE) &amp; ", " &amp; VLOOKUP(1645,Sprachindex!$A:$Z,Erhebungsbogen!$Y$20,FALSE) &amp; " " &amp; $AH$18</f>
        <v>U-Profil 80 exkl. Dichtung, gebohrt und entgratet, beschichtet 0</v>
      </c>
      <c r="H526" s="514"/>
      <c r="I526" s="514"/>
      <c r="J526" s="514"/>
      <c r="K526" s="514"/>
      <c r="L526" s="514"/>
      <c r="M526" s="514"/>
      <c r="N526" s="514"/>
      <c r="O526" s="514"/>
      <c r="P526" s="514"/>
      <c r="Q526" s="514"/>
      <c r="R526" s="514"/>
      <c r="S526" s="514"/>
      <c r="T526" s="514"/>
      <c r="U526" s="353">
        <f>VLOOKUP(F526,Preisliste!C:G,5,FALSE)</f>
        <v>263.83500000000004</v>
      </c>
      <c r="V526" s="352">
        <f t="shared" si="242"/>
        <v>0</v>
      </c>
      <c r="W526" s="146"/>
      <c r="X526" s="146"/>
      <c r="Y526" s="86"/>
      <c r="Z526" s="143">
        <f>(VLOOKUP(F526,Preisliste!C:G,5,FALSE)-VLOOKUP(F526,Preisliste!C:G,4,FALSE))*B526</f>
        <v>0</v>
      </c>
      <c r="AA526" s="86"/>
      <c r="AB526" s="86"/>
      <c r="AC526" s="86"/>
      <c r="AD526" s="86"/>
      <c r="AE526" s="86"/>
      <c r="AF526" s="86"/>
      <c r="AH526" s="86">
        <f>IF(Kalk2!$AA$13,'STK2'!$B177,0)</f>
        <v>0</v>
      </c>
      <c r="AL526" s="86">
        <f t="shared" si="243"/>
        <v>0</v>
      </c>
    </row>
    <row r="527" spans="2:89" ht="24.95" customHeight="1">
      <c r="B527" s="92">
        <f t="shared" si="244"/>
        <v>0</v>
      </c>
      <c r="C527" s="60">
        <v>1350</v>
      </c>
      <c r="D527" s="60"/>
      <c r="E527" s="60" t="str">
        <f>VLOOKUP(1600,Sprachindex!$A:$Z,Erhebungsbogen!$Y$20,FALSE)</f>
        <v>[Stk]</v>
      </c>
      <c r="F527" s="60" t="s">
        <v>21892</v>
      </c>
      <c r="G527" s="514" t="str">
        <f>VLOOKUP(1861,Sprachindex!$A:$Z,Erhebungsbogen!$Y$20,FALSE) &amp; ", " &amp; VLOOKUP(1645,Sprachindex!$A:$Z,Erhebungsbogen!$Y$20,FALSE) &amp; " " &amp; $AI$18</f>
        <v>U-Profil 80 exkl. Dichtung, gebohrt und entgratet, beschichtet 0</v>
      </c>
      <c r="H527" s="514"/>
      <c r="I527" s="514"/>
      <c r="J527" s="514"/>
      <c r="K527" s="514"/>
      <c r="L527" s="514"/>
      <c r="M527" s="514"/>
      <c r="N527" s="514"/>
      <c r="O527" s="514"/>
      <c r="P527" s="514"/>
      <c r="Q527" s="514"/>
      <c r="R527" s="514"/>
      <c r="S527" s="514"/>
      <c r="T527" s="514"/>
      <c r="U527" s="353">
        <f>VLOOKUP(F527,Preisliste!C:G,5,FALSE)</f>
        <v>263.83500000000004</v>
      </c>
      <c r="V527" s="352">
        <f t="shared" si="242"/>
        <v>0</v>
      </c>
      <c r="W527" s="146"/>
      <c r="X527" s="146"/>
      <c r="Y527" s="86"/>
      <c r="Z527" s="143">
        <f>(VLOOKUP(F527,Preisliste!C:G,5,FALSE)-VLOOKUP(F527,Preisliste!C:G,4,FALSE))*B527</f>
        <v>0</v>
      </c>
      <c r="AA527" s="86"/>
      <c r="AB527" s="86"/>
      <c r="AC527" s="86"/>
      <c r="AD527" s="86"/>
      <c r="AE527" s="86"/>
      <c r="AF527" s="86"/>
      <c r="AI527" s="86">
        <f>IF(Kalk3!$AA$13,'STK3'!$B177,0)</f>
        <v>0</v>
      </c>
      <c r="AL527" s="86">
        <f t="shared" si="243"/>
        <v>0</v>
      </c>
    </row>
    <row r="528" spans="2:89" ht="24.95" customHeight="1">
      <c r="B528" s="92">
        <f t="shared" si="244"/>
        <v>0</v>
      </c>
      <c r="C528" s="60">
        <v>1350</v>
      </c>
      <c r="D528" s="60"/>
      <c r="E528" s="60" t="str">
        <f>VLOOKUP(1600,Sprachindex!$A:$Z,Erhebungsbogen!$Y$20,FALSE)</f>
        <v>[Stk]</v>
      </c>
      <c r="F528" s="60" t="s">
        <v>21892</v>
      </c>
      <c r="G528" s="514" t="str">
        <f>VLOOKUP(1861,Sprachindex!$A:$Z,Erhebungsbogen!$Y$20,FALSE) &amp; ", " &amp; VLOOKUP(1645,Sprachindex!$A:$Z,Erhebungsbogen!$Y$20,FALSE) &amp; " " &amp; $AJ$18</f>
        <v>U-Profil 80 exkl. Dichtung, gebohrt und entgratet, beschichtet 0</v>
      </c>
      <c r="H528" s="514"/>
      <c r="I528" s="514"/>
      <c r="J528" s="514"/>
      <c r="K528" s="514"/>
      <c r="L528" s="514"/>
      <c r="M528" s="514"/>
      <c r="N528" s="514"/>
      <c r="O528" s="514"/>
      <c r="P528" s="514"/>
      <c r="Q528" s="514"/>
      <c r="R528" s="514"/>
      <c r="S528" s="514"/>
      <c r="T528" s="514"/>
      <c r="U528" s="353">
        <f>VLOOKUP(F528,Preisliste!C:G,5,FALSE)</f>
        <v>263.83500000000004</v>
      </c>
      <c r="V528" s="352">
        <f t="shared" si="242"/>
        <v>0</v>
      </c>
      <c r="W528" s="146"/>
      <c r="X528" s="146"/>
      <c r="Y528" s="86"/>
      <c r="Z528" s="143">
        <f>(VLOOKUP(F528,Preisliste!C:G,5,FALSE)-VLOOKUP(F528,Preisliste!C:G,4,FALSE))*B528</f>
        <v>0</v>
      </c>
      <c r="AA528" s="86"/>
      <c r="AB528" s="86"/>
      <c r="AC528" s="86"/>
      <c r="AD528" s="86"/>
      <c r="AE528" s="86"/>
      <c r="AF528" s="86"/>
      <c r="AJ528" s="86">
        <f>IF(Kalk4!$AA$13,'STK4'!$B177,0)</f>
        <v>0</v>
      </c>
      <c r="AL528" s="86">
        <f t="shared" si="243"/>
        <v>0</v>
      </c>
    </row>
    <row r="529" spans="2:89" ht="24.95" customHeight="1">
      <c r="B529" s="92">
        <f t="shared" si="201"/>
        <v>0</v>
      </c>
      <c r="C529" s="60">
        <v>1350</v>
      </c>
      <c r="D529" s="60"/>
      <c r="E529" s="60" t="str">
        <f>VLOOKUP(1600,Sprachindex!$A:$Z,Erhebungsbogen!$Y$20,FALSE)</f>
        <v>[Stk]</v>
      </c>
      <c r="F529" s="60" t="s">
        <v>21892</v>
      </c>
      <c r="G529" s="514" t="str">
        <f>VLOOKUP(1861,Sprachindex!$A:$Z,Erhebungsbogen!$Y$20,FALSE) &amp; ", " &amp; VLOOKUP(1645,Sprachindex!$A:$Z,Erhebungsbogen!$Y$20,FALSE) &amp; " " &amp; $AK$18</f>
        <v>U-Profil 80 exkl. Dichtung, gebohrt und entgratet, beschichtet 0</v>
      </c>
      <c r="H529" s="514"/>
      <c r="I529" s="514"/>
      <c r="J529" s="514"/>
      <c r="K529" s="514"/>
      <c r="L529" s="514"/>
      <c r="M529" s="514"/>
      <c r="N529" s="514"/>
      <c r="O529" s="514"/>
      <c r="P529" s="514"/>
      <c r="Q529" s="514"/>
      <c r="R529" s="514"/>
      <c r="S529" s="514"/>
      <c r="T529" s="514"/>
      <c r="U529" s="353">
        <f>VLOOKUP(F529,Preisliste!C:G,5,FALSE)</f>
        <v>263.83500000000004</v>
      </c>
      <c r="V529" s="352">
        <f t="shared" si="183"/>
        <v>0</v>
      </c>
      <c r="W529" s="146"/>
      <c r="X529" s="146"/>
      <c r="Y529" s="86"/>
      <c r="Z529" s="143">
        <f>(VLOOKUP(F529,Preisliste!C:G,5,FALSE)-VLOOKUP(F529,Preisliste!C:G,4,FALSE))*B529</f>
        <v>0</v>
      </c>
      <c r="AA529" s="86"/>
      <c r="AB529" s="86"/>
      <c r="AC529" s="86"/>
      <c r="AD529" s="86"/>
      <c r="AE529" s="86"/>
      <c r="AF529" s="86"/>
      <c r="AK529" s="86">
        <f>IF(Kalk5!$AA$13,'STK5'!$B177,0)</f>
        <v>0</v>
      </c>
      <c r="AL529" s="86">
        <f t="shared" si="243"/>
        <v>0</v>
      </c>
    </row>
    <row r="530" spans="2:89" ht="24.95" customHeight="1">
      <c r="B530" s="92">
        <f t="shared" si="201"/>
        <v>0</v>
      </c>
      <c r="C530" s="60">
        <v>1750</v>
      </c>
      <c r="D530" s="60"/>
      <c r="E530" s="60" t="str">
        <f>VLOOKUP(1600,Sprachindex!$A:$Z,Erhebungsbogen!$Y$20,FALSE)</f>
        <v>[Stk]</v>
      </c>
      <c r="F530" s="60" t="s">
        <v>21893</v>
      </c>
      <c r="G530" s="514" t="str">
        <f>VLOOKUP(1861,Sprachindex!$A:$Z,Erhebungsbogen!$Y$20,FALSE) &amp; ", " &amp; VLOOKUP(1648,Sprachindex!$A:$Z,Erhebungsbogen!$Y$20,FALSE)</f>
        <v>U-Profil 80 exkl. Dichtung, gebohrt und entgratet, blank</v>
      </c>
      <c r="H530" s="514"/>
      <c r="I530" s="514"/>
      <c r="J530" s="514"/>
      <c r="K530" s="514"/>
      <c r="L530" s="514"/>
      <c r="M530" s="514"/>
      <c r="N530" s="514"/>
      <c r="O530" s="514"/>
      <c r="P530" s="514"/>
      <c r="Q530" s="514"/>
      <c r="R530" s="514"/>
      <c r="S530" s="514"/>
      <c r="T530" s="514"/>
      <c r="U530" s="352">
        <f>VLOOKUP(F530,Preisliste!C:F,4,FALSE)</f>
        <v>298.89999999999998</v>
      </c>
      <c r="V530" s="352">
        <f t="shared" ref="V530:V534" si="245">U530*B530</f>
        <v>0</v>
      </c>
      <c r="W530" s="146"/>
      <c r="X530" s="146"/>
      <c r="Y530" s="86"/>
      <c r="Z530" s="143"/>
      <c r="AA530" s="86"/>
      <c r="AB530" s="86"/>
      <c r="AC530" s="86"/>
      <c r="AD530" s="86"/>
      <c r="AE530" s="86"/>
      <c r="AF530" s="86"/>
      <c r="AG530" s="86">
        <f>IF(Kalk1!$AA$13=FALSE,'STK1'!$B178,0)</f>
        <v>0</v>
      </c>
      <c r="AH530" s="86">
        <f>IF(Kalk2!$AA$13=FALSE,'STK2'!$B178,0)</f>
        <v>0</v>
      </c>
      <c r="AI530" s="86">
        <f>IF(Kalk3!$AA$13=FALSE,'STK3'!$B178,0)</f>
        <v>0</v>
      </c>
      <c r="AJ530" s="86">
        <f>IF(Kalk4!$AA$13=FALSE,'STK4'!$B178,0)</f>
        <v>0</v>
      </c>
      <c r="AK530" s="86">
        <f>IF(Kalk5!$AA$13=FALSE,'STK5'!$B178,0)</f>
        <v>0</v>
      </c>
      <c r="AL530" s="86">
        <f t="shared" si="243"/>
        <v>0</v>
      </c>
    </row>
    <row r="531" spans="2:89" ht="24.95" customHeight="1">
      <c r="B531" s="92">
        <f t="shared" ref="B531:B534" si="246">AL531</f>
        <v>0</v>
      </c>
      <c r="C531" s="60">
        <v>1750</v>
      </c>
      <c r="D531" s="60"/>
      <c r="E531" s="60" t="str">
        <f>VLOOKUP(1600,Sprachindex!$A:$Z,Erhebungsbogen!$Y$20,FALSE)</f>
        <v>[Stk]</v>
      </c>
      <c r="F531" s="60" t="s">
        <v>21893</v>
      </c>
      <c r="G531" s="514" t="str">
        <f>VLOOKUP(1861,Sprachindex!$A:$Z,Erhebungsbogen!$Y$20,FALSE) &amp; ", " &amp; VLOOKUP(1645,Sprachindex!$A:$Z,Erhebungsbogen!$Y$20,FALSE) &amp; " " &amp; $AG$18</f>
        <v xml:space="preserve">U-Profil 80 exkl. Dichtung, gebohrt und entgratet, beschichtet </v>
      </c>
      <c r="H531" s="514"/>
      <c r="I531" s="514"/>
      <c r="J531" s="514"/>
      <c r="K531" s="514"/>
      <c r="L531" s="514"/>
      <c r="M531" s="514"/>
      <c r="N531" s="514"/>
      <c r="O531" s="514"/>
      <c r="P531" s="514"/>
      <c r="Q531" s="514"/>
      <c r="R531" s="514"/>
      <c r="S531" s="514"/>
      <c r="T531" s="514"/>
      <c r="U531" s="353">
        <f>VLOOKUP(F531,Preisliste!C:G,5,FALSE)</f>
        <v>328.79</v>
      </c>
      <c r="V531" s="352">
        <f t="shared" si="245"/>
        <v>0</v>
      </c>
      <c r="W531" s="146"/>
      <c r="X531" s="146"/>
      <c r="Y531" s="86"/>
      <c r="Z531" s="143">
        <f>(VLOOKUP(F531,Preisliste!C:G,5,FALSE)-VLOOKUP(F531,Preisliste!C:G,4,FALSE))*B531</f>
        <v>0</v>
      </c>
      <c r="AA531" s="86"/>
      <c r="AB531" s="86"/>
      <c r="AC531" s="86"/>
      <c r="AD531" s="86"/>
      <c r="AE531" s="86"/>
      <c r="AF531" s="86"/>
      <c r="AG531" s="86">
        <f>IF(Kalk1!$AA$13,'STK1'!$B178,0)</f>
        <v>0</v>
      </c>
      <c r="AL531" s="86">
        <f>SUM(AG531:AK531)</f>
        <v>0</v>
      </c>
    </row>
    <row r="532" spans="2:89" ht="24.95" customHeight="1">
      <c r="B532" s="92">
        <f t="shared" si="246"/>
        <v>0</v>
      </c>
      <c r="C532" s="60">
        <v>1750</v>
      </c>
      <c r="D532" s="60"/>
      <c r="E532" s="60" t="str">
        <f>VLOOKUP(1600,Sprachindex!$A:$Z,Erhebungsbogen!$Y$20,FALSE)</f>
        <v>[Stk]</v>
      </c>
      <c r="F532" s="60" t="s">
        <v>21893</v>
      </c>
      <c r="G532" s="514" t="str">
        <f>VLOOKUP(1861,Sprachindex!$A:$Z,Erhebungsbogen!$Y$20,FALSE) &amp; ", " &amp; VLOOKUP(1645,Sprachindex!$A:$Z,Erhebungsbogen!$Y$20,FALSE) &amp; " " &amp; $AH$18</f>
        <v>U-Profil 80 exkl. Dichtung, gebohrt und entgratet, beschichtet 0</v>
      </c>
      <c r="H532" s="514"/>
      <c r="I532" s="514"/>
      <c r="J532" s="514"/>
      <c r="K532" s="514"/>
      <c r="L532" s="514"/>
      <c r="M532" s="514"/>
      <c r="N532" s="514"/>
      <c r="O532" s="514"/>
      <c r="P532" s="514"/>
      <c r="Q532" s="514"/>
      <c r="R532" s="514"/>
      <c r="S532" s="514"/>
      <c r="T532" s="514"/>
      <c r="U532" s="353">
        <f>VLOOKUP(F532,Preisliste!C:G,5,FALSE)</f>
        <v>328.79</v>
      </c>
      <c r="V532" s="352">
        <f t="shared" si="245"/>
        <v>0</v>
      </c>
      <c r="W532" s="146"/>
      <c r="X532" s="146"/>
      <c r="Y532" s="86"/>
      <c r="Z532" s="143">
        <f>(VLOOKUP(F532,Preisliste!C:G,5,FALSE)-VLOOKUP(F532,Preisliste!C:G,4,FALSE))*B532</f>
        <v>0</v>
      </c>
      <c r="AA532" s="86"/>
      <c r="AB532" s="86"/>
      <c r="AC532" s="86"/>
      <c r="AD532" s="86"/>
      <c r="AE532" s="86"/>
      <c r="AF532" s="86"/>
      <c r="AH532" s="86">
        <f>IF(Kalk2!$AA$13,'STK2'!$B178,0)</f>
        <v>0</v>
      </c>
      <c r="AL532" s="86">
        <f t="shared" si="243"/>
        <v>0</v>
      </c>
    </row>
    <row r="533" spans="2:89" ht="24.95" customHeight="1">
      <c r="B533" s="92">
        <f t="shared" si="246"/>
        <v>0</v>
      </c>
      <c r="C533" s="60">
        <v>1750</v>
      </c>
      <c r="D533" s="60"/>
      <c r="E533" s="60" t="str">
        <f>VLOOKUP(1600,Sprachindex!$A:$Z,Erhebungsbogen!$Y$20,FALSE)</f>
        <v>[Stk]</v>
      </c>
      <c r="F533" s="60" t="s">
        <v>21893</v>
      </c>
      <c r="G533" s="514" t="str">
        <f>VLOOKUP(1861,Sprachindex!$A:$Z,Erhebungsbogen!$Y$20,FALSE) &amp; ", " &amp; VLOOKUP(1645,Sprachindex!$A:$Z,Erhebungsbogen!$Y$20,FALSE) &amp; " " &amp; $AI$18</f>
        <v>U-Profil 80 exkl. Dichtung, gebohrt und entgratet, beschichtet 0</v>
      </c>
      <c r="H533" s="514"/>
      <c r="I533" s="514"/>
      <c r="J533" s="514"/>
      <c r="K533" s="514"/>
      <c r="L533" s="514"/>
      <c r="M533" s="514"/>
      <c r="N533" s="514"/>
      <c r="O533" s="514"/>
      <c r="P533" s="514"/>
      <c r="Q533" s="514"/>
      <c r="R533" s="514"/>
      <c r="S533" s="514"/>
      <c r="T533" s="514"/>
      <c r="U533" s="353">
        <f>VLOOKUP(F533,Preisliste!C:G,5,FALSE)</f>
        <v>328.79</v>
      </c>
      <c r="V533" s="352">
        <f t="shared" si="245"/>
        <v>0</v>
      </c>
      <c r="W533" s="146"/>
      <c r="X533" s="146"/>
      <c r="Y533" s="86"/>
      <c r="Z533" s="143">
        <f>(VLOOKUP(F533,Preisliste!C:G,5,FALSE)-VLOOKUP(F533,Preisliste!C:G,4,FALSE))*B533</f>
        <v>0</v>
      </c>
      <c r="AA533" s="86"/>
      <c r="AB533" s="86"/>
      <c r="AC533" s="86"/>
      <c r="AD533" s="86"/>
      <c r="AE533" s="86"/>
      <c r="AF533" s="86"/>
      <c r="AI533" s="86">
        <f>IF(Kalk3!$AA$13,'STK3'!$B178,0)</f>
        <v>0</v>
      </c>
      <c r="AL533" s="86">
        <f t="shared" si="243"/>
        <v>0</v>
      </c>
    </row>
    <row r="534" spans="2:89" ht="24.95" customHeight="1">
      <c r="B534" s="92">
        <f t="shared" si="246"/>
        <v>0</v>
      </c>
      <c r="C534" s="60">
        <v>1750</v>
      </c>
      <c r="D534" s="60"/>
      <c r="E534" s="60" t="str">
        <f>VLOOKUP(1600,Sprachindex!$A:$Z,Erhebungsbogen!$Y$20,FALSE)</f>
        <v>[Stk]</v>
      </c>
      <c r="F534" s="60" t="s">
        <v>21893</v>
      </c>
      <c r="G534" s="514" t="str">
        <f>VLOOKUP(1861,Sprachindex!$A:$Z,Erhebungsbogen!$Y$20,FALSE) &amp; ", " &amp; VLOOKUP(1645,Sprachindex!$A:$Z,Erhebungsbogen!$Y$20,FALSE) &amp; " " &amp; $AJ$18</f>
        <v>U-Profil 80 exkl. Dichtung, gebohrt und entgratet, beschichtet 0</v>
      </c>
      <c r="H534" s="514"/>
      <c r="I534" s="514"/>
      <c r="J534" s="514"/>
      <c r="K534" s="514"/>
      <c r="L534" s="514"/>
      <c r="M534" s="514"/>
      <c r="N534" s="514"/>
      <c r="O534" s="514"/>
      <c r="P534" s="514"/>
      <c r="Q534" s="514"/>
      <c r="R534" s="514"/>
      <c r="S534" s="514"/>
      <c r="T534" s="514"/>
      <c r="U534" s="353">
        <f>VLOOKUP(F534,Preisliste!C:G,5,FALSE)</f>
        <v>328.79</v>
      </c>
      <c r="V534" s="352">
        <f t="shared" si="245"/>
        <v>0</v>
      </c>
      <c r="W534" s="146"/>
      <c r="X534" s="146"/>
      <c r="Y534" s="86"/>
      <c r="Z534" s="143">
        <f>(VLOOKUP(F534,Preisliste!C:G,5,FALSE)-VLOOKUP(F534,Preisliste!C:G,4,FALSE))*B534</f>
        <v>0</v>
      </c>
      <c r="AA534" s="86"/>
      <c r="AB534" s="86"/>
      <c r="AC534" s="86"/>
      <c r="AD534" s="86"/>
      <c r="AE534" s="86"/>
      <c r="AF534" s="86"/>
      <c r="AJ534" s="86">
        <f>IF(Kalk4!$AA$13,'STK4'!$B178,0)</f>
        <v>0</v>
      </c>
      <c r="AL534" s="86">
        <f t="shared" si="243"/>
        <v>0</v>
      </c>
    </row>
    <row r="535" spans="2:89" ht="24.95" customHeight="1">
      <c r="B535" s="92">
        <f t="shared" si="201"/>
        <v>0</v>
      </c>
      <c r="C535" s="60">
        <v>1750</v>
      </c>
      <c r="D535" s="60"/>
      <c r="E535" s="60" t="str">
        <f>VLOOKUP(1600,Sprachindex!$A:$Z,Erhebungsbogen!$Y$20,FALSE)</f>
        <v>[Stk]</v>
      </c>
      <c r="F535" s="60" t="s">
        <v>21893</v>
      </c>
      <c r="G535" s="514" t="str">
        <f>VLOOKUP(1861,Sprachindex!$A:$Z,Erhebungsbogen!$Y$20,FALSE) &amp; ", " &amp; VLOOKUP(1645,Sprachindex!$A:$Z,Erhebungsbogen!$Y$20,FALSE) &amp; " " &amp; $AK$18</f>
        <v>U-Profil 80 exkl. Dichtung, gebohrt und entgratet, beschichtet 0</v>
      </c>
      <c r="H535" s="514"/>
      <c r="I535" s="514"/>
      <c r="J535" s="514"/>
      <c r="K535" s="514"/>
      <c r="L535" s="514"/>
      <c r="M535" s="514"/>
      <c r="N535" s="514"/>
      <c r="O535" s="514"/>
      <c r="P535" s="514"/>
      <c r="Q535" s="514"/>
      <c r="R535" s="514"/>
      <c r="S535" s="514"/>
      <c r="T535" s="514"/>
      <c r="U535" s="353">
        <f>VLOOKUP(F535,Preisliste!C:G,5,FALSE)</f>
        <v>328.79</v>
      </c>
      <c r="V535" s="352">
        <f t="shared" si="183"/>
        <v>0</v>
      </c>
      <c r="W535" s="146"/>
      <c r="X535" s="146"/>
      <c r="Y535" s="86"/>
      <c r="Z535" s="143">
        <f>(VLOOKUP(F535,Preisliste!C:G,5,FALSE)-VLOOKUP(F535,Preisliste!C:G,4,FALSE))*B535</f>
        <v>0</v>
      </c>
      <c r="AA535" s="86"/>
      <c r="AB535" s="86"/>
      <c r="AC535" s="86"/>
      <c r="AD535" s="86"/>
      <c r="AE535" s="86"/>
      <c r="AF535" s="86"/>
      <c r="AK535" s="86">
        <f>IF(Kalk5!$AA$13,'STK5'!$B178,0)</f>
        <v>0</v>
      </c>
      <c r="AL535" s="86">
        <f t="shared" si="243"/>
        <v>0</v>
      </c>
    </row>
    <row r="536" spans="2:89" ht="24.95" customHeight="1">
      <c r="B536" s="92">
        <f t="shared" si="201"/>
        <v>0</v>
      </c>
      <c r="C536" s="60">
        <v>2150</v>
      </c>
      <c r="D536" s="60"/>
      <c r="E536" s="60" t="str">
        <f>VLOOKUP(1600,Sprachindex!$A:$Z,Erhebungsbogen!$Y$20,FALSE)</f>
        <v>[Stk]</v>
      </c>
      <c r="F536" s="60" t="s">
        <v>21894</v>
      </c>
      <c r="G536" s="514" t="str">
        <f>VLOOKUP(1861,Sprachindex!$A:$Z,Erhebungsbogen!$Y$20,FALSE) &amp; ", " &amp; VLOOKUP(1648,Sprachindex!$A:$Z,Erhebungsbogen!$Y$20,FALSE)</f>
        <v>U-Profil 80 exkl. Dichtung, gebohrt und entgratet, blank</v>
      </c>
      <c r="H536" s="514"/>
      <c r="I536" s="514"/>
      <c r="J536" s="514"/>
      <c r="K536" s="514"/>
      <c r="L536" s="514"/>
      <c r="M536" s="514"/>
      <c r="N536" s="514"/>
      <c r="O536" s="514"/>
      <c r="P536" s="514"/>
      <c r="Q536" s="514"/>
      <c r="R536" s="514"/>
      <c r="S536" s="514"/>
      <c r="T536" s="514"/>
      <c r="U536" s="352">
        <f>VLOOKUP(F536,Preisliste!C:F,4,FALSE)</f>
        <v>359</v>
      </c>
      <c r="V536" s="352">
        <f t="shared" ref="V536:V540" si="247">U536*B536</f>
        <v>0</v>
      </c>
      <c r="W536" s="146"/>
      <c r="X536" s="146"/>
      <c r="Y536" s="86"/>
      <c r="Z536" s="143"/>
      <c r="AA536" s="86"/>
      <c r="AB536" s="86"/>
      <c r="AC536" s="86"/>
      <c r="AD536" s="86"/>
      <c r="AE536" s="86"/>
      <c r="AF536" s="86"/>
      <c r="AG536" s="86">
        <f>IF(Kalk1!$AA$13=FALSE,'STK1'!$B179,0)</f>
        <v>0</v>
      </c>
      <c r="AH536" s="86">
        <f>IF(Kalk2!$AA$13=FALSE,'STK2'!$B179,0)</f>
        <v>0</v>
      </c>
      <c r="AI536" s="86">
        <f>IF(Kalk3!$AA$13=FALSE,'STK3'!$B179,0)</f>
        <v>0</v>
      </c>
      <c r="AJ536" s="86">
        <f>IF(Kalk4!$AA$13=FALSE,'STK4'!$B179,0)</f>
        <v>0</v>
      </c>
      <c r="AK536" s="86">
        <f>IF(Kalk5!$AA$13=FALSE,'STK5'!$B179,0)</f>
        <v>0</v>
      </c>
      <c r="AL536" s="86">
        <f t="shared" si="243"/>
        <v>0</v>
      </c>
    </row>
    <row r="537" spans="2:89" ht="24.95" customHeight="1">
      <c r="B537" s="92">
        <f t="shared" ref="B537:B540" si="248">AL537</f>
        <v>0</v>
      </c>
      <c r="C537" s="60">
        <v>2150</v>
      </c>
      <c r="D537" s="60"/>
      <c r="E537" s="60" t="str">
        <f>VLOOKUP(1600,Sprachindex!$A:$Z,Erhebungsbogen!$Y$20,FALSE)</f>
        <v>[Stk]</v>
      </c>
      <c r="F537" s="60" t="s">
        <v>21894</v>
      </c>
      <c r="G537" s="514" t="str">
        <f>VLOOKUP(1861,Sprachindex!$A:$Z,Erhebungsbogen!$Y$20,FALSE) &amp; ", " &amp; VLOOKUP(1645,Sprachindex!$A:$Z,Erhebungsbogen!$Y$20,FALSE) &amp; " " &amp; $AG$18</f>
        <v xml:space="preserve">U-Profil 80 exkl. Dichtung, gebohrt und entgratet, beschichtet </v>
      </c>
      <c r="H537" s="514"/>
      <c r="I537" s="514"/>
      <c r="J537" s="514"/>
      <c r="K537" s="514"/>
      <c r="L537" s="514"/>
      <c r="M537" s="514"/>
      <c r="N537" s="514"/>
      <c r="O537" s="514"/>
      <c r="P537" s="514"/>
      <c r="Q537" s="514"/>
      <c r="R537" s="514"/>
      <c r="S537" s="514"/>
      <c r="T537" s="514"/>
      <c r="U537" s="353">
        <f>VLOOKUP(F537,Preisliste!C:G,5,FALSE)</f>
        <v>394.90000000000003</v>
      </c>
      <c r="V537" s="352">
        <f t="shared" si="247"/>
        <v>0</v>
      </c>
      <c r="W537" s="146"/>
      <c r="X537" s="146"/>
      <c r="Y537" s="86"/>
      <c r="Z537" s="143">
        <f>(VLOOKUP(F537,Preisliste!C:G,5,FALSE)-VLOOKUP(F537,Preisliste!C:G,4,FALSE))*B537</f>
        <v>0</v>
      </c>
      <c r="AA537" s="86"/>
      <c r="AB537" s="86"/>
      <c r="AC537" s="86"/>
      <c r="AD537" s="86"/>
      <c r="AE537" s="86"/>
      <c r="AF537" s="86"/>
      <c r="AG537" s="86">
        <f>IF(Kalk1!$AA$13,'STK1'!$B179,0)</f>
        <v>0</v>
      </c>
      <c r="AL537" s="86">
        <f>SUM(AG537:AK537)</f>
        <v>0</v>
      </c>
    </row>
    <row r="538" spans="2:89" ht="24.95" customHeight="1">
      <c r="B538" s="92">
        <f t="shared" si="248"/>
        <v>0</v>
      </c>
      <c r="C538" s="60">
        <v>2150</v>
      </c>
      <c r="D538" s="60"/>
      <c r="E538" s="60" t="str">
        <f>VLOOKUP(1600,Sprachindex!$A:$Z,Erhebungsbogen!$Y$20,FALSE)</f>
        <v>[Stk]</v>
      </c>
      <c r="F538" s="60" t="s">
        <v>21894</v>
      </c>
      <c r="G538" s="514" t="str">
        <f>VLOOKUP(1861,Sprachindex!$A:$Z,Erhebungsbogen!$Y$20,FALSE) &amp; ", " &amp; VLOOKUP(1645,Sprachindex!$A:$Z,Erhebungsbogen!$Y$20,FALSE) &amp; " " &amp; $AH$18</f>
        <v>U-Profil 80 exkl. Dichtung, gebohrt und entgratet, beschichtet 0</v>
      </c>
      <c r="H538" s="514"/>
      <c r="I538" s="514"/>
      <c r="J538" s="514"/>
      <c r="K538" s="514"/>
      <c r="L538" s="514"/>
      <c r="M538" s="514"/>
      <c r="N538" s="514"/>
      <c r="O538" s="514"/>
      <c r="P538" s="514"/>
      <c r="Q538" s="514"/>
      <c r="R538" s="514"/>
      <c r="S538" s="514"/>
      <c r="T538" s="514"/>
      <c r="U538" s="353">
        <f>VLOOKUP(F538,Preisliste!C:G,5,FALSE)</f>
        <v>394.90000000000003</v>
      </c>
      <c r="V538" s="352">
        <f t="shared" si="247"/>
        <v>0</v>
      </c>
      <c r="W538" s="146"/>
      <c r="X538" s="146"/>
      <c r="Y538" s="86"/>
      <c r="Z538" s="143">
        <f>(VLOOKUP(F538,Preisliste!C:G,5,FALSE)-VLOOKUP(F538,Preisliste!C:G,4,FALSE))*B538</f>
        <v>0</v>
      </c>
      <c r="AA538" s="86"/>
      <c r="AB538" s="86"/>
      <c r="AC538" s="86"/>
      <c r="AD538" s="86"/>
      <c r="AE538" s="86"/>
      <c r="AF538" s="86"/>
      <c r="AH538" s="86">
        <f>IF(Kalk2!$AA$13,'STK2'!$B179,0)</f>
        <v>0</v>
      </c>
      <c r="AL538" s="86">
        <f t="shared" si="243"/>
        <v>0</v>
      </c>
    </row>
    <row r="539" spans="2:89" ht="24.95" customHeight="1">
      <c r="B539" s="92">
        <f t="shared" si="248"/>
        <v>0</v>
      </c>
      <c r="C539" s="60">
        <v>2150</v>
      </c>
      <c r="D539" s="60"/>
      <c r="E539" s="60" t="str">
        <f>VLOOKUP(1600,Sprachindex!$A:$Z,Erhebungsbogen!$Y$20,FALSE)</f>
        <v>[Stk]</v>
      </c>
      <c r="F539" s="60" t="s">
        <v>21894</v>
      </c>
      <c r="G539" s="514" t="str">
        <f>VLOOKUP(1861,Sprachindex!$A:$Z,Erhebungsbogen!$Y$20,FALSE) &amp; ", " &amp; VLOOKUP(1645,Sprachindex!$A:$Z,Erhebungsbogen!$Y$20,FALSE) &amp; " " &amp; $AI$18</f>
        <v>U-Profil 80 exkl. Dichtung, gebohrt und entgratet, beschichtet 0</v>
      </c>
      <c r="H539" s="514"/>
      <c r="I539" s="514"/>
      <c r="J539" s="514"/>
      <c r="K539" s="514"/>
      <c r="L539" s="514"/>
      <c r="M539" s="514"/>
      <c r="N539" s="514"/>
      <c r="O539" s="514"/>
      <c r="P539" s="514"/>
      <c r="Q539" s="514"/>
      <c r="R539" s="514"/>
      <c r="S539" s="514"/>
      <c r="T539" s="514"/>
      <c r="U539" s="353">
        <f>VLOOKUP(F539,Preisliste!C:G,5,FALSE)</f>
        <v>394.90000000000003</v>
      </c>
      <c r="V539" s="352">
        <f t="shared" si="247"/>
        <v>0</v>
      </c>
      <c r="W539" s="146"/>
      <c r="X539" s="146"/>
      <c r="Y539" s="86"/>
      <c r="Z539" s="143">
        <f>(VLOOKUP(F539,Preisliste!C:G,5,FALSE)-VLOOKUP(F539,Preisliste!C:G,4,FALSE))*B539</f>
        <v>0</v>
      </c>
      <c r="AA539" s="86"/>
      <c r="AB539" s="86"/>
      <c r="AC539" s="86"/>
      <c r="AD539" s="86"/>
      <c r="AE539" s="86"/>
      <c r="AF539" s="86"/>
      <c r="AI539" s="86">
        <f>IF(Kalk3!$AA$13,'STK3'!$B179,0)</f>
        <v>0</v>
      </c>
      <c r="AL539" s="86">
        <f t="shared" si="243"/>
        <v>0</v>
      </c>
    </row>
    <row r="540" spans="2:89" ht="24.95" customHeight="1">
      <c r="B540" s="92">
        <f t="shared" si="248"/>
        <v>0</v>
      </c>
      <c r="C540" s="60">
        <v>2150</v>
      </c>
      <c r="D540" s="60"/>
      <c r="E540" s="60" t="str">
        <f>VLOOKUP(1600,Sprachindex!$A:$Z,Erhebungsbogen!$Y$20,FALSE)</f>
        <v>[Stk]</v>
      </c>
      <c r="F540" s="60" t="s">
        <v>21894</v>
      </c>
      <c r="G540" s="514" t="str">
        <f>VLOOKUP(1861,Sprachindex!$A:$Z,Erhebungsbogen!$Y$20,FALSE) &amp; ", " &amp; VLOOKUP(1645,Sprachindex!$A:$Z,Erhebungsbogen!$Y$20,FALSE) &amp; " " &amp; $AJ$18</f>
        <v>U-Profil 80 exkl. Dichtung, gebohrt und entgratet, beschichtet 0</v>
      </c>
      <c r="H540" s="514"/>
      <c r="I540" s="514"/>
      <c r="J540" s="514"/>
      <c r="K540" s="514"/>
      <c r="L540" s="514"/>
      <c r="M540" s="514"/>
      <c r="N540" s="514"/>
      <c r="O540" s="514"/>
      <c r="P540" s="514"/>
      <c r="Q540" s="514"/>
      <c r="R540" s="514"/>
      <c r="S540" s="514"/>
      <c r="T540" s="514"/>
      <c r="U540" s="353">
        <f>VLOOKUP(F540,Preisliste!C:G,5,FALSE)</f>
        <v>394.90000000000003</v>
      </c>
      <c r="V540" s="352">
        <f t="shared" si="247"/>
        <v>0</v>
      </c>
      <c r="W540" s="146"/>
      <c r="X540" s="146"/>
      <c r="Y540" s="86"/>
      <c r="Z540" s="143">
        <f>(VLOOKUP(F540,Preisliste!C:G,5,FALSE)-VLOOKUP(F540,Preisliste!C:G,4,FALSE))*B540</f>
        <v>0</v>
      </c>
      <c r="AA540" s="86"/>
      <c r="AB540" s="86"/>
      <c r="AC540" s="86"/>
      <c r="AD540" s="86"/>
      <c r="AE540" s="86"/>
      <c r="AF540" s="86"/>
      <c r="AJ540" s="86">
        <f>IF(Kalk4!$AA$13,'STK4'!$B179,0)</f>
        <v>0</v>
      </c>
      <c r="AL540" s="86">
        <f t="shared" si="243"/>
        <v>0</v>
      </c>
    </row>
    <row r="541" spans="2:89" ht="24.95" customHeight="1">
      <c r="B541" s="92">
        <f t="shared" si="201"/>
        <v>0</v>
      </c>
      <c r="C541" s="60">
        <v>2150</v>
      </c>
      <c r="D541" s="60"/>
      <c r="E541" s="60" t="str">
        <f>VLOOKUP(1600,Sprachindex!$A:$Z,Erhebungsbogen!$Y$20,FALSE)</f>
        <v>[Stk]</v>
      </c>
      <c r="F541" s="60" t="s">
        <v>21894</v>
      </c>
      <c r="G541" s="514" t="str">
        <f>VLOOKUP(1861,Sprachindex!$A:$Z,Erhebungsbogen!$Y$20,FALSE) &amp; ", " &amp; VLOOKUP(1645,Sprachindex!$A:$Z,Erhebungsbogen!$Y$20,FALSE) &amp; " " &amp; $AK$18</f>
        <v>U-Profil 80 exkl. Dichtung, gebohrt und entgratet, beschichtet 0</v>
      </c>
      <c r="H541" s="514"/>
      <c r="I541" s="514"/>
      <c r="J541" s="514"/>
      <c r="K541" s="514"/>
      <c r="L541" s="514"/>
      <c r="M541" s="514"/>
      <c r="N541" s="514"/>
      <c r="O541" s="514"/>
      <c r="P541" s="514"/>
      <c r="Q541" s="514"/>
      <c r="R541" s="514"/>
      <c r="S541" s="514"/>
      <c r="T541" s="514"/>
      <c r="U541" s="353">
        <f>VLOOKUP(F541,Preisliste!C:G,5,FALSE)</f>
        <v>394.90000000000003</v>
      </c>
      <c r="V541" s="352">
        <f t="shared" si="183"/>
        <v>0</v>
      </c>
      <c r="W541" s="146"/>
      <c r="X541" s="146"/>
      <c r="Y541" s="86"/>
      <c r="Z541" s="143">
        <f>(VLOOKUP(F541,Preisliste!C:G,5,FALSE)-VLOOKUP(F541,Preisliste!C:G,4,FALSE))*B541</f>
        <v>0</v>
      </c>
      <c r="AA541" s="86"/>
      <c r="AB541" s="86"/>
      <c r="AC541" s="86"/>
      <c r="AD541" s="86"/>
      <c r="AE541" s="86"/>
      <c r="AF541" s="86"/>
      <c r="AK541" s="86">
        <f>IF(Kalk5!$AA$13,'STK5'!$B179,0)</f>
        <v>0</v>
      </c>
      <c r="AL541" s="86">
        <f t="shared" ref="AL541" si="249">SUM(AG541:AK541)</f>
        <v>0</v>
      </c>
    </row>
    <row r="542" spans="2:89" ht="24.95" customHeight="1">
      <c r="B542" s="92">
        <f t="shared" si="201"/>
        <v>0</v>
      </c>
      <c r="C542" s="138">
        <f>AK542</f>
        <v>0</v>
      </c>
      <c r="D542" s="60"/>
      <c r="E542" s="60" t="str">
        <f>VLOOKUP(1600,Sprachindex!$A:$Z,Erhebungsbogen!$Y$20,FALSE)</f>
        <v>[Stk]</v>
      </c>
      <c r="F542" s="60" t="s">
        <v>21895</v>
      </c>
      <c r="G542" s="514" t="str">
        <f>VLOOKUP(1862,Sprachindex!$A:$Z,Erhebungsbogen!$Y$20,FALSE) &amp; ", " &amp; VLOOKUP(1648,Sprachindex!$A:$Z,Erhebungsbogen!$Y$20,FALSE)</f>
        <v>U-Profil 80 Sonderlänge exkl. Dichtung, (Stangenware), blank</v>
      </c>
      <c r="H542" s="514"/>
      <c r="I542" s="514"/>
      <c r="J542" s="514"/>
      <c r="K542" s="514"/>
      <c r="L542" s="514"/>
      <c r="M542" s="514"/>
      <c r="N542" s="514"/>
      <c r="O542" s="514"/>
      <c r="P542" s="514"/>
      <c r="Q542" s="514"/>
      <c r="R542" s="514"/>
      <c r="S542" s="514"/>
      <c r="T542" s="514"/>
      <c r="U542" s="352">
        <f>VLOOKUP(F542,Preisliste!C:F,4,FALSE)</f>
        <v>141.35</v>
      </c>
      <c r="V542" s="352">
        <f t="shared" ref="V542:V543" si="250">U542*B542</f>
        <v>0</v>
      </c>
      <c r="W542" s="146"/>
      <c r="X542" s="146"/>
      <c r="Y542" s="86"/>
      <c r="Z542" s="143"/>
      <c r="AA542" s="86"/>
      <c r="AB542" s="86"/>
      <c r="AC542" s="86"/>
      <c r="AD542" s="86"/>
      <c r="AE542" s="86"/>
      <c r="AF542" s="86"/>
      <c r="AK542" s="86">
        <f>'STK1'!$C$180</f>
        <v>0</v>
      </c>
      <c r="AL542" s="86">
        <f>'STK1'!$B$180</f>
        <v>0</v>
      </c>
      <c r="CK542" s="245"/>
    </row>
    <row r="543" spans="2:89" ht="24.95" customHeight="1">
      <c r="B543" s="92">
        <f t="shared" si="201"/>
        <v>0</v>
      </c>
      <c r="C543" s="138">
        <f t="shared" ref="C543:C546" si="251">AK543</f>
        <v>0</v>
      </c>
      <c r="D543" s="60"/>
      <c r="E543" s="60" t="str">
        <f>VLOOKUP(1600,Sprachindex!$A:$Z,Erhebungsbogen!$Y$20,FALSE)</f>
        <v>[Stk]</v>
      </c>
      <c r="F543" s="60" t="s">
        <v>21895</v>
      </c>
      <c r="G543" s="514" t="str">
        <f>VLOOKUP(1862,Sprachindex!$A:$Z,Erhebungsbogen!$Y$20,FALSE) &amp; ", " &amp; VLOOKUP(1648,Sprachindex!$A:$Z,Erhebungsbogen!$Y$20,FALSE)</f>
        <v>U-Profil 80 Sonderlänge exkl. Dichtung, (Stangenware), blank</v>
      </c>
      <c r="H543" s="514"/>
      <c r="I543" s="514"/>
      <c r="J543" s="514"/>
      <c r="K543" s="514"/>
      <c r="L543" s="514"/>
      <c r="M543" s="514"/>
      <c r="N543" s="514"/>
      <c r="O543" s="514"/>
      <c r="P543" s="514"/>
      <c r="Q543" s="514"/>
      <c r="R543" s="514"/>
      <c r="S543" s="514"/>
      <c r="T543" s="514"/>
      <c r="U543" s="352">
        <f>VLOOKUP(F543,Preisliste!C:F,4,FALSE)</f>
        <v>141.35</v>
      </c>
      <c r="V543" s="352">
        <f t="shared" si="250"/>
        <v>0</v>
      </c>
      <c r="W543" s="146"/>
      <c r="X543" s="146"/>
      <c r="Y543" s="86"/>
      <c r="Z543" s="143"/>
      <c r="AA543" s="86"/>
      <c r="AB543" s="86"/>
      <c r="AC543" s="86"/>
      <c r="AD543" s="86"/>
      <c r="AE543" s="86"/>
      <c r="AF543" s="86"/>
      <c r="AK543" s="86">
        <f>'STK2'!$C$180</f>
        <v>0</v>
      </c>
      <c r="AL543" s="86">
        <f>'STK2'!$B$180</f>
        <v>0</v>
      </c>
      <c r="CK543" s="245"/>
    </row>
    <row r="544" spans="2:89" ht="24.95" customHeight="1">
      <c r="B544" s="92">
        <f t="shared" ref="B544:B546" si="252">AL544</f>
        <v>0</v>
      </c>
      <c r="C544" s="138">
        <f t="shared" si="251"/>
        <v>0</v>
      </c>
      <c r="D544" s="60"/>
      <c r="E544" s="60" t="str">
        <f>VLOOKUP(1600,Sprachindex!$A:$Z,Erhebungsbogen!$Y$20,FALSE)</f>
        <v>[Stk]</v>
      </c>
      <c r="F544" s="60" t="s">
        <v>21895</v>
      </c>
      <c r="G544" s="514" t="str">
        <f>VLOOKUP(1862,Sprachindex!$A:$Z,Erhebungsbogen!$Y$20,FALSE) &amp; ", " &amp; VLOOKUP(1648,Sprachindex!$A:$Z,Erhebungsbogen!$Y$20,FALSE)</f>
        <v>U-Profil 80 Sonderlänge exkl. Dichtung, (Stangenware), blank</v>
      </c>
      <c r="H544" s="514"/>
      <c r="I544" s="514"/>
      <c r="J544" s="514"/>
      <c r="K544" s="514"/>
      <c r="L544" s="514"/>
      <c r="M544" s="514"/>
      <c r="N544" s="514"/>
      <c r="O544" s="514"/>
      <c r="P544" s="514"/>
      <c r="Q544" s="514"/>
      <c r="R544" s="514"/>
      <c r="S544" s="514"/>
      <c r="T544" s="514"/>
      <c r="U544" s="352">
        <f>VLOOKUP(F544,Preisliste!C:F,4,FALSE)</f>
        <v>141.35</v>
      </c>
      <c r="V544" s="352">
        <f t="shared" si="183"/>
        <v>0</v>
      </c>
      <c r="W544" s="146"/>
      <c r="X544" s="146"/>
      <c r="Y544" s="86"/>
      <c r="Z544" s="143"/>
      <c r="AA544" s="86"/>
      <c r="AB544" s="86"/>
      <c r="AC544" s="86"/>
      <c r="AD544" s="86"/>
      <c r="AE544" s="86"/>
      <c r="AF544" s="86"/>
      <c r="AK544" s="86">
        <f>'STK3'!$C$180</f>
        <v>0</v>
      </c>
      <c r="AL544" s="86">
        <f>'STK3'!$B$180</f>
        <v>0</v>
      </c>
      <c r="CK544" s="245"/>
    </row>
    <row r="545" spans="2:89" ht="24.95" customHeight="1">
      <c r="B545" s="92">
        <f t="shared" si="252"/>
        <v>0</v>
      </c>
      <c r="C545" s="138">
        <f t="shared" si="251"/>
        <v>0</v>
      </c>
      <c r="D545" s="60"/>
      <c r="E545" s="60" t="str">
        <f>VLOOKUP(1600,Sprachindex!$A:$Z,Erhebungsbogen!$Y$20,FALSE)</f>
        <v>[Stk]</v>
      </c>
      <c r="F545" s="60" t="s">
        <v>21895</v>
      </c>
      <c r="G545" s="514" t="str">
        <f>VLOOKUP(1862,Sprachindex!$A:$Z,Erhebungsbogen!$Y$20,FALSE) &amp; ", " &amp; VLOOKUP(1648,Sprachindex!$A:$Z,Erhebungsbogen!$Y$20,FALSE)</f>
        <v>U-Profil 80 Sonderlänge exkl. Dichtung, (Stangenware), blank</v>
      </c>
      <c r="H545" s="514"/>
      <c r="I545" s="514"/>
      <c r="J545" s="514"/>
      <c r="K545" s="514"/>
      <c r="L545" s="514"/>
      <c r="M545" s="514"/>
      <c r="N545" s="514"/>
      <c r="O545" s="514"/>
      <c r="P545" s="514"/>
      <c r="Q545" s="514"/>
      <c r="R545" s="514"/>
      <c r="S545" s="514"/>
      <c r="T545" s="514"/>
      <c r="U545" s="352">
        <f>VLOOKUP(F545,Preisliste!C:F,4,FALSE)</f>
        <v>141.35</v>
      </c>
      <c r="V545" s="352">
        <f t="shared" ref="V545" si="253">U545*B545</f>
        <v>0</v>
      </c>
      <c r="W545" s="146"/>
      <c r="X545" s="146"/>
      <c r="Y545" s="86"/>
      <c r="Z545" s="143"/>
      <c r="AA545" s="86"/>
      <c r="AB545" s="86"/>
      <c r="AC545" s="86"/>
      <c r="AD545" s="86"/>
      <c r="AE545" s="86"/>
      <c r="AF545" s="86"/>
      <c r="AK545" s="86">
        <f>'STK4'!$C$180</f>
        <v>0</v>
      </c>
      <c r="AL545" s="86">
        <f>'STK4'!$B$180</f>
        <v>0</v>
      </c>
      <c r="CK545" s="245"/>
    </row>
    <row r="546" spans="2:89" ht="24.95" customHeight="1">
      <c r="B546" s="92">
        <f t="shared" si="252"/>
        <v>0</v>
      </c>
      <c r="C546" s="138">
        <f t="shared" si="251"/>
        <v>0</v>
      </c>
      <c r="D546" s="60"/>
      <c r="E546" s="60" t="str">
        <f>VLOOKUP(1600,Sprachindex!$A:$Z,Erhebungsbogen!$Y$20,FALSE)</f>
        <v>[Stk]</v>
      </c>
      <c r="F546" s="60" t="s">
        <v>21895</v>
      </c>
      <c r="G546" s="514" t="str">
        <f>VLOOKUP(1862,Sprachindex!$A:$Z,Erhebungsbogen!$Y$20,FALSE) &amp; ", " &amp; VLOOKUP(1648,Sprachindex!$A:$Z,Erhebungsbogen!$Y$20,FALSE)</f>
        <v>U-Profil 80 Sonderlänge exkl. Dichtung, (Stangenware), blank</v>
      </c>
      <c r="H546" s="514"/>
      <c r="I546" s="514"/>
      <c r="J546" s="514"/>
      <c r="K546" s="514"/>
      <c r="L546" s="514"/>
      <c r="M546" s="514"/>
      <c r="N546" s="514"/>
      <c r="O546" s="514"/>
      <c r="P546" s="514"/>
      <c r="Q546" s="514"/>
      <c r="R546" s="514"/>
      <c r="S546" s="514"/>
      <c r="T546" s="514"/>
      <c r="U546" s="352">
        <f>VLOOKUP(F546,Preisliste!C:F,4,FALSE)</f>
        <v>141.35</v>
      </c>
      <c r="V546" s="352">
        <f t="shared" si="183"/>
        <v>0</v>
      </c>
      <c r="W546" s="146"/>
      <c r="X546" s="146"/>
      <c r="Y546" s="86"/>
      <c r="Z546" s="143"/>
      <c r="AA546" s="86"/>
      <c r="AB546" s="86"/>
      <c r="AC546" s="86"/>
      <c r="AD546" s="86"/>
      <c r="AE546" s="86"/>
      <c r="AF546" s="86"/>
      <c r="AK546" s="86">
        <f>'STK5'!$C$180</f>
        <v>0</v>
      </c>
      <c r="AL546" s="86">
        <f>'STK5'!$B$180</f>
        <v>0</v>
      </c>
      <c r="CK546" s="245"/>
    </row>
    <row r="547" spans="2:89">
      <c r="B547" s="91">
        <v>1</v>
      </c>
      <c r="R547" s="56"/>
      <c r="U547" s="56" t="str">
        <f>IF(AND(AB16=1,OR(AB17=1,AB18&gt;=300),AB19&gt;=Preisliste!G176,X19=0),AA547,AB547)</f>
        <v>Summe</v>
      </c>
      <c r="V547" s="355">
        <f>AB19</f>
        <v>0</v>
      </c>
      <c r="Z547" s="254"/>
      <c r="AA547" s="55" t="str">
        <f>VLOOKUP(1700,Sprachindex!$A:$Z,Erhebungsbogen!$Y$20,FALSE)</f>
        <v>Endsumme exkl. MwSt.</v>
      </c>
      <c r="AB547" s="55" t="str">
        <f>VLOOKUP(1491,Sprachindex!$A:$Z,Erhebungsbogen!$Y$20,FALSE)</f>
        <v>Summe</v>
      </c>
    </row>
    <row r="548" spans="2:89">
      <c r="B548" s="91">
        <v>1</v>
      </c>
      <c r="R548" s="56"/>
      <c r="U548" s="56" t="str">
        <f>IF(U547=AB547,IF(X19&lt;&gt;0,AA548,IF(AB19&lt;Preisliste!G176,AB548,IF(AND(AB17=2,AJ572&lt;Preisliste!G171),AC548,IF(AB16=2,AD548,0)))),"")</f>
        <v>Rabatt -10 %</v>
      </c>
      <c r="V548" s="355">
        <f>IF(U548=AA548,V547/100*X19,IF(U548=AB548,Preisliste!G175,IF(U548=AC548,Preisliste!G170,IF(U548=AD548,V547/100*Haftungsausschluß!M43,""))))</f>
        <v>0</v>
      </c>
      <c r="AA548" s="55" t="str">
        <f>VLOOKUP(1790,Sprachindex!$A:$Z,Erhebungsbogen!$Y$20,FALSE) &amp; " " &amp; X19 &amp;" %"</f>
        <v>Rabatt -10 %</v>
      </c>
      <c r="AB548" s="55" t="str">
        <f>VLOOKUP(1713,Sprachindex!$A:$Z,Erhebungsbogen!$Y$20,FALSE)</f>
        <v>Frachtkosten</v>
      </c>
      <c r="AC548" s="55" t="str">
        <f>VLOOKUP(2150,Sprachindex!$A:$Z,Erhebungsbogen!$Y$20,FALSE)</f>
        <v>Beschichtungspauschale</v>
      </c>
      <c r="AD548" s="55" t="str">
        <f>"+ " &amp;Haftungsausschluß!M43&amp; " % " &amp; VLOOKUP(2116,Sprachindex!$A:$Z,Erhebungsbogen!$Y$20,FALSE)</f>
        <v>+ 8.1 % MwSt.</v>
      </c>
    </row>
    <row r="549" spans="2:89">
      <c r="B549" s="91">
        <v>1</v>
      </c>
      <c r="R549" s="56"/>
      <c r="U549" s="144" t="str">
        <f>IF(AND(AB16=1,AND(AB17=2,AB18&lt;Preisliste!G171),U548&lt;&gt;AC548),AC549,IF(AND(AB16=1,AB19&lt;Preisliste!G176,U548&lt;&gt;AB548),AB549,IF(AND(AB16=1,OR(U548=AA548,U548=AB548,U548=AC548)),AA549,IF(AND(U548=AD548,AB16=2),AF549,IF(OR(AND(AB19&lt;Preisliste!G176,X19=0,OR(AB17=1,AND(AB17=2,AB18&gt;Preisliste!G171)))),AE549,IF(OR(AND(AB19&gt;=Preisliste!G176,X19&lt;&gt;0,OR(AB17=1,AND(AB17=2,AB18&gt;Preisliste!G171)))),AE549,IF(OR(AND(AB19&gt;=Preisliste!G176,X19=0,AND(AB17=2,AB18&lt;Preisliste!G171))),AE549,IF(OR(AND(AB19&gt;=Preisliste!G176,X19&lt;&gt;0,AND(AB17=2,AB18&lt;Preisliste!G171))),AC549,IF(OR(AND(AB18&lt;Preisliste!G176,X19&lt;&gt;0,OR(AB17=1,AND(AB17=2,AB18&gt;Preisliste!G171)))),AB549,IF(OR(AND(AB19&lt;Preisliste!G176,X19&lt;&gt;0,AND(AB17=2,AB18&lt;Preisliste!G171))),AC549,IF(OR(AND(AB19&lt;Preisliste!G176,X19=0,AND(AB17=2,AB18&lt;Preisliste!G171))),AC549,"")))))))))))</f>
        <v>Frachtkosten</v>
      </c>
      <c r="V549" s="355">
        <f>IF(U549=AA549,V547+V548,IF(U549=AC549,Preisliste!G170,IF(U549=AB549,Preisliste!G175,IF(U549=AD549,(V547+V548)/100*Haftungsausschluß!M43,IF(U549=AF549,V547+V548,IF(U549=AE549,V547+V548,""))))))</f>
        <v>200</v>
      </c>
      <c r="AA549" s="55" t="str">
        <f>VLOOKUP(1700,Sprachindex!$A:$Z,Erhebungsbogen!$Y$20,FALSE)</f>
        <v>Endsumme exkl. MwSt.</v>
      </c>
      <c r="AB549" s="55" t="str">
        <f>VLOOKUP(1713,Sprachindex!$A:$Z,Erhebungsbogen!$Y$20,FALSE)</f>
        <v>Frachtkosten</v>
      </c>
      <c r="AC549" s="55" t="str">
        <f>VLOOKUP(2150,Sprachindex!$A:$Z,Erhebungsbogen!$Y$20,FALSE)</f>
        <v>Beschichtungspauschale</v>
      </c>
      <c r="AD549" s="55" t="str">
        <f>"+ " &amp;Haftungsausschluß!M43&amp; " % " &amp; VLOOKUP(2116,Sprachindex!$A:$Z,Erhebungsbogen!$Y$20,FALSE)</f>
        <v>+ 8.1 % MwSt.</v>
      </c>
      <c r="AE549" s="55" t="str">
        <f>VLOOKUP(1873,Sprachindex!$A:$Z,Erhebungsbogen!$Y$20,FALSE)</f>
        <v>Zwischensumme</v>
      </c>
      <c r="AF549" s="55" t="str">
        <f>VLOOKUP(1701,Sprachindex!$A:$Z,Erhebungsbogen!$Y$20,FALSE)</f>
        <v>Endsumme inkl. MwSt.</v>
      </c>
    </row>
    <row r="550" spans="2:89">
      <c r="B550" s="91">
        <v>1</v>
      </c>
      <c r="R550" s="56"/>
      <c r="U550" s="56" t="str">
        <f>IF(AND(X19&lt;&gt;0,AND(AB17=2,AB18&lt;Preisliste!G171),AB19&lt;Preisliste!G176),AB550,IF(AND(AB16=1,OR(U549=AC549,U549=AB549)),AA550,IF(U549=AD549,AE550,IF(AND(U549=AC549,AB19&gt;=Preisliste!G176),AC550,IF(OR(AND(AB19&lt;Preisliste!G176,X19&lt;&gt;0,OR(AB17=1,AND(AB17=2,AB18&gt;Preisliste!G171)))),AE549,IF(OR(AND(AB19&lt;Preisliste!G176,X19=0,AND(AB17=2,AB18&lt;Preisliste!G171))),AE549,IF(U549=AE549,AC550,IF(AND(U548=AA548,U549=AC549),AD550,""))))))))</f>
        <v>Endsumme exkl. MwSt.</v>
      </c>
      <c r="V550" s="355">
        <f>IF(U550=AA550,V547+V548+V549,IF(U550=AB550,Preisliste!G175,IF(U550=AE550,V547+V548+V549,IF(AND(U550=AC550,U549=AC549),(V547+V548+V549)/100*Haftungsausschluß!M43,IF(U550=AD550,V547+V548+V549,IF(AND(U550=AC550,U549=AE549),V549/100*Haftungsausschluß!M43,""))))))</f>
        <v>200</v>
      </c>
      <c r="AA550" s="55" t="str">
        <f>VLOOKUP(1700,Sprachindex!$A:$Z,Erhebungsbogen!$Y$20,FALSE)</f>
        <v>Endsumme exkl. MwSt.</v>
      </c>
      <c r="AB550" s="55" t="str">
        <f>VLOOKUP(1713,Sprachindex!$A:$Z,Erhebungsbogen!$Y$20,FALSE)</f>
        <v>Frachtkosten</v>
      </c>
      <c r="AC550" s="55" t="str">
        <f>"+ " &amp;Haftungsausschluß!M43&amp; " % " &amp; VLOOKUP(2116,Sprachindex!$A:$Z,Erhebungsbogen!$Y$20,FALSE)</f>
        <v>+ 8.1 % MwSt.</v>
      </c>
      <c r="AD550" s="55" t="str">
        <f>VLOOKUP(1873,Sprachindex!$A:$Z,Erhebungsbogen!$Y$20,FALSE)</f>
        <v>Zwischensumme</v>
      </c>
      <c r="AE550" s="55" t="str">
        <f>VLOOKUP(1701,Sprachindex!$A:$Z,Erhebungsbogen!$Y$20,FALSE)</f>
        <v>Endsumme inkl. MwSt.</v>
      </c>
    </row>
    <row r="551" spans="2:89">
      <c r="B551" s="91">
        <v>1</v>
      </c>
      <c r="R551" s="56"/>
      <c r="U551" s="56" t="str">
        <f>IF(AND(AB16=1,U550=AB549),AA550,IF(U550=AC550,AD551,IF(OR(AND(AB19&lt;Preisliste!G176,X19&lt;&gt;0,AND(AB17=2,AB18&lt;Preisliste!G171))),AC551,IF(U550=AD550,AB551,""))))</f>
        <v/>
      </c>
      <c r="V551" s="355" t="str">
        <f>IF(U551=AA551,V547+V548+V549+V550,IF(AND(U550=AD550,U549=AC549),V547+V548+V549+V550,IF(U551=AB551,V550/100*Haftungsausschluß!M43,IF(U551=AC551,V547+V548+V549+V550,IF(AND(U550=AD550,U548=AE548),V548+V549,IF(U551=AD551,V549+V550,""))))))</f>
        <v/>
      </c>
      <c r="AA551" s="55" t="str">
        <f>VLOOKUP(1700,Sprachindex!$A:$Z,Erhebungsbogen!$Y$20,FALSE)</f>
        <v>Endsumme exkl. MwSt.</v>
      </c>
      <c r="AB551" s="55" t="str">
        <f>"+ " &amp;Haftungsausschluß!M43&amp; " % " &amp; VLOOKUP(2116,Sprachindex!$A:$Z,Erhebungsbogen!$Y$20,FALSE)</f>
        <v>+ 8.1 % MwSt.</v>
      </c>
      <c r="AC551" s="55" t="str">
        <f>VLOOKUP(1873,Sprachindex!$A:$Z,Erhebungsbogen!$Y$20,FALSE)</f>
        <v>Zwischensumme</v>
      </c>
      <c r="AD551" s="55" t="str">
        <f>VLOOKUP(1701,Sprachindex!$A:$Z,Erhebungsbogen!$Y$20,FALSE)</f>
        <v>Endsumme inkl. MwSt.</v>
      </c>
    </row>
    <row r="552" spans="2:89">
      <c r="B552" s="91">
        <v>1</v>
      </c>
      <c r="R552" s="56"/>
      <c r="U552" s="56" t="str">
        <f>IF(U551=AC551,AA552,IF(U551=AC551,AC552,IF(U551=AB551,AB552,"")))</f>
        <v/>
      </c>
      <c r="V552" s="355" t="str">
        <f>IF(U552=AB552,V550+V551,IF(U552=AA552,V551/100*Haftungsausschluß!M43,""))</f>
        <v/>
      </c>
      <c r="AA552" s="55" t="str">
        <f>"+ " &amp;Haftungsausschluß!M43&amp; " % " &amp; VLOOKUP(2116,Sprachindex!$A:$Z,Erhebungsbogen!$Y$20,FALSE)</f>
        <v>+ 8.1 % MwSt.</v>
      </c>
      <c r="AB552" s="55" t="str">
        <f>VLOOKUP(1701,Sprachindex!$A:$Z,Erhebungsbogen!$Y$20,FALSE)</f>
        <v>Endsumme inkl. MwSt.</v>
      </c>
    </row>
    <row r="553" spans="2:89">
      <c r="B553" s="91">
        <v>1</v>
      </c>
      <c r="R553" s="56"/>
      <c r="U553" s="56" t="str">
        <f>IF(U552=AA552,AA553,"")</f>
        <v/>
      </c>
      <c r="V553" s="355" t="str">
        <f>IF(U553=AA553,V551+V552,"")</f>
        <v/>
      </c>
      <c r="AA553" s="55" t="str">
        <f>VLOOKUP(1701,Sprachindex!$A:$Z,Erhebungsbogen!$Y$20,FALSE)</f>
        <v>Endsumme inkl. MwSt.</v>
      </c>
    </row>
    <row r="554" spans="2:89">
      <c r="B554" s="91">
        <v>1</v>
      </c>
      <c r="U554" s="56"/>
    </row>
    <row r="555" spans="2:89">
      <c r="B555" s="91">
        <v>1</v>
      </c>
      <c r="C555" s="512"/>
      <c r="D555" s="512"/>
      <c r="E555" s="512"/>
      <c r="F555" s="512"/>
      <c r="G555" s="512"/>
      <c r="H555" s="512"/>
      <c r="I555" s="512"/>
      <c r="J555" s="512"/>
      <c r="K555" s="512"/>
      <c r="L555" s="512"/>
      <c r="M555" s="512"/>
      <c r="N555" s="512"/>
      <c r="O555" s="512"/>
      <c r="P555" s="512"/>
      <c r="Q555" s="512"/>
      <c r="R555" s="512"/>
      <c r="S555" s="512"/>
      <c r="T555" s="512"/>
      <c r="U555" s="512"/>
    </row>
    <row r="556" spans="2:89">
      <c r="B556" s="91">
        <v>1</v>
      </c>
      <c r="C556" s="512" t="str">
        <f>VLOOKUP(2234,Sprachindex!$A:$Z,Erhebungsbogen!$Y$20,FALSE)</f>
        <v>Hinweis: Angebotsgültigkeit 1 Monat; Lieferzeit auf Anfrage; kein Montagematerial enthalten</v>
      </c>
      <c r="D556" s="512"/>
      <c r="E556" s="512"/>
      <c r="F556" s="512"/>
      <c r="G556" s="512"/>
      <c r="H556" s="512"/>
      <c r="I556" s="512"/>
      <c r="J556" s="512"/>
      <c r="K556" s="512"/>
      <c r="L556" s="512"/>
      <c r="M556" s="512"/>
      <c r="N556" s="512"/>
      <c r="O556" s="512"/>
      <c r="P556" s="512"/>
      <c r="Q556" s="512"/>
      <c r="R556" s="512"/>
      <c r="S556" s="512"/>
      <c r="T556" s="512"/>
      <c r="U556" s="512"/>
    </row>
    <row r="557" spans="2:89" hidden="1"/>
    <row r="558" spans="2:89" hidden="1"/>
    <row r="559" spans="2:89" hidden="1"/>
    <row r="560" spans="2:89"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sheetData>
  <sheetProtection sheet="1" objects="1" scenarios="1" selectLockedCells="1" autoFilter="0"/>
  <autoFilter ref="B20:B556" xr:uid="{22C6CA63-9127-4190-B9A3-0A61B6276C03}"/>
  <mergeCells count="543">
    <mergeCell ref="G348:T348"/>
    <mergeCell ref="G349:T349"/>
    <mergeCell ref="G419:T419"/>
    <mergeCell ref="G420:T420"/>
    <mergeCell ref="G421:T421"/>
    <mergeCell ref="G300:T300"/>
    <mergeCell ref="G309:T309"/>
    <mergeCell ref="G412:T412"/>
    <mergeCell ref="G413:T413"/>
    <mergeCell ref="G392:T392"/>
    <mergeCell ref="G393:T393"/>
    <mergeCell ref="G394:T394"/>
    <mergeCell ref="G395:T395"/>
    <mergeCell ref="G314:T314"/>
    <mergeCell ref="G320:T320"/>
    <mergeCell ref="G402:T402"/>
    <mergeCell ref="G403:T403"/>
    <mergeCell ref="G409:T409"/>
    <mergeCell ref="G410:T410"/>
    <mergeCell ref="G411:T411"/>
    <mergeCell ref="G408:T408"/>
    <mergeCell ref="G405:T405"/>
    <mergeCell ref="G407:T407"/>
    <mergeCell ref="G406:T406"/>
    <mergeCell ref="G404:T404"/>
    <mergeCell ref="G371:T371"/>
    <mergeCell ref="G381:T381"/>
    <mergeCell ref="G378:T378"/>
    <mergeCell ref="G380:T380"/>
    <mergeCell ref="G379:T379"/>
    <mergeCell ref="G390:T390"/>
    <mergeCell ref="G387:T387"/>
    <mergeCell ref="G396:T396"/>
    <mergeCell ref="G397:T397"/>
    <mergeCell ref="G398:T398"/>
    <mergeCell ref="G382:T382"/>
    <mergeCell ref="G383:T383"/>
    <mergeCell ref="G384:T384"/>
    <mergeCell ref="G385:T385"/>
    <mergeCell ref="G386:T386"/>
    <mergeCell ref="G391:T391"/>
    <mergeCell ref="G388:T388"/>
    <mergeCell ref="G389:T389"/>
    <mergeCell ref="G486:T486"/>
    <mergeCell ref="G485:T485"/>
    <mergeCell ref="G488:T488"/>
    <mergeCell ref="G483:T483"/>
    <mergeCell ref="G492:T492"/>
    <mergeCell ref="G493:T493"/>
    <mergeCell ref="G496:T496"/>
    <mergeCell ref="G497:T497"/>
    <mergeCell ref="G445:T445"/>
    <mergeCell ref="G456:T456"/>
    <mergeCell ref="G457:T457"/>
    <mergeCell ref="G458:T458"/>
    <mergeCell ref="G459:T459"/>
    <mergeCell ref="G465:T465"/>
    <mergeCell ref="G471:T471"/>
    <mergeCell ref="G466:T466"/>
    <mergeCell ref="G446:T446"/>
    <mergeCell ref="G447:T447"/>
    <mergeCell ref="G448:T448"/>
    <mergeCell ref="G449:T449"/>
    <mergeCell ref="G454:T454"/>
    <mergeCell ref="G455:T455"/>
    <mergeCell ref="G453:T453"/>
    <mergeCell ref="G450:T450"/>
    <mergeCell ref="G205:T205"/>
    <mergeCell ref="G215:T215"/>
    <mergeCell ref="G196:T196"/>
    <mergeCell ref="G197:T197"/>
    <mergeCell ref="G198:T198"/>
    <mergeCell ref="G201:T201"/>
    <mergeCell ref="G199:T199"/>
    <mergeCell ref="G200:T200"/>
    <mergeCell ref="G214:T214"/>
    <mergeCell ref="G212:T212"/>
    <mergeCell ref="G213:T213"/>
    <mergeCell ref="G206:T206"/>
    <mergeCell ref="G207:T207"/>
    <mergeCell ref="G209:T209"/>
    <mergeCell ref="G210:T210"/>
    <mergeCell ref="G204:T204"/>
    <mergeCell ref="G202:T202"/>
    <mergeCell ref="G203:T203"/>
    <mergeCell ref="G444:T444"/>
    <mergeCell ref="G441:T441"/>
    <mergeCell ref="G443:T443"/>
    <mergeCell ref="G442:T442"/>
    <mergeCell ref="G422:T422"/>
    <mergeCell ref="G427:T427"/>
    <mergeCell ref="G428:T428"/>
    <mergeCell ref="G429:T429"/>
    <mergeCell ref="G430:T430"/>
    <mergeCell ref="G431:T431"/>
    <mergeCell ref="G426:T426"/>
    <mergeCell ref="G423:T423"/>
    <mergeCell ref="G425:T425"/>
    <mergeCell ref="G424:T424"/>
    <mergeCell ref="G436:T436"/>
    <mergeCell ref="G437:T437"/>
    <mergeCell ref="G438:T438"/>
    <mergeCell ref="G439:T439"/>
    <mergeCell ref="G440:T440"/>
    <mergeCell ref="G435:T435"/>
    <mergeCell ref="G432:T432"/>
    <mergeCell ref="G434:T434"/>
    <mergeCell ref="G433:T433"/>
    <mergeCell ref="G418:T418"/>
    <mergeCell ref="G192:T192"/>
    <mergeCell ref="G216:T216"/>
    <mergeCell ref="G217:T217"/>
    <mergeCell ref="G417:T417"/>
    <mergeCell ref="G414:T414"/>
    <mergeCell ref="G416:T416"/>
    <mergeCell ref="G415:T415"/>
    <mergeCell ref="G218:T218"/>
    <mergeCell ref="G219:T219"/>
    <mergeCell ref="G220:T220"/>
    <mergeCell ref="G221:T221"/>
    <mergeCell ref="G358:T358"/>
    <mergeCell ref="G359:T359"/>
    <mergeCell ref="G345:T345"/>
    <mergeCell ref="G294:T294"/>
    <mergeCell ref="G211:T211"/>
    <mergeCell ref="G375:T375"/>
    <mergeCell ref="G376:T376"/>
    <mergeCell ref="G377:T377"/>
    <mergeCell ref="G400:T400"/>
    <mergeCell ref="G401:T401"/>
    <mergeCell ref="G399:T399"/>
    <mergeCell ref="G195:T195"/>
    <mergeCell ref="G51:T51"/>
    <mergeCell ref="G57:T57"/>
    <mergeCell ref="G63:T63"/>
    <mergeCell ref="G69:T69"/>
    <mergeCell ref="G48:T48"/>
    <mergeCell ref="G49:T49"/>
    <mergeCell ref="G40:T40"/>
    <mergeCell ref="G41:T41"/>
    <mergeCell ref="G42:T42"/>
    <mergeCell ref="G43:T43"/>
    <mergeCell ref="G52:T52"/>
    <mergeCell ref="G53:T53"/>
    <mergeCell ref="G68:T68"/>
    <mergeCell ref="G50:T50"/>
    <mergeCell ref="G452:T452"/>
    <mergeCell ref="G451:T451"/>
    <mergeCell ref="G460:T460"/>
    <mergeCell ref="G461:T461"/>
    <mergeCell ref="G462:T462"/>
    <mergeCell ref="G463:T463"/>
    <mergeCell ref="G464:T464"/>
    <mergeCell ref="G467:T467"/>
    <mergeCell ref="G468:T468"/>
    <mergeCell ref="G350:T350"/>
    <mergeCell ref="G355:T355"/>
    <mergeCell ref="G356:T356"/>
    <mergeCell ref="G357:T357"/>
    <mergeCell ref="G354:T354"/>
    <mergeCell ref="G351:T351"/>
    <mergeCell ref="G353:T353"/>
    <mergeCell ref="G352:T352"/>
    <mergeCell ref="G360:T360"/>
    <mergeCell ref="G362:T362"/>
    <mergeCell ref="G361:T361"/>
    <mergeCell ref="G364:T364"/>
    <mergeCell ref="G365:T365"/>
    <mergeCell ref="G366:T366"/>
    <mergeCell ref="G367:T367"/>
    <mergeCell ref="G363:T363"/>
    <mergeCell ref="G373:T373"/>
    <mergeCell ref="G374:T374"/>
    <mergeCell ref="G368:T368"/>
    <mergeCell ref="G372:T372"/>
    <mergeCell ref="G369:T369"/>
    <mergeCell ref="G370:T370"/>
    <mergeCell ref="G347:T347"/>
    <mergeCell ref="G344:T344"/>
    <mergeCell ref="G343:T343"/>
    <mergeCell ref="G328:T328"/>
    <mergeCell ref="G329:T329"/>
    <mergeCell ref="G330:T330"/>
    <mergeCell ref="G331:T331"/>
    <mergeCell ref="G332:T332"/>
    <mergeCell ref="G337:T337"/>
    <mergeCell ref="G333:T333"/>
    <mergeCell ref="G335:T335"/>
    <mergeCell ref="G334:T334"/>
    <mergeCell ref="G336:T336"/>
    <mergeCell ref="G342:T342"/>
    <mergeCell ref="G338:T338"/>
    <mergeCell ref="G339:T339"/>
    <mergeCell ref="G340:T340"/>
    <mergeCell ref="G341:T341"/>
    <mergeCell ref="G346:T346"/>
    <mergeCell ref="G315:T315"/>
    <mergeCell ref="G321:T321"/>
    <mergeCell ref="G326:T326"/>
    <mergeCell ref="G327:T327"/>
    <mergeCell ref="G287:T287"/>
    <mergeCell ref="G293:T293"/>
    <mergeCell ref="G299:T299"/>
    <mergeCell ref="G305:T305"/>
    <mergeCell ref="G310:T310"/>
    <mergeCell ref="G311:T311"/>
    <mergeCell ref="G295:T295"/>
    <mergeCell ref="G296:T296"/>
    <mergeCell ref="G297:T297"/>
    <mergeCell ref="G298:T298"/>
    <mergeCell ref="G301:T301"/>
    <mergeCell ref="G302:T302"/>
    <mergeCell ref="G303:T303"/>
    <mergeCell ref="G304:T304"/>
    <mergeCell ref="G306:T306"/>
    <mergeCell ref="G308:T308"/>
    <mergeCell ref="G307:T307"/>
    <mergeCell ref="G316:T316"/>
    <mergeCell ref="G317:T317"/>
    <mergeCell ref="G318:T318"/>
    <mergeCell ref="G238:T238"/>
    <mergeCell ref="G239:T239"/>
    <mergeCell ref="G240:T240"/>
    <mergeCell ref="G243:T243"/>
    <mergeCell ref="G244:T244"/>
    <mergeCell ref="G245:T245"/>
    <mergeCell ref="G231:T231"/>
    <mergeCell ref="G312:T312"/>
    <mergeCell ref="G313:T313"/>
    <mergeCell ref="G256:T256"/>
    <mergeCell ref="G257:T257"/>
    <mergeCell ref="G260:T260"/>
    <mergeCell ref="G261:T261"/>
    <mergeCell ref="G259:T259"/>
    <mergeCell ref="G258:T258"/>
    <mergeCell ref="G253:T253"/>
    <mergeCell ref="G252:T252"/>
    <mergeCell ref="G248:T248"/>
    <mergeCell ref="G249:T249"/>
    <mergeCell ref="G250:T250"/>
    <mergeCell ref="G251:T251"/>
    <mergeCell ref="G262:T262"/>
    <mergeCell ref="G263:T263"/>
    <mergeCell ref="G266:T266"/>
    <mergeCell ref="G126:T126"/>
    <mergeCell ref="G127:T127"/>
    <mergeCell ref="G176:T176"/>
    <mergeCell ref="G179:T179"/>
    <mergeCell ref="G182:T182"/>
    <mergeCell ref="G177:T177"/>
    <mergeCell ref="G178:T178"/>
    <mergeCell ref="G153:T153"/>
    <mergeCell ref="G159:T159"/>
    <mergeCell ref="G146:T146"/>
    <mergeCell ref="G152:T152"/>
    <mergeCell ref="G158:T158"/>
    <mergeCell ref="G154:T154"/>
    <mergeCell ref="G155:T155"/>
    <mergeCell ref="G156:T156"/>
    <mergeCell ref="G157:T157"/>
    <mergeCell ref="G160:T160"/>
    <mergeCell ref="G161:T161"/>
    <mergeCell ref="G162:T162"/>
    <mergeCell ref="G163:T163"/>
    <mergeCell ref="G174:T174"/>
    <mergeCell ref="G129:T129"/>
    <mergeCell ref="G180:T180"/>
    <mergeCell ref="G181:T181"/>
    <mergeCell ref="G130:T130"/>
    <mergeCell ref="G131:T131"/>
    <mergeCell ref="G132:T132"/>
    <mergeCell ref="G133:T133"/>
    <mergeCell ref="G136:T136"/>
    <mergeCell ref="G137:T137"/>
    <mergeCell ref="G138:T138"/>
    <mergeCell ref="G128:T128"/>
    <mergeCell ref="G134:T134"/>
    <mergeCell ref="G135:T135"/>
    <mergeCell ref="G75:T75"/>
    <mergeCell ref="G81:T81"/>
    <mergeCell ref="G87:T87"/>
    <mergeCell ref="G93:T93"/>
    <mergeCell ref="G99:T99"/>
    <mergeCell ref="G82:T82"/>
    <mergeCell ref="G83:T83"/>
    <mergeCell ref="G84:T84"/>
    <mergeCell ref="G85:T85"/>
    <mergeCell ref="G88:T88"/>
    <mergeCell ref="G89:T89"/>
    <mergeCell ref="G90:T90"/>
    <mergeCell ref="G91:T91"/>
    <mergeCell ref="G94:T94"/>
    <mergeCell ref="G95:T95"/>
    <mergeCell ref="G96:T96"/>
    <mergeCell ref="G97:T97"/>
    <mergeCell ref="G76:T76"/>
    <mergeCell ref="G77:T77"/>
    <mergeCell ref="G78:T78"/>
    <mergeCell ref="G79:T79"/>
    <mergeCell ref="J1:V3"/>
    <mergeCell ref="D6:I6"/>
    <mergeCell ref="S6:V6"/>
    <mergeCell ref="D8:I8"/>
    <mergeCell ref="D10:I10"/>
    <mergeCell ref="G38:T38"/>
    <mergeCell ref="G44:T44"/>
    <mergeCell ref="G74:T74"/>
    <mergeCell ref="G54:T54"/>
    <mergeCell ref="G55:T55"/>
    <mergeCell ref="G58:T58"/>
    <mergeCell ref="G59:T59"/>
    <mergeCell ref="G60:T60"/>
    <mergeCell ref="G61:T61"/>
    <mergeCell ref="G64:T64"/>
    <mergeCell ref="G65:T65"/>
    <mergeCell ref="G66:T66"/>
    <mergeCell ref="G56:T56"/>
    <mergeCell ref="G62:T62"/>
    <mergeCell ref="G67:T67"/>
    <mergeCell ref="G70:T70"/>
    <mergeCell ref="G71:T71"/>
    <mergeCell ref="G72:T72"/>
    <mergeCell ref="G73:T73"/>
    <mergeCell ref="U14:V14"/>
    <mergeCell ref="U12:V12"/>
    <mergeCell ref="U10:V10"/>
    <mergeCell ref="U16:V16"/>
    <mergeCell ref="D16:Q16"/>
    <mergeCell ref="S8:V8"/>
    <mergeCell ref="G25:T25"/>
    <mergeCell ref="G23:T23"/>
    <mergeCell ref="G24:T24"/>
    <mergeCell ref="G22:T22"/>
    <mergeCell ref="G28:T28"/>
    <mergeCell ref="G29:T29"/>
    <mergeCell ref="G30:T30"/>
    <mergeCell ref="D12:I12"/>
    <mergeCell ref="D14:I14"/>
    <mergeCell ref="G20:T20"/>
    <mergeCell ref="G46:T46"/>
    <mergeCell ref="G47:T47"/>
    <mergeCell ref="G21:T21"/>
    <mergeCell ref="G27:T27"/>
    <mergeCell ref="G33:T33"/>
    <mergeCell ref="G39:T39"/>
    <mergeCell ref="G45:T45"/>
    <mergeCell ref="G26:T26"/>
    <mergeCell ref="G32:T32"/>
    <mergeCell ref="G31:T31"/>
    <mergeCell ref="G34:T34"/>
    <mergeCell ref="G35:T35"/>
    <mergeCell ref="G36:T36"/>
    <mergeCell ref="G37:T37"/>
    <mergeCell ref="G103:T103"/>
    <mergeCell ref="G80:T80"/>
    <mergeCell ref="G86:T86"/>
    <mergeCell ref="G92:T92"/>
    <mergeCell ref="G98:T98"/>
    <mergeCell ref="G106:T106"/>
    <mergeCell ref="G107:T107"/>
    <mergeCell ref="G108:T108"/>
    <mergeCell ref="G101:T101"/>
    <mergeCell ref="G104:T104"/>
    <mergeCell ref="G100:T100"/>
    <mergeCell ref="G102:T102"/>
    <mergeCell ref="G109:T109"/>
    <mergeCell ref="G112:T112"/>
    <mergeCell ref="G113:T113"/>
    <mergeCell ref="G105:T105"/>
    <mergeCell ref="G111:T111"/>
    <mergeCell ref="G125:T125"/>
    <mergeCell ref="G110:T110"/>
    <mergeCell ref="G116:T116"/>
    <mergeCell ref="G122:T122"/>
    <mergeCell ref="G114:T114"/>
    <mergeCell ref="G115:T115"/>
    <mergeCell ref="G118:T118"/>
    <mergeCell ref="G119:T119"/>
    <mergeCell ref="G120:T120"/>
    <mergeCell ref="G121:T121"/>
    <mergeCell ref="G124:T124"/>
    <mergeCell ref="G117:T117"/>
    <mergeCell ref="G123:T123"/>
    <mergeCell ref="G139:T139"/>
    <mergeCell ref="G142:T142"/>
    <mergeCell ref="G143:T143"/>
    <mergeCell ref="G144:T144"/>
    <mergeCell ref="G145:T145"/>
    <mergeCell ref="G148:T148"/>
    <mergeCell ref="G149:T149"/>
    <mergeCell ref="G150:T150"/>
    <mergeCell ref="G151:T151"/>
    <mergeCell ref="G140:T140"/>
    <mergeCell ref="G141:T141"/>
    <mergeCell ref="G147:T147"/>
    <mergeCell ref="G164:T164"/>
    <mergeCell ref="G165:T165"/>
    <mergeCell ref="G166:T166"/>
    <mergeCell ref="G183:T183"/>
    <mergeCell ref="G194:T194"/>
    <mergeCell ref="G167:T167"/>
    <mergeCell ref="G169:T169"/>
    <mergeCell ref="G170:T170"/>
    <mergeCell ref="G171:T171"/>
    <mergeCell ref="G172:T172"/>
    <mergeCell ref="G173:T173"/>
    <mergeCell ref="G193:T193"/>
    <mergeCell ref="G186:T186"/>
    <mergeCell ref="G187:T187"/>
    <mergeCell ref="G188:T188"/>
    <mergeCell ref="G175:T175"/>
    <mergeCell ref="G185:T185"/>
    <mergeCell ref="G191:T191"/>
    <mergeCell ref="G189:T189"/>
    <mergeCell ref="G168:T168"/>
    <mergeCell ref="G222:T222"/>
    <mergeCell ref="G223:T223"/>
    <mergeCell ref="G229:T229"/>
    <mergeCell ref="G208:T208"/>
    <mergeCell ref="G190:T190"/>
    <mergeCell ref="G184:T184"/>
    <mergeCell ref="G246:T246"/>
    <mergeCell ref="G254:T254"/>
    <mergeCell ref="G255:T255"/>
    <mergeCell ref="G235:T235"/>
    <mergeCell ref="G241:T241"/>
    <mergeCell ref="G247:T247"/>
    <mergeCell ref="G224:T224"/>
    <mergeCell ref="G230:T230"/>
    <mergeCell ref="G236:T236"/>
    <mergeCell ref="G242:T242"/>
    <mergeCell ref="G225:T225"/>
    <mergeCell ref="G226:T226"/>
    <mergeCell ref="G227:T227"/>
    <mergeCell ref="G228:T228"/>
    <mergeCell ref="G232:T232"/>
    <mergeCell ref="G233:T233"/>
    <mergeCell ref="G234:T234"/>
    <mergeCell ref="G237:T237"/>
    <mergeCell ref="G267:T267"/>
    <mergeCell ref="G268:T268"/>
    <mergeCell ref="G269:T269"/>
    <mergeCell ref="G272:T272"/>
    <mergeCell ref="G273:T273"/>
    <mergeCell ref="G274:T274"/>
    <mergeCell ref="G265:T265"/>
    <mergeCell ref="G271:T271"/>
    <mergeCell ref="G264:T264"/>
    <mergeCell ref="G270:T270"/>
    <mergeCell ref="G275:T275"/>
    <mergeCell ref="G283:T283"/>
    <mergeCell ref="G284:T284"/>
    <mergeCell ref="G285:T285"/>
    <mergeCell ref="G286:T286"/>
    <mergeCell ref="G289:T289"/>
    <mergeCell ref="G290:T290"/>
    <mergeCell ref="G291:T291"/>
    <mergeCell ref="G292:T292"/>
    <mergeCell ref="G281:T281"/>
    <mergeCell ref="G280:T280"/>
    <mergeCell ref="G276:T276"/>
    <mergeCell ref="G282:T282"/>
    <mergeCell ref="G288:T288"/>
    <mergeCell ref="G277:T277"/>
    <mergeCell ref="G279:T279"/>
    <mergeCell ref="G278:T278"/>
    <mergeCell ref="G495:T495"/>
    <mergeCell ref="G501:T501"/>
    <mergeCell ref="G505:T505"/>
    <mergeCell ref="G508:T508"/>
    <mergeCell ref="G469:T469"/>
    <mergeCell ref="G470:T470"/>
    <mergeCell ref="G473:T473"/>
    <mergeCell ref="G474:T474"/>
    <mergeCell ref="G475:T475"/>
    <mergeCell ref="G476:T476"/>
    <mergeCell ref="G479:T479"/>
    <mergeCell ref="G480:T480"/>
    <mergeCell ref="G481:T481"/>
    <mergeCell ref="G477:T477"/>
    <mergeCell ref="G472:T472"/>
    <mergeCell ref="G478:T478"/>
    <mergeCell ref="G487:T487"/>
    <mergeCell ref="G489:T489"/>
    <mergeCell ref="G494:T494"/>
    <mergeCell ref="G500:T500"/>
    <mergeCell ref="G482:T482"/>
    <mergeCell ref="G490:T490"/>
    <mergeCell ref="G491:T491"/>
    <mergeCell ref="G484:T484"/>
    <mergeCell ref="G506:T506"/>
    <mergeCell ref="G507:T507"/>
    <mergeCell ref="G516:T516"/>
    <mergeCell ref="G518:T518"/>
    <mergeCell ref="G512:T512"/>
    <mergeCell ref="G517:T517"/>
    <mergeCell ref="G498:T498"/>
    <mergeCell ref="G499:T499"/>
    <mergeCell ref="G502:T502"/>
    <mergeCell ref="G503:T503"/>
    <mergeCell ref="G504:T504"/>
    <mergeCell ref="G513:T513"/>
    <mergeCell ref="G515:T515"/>
    <mergeCell ref="G514:T514"/>
    <mergeCell ref="G546:T546"/>
    <mergeCell ref="G535:T535"/>
    <mergeCell ref="G541:T541"/>
    <mergeCell ref="G509:T509"/>
    <mergeCell ref="G510:T510"/>
    <mergeCell ref="G511:T511"/>
    <mergeCell ref="G519:T519"/>
    <mergeCell ref="G520:T520"/>
    <mergeCell ref="G521:T521"/>
    <mergeCell ref="G522:T522"/>
    <mergeCell ref="G523:T523"/>
    <mergeCell ref="G529:T529"/>
    <mergeCell ref="G524:T524"/>
    <mergeCell ref="G530:T530"/>
    <mergeCell ref="G536:T536"/>
    <mergeCell ref="U5:V5"/>
    <mergeCell ref="G319:T319"/>
    <mergeCell ref="G322:T322"/>
    <mergeCell ref="G323:T323"/>
    <mergeCell ref="G324:T324"/>
    <mergeCell ref="G325:T325"/>
    <mergeCell ref="C555:U555"/>
    <mergeCell ref="C556:U556"/>
    <mergeCell ref="G538:T538"/>
    <mergeCell ref="G539:T539"/>
    <mergeCell ref="G540:T540"/>
    <mergeCell ref="G525:T525"/>
    <mergeCell ref="G526:T526"/>
    <mergeCell ref="G527:T527"/>
    <mergeCell ref="G528:T528"/>
    <mergeCell ref="G531:T531"/>
    <mergeCell ref="G532:T532"/>
    <mergeCell ref="G533:T533"/>
    <mergeCell ref="G534:T534"/>
    <mergeCell ref="G537:T537"/>
    <mergeCell ref="G545:T545"/>
    <mergeCell ref="G544:T544"/>
    <mergeCell ref="G542:T542"/>
    <mergeCell ref="G543:T543"/>
  </mergeCells>
  <phoneticPr fontId="38" type="noConversion"/>
  <conditionalFormatting sqref="D6:I6">
    <cfRule type="cellIs" dxfId="310" priority="21" operator="equal">
      <formula>0</formula>
    </cfRule>
  </conditionalFormatting>
  <conditionalFormatting sqref="D8:I8">
    <cfRule type="cellIs" dxfId="309" priority="20" operator="equal">
      <formula>0</formula>
    </cfRule>
  </conditionalFormatting>
  <conditionalFormatting sqref="D10:I10">
    <cfRule type="cellIs" dxfId="308" priority="19" operator="equal">
      <formula>0</formula>
    </cfRule>
  </conditionalFormatting>
  <conditionalFormatting sqref="D12:I12">
    <cfRule type="cellIs" dxfId="307" priority="18" operator="equal">
      <formula>0</formula>
    </cfRule>
  </conditionalFormatting>
  <conditionalFormatting sqref="D14:I14">
    <cfRule type="cellIs" dxfId="306" priority="17" operator="equal">
      <formula>0</formula>
    </cfRule>
  </conditionalFormatting>
  <conditionalFormatting sqref="S6 W6:X6 S7:X7 W8:X8 T9:X9 T10:U10 W10:X10 T11:X11 T12:U12 W12:X12 T13:X13 T14:U14 W14:X16 T15:T16 U16">
    <cfRule type="expression" dxfId="305" priority="15">
      <formula>$AB$17=1</formula>
    </cfRule>
  </conditionalFormatting>
  <conditionalFormatting sqref="S549:V549">
    <cfRule type="expression" dxfId="304" priority="11">
      <formula>$U$549=$AE$549</formula>
    </cfRule>
    <cfRule type="expression" dxfId="303" priority="12">
      <formula>$U$549=$AF$549</formula>
    </cfRule>
    <cfRule type="expression" dxfId="302" priority="14">
      <formula>$U$549=$AA$549</formula>
    </cfRule>
  </conditionalFormatting>
  <conditionalFormatting sqref="S550:V550">
    <cfRule type="expression" dxfId="301" priority="9">
      <formula>$U$550=$AD$550</formula>
    </cfRule>
    <cfRule type="expression" dxfId="300" priority="10">
      <formula>$U$550=$AA$550</formula>
    </cfRule>
  </conditionalFormatting>
  <conditionalFormatting sqref="S551:V551">
    <cfRule type="expression" dxfId="299" priority="6">
      <formula>$U$551=$AC$551</formula>
    </cfRule>
    <cfRule type="expression" dxfId="298" priority="7">
      <formula>$U$551=$AD$551</formula>
    </cfRule>
    <cfRule type="expression" dxfId="297" priority="8">
      <formula>$U$551=$AA$551</formula>
    </cfRule>
  </conditionalFormatting>
  <conditionalFormatting sqref="S552:V552">
    <cfRule type="expression" dxfId="296" priority="5">
      <formula>$U$552=$AB$552</formula>
    </cfRule>
  </conditionalFormatting>
  <conditionalFormatting sqref="S553:V553">
    <cfRule type="expression" dxfId="295" priority="4">
      <formula>$U$553=$AA$553</formula>
    </cfRule>
  </conditionalFormatting>
  <pageMargins left="0.11811023622047245" right="0.19685039370078741" top="9.8425196850393706E-2" bottom="9.8425196850393706E-2" header="0.31496062992125984" footer="7.874015748031496E-2"/>
  <pageSetup paperSize="9"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5297" r:id="rId4" name="Option Button 1">
              <controlPr defaultSize="0" autoFill="0" autoLine="0" autoPict="0">
                <anchor moveWithCells="1">
                  <from>
                    <xdr:col>23</xdr:col>
                    <xdr:colOff>114300</xdr:colOff>
                    <xdr:row>15</xdr:row>
                    <xdr:rowOff>19050</xdr:rowOff>
                  </from>
                  <to>
                    <xdr:col>24</xdr:col>
                    <xdr:colOff>866775</xdr:colOff>
                    <xdr:row>15</xdr:row>
                    <xdr:rowOff>161925</xdr:rowOff>
                  </to>
                </anchor>
              </controlPr>
            </control>
          </mc:Choice>
        </mc:AlternateContent>
        <mc:AlternateContent xmlns:mc="http://schemas.openxmlformats.org/markup-compatibility/2006">
          <mc:Choice Requires="x14">
            <control shapeId="55298" r:id="rId5" name="Option Button 2">
              <controlPr defaultSize="0" autoFill="0" autoLine="0" autoPict="0">
                <anchor moveWithCells="1">
                  <from>
                    <xdr:col>23</xdr:col>
                    <xdr:colOff>114300</xdr:colOff>
                    <xdr:row>16</xdr:row>
                    <xdr:rowOff>19050</xdr:rowOff>
                  </from>
                  <to>
                    <xdr:col>24</xdr:col>
                    <xdr:colOff>866775</xdr:colOff>
                    <xdr:row>17</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25973265-549D-4FF8-92B4-C728667049D9}">
            <xm:f>Erhebungsbogen!$W$36=""</xm:f>
            <x14:dxf>
              <border>
                <left style="thin">
                  <color auto="1"/>
                </left>
                <vertical/>
                <horizontal/>
              </border>
            </x14:dxf>
          </x14:cfRule>
          <xm:sqref>U20:U546</xm:sqref>
        </x14:conditionalFormatting>
        <x14:conditionalFormatting xmlns:xm="http://schemas.microsoft.com/office/excel/2006/main">
          <x14:cfRule type="expression" priority="1" id="{CFA678B4-D6F2-45CD-99B1-AA5A93CAEFE9}">
            <xm:f>Erhebungsbogen!$W$36=""</xm:f>
            <x14:dxf>
              <font>
                <color theme="0"/>
              </font>
              <fill>
                <patternFill>
                  <bgColor theme="0"/>
                </patternFill>
              </fill>
              <border>
                <left/>
                <right/>
                <top/>
                <bottom/>
              </border>
            </x14:dxf>
          </x14:cfRule>
          <xm:sqref>U165:V168</xm:sqref>
        </x14:conditionalFormatting>
        <x14:conditionalFormatting xmlns:xm="http://schemas.microsoft.com/office/excel/2006/main">
          <x14:cfRule type="expression" priority="13" id="{EBC8E156-7DEA-43B6-8EAA-2FC541AAF2FF}">
            <xm:f>Erhebungsbogen!$W$36=""</xm:f>
            <x14:dxf>
              <font>
                <color theme="0"/>
              </font>
              <fill>
                <patternFill>
                  <bgColor theme="0"/>
                </patternFill>
              </fill>
              <border>
                <left/>
                <right/>
                <top/>
                <bottom/>
              </border>
            </x14:dxf>
          </x14:cfRule>
          <xm:sqref>U169:V553 U20:V164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488-CABC-42F6-8C53-F231E51F546C}">
  <sheetPr codeName="Tabelle7">
    <pageSetUpPr fitToPage="1"/>
  </sheetPr>
  <dimension ref="A1:DR61"/>
  <sheetViews>
    <sheetView showGridLines="0" workbookViewId="0"/>
  </sheetViews>
  <sheetFormatPr baseColWidth="10" defaultColWidth="0" defaultRowHeight="15" zeroHeight="1"/>
  <cols>
    <col min="1" max="83" width="1.7109375" customWidth="1"/>
    <col min="84" max="122" width="1.7109375" hidden="1" customWidth="1"/>
    <col min="123" max="16384" width="11.42578125" hidden="1"/>
  </cols>
  <sheetData>
    <row r="1" spans="2:97" ht="8.1" customHeight="1"/>
    <row r="2" spans="2:97" ht="9.9499999999999993" customHeight="1">
      <c r="B2" s="130"/>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8"/>
    </row>
    <row r="3" spans="2:97" ht="9.9499999999999993" customHeight="1">
      <c r="B3" s="131"/>
      <c r="AB3" s="135"/>
      <c r="AP3" s="135"/>
      <c r="AQ3" s="135"/>
      <c r="AR3" s="135"/>
      <c r="AS3" s="135"/>
      <c r="AT3" s="135"/>
      <c r="CD3" s="120"/>
    </row>
    <row r="4" spans="2:97" ht="9.9499999999999993" customHeight="1">
      <c r="B4" s="131"/>
      <c r="P4" s="242"/>
      <c r="V4" s="242"/>
      <c r="X4" s="135"/>
      <c r="Y4" s="135"/>
      <c r="Z4" s="135"/>
      <c r="AA4" s="135"/>
      <c r="AB4" s="135"/>
      <c r="AZ4" s="242"/>
      <c r="CD4" s="120"/>
    </row>
    <row r="5" spans="2:97" ht="9.9499999999999993" customHeight="1">
      <c r="B5" s="131"/>
      <c r="N5" s="242"/>
      <c r="O5" s="242"/>
      <c r="P5" s="242"/>
      <c r="T5" s="242"/>
      <c r="U5" s="242"/>
      <c r="V5" s="242"/>
      <c r="AX5" s="242"/>
      <c r="AY5" s="242"/>
      <c r="AZ5" s="242"/>
      <c r="CD5" s="120"/>
    </row>
    <row r="6" spans="2:97" ht="9.9499999999999993" customHeight="1">
      <c r="B6" s="131"/>
      <c r="CD6" s="120"/>
    </row>
    <row r="7" spans="2:97" ht="9.9499999999999993" customHeight="1">
      <c r="B7" s="131"/>
      <c r="AM7" s="242"/>
      <c r="CD7" s="120"/>
    </row>
    <row r="8" spans="2:97" ht="9.9499999999999993" customHeight="1">
      <c r="B8" s="131"/>
      <c r="AK8" s="242"/>
      <c r="AL8" s="242"/>
      <c r="AM8" s="242"/>
      <c r="CD8" s="120"/>
    </row>
    <row r="9" spans="2:97" ht="9.9499999999999993" customHeight="1">
      <c r="B9" s="131"/>
      <c r="CD9" s="120"/>
    </row>
    <row r="10" spans="2:97" ht="9.9499999999999993" customHeight="1">
      <c r="B10" s="131"/>
      <c r="Q10" s="237"/>
      <c r="R10" s="237"/>
      <c r="S10" s="237"/>
      <c r="AF10" s="237"/>
      <c r="AG10" s="237"/>
      <c r="AH10" s="237"/>
      <c r="AT10" s="237"/>
      <c r="AU10" s="237"/>
      <c r="AV10" s="237"/>
      <c r="AW10" s="237"/>
      <c r="CD10" s="120"/>
    </row>
    <row r="11" spans="2:97" ht="9.9499999999999993" customHeight="1">
      <c r="B11" s="131"/>
      <c r="W11" s="235"/>
      <c r="X11" s="235"/>
      <c r="Y11" s="235"/>
      <c r="Z11" s="235"/>
      <c r="AA11" s="235"/>
      <c r="AB11" s="235"/>
      <c r="AC11" s="235"/>
      <c r="AD11" s="235"/>
      <c r="AE11" s="235"/>
      <c r="AJ11" s="235"/>
      <c r="AK11" s="235"/>
      <c r="AL11" s="235"/>
      <c r="AM11" s="235"/>
      <c r="AN11" s="235"/>
      <c r="AO11" s="235"/>
      <c r="AS11" s="237"/>
      <c r="AX11" s="235"/>
      <c r="AY11" s="235"/>
      <c r="AZ11" s="235"/>
      <c r="CD11" s="120"/>
    </row>
    <row r="12" spans="2:97" ht="9.9499999999999993" customHeight="1">
      <c r="B12" s="131"/>
      <c r="W12" s="235"/>
      <c r="X12" s="235"/>
      <c r="Y12" s="235"/>
      <c r="Z12" s="235"/>
      <c r="AA12" s="235"/>
      <c r="AB12" s="235"/>
      <c r="AC12" s="235"/>
      <c r="AD12" s="235"/>
      <c r="AE12" s="235"/>
      <c r="AJ12" s="235"/>
      <c r="AK12" s="235"/>
      <c r="AL12" s="235"/>
      <c r="AM12" s="235"/>
      <c r="AN12" s="235"/>
      <c r="AO12" s="235"/>
      <c r="AS12" s="237"/>
      <c r="AX12" s="235"/>
      <c r="AY12" s="235"/>
      <c r="AZ12" s="235"/>
      <c r="CD12" s="120"/>
    </row>
    <row r="13" spans="2:97" ht="9.9499999999999993" customHeight="1">
      <c r="B13" s="131"/>
      <c r="W13" s="235"/>
      <c r="X13" s="235"/>
      <c r="Y13" s="235"/>
      <c r="Z13" s="235"/>
      <c r="AA13" s="235"/>
      <c r="AB13" s="235"/>
      <c r="AC13" s="235"/>
      <c r="AD13" s="235"/>
      <c r="AE13" s="235"/>
      <c r="AJ13" s="235"/>
      <c r="AK13" s="235"/>
      <c r="AL13" s="235"/>
      <c r="AM13" s="235"/>
      <c r="AN13" s="235"/>
      <c r="AO13" s="235"/>
      <c r="AS13" s="237"/>
      <c r="AX13" s="235"/>
      <c r="AY13" s="235"/>
      <c r="AZ13" s="235"/>
      <c r="CD13" s="120"/>
    </row>
    <row r="14" spans="2:97" ht="9.9499999999999993" customHeight="1">
      <c r="B14" s="131"/>
      <c r="Q14" s="237"/>
      <c r="R14" s="237"/>
      <c r="S14" s="237"/>
      <c r="W14" s="235"/>
      <c r="X14" s="235"/>
      <c r="Y14" s="235"/>
      <c r="Z14" s="235"/>
      <c r="AA14" s="235"/>
      <c r="AB14" s="235"/>
      <c r="AC14" s="235"/>
      <c r="AD14" s="235"/>
      <c r="AE14" s="235"/>
      <c r="AF14" s="237"/>
      <c r="AG14" s="237"/>
      <c r="AH14" s="237"/>
      <c r="AI14" s="235"/>
      <c r="AJ14" s="235"/>
      <c r="AK14" s="235"/>
      <c r="AL14" s="235"/>
      <c r="AM14" s="235"/>
      <c r="AN14" s="235"/>
      <c r="AO14" s="235"/>
      <c r="AS14" s="237"/>
      <c r="AT14" s="237"/>
      <c r="AU14" s="237"/>
      <c r="AV14" s="237"/>
      <c r="AW14" s="237"/>
      <c r="AX14" s="235"/>
      <c r="AY14" s="235"/>
      <c r="AZ14" s="235"/>
      <c r="CD14" s="120"/>
    </row>
    <row r="15" spans="2:97" ht="9.9499999999999993" customHeight="1">
      <c r="B15" s="131"/>
      <c r="AS15" s="238"/>
      <c r="CD15" s="120"/>
      <c r="CQ15" s="133"/>
      <c r="CR15" s="133"/>
      <c r="CS15" s="133"/>
    </row>
    <row r="16" spans="2:97" ht="9.9499999999999993" customHeight="1">
      <c r="B16" s="131"/>
      <c r="AS16" s="135"/>
      <c r="CD16" s="120"/>
    </row>
    <row r="17" spans="2:103" ht="9.9499999999999993" customHeight="1">
      <c r="B17" s="131"/>
      <c r="AB17" s="135"/>
      <c r="AP17" s="135"/>
      <c r="AQ17" s="135"/>
      <c r="AR17" s="135"/>
      <c r="AS17" s="135"/>
      <c r="AT17" s="135"/>
      <c r="CD17" s="120"/>
    </row>
    <row r="18" spans="2:103" ht="9.9499999999999993" customHeight="1">
      <c r="B18" s="131"/>
      <c r="CD18" s="120"/>
    </row>
    <row r="19" spans="2:103" ht="9.9499999999999993" customHeight="1">
      <c r="B19" s="131"/>
      <c r="CD19" s="120"/>
    </row>
    <row r="20" spans="2:103" ht="9.9499999999999993" customHeight="1">
      <c r="B20" s="131"/>
      <c r="CD20" s="120"/>
      <c r="CW20" s="136"/>
    </row>
    <row r="21" spans="2:103" ht="9.75" customHeight="1">
      <c r="B21" s="131"/>
      <c r="CD21" s="120"/>
      <c r="CW21" s="136"/>
      <c r="CX21" s="136"/>
    </row>
    <row r="22" spans="2:103" ht="9.75" customHeight="1">
      <c r="B22" s="131"/>
      <c r="CD22" s="120"/>
      <c r="CW22" s="136"/>
      <c r="CX22" s="136"/>
      <c r="CY22" s="136"/>
    </row>
    <row r="23" spans="2:103" ht="9.75" customHeight="1">
      <c r="B23" s="131"/>
      <c r="CD23" s="120"/>
    </row>
    <row r="24" spans="2:103" ht="9.75" customHeight="1">
      <c r="B24" s="131"/>
      <c r="CD24" s="120"/>
    </row>
    <row r="25" spans="2:103" ht="9.75" customHeight="1">
      <c r="B25" s="131"/>
      <c r="R25" s="542">
        <f>Kalk1!H28</f>
        <v>0</v>
      </c>
      <c r="S25" s="542"/>
      <c r="T25" s="542"/>
      <c r="U25" s="542"/>
      <c r="AC25" s="542">
        <f>Kalk1!H28</f>
        <v>0</v>
      </c>
      <c r="AD25" s="542"/>
      <c r="AE25" s="542"/>
      <c r="AF25" s="542"/>
      <c r="AG25" s="542"/>
      <c r="AO25" s="542">
        <f>Kalk1!H28</f>
        <v>0</v>
      </c>
      <c r="AP25" s="542"/>
      <c r="AQ25" s="542"/>
      <c r="AR25" s="542"/>
      <c r="CD25" s="120"/>
    </row>
    <row r="26" spans="2:103" ht="12" customHeight="1">
      <c r="B26" s="131"/>
      <c r="BA26" s="235"/>
      <c r="BB26" s="235"/>
      <c r="BC26" s="235"/>
      <c r="BD26" s="235"/>
      <c r="BE26" s="235"/>
      <c r="BF26" s="235"/>
      <c r="BG26" s="235"/>
      <c r="BH26" s="235"/>
      <c r="BI26" s="235"/>
      <c r="BJ26" s="235"/>
      <c r="BK26" s="235"/>
      <c r="BL26" s="235"/>
      <c r="BM26" s="235"/>
      <c r="BQ26" s="237"/>
      <c r="BR26" s="237"/>
      <c r="BS26" s="237"/>
      <c r="CD26" s="120"/>
    </row>
    <row r="27" spans="2:103" ht="9.75" customHeight="1">
      <c r="B27" s="131"/>
      <c r="N27" s="541">
        <v>5</v>
      </c>
      <c r="O27" s="541"/>
      <c r="X27" s="540">
        <v>5</v>
      </c>
      <c r="Y27" s="540"/>
      <c r="AU27" s="540">
        <v>5</v>
      </c>
      <c r="AV27" s="540"/>
      <c r="BA27" s="235"/>
      <c r="BB27" s="235"/>
      <c r="BC27" s="235"/>
      <c r="BD27" s="235"/>
      <c r="BE27" s="235"/>
      <c r="BF27" s="235"/>
      <c r="BG27" s="235"/>
      <c r="BH27" s="235"/>
      <c r="BI27" s="235"/>
      <c r="BJ27" s="235"/>
      <c r="BK27" s="235"/>
      <c r="BL27" s="235"/>
      <c r="BM27" s="235"/>
      <c r="BQ27" s="237"/>
      <c r="BR27" s="540">
        <v>5</v>
      </c>
      <c r="BS27" s="540"/>
      <c r="CD27" s="120"/>
    </row>
    <row r="28" spans="2:103" ht="9.75" customHeight="1">
      <c r="B28" s="131"/>
      <c r="BQ28" s="236"/>
      <c r="BR28" s="236"/>
      <c r="BS28" s="236"/>
      <c r="CD28" s="120"/>
    </row>
    <row r="29" spans="2:103" ht="9.75" customHeight="1">
      <c r="B29" s="131"/>
      <c r="Q29" s="237"/>
      <c r="AP29" s="238"/>
      <c r="AQ29" s="238"/>
      <c r="AR29" s="238"/>
      <c r="AS29" s="238"/>
      <c r="AT29" s="238"/>
      <c r="BN29" s="236"/>
      <c r="BO29" s="236"/>
      <c r="BP29" s="236"/>
      <c r="BQ29" s="236"/>
      <c r="BR29" s="236"/>
      <c r="BS29" s="236"/>
      <c r="CD29" s="120"/>
    </row>
    <row r="30" spans="2:103" ht="9.75" customHeight="1">
      <c r="B30" s="131"/>
      <c r="Q30" s="237"/>
      <c r="CD30" s="120"/>
    </row>
    <row r="31" spans="2:103" ht="9.75" customHeight="1">
      <c r="B31" s="131"/>
      <c r="CD31" s="120"/>
    </row>
    <row r="32" spans="2:103" ht="9" customHeight="1">
      <c r="B32" s="131"/>
      <c r="U32" s="236"/>
      <c r="CD32" s="120"/>
    </row>
    <row r="33" spans="2:93" ht="9.75" customHeight="1">
      <c r="B33" s="131"/>
      <c r="R33" s="236"/>
      <c r="S33" s="236"/>
      <c r="T33" s="236"/>
      <c r="U33" s="236"/>
      <c r="CD33" s="120"/>
    </row>
    <row r="34" spans="2:93" ht="9.75" customHeight="1">
      <c r="B34" s="131"/>
      <c r="R34" s="543">
        <f>Kalk1!AH38</f>
        <v>0</v>
      </c>
      <c r="S34" s="543"/>
      <c r="T34" s="543"/>
      <c r="U34" s="543"/>
      <c r="AO34" s="543">
        <f>Kalk1!AH38</f>
        <v>0</v>
      </c>
      <c r="AP34" s="543"/>
      <c r="AQ34" s="543"/>
      <c r="AR34" s="543"/>
      <c r="BA34" s="135"/>
      <c r="BB34" s="135"/>
      <c r="BC34" s="135"/>
      <c r="BD34" s="135"/>
      <c r="BE34" s="135"/>
      <c r="BF34" s="135"/>
      <c r="BG34" s="135"/>
      <c r="BH34" s="135"/>
      <c r="BI34" s="135"/>
      <c r="BJ34" s="135"/>
      <c r="BK34" s="135"/>
      <c r="BL34" s="543">
        <f>Kalk1!AH38</f>
        <v>0</v>
      </c>
      <c r="BM34" s="543"/>
      <c r="BN34" s="543"/>
      <c r="BO34" s="543"/>
      <c r="BP34" s="135"/>
      <c r="BQ34" s="135"/>
      <c r="BR34" s="135"/>
      <c r="BS34" s="135"/>
      <c r="BT34" s="135"/>
      <c r="BU34" s="135"/>
      <c r="BV34" s="135"/>
      <c r="BW34" s="135"/>
      <c r="BX34" s="135"/>
      <c r="BY34" s="135"/>
      <c r="BZ34" s="135"/>
      <c r="CA34" s="135"/>
      <c r="CD34" s="120"/>
      <c r="CO34" s="137"/>
    </row>
    <row r="35" spans="2:93" ht="10.5" customHeight="1">
      <c r="B35" s="131"/>
      <c r="R35" s="543" t="s">
        <v>22580</v>
      </c>
      <c r="S35" s="543"/>
      <c r="T35" s="543"/>
      <c r="U35" s="543"/>
      <c r="AO35" s="542" t="str">
        <f>IF(Kalk1!H35=2,"(1x)","("&amp; Kalk1!H35-2 &amp; "x)")</f>
        <v>(-1x)</v>
      </c>
      <c r="AP35" s="542"/>
      <c r="AQ35" s="542"/>
      <c r="AR35" s="542"/>
      <c r="BA35" s="135"/>
      <c r="BB35" s="135"/>
      <c r="BC35" s="135"/>
      <c r="BD35" s="135"/>
      <c r="BE35" s="135"/>
      <c r="BF35" s="135"/>
      <c r="BG35" s="135"/>
      <c r="BH35" s="135"/>
      <c r="BI35" s="135"/>
      <c r="BJ35" s="135"/>
      <c r="BK35" s="135"/>
      <c r="BL35" s="543" t="s">
        <v>22580</v>
      </c>
      <c r="BM35" s="543"/>
      <c r="BN35" s="543"/>
      <c r="BO35" s="543"/>
      <c r="BP35" s="135"/>
      <c r="BQ35" s="135"/>
      <c r="BR35" s="135"/>
      <c r="BS35" s="135"/>
      <c r="BT35" s="135"/>
      <c r="BU35" s="135"/>
      <c r="BV35" s="135"/>
      <c r="BW35" s="135"/>
      <c r="BX35" s="135"/>
      <c r="BY35" s="135"/>
      <c r="BZ35" s="135"/>
      <c r="CA35" s="135"/>
      <c r="CD35" s="120"/>
      <c r="CO35" s="137"/>
    </row>
    <row r="36" spans="2:93" ht="9.75" customHeight="1">
      <c r="B36" s="131"/>
      <c r="R36" s="543"/>
      <c r="S36" s="543"/>
      <c r="T36" s="543"/>
      <c r="U36" s="543"/>
      <c r="AO36" s="542"/>
      <c r="AP36" s="542"/>
      <c r="AQ36" s="542"/>
      <c r="AR36" s="542"/>
      <c r="AY36" s="135"/>
      <c r="AZ36" s="135"/>
      <c r="BA36" s="135"/>
      <c r="BB36" s="135"/>
      <c r="BC36" s="135"/>
      <c r="BD36" s="135"/>
      <c r="BE36" s="135"/>
      <c r="BF36" s="135"/>
      <c r="BG36" s="135"/>
      <c r="BH36" s="135"/>
      <c r="BI36" s="135"/>
      <c r="BJ36" s="135"/>
      <c r="BK36" s="135"/>
      <c r="BL36" s="543"/>
      <c r="BM36" s="543"/>
      <c r="BN36" s="543"/>
      <c r="BO36" s="543"/>
      <c r="BP36" s="135"/>
      <c r="BQ36" s="135"/>
      <c r="BR36" s="135"/>
      <c r="BS36" s="135"/>
      <c r="BT36" s="135"/>
      <c r="BU36" s="135"/>
      <c r="BV36" s="135"/>
      <c r="BW36" s="135"/>
      <c r="BX36" s="135"/>
      <c r="BY36" s="135"/>
      <c r="BZ36" s="135"/>
      <c r="CA36" s="135"/>
      <c r="CD36" s="120"/>
      <c r="CO36" s="137"/>
    </row>
    <row r="37" spans="2:93" ht="9.75" customHeight="1">
      <c r="B37" s="131"/>
      <c r="R37" s="543">
        <f>IF(M51=1,R25,IF(M51&gt;1,R34+I46,""))</f>
        <v>0</v>
      </c>
      <c r="S37" s="543"/>
      <c r="T37" s="543"/>
      <c r="U37" s="543"/>
      <c r="AO37" s="543" t="str">
        <f>IF(M51=2,AO34+M46,IF(M51&gt;2,AO34+K46,""))</f>
        <v/>
      </c>
      <c r="AP37" s="543"/>
      <c r="AQ37" s="543"/>
      <c r="AR37" s="543"/>
      <c r="AY37" s="135"/>
      <c r="AZ37" s="135"/>
      <c r="BA37" s="135"/>
      <c r="BB37" s="135"/>
      <c r="BC37" s="135"/>
      <c r="BD37" s="135"/>
      <c r="BE37" s="135"/>
      <c r="BF37" s="135"/>
      <c r="BG37" s="135"/>
      <c r="BH37" s="135"/>
      <c r="BI37" s="135"/>
      <c r="BJ37" s="135"/>
      <c r="BK37" s="135"/>
      <c r="BL37" s="543" t="str">
        <f>IF(M51&gt;2,BL34+M46,"")</f>
        <v/>
      </c>
      <c r="BM37" s="543"/>
      <c r="BN37" s="543"/>
      <c r="BO37" s="543"/>
      <c r="BP37" s="135"/>
      <c r="BQ37" s="135"/>
      <c r="BR37" s="135"/>
      <c r="BS37" s="135"/>
      <c r="BT37" s="135"/>
      <c r="BU37" s="135"/>
      <c r="BV37" s="135"/>
      <c r="BW37" s="135"/>
      <c r="BX37" s="135"/>
      <c r="BY37" s="135"/>
      <c r="BZ37" s="135"/>
      <c r="CA37" s="135"/>
      <c r="CD37" s="120"/>
    </row>
    <row r="38" spans="2:93" ht="9.75" customHeight="1">
      <c r="B38" s="131"/>
      <c r="BK38" s="135"/>
      <c r="BL38" s="135"/>
      <c r="BM38" s="135"/>
      <c r="BN38" s="135"/>
      <c r="BO38" s="135"/>
      <c r="BP38" s="135"/>
      <c r="BQ38" s="135"/>
      <c r="BR38" s="135"/>
      <c r="BS38" s="135"/>
      <c r="BT38" s="135"/>
      <c r="BU38" s="135"/>
      <c r="BV38" s="135"/>
      <c r="BW38" s="135"/>
      <c r="BX38" s="135"/>
      <c r="BY38" s="135"/>
      <c r="BZ38" s="135"/>
      <c r="CA38" s="135"/>
      <c r="CD38" s="120"/>
    </row>
    <row r="39" spans="2:93" ht="9.9499999999999993" customHeight="1">
      <c r="B39" s="131"/>
      <c r="BK39" s="135"/>
      <c r="BL39" s="135"/>
      <c r="BM39" s="135"/>
      <c r="BN39" s="135"/>
      <c r="BO39" s="135"/>
      <c r="BP39" s="135"/>
      <c r="BQ39" s="135"/>
      <c r="BR39" s="135"/>
      <c r="BS39" s="135"/>
      <c r="BT39" s="135"/>
      <c r="BU39" s="135"/>
      <c r="BV39" s="135"/>
      <c r="BW39" s="135"/>
      <c r="BX39" s="135"/>
      <c r="BY39" s="135"/>
      <c r="BZ39" s="135"/>
      <c r="CA39" s="135"/>
      <c r="CD39" s="120"/>
    </row>
    <row r="40" spans="2:93" ht="9.9499999999999993" customHeight="1">
      <c r="B40" s="131"/>
      <c r="BK40" s="135"/>
      <c r="BL40" s="135"/>
      <c r="BM40" s="135"/>
      <c r="BN40" s="135"/>
      <c r="BO40" s="135"/>
      <c r="BP40" s="135"/>
      <c r="BQ40" s="135"/>
      <c r="BR40" s="135"/>
      <c r="BS40" s="135"/>
      <c r="BT40" s="135"/>
      <c r="BU40" s="135"/>
      <c r="BV40" s="135"/>
      <c r="BW40" s="135"/>
      <c r="BX40" s="135"/>
      <c r="BY40" s="135"/>
      <c r="BZ40" s="135"/>
      <c r="CA40" s="135"/>
      <c r="CD40" s="120"/>
    </row>
    <row r="41" spans="2:93" ht="9.9499999999999993" customHeight="1">
      <c r="B41" s="131"/>
      <c r="CD41" s="120"/>
    </row>
    <row r="42" spans="2:93" ht="9.9499999999999993" customHeight="1">
      <c r="B42" s="131"/>
      <c r="CD42" s="120"/>
    </row>
    <row r="43" spans="2:93" ht="9.75" customHeight="1">
      <c r="B43" s="131"/>
      <c r="F43" s="84"/>
      <c r="G43" s="84"/>
      <c r="H43" s="84"/>
      <c r="I43" s="84"/>
      <c r="J43" s="84"/>
      <c r="K43" s="84"/>
      <c r="L43" s="84"/>
      <c r="M43" s="84"/>
      <c r="N43" s="84"/>
      <c r="O43" s="84"/>
      <c r="P43" s="84"/>
      <c r="Q43" s="84"/>
      <c r="CD43" s="120"/>
    </row>
    <row r="44" spans="2:93" ht="9.9499999999999993" customHeight="1">
      <c r="B44" s="131"/>
      <c r="E44" s="321"/>
      <c r="F44" s="321"/>
      <c r="G44" s="321"/>
      <c r="H44" s="321"/>
      <c r="I44" s="321" t="s">
        <v>19882</v>
      </c>
      <c r="J44" s="321"/>
      <c r="K44" s="321" t="s">
        <v>22634</v>
      </c>
      <c r="L44" s="321"/>
      <c r="M44" s="321" t="s">
        <v>20310</v>
      </c>
      <c r="N44" s="321"/>
      <c r="O44" s="320"/>
      <c r="P44" s="84"/>
      <c r="Q44" s="336"/>
      <c r="CD44" s="120"/>
      <c r="CE44" s="135"/>
      <c r="CF44" s="135"/>
      <c r="CG44" s="135"/>
    </row>
    <row r="45" spans="2:93" ht="9.9499999999999993" customHeight="1">
      <c r="B45" s="131"/>
      <c r="E45" s="321"/>
      <c r="F45" s="321"/>
      <c r="G45" s="321"/>
      <c r="H45" s="321"/>
      <c r="I45" s="544">
        <f>Kalk1!AA7</f>
        <v>1</v>
      </c>
      <c r="J45" s="544"/>
      <c r="K45" s="544"/>
      <c r="L45" s="544"/>
      <c r="M45" s="544">
        <f>Kalk1!AA9</f>
        <v>1</v>
      </c>
      <c r="N45" s="544"/>
      <c r="O45" s="320"/>
      <c r="P45" s="84"/>
      <c r="Q45" s="336"/>
      <c r="CD45" s="120"/>
      <c r="CE45" s="135"/>
      <c r="CF45" s="135"/>
      <c r="CG45" s="135"/>
    </row>
    <row r="46" spans="2:93" ht="9.9499999999999993" customHeight="1">
      <c r="B46" s="131"/>
      <c r="E46" s="321"/>
      <c r="F46" s="321"/>
      <c r="G46" s="321"/>
      <c r="H46" s="321"/>
      <c r="I46" s="544">
        <f>IF(I45=1,I47,IF(I45=2,I48,IF(I45=3,I49,0)))</f>
        <v>-18</v>
      </c>
      <c r="J46" s="544"/>
      <c r="K46" s="544">
        <v>50</v>
      </c>
      <c r="L46" s="544"/>
      <c r="M46" s="544">
        <f>IF(M45=1,M47,IF(M45=2,M48,IF(M45=3,M49,0)))</f>
        <v>-18</v>
      </c>
      <c r="N46" s="544"/>
      <c r="O46" s="320"/>
      <c r="P46" s="84"/>
      <c r="Q46" s="336"/>
      <c r="CD46" s="120"/>
    </row>
    <row r="47" spans="2:93" ht="9.9499999999999993" customHeight="1">
      <c r="B47" s="131"/>
      <c r="E47" s="321"/>
      <c r="F47" s="321" t="s">
        <v>22635</v>
      </c>
      <c r="G47" s="321"/>
      <c r="H47" s="321"/>
      <c r="I47" s="544">
        <v>-18</v>
      </c>
      <c r="J47" s="544"/>
      <c r="K47" s="544">
        <v>50</v>
      </c>
      <c r="L47" s="544"/>
      <c r="M47" s="544">
        <v>-18</v>
      </c>
      <c r="N47" s="544"/>
      <c r="O47" s="320"/>
      <c r="P47" s="84"/>
      <c r="Q47" s="336"/>
      <c r="CD47" s="120"/>
    </row>
    <row r="48" spans="2:93" ht="9.9499999999999993" customHeight="1">
      <c r="B48" s="131"/>
      <c r="E48" s="320"/>
      <c r="F48" s="321" t="s">
        <v>22636</v>
      </c>
      <c r="G48" s="321"/>
      <c r="H48" s="321"/>
      <c r="I48" s="544">
        <v>55</v>
      </c>
      <c r="J48" s="544"/>
      <c r="K48" s="544">
        <v>50</v>
      </c>
      <c r="L48" s="544"/>
      <c r="M48" s="544">
        <v>55</v>
      </c>
      <c r="N48" s="544"/>
      <c r="O48" s="320"/>
      <c r="P48" s="84"/>
      <c r="Q48" s="84"/>
      <c r="CD48" s="120"/>
    </row>
    <row r="49" spans="2:82" ht="9.9499999999999993" customHeight="1">
      <c r="B49" s="131"/>
      <c r="E49" s="320"/>
      <c r="F49" s="321" t="s">
        <v>22637</v>
      </c>
      <c r="G49" s="321"/>
      <c r="H49" s="321"/>
      <c r="I49" s="544">
        <v>-13</v>
      </c>
      <c r="J49" s="544"/>
      <c r="K49" s="544">
        <v>50</v>
      </c>
      <c r="L49" s="544"/>
      <c r="M49" s="544">
        <v>-13</v>
      </c>
      <c r="N49" s="544"/>
      <c r="O49" s="320"/>
      <c r="P49" s="84"/>
      <c r="Q49" s="84"/>
      <c r="CD49" s="120"/>
    </row>
    <row r="50" spans="2:82" ht="9.9499999999999993" customHeight="1">
      <c r="B50" s="131"/>
      <c r="E50" s="320"/>
      <c r="F50" s="320"/>
      <c r="G50" s="320"/>
      <c r="H50" s="320"/>
      <c r="I50" s="320"/>
      <c r="J50" s="320"/>
      <c r="K50" s="320"/>
      <c r="L50" s="320"/>
      <c r="M50" s="320"/>
      <c r="N50" s="320"/>
      <c r="O50" s="320"/>
      <c r="P50" s="84"/>
      <c r="Q50" s="84"/>
      <c r="CD50" s="120"/>
    </row>
    <row r="51" spans="2:82" ht="9.75" customHeight="1">
      <c r="B51" s="131"/>
      <c r="E51" s="320"/>
      <c r="F51" s="321" t="s">
        <v>22638</v>
      </c>
      <c r="G51" s="320"/>
      <c r="H51" s="320"/>
      <c r="I51" s="320"/>
      <c r="J51" s="320"/>
      <c r="K51" s="320"/>
      <c r="L51" s="320"/>
      <c r="M51" s="321">
        <f>Kalk1!H33</f>
        <v>1</v>
      </c>
      <c r="N51" s="320"/>
      <c r="O51" s="320"/>
      <c r="P51" s="84"/>
      <c r="Q51" s="84"/>
      <c r="CD51" s="120"/>
    </row>
    <row r="52" spans="2:82" ht="9.75" customHeight="1">
      <c r="B52" s="131"/>
      <c r="F52" s="84"/>
      <c r="G52" s="84"/>
      <c r="H52" s="84"/>
      <c r="I52" s="84"/>
      <c r="J52" s="84"/>
      <c r="K52" s="84"/>
      <c r="L52" s="84"/>
      <c r="M52" s="84"/>
      <c r="N52" s="84"/>
      <c r="O52" s="84"/>
      <c r="P52" s="84"/>
      <c r="Q52" s="84"/>
      <c r="AX52" s="528"/>
      <c r="AY52" s="528"/>
      <c r="AZ52" s="528"/>
      <c r="BA52" s="528"/>
      <c r="BB52" s="528" t="s">
        <v>22287</v>
      </c>
      <c r="BC52" s="528"/>
      <c r="BD52" s="528"/>
      <c r="BE52" s="528"/>
      <c r="BF52" s="528"/>
      <c r="BG52" s="528"/>
      <c r="BH52" s="528"/>
      <c r="BI52" s="528" t="s">
        <v>2545</v>
      </c>
      <c r="BJ52" s="528"/>
      <c r="BK52" s="528"/>
      <c r="BL52" s="528"/>
      <c r="BM52" s="528"/>
      <c r="BN52" s="528"/>
      <c r="BO52" s="528"/>
      <c r="BP52" s="114"/>
      <c r="BQ52" s="115"/>
      <c r="BR52" s="115"/>
      <c r="BS52" s="115"/>
      <c r="BT52" s="116" t="s">
        <v>22289</v>
      </c>
      <c r="BU52" s="115"/>
      <c r="BV52" s="115"/>
      <c r="BW52" s="115"/>
      <c r="BX52" s="115"/>
      <c r="BY52" s="117"/>
      <c r="BZ52" s="117"/>
      <c r="CA52" s="117"/>
      <c r="CB52" s="117"/>
      <c r="CC52" s="117"/>
      <c r="CD52" s="118"/>
    </row>
    <row r="53" spans="2:82" ht="9.75" customHeight="1">
      <c r="B53" s="131"/>
      <c r="F53" s="136"/>
      <c r="K53" s="136"/>
      <c r="AX53" s="528" t="s">
        <v>22288</v>
      </c>
      <c r="AY53" s="528"/>
      <c r="AZ53" s="528"/>
      <c r="BA53" s="528"/>
      <c r="BB53" s="529">
        <f ca="1">TODAY()</f>
        <v>45408</v>
      </c>
      <c r="BC53" s="529"/>
      <c r="BD53" s="529"/>
      <c r="BE53" s="529"/>
      <c r="BF53" s="529"/>
      <c r="BG53" s="529"/>
      <c r="BH53" s="529"/>
      <c r="BI53" s="530"/>
      <c r="BJ53" s="530"/>
      <c r="BK53" s="530"/>
      <c r="BL53" s="530"/>
      <c r="BM53" s="530"/>
      <c r="BN53" s="530"/>
      <c r="BO53" s="530"/>
      <c r="BP53" s="119"/>
      <c r="BQ53" s="135"/>
      <c r="BR53" s="135"/>
      <c r="BS53" s="135"/>
      <c r="BT53" s="239" t="s">
        <v>22290</v>
      </c>
      <c r="BU53" s="135"/>
      <c r="BV53" s="135"/>
      <c r="BW53" s="135"/>
      <c r="BX53" s="135"/>
      <c r="CD53" s="120"/>
    </row>
    <row r="54" spans="2:82" ht="9.75" customHeight="1">
      <c r="B54" s="131"/>
      <c r="AX54" s="528"/>
      <c r="AY54" s="528"/>
      <c r="AZ54" s="528"/>
      <c r="BA54" s="528"/>
      <c r="BB54" s="529"/>
      <c r="BC54" s="529"/>
      <c r="BD54" s="529"/>
      <c r="BE54" s="529"/>
      <c r="BF54" s="529"/>
      <c r="BG54" s="529"/>
      <c r="BH54" s="529"/>
      <c r="BI54" s="530"/>
      <c r="BJ54" s="530"/>
      <c r="BK54" s="530"/>
      <c r="BL54" s="530"/>
      <c r="BM54" s="530"/>
      <c r="BN54" s="530"/>
      <c r="BO54" s="530"/>
      <c r="BP54" s="121"/>
      <c r="BQ54" s="122"/>
      <c r="BR54" s="122"/>
      <c r="BS54" s="122"/>
      <c r="BT54" s="123" t="s">
        <v>22291</v>
      </c>
      <c r="BU54" s="122"/>
      <c r="BV54" s="122"/>
      <c r="BW54" s="122"/>
      <c r="BX54" s="122"/>
      <c r="BY54" s="124"/>
      <c r="BZ54" s="124"/>
      <c r="CA54" s="124"/>
      <c r="CB54" s="124"/>
      <c r="CC54" s="124"/>
      <c r="CD54" s="125"/>
    </row>
    <row r="55" spans="2:82" ht="9.75" customHeight="1">
      <c r="B55" s="131"/>
      <c r="AX55" s="531" t="str">
        <f>Kalk1!D5&amp; "                                                                                                               " &amp;
Kalk1!D15 &amp; " | " &amp; Kalk1!D16</f>
        <v xml:space="preserve">0                                                                                                               0 | </v>
      </c>
      <c r="AY55" s="532"/>
      <c r="AZ55" s="532"/>
      <c r="BA55" s="532"/>
      <c r="BB55" s="532"/>
      <c r="BC55" s="532"/>
      <c r="BD55" s="532"/>
      <c r="BE55" s="532"/>
      <c r="BF55" s="532"/>
      <c r="BG55" s="532"/>
      <c r="BH55" s="532"/>
      <c r="BI55" s="532"/>
      <c r="BJ55" s="532"/>
      <c r="BK55" s="532"/>
      <c r="BL55" s="532"/>
      <c r="BM55" s="532"/>
      <c r="BN55" s="532"/>
      <c r="BO55" s="532"/>
      <c r="BP55" s="532"/>
      <c r="BQ55" s="532"/>
      <c r="BR55" s="532"/>
      <c r="BS55" s="532"/>
      <c r="BT55" s="532"/>
      <c r="BU55" s="532"/>
      <c r="BV55" s="532"/>
      <c r="BW55" s="532"/>
      <c r="BX55" s="532"/>
      <c r="BY55" s="532"/>
      <c r="BZ55" s="533"/>
      <c r="CA55" s="527" t="s">
        <v>22613</v>
      </c>
      <c r="CB55" s="527"/>
      <c r="CC55" s="527"/>
      <c r="CD55" s="527"/>
    </row>
    <row r="56" spans="2:82" ht="9.75" customHeight="1">
      <c r="B56" s="131"/>
      <c r="AX56" s="534"/>
      <c r="AY56" s="535"/>
      <c r="AZ56" s="535"/>
      <c r="BA56" s="535"/>
      <c r="BB56" s="535"/>
      <c r="BC56" s="535"/>
      <c r="BD56" s="535"/>
      <c r="BE56" s="535"/>
      <c r="BF56" s="535"/>
      <c r="BG56" s="535"/>
      <c r="BH56" s="535"/>
      <c r="BI56" s="535"/>
      <c r="BJ56" s="535"/>
      <c r="BK56" s="535"/>
      <c r="BL56" s="535"/>
      <c r="BM56" s="535"/>
      <c r="BN56" s="535"/>
      <c r="BO56" s="535"/>
      <c r="BP56" s="535"/>
      <c r="BQ56" s="535"/>
      <c r="BR56" s="535"/>
      <c r="BS56" s="535"/>
      <c r="BT56" s="535"/>
      <c r="BU56" s="535"/>
      <c r="BV56" s="535"/>
      <c r="BW56" s="535"/>
      <c r="BX56" s="535"/>
      <c r="BY56" s="535"/>
      <c r="BZ56" s="536"/>
      <c r="CA56" s="526" t="s">
        <v>22292</v>
      </c>
      <c r="CB56" s="526"/>
      <c r="CC56" s="526"/>
      <c r="CD56" s="526"/>
    </row>
    <row r="57" spans="2:82" ht="9.75" customHeight="1">
      <c r="B57" s="131"/>
      <c r="AX57" s="537"/>
      <c r="AY57" s="538"/>
      <c r="AZ57" s="538"/>
      <c r="BA57" s="538"/>
      <c r="BB57" s="538"/>
      <c r="BC57" s="538"/>
      <c r="BD57" s="538"/>
      <c r="BE57" s="538"/>
      <c r="BF57" s="538"/>
      <c r="BG57" s="538"/>
      <c r="BH57" s="538"/>
      <c r="BI57" s="538"/>
      <c r="BJ57" s="538"/>
      <c r="BK57" s="538"/>
      <c r="BL57" s="538"/>
      <c r="BM57" s="538"/>
      <c r="BN57" s="538"/>
      <c r="BO57" s="538"/>
      <c r="BP57" s="538"/>
      <c r="BQ57" s="538"/>
      <c r="BR57" s="538"/>
      <c r="BS57" s="538"/>
      <c r="BT57" s="538"/>
      <c r="BU57" s="538"/>
      <c r="BV57" s="538"/>
      <c r="BW57" s="538"/>
      <c r="BX57" s="538"/>
      <c r="BY57" s="538"/>
      <c r="BZ57" s="539"/>
      <c r="CA57" s="524" t="s">
        <v>22293</v>
      </c>
      <c r="CB57" s="525"/>
      <c r="CC57" s="525"/>
      <c r="CD57" s="525"/>
    </row>
    <row r="58" spans="2:82" ht="9.75" customHeight="1">
      <c r="B58" s="132"/>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6" t="s">
        <v>22286</v>
      </c>
      <c r="AY58" s="127"/>
      <c r="AZ58" s="127"/>
      <c r="BA58" s="127"/>
      <c r="BB58" s="128"/>
      <c r="BC58" s="128"/>
      <c r="BD58" s="128"/>
      <c r="BE58" s="145" t="str" cm="1">
        <f t="array" aca="1" ref="BE58" ca="1">MID(CELL("Dateiname"),FIND("[",CELL("Dateiname"))+1,FIND("]",CELL("Dateiname"))-FIND("[",CELL("Dateiname"))-1)</f>
        <v>02110307_CH-de_Vorlage_Erhebungsbogen Hochwasserschutz_PREFA_2024-4.xlsx</v>
      </c>
      <c r="BF58" s="128"/>
      <c r="BG58" s="128"/>
      <c r="BH58" s="128"/>
      <c r="BI58" s="128"/>
      <c r="BJ58" s="127"/>
      <c r="BK58" s="128"/>
      <c r="BL58" s="128"/>
      <c r="BM58" s="128"/>
      <c r="BN58" s="128"/>
      <c r="BO58" s="128"/>
      <c r="BP58" s="128"/>
      <c r="BQ58" s="128"/>
      <c r="BR58" s="128"/>
      <c r="BS58" s="128"/>
      <c r="BT58" s="128"/>
      <c r="BU58" s="128"/>
      <c r="BV58" s="128"/>
      <c r="BW58" s="128"/>
      <c r="BX58" s="128"/>
      <c r="BY58" s="128"/>
      <c r="BZ58" s="128"/>
      <c r="CA58" s="128"/>
      <c r="CB58" s="128"/>
      <c r="CC58" s="128"/>
      <c r="CD58" s="129"/>
    </row>
    <row r="59" spans="2:82" ht="9.75" customHeight="1"/>
    <row r="60" spans="2:82" ht="9.75" hidden="1" customHeight="1"/>
    <row r="61" spans="2:82" ht="9.75" hidden="1" customHeight="1"/>
  </sheetData>
  <sheetProtection sheet="1" objects="1" selectLockedCells="1"/>
  <mergeCells count="41">
    <mergeCell ref="I49:J49"/>
    <mergeCell ref="K49:L49"/>
    <mergeCell ref="M49:N49"/>
    <mergeCell ref="M45:N45"/>
    <mergeCell ref="M46:N46"/>
    <mergeCell ref="M47:N47"/>
    <mergeCell ref="I48:J48"/>
    <mergeCell ref="K48:L48"/>
    <mergeCell ref="M48:N48"/>
    <mergeCell ref="I45:J45"/>
    <mergeCell ref="I46:J46"/>
    <mergeCell ref="I47:J47"/>
    <mergeCell ref="K45:L45"/>
    <mergeCell ref="K46:L46"/>
    <mergeCell ref="K47:L47"/>
    <mergeCell ref="BR27:BS27"/>
    <mergeCell ref="N27:O27"/>
    <mergeCell ref="X27:Y27"/>
    <mergeCell ref="R25:U25"/>
    <mergeCell ref="BL37:BO37"/>
    <mergeCell ref="BL34:BO34"/>
    <mergeCell ref="AC25:AG25"/>
    <mergeCell ref="AU27:AV27"/>
    <mergeCell ref="AO25:AR25"/>
    <mergeCell ref="AO37:AR37"/>
    <mergeCell ref="R34:U34"/>
    <mergeCell ref="R37:U37"/>
    <mergeCell ref="R35:U36"/>
    <mergeCell ref="AO35:AR36"/>
    <mergeCell ref="AO34:AR34"/>
    <mergeCell ref="BL35:BO36"/>
    <mergeCell ref="CA57:CD57"/>
    <mergeCell ref="CA56:CD56"/>
    <mergeCell ref="CA55:CD55"/>
    <mergeCell ref="BB52:BH52"/>
    <mergeCell ref="BB53:BH54"/>
    <mergeCell ref="BI52:BO52"/>
    <mergeCell ref="BI53:BO54"/>
    <mergeCell ref="AX55:BZ57"/>
    <mergeCell ref="AX53:BA54"/>
    <mergeCell ref="AX52:BA52"/>
  </mergeCells>
  <pageMargins left="0.19685039370078741" right="0.19685039370078741" top="0.19685039370078741" bottom="0.19685039370078741" header="0.19685039370078741" footer="0.11811023622047245"/>
  <pageSetup paperSize="9" scale="98"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2" id="{3DE71744-33E8-4562-9914-0A43225C9FA9}">
            <xm:f>Kalk1!$AA$7=1</xm:f>
            <x14:dxf>
              <font>
                <color theme="1"/>
              </font>
            </x14:dxf>
          </x14:cfRule>
          <xm:sqref>N27</xm:sqref>
        </x14:conditionalFormatting>
        <x14:conditionalFormatting xmlns:xm="http://schemas.microsoft.com/office/excel/2006/main">
          <x14:cfRule type="expression" priority="1309" id="{533073B8-C0E0-4C2B-9F63-247B7221FA00}">
            <xm:f>AND(Kalk1!$AA$9=1,Kalk1!$H$35=1)</xm:f>
            <x14:dxf>
              <font>
                <color theme="1"/>
              </font>
            </x14:dxf>
          </x14:cfRule>
          <xm:sqref>X27</xm:sqref>
        </x14:conditionalFormatting>
        <x14:conditionalFormatting xmlns:xm="http://schemas.microsoft.com/office/excel/2006/main">
          <x14:cfRule type="expression" priority="1316" id="{BE7D16A4-406D-4CF4-977B-9AF4F0AF840F}">
            <xm:f>Kalk1!$H$35&gt;2</xm:f>
            <x14:dxf>
              <font>
                <color theme="0"/>
              </font>
            </x14:dxf>
          </x14:cfRule>
          <xm:sqref>AB3 X4:AB4 AB17 R25 AC25</xm:sqref>
        </x14:conditionalFormatting>
        <x14:conditionalFormatting xmlns:xm="http://schemas.microsoft.com/office/excel/2006/main">
          <x14:cfRule type="expression" priority="1303" id="{1038393C-01D4-4438-98FD-AEDC952B94FB}">
            <xm:f>Kalk1!$H$35=1</xm:f>
            <x14:dxf>
              <font>
                <color theme="0"/>
              </font>
            </x14:dxf>
          </x14:cfRule>
          <xm:sqref>AC25 AO25 AU27 BR27 AO34:AO35</xm:sqref>
        </x14:conditionalFormatting>
        <x14:conditionalFormatting xmlns:xm="http://schemas.microsoft.com/office/excel/2006/main">
          <x14:cfRule type="expression" priority="3" id="{BAD60A75-D1D1-4322-8597-7B9AB695E0BE}">
            <xm:f>Kalk1!$H$35=1</xm:f>
            <x14:dxf>
              <font>
                <color theme="0"/>
              </font>
            </x14:dxf>
          </x14:cfRule>
          <xm:sqref>AO37</xm:sqref>
        </x14:conditionalFormatting>
        <x14:conditionalFormatting xmlns:xm="http://schemas.microsoft.com/office/excel/2006/main">
          <x14:cfRule type="expression" priority="1311" id="{D45544DB-7550-4FB9-9B02-FCA04FA632A5}">
            <xm:f>Kalk1!$H$35=2</xm:f>
            <x14:dxf>
              <font>
                <color theme="0"/>
              </font>
            </x14:dxf>
          </x14:cfRule>
          <xm:sqref>AP3:AT3 AS16 AS17:AT17 R25 AO25</xm:sqref>
        </x14:conditionalFormatting>
        <x14:conditionalFormatting xmlns:xm="http://schemas.microsoft.com/office/excel/2006/main">
          <x14:cfRule type="expression" priority="1310" id="{CBC185B5-866C-452D-959B-D57B4A8CE62B}">
            <xm:f>AND(Kalk1!$AA$9=1,Kalk1!$H$35=2)</xm:f>
            <x14:dxf>
              <font>
                <color theme="1"/>
              </font>
            </x14:dxf>
          </x14:cfRule>
          <xm:sqref>AU27</xm:sqref>
        </x14:conditionalFormatting>
        <x14:conditionalFormatting xmlns:xm="http://schemas.microsoft.com/office/excel/2006/main">
          <x14:cfRule type="expression" priority="4" id="{678FDA1A-0681-4243-B413-1A04710A4A16}">
            <xm:f>Kalk1!$H$35=1</xm:f>
            <x14:dxf>
              <font>
                <color theme="0"/>
              </font>
            </x14:dxf>
          </x14:cfRule>
          <xm:sqref>BL34:BL35</xm:sqref>
        </x14:conditionalFormatting>
        <x14:conditionalFormatting xmlns:xm="http://schemas.microsoft.com/office/excel/2006/main">
          <x14:cfRule type="expression" priority="1" id="{23036DF2-A591-42F9-89A0-07E380B86F60}">
            <xm:f>Kalk1!$H$35=1</xm:f>
            <x14:dxf>
              <font>
                <color theme="0"/>
              </font>
            </x14:dxf>
          </x14:cfRule>
          <x14:cfRule type="expression" priority="2" id="{38C66EDC-FFAA-4C41-B672-E45529500861}">
            <xm:f>Kalk1!$H$35=2</xm:f>
            <x14:dxf>
              <font>
                <color theme="0"/>
              </font>
            </x14:dxf>
          </x14:cfRule>
          <xm:sqref>BL37</xm:sqref>
        </x14:conditionalFormatting>
        <x14:conditionalFormatting xmlns:xm="http://schemas.microsoft.com/office/excel/2006/main">
          <x14:cfRule type="expression" priority="5" id="{96E8BBC0-2962-470E-9D2F-9EE015634FCB}">
            <xm:f>Kalk1!$H$35=2</xm:f>
            <x14:dxf>
              <font>
                <color theme="0"/>
              </font>
            </x14:dxf>
          </x14:cfRule>
          <xm:sqref>BQ26:BS28 BN29:BS29 BL34:BL35</xm:sqref>
        </x14:conditionalFormatting>
        <x14:conditionalFormatting xmlns:xm="http://schemas.microsoft.com/office/excel/2006/main">
          <x14:cfRule type="expression" priority="1315" id="{4E127F24-18FF-4A10-9783-E426085E654C}">
            <xm:f>AND(Kalk1!$H$35&gt;2,Kalk1!$AA$9=1)</xm:f>
            <x14:dxf>
              <font>
                <color theme="1"/>
              </font>
            </x14:dxf>
          </x14:cfRule>
          <xm:sqref>BR27</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52A7A-4C33-49FD-A154-C3E7704BBD90}">
  <sheetPr codeName="Tabelle16">
    <pageSetUpPr fitToPage="1"/>
  </sheetPr>
  <dimension ref="A1:DR61"/>
  <sheetViews>
    <sheetView showGridLines="0" workbookViewId="0"/>
  </sheetViews>
  <sheetFormatPr baseColWidth="10" defaultColWidth="0" defaultRowHeight="15" customHeight="1" zeroHeight="1"/>
  <cols>
    <col min="1" max="83" width="1.7109375" customWidth="1"/>
    <col min="84" max="122" width="1.7109375" hidden="1" customWidth="1"/>
    <col min="123" max="16384" width="11.42578125" hidden="1"/>
  </cols>
  <sheetData>
    <row r="1" spans="2:97" ht="8.1" customHeight="1"/>
    <row r="2" spans="2:97" ht="9.9499999999999993" customHeight="1">
      <c r="B2" s="130"/>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8"/>
    </row>
    <row r="3" spans="2:97" ht="9.9499999999999993" customHeight="1">
      <c r="B3" s="131"/>
      <c r="AB3" s="135"/>
      <c r="AP3" s="135"/>
      <c r="AQ3" s="135"/>
      <c r="AR3" s="135"/>
      <c r="AS3" s="135"/>
      <c r="AT3" s="135"/>
      <c r="CD3" s="120"/>
    </row>
    <row r="4" spans="2:97" ht="9.9499999999999993" customHeight="1">
      <c r="B4" s="131"/>
      <c r="P4" s="242"/>
      <c r="V4" s="242"/>
      <c r="X4" s="135"/>
      <c r="Y4" s="135"/>
      <c r="Z4" s="135"/>
      <c r="AA4" s="135"/>
      <c r="AB4" s="135"/>
      <c r="AZ4" s="242"/>
      <c r="CD4" s="120"/>
    </row>
    <row r="5" spans="2:97" ht="9.9499999999999993" customHeight="1">
      <c r="B5" s="131"/>
      <c r="N5" s="242"/>
      <c r="O5" s="242"/>
      <c r="P5" s="242"/>
      <c r="T5" s="242"/>
      <c r="U5" s="242"/>
      <c r="V5" s="242"/>
      <c r="AX5" s="242"/>
      <c r="AY5" s="242"/>
      <c r="AZ5" s="242"/>
      <c r="CD5" s="120"/>
    </row>
    <row r="6" spans="2:97" ht="9.9499999999999993" customHeight="1">
      <c r="B6" s="131"/>
      <c r="CD6" s="120"/>
    </row>
    <row r="7" spans="2:97" ht="9.9499999999999993" customHeight="1">
      <c r="B7" s="131"/>
      <c r="AM7" s="242"/>
      <c r="CD7" s="120"/>
    </row>
    <row r="8" spans="2:97" ht="9.9499999999999993" customHeight="1">
      <c r="B8" s="131"/>
      <c r="AK8" s="242"/>
      <c r="AL8" s="242"/>
      <c r="AM8" s="242"/>
      <c r="CD8" s="120"/>
    </row>
    <row r="9" spans="2:97" ht="9.9499999999999993" customHeight="1">
      <c r="B9" s="131"/>
      <c r="CD9" s="120"/>
    </row>
    <row r="10" spans="2:97" ht="9.9499999999999993" customHeight="1">
      <c r="B10" s="131"/>
      <c r="Q10" s="237"/>
      <c r="R10" s="237"/>
      <c r="S10" s="237"/>
      <c r="AF10" s="237"/>
      <c r="AG10" s="237"/>
      <c r="AH10" s="237"/>
      <c r="AT10" s="237"/>
      <c r="AU10" s="237"/>
      <c r="AV10" s="237"/>
      <c r="AW10" s="237"/>
      <c r="CD10" s="120"/>
    </row>
    <row r="11" spans="2:97" ht="9.9499999999999993" customHeight="1">
      <c r="B11" s="131"/>
      <c r="W11" s="235"/>
      <c r="X11" s="235"/>
      <c r="Y11" s="235"/>
      <c r="Z11" s="235"/>
      <c r="AA11" s="235"/>
      <c r="AB11" s="235"/>
      <c r="AC11" s="235"/>
      <c r="AD11" s="235"/>
      <c r="AE11" s="235"/>
      <c r="AJ11" s="235"/>
      <c r="AK11" s="235"/>
      <c r="AL11" s="235"/>
      <c r="AM11" s="235"/>
      <c r="AN11" s="235"/>
      <c r="AO11" s="235"/>
      <c r="AS11" s="237"/>
      <c r="AX11" s="235"/>
      <c r="AY11" s="235"/>
      <c r="AZ11" s="235"/>
      <c r="CD11" s="120"/>
    </row>
    <row r="12" spans="2:97" ht="9.9499999999999993" customHeight="1">
      <c r="B12" s="131"/>
      <c r="W12" s="235"/>
      <c r="X12" s="235"/>
      <c r="Y12" s="235"/>
      <c r="Z12" s="235"/>
      <c r="AA12" s="235"/>
      <c r="AB12" s="235"/>
      <c r="AC12" s="235"/>
      <c r="AD12" s="235"/>
      <c r="AE12" s="235"/>
      <c r="AJ12" s="235"/>
      <c r="AK12" s="235"/>
      <c r="AL12" s="235"/>
      <c r="AM12" s="235"/>
      <c r="AN12" s="235"/>
      <c r="AO12" s="235"/>
      <c r="AS12" s="237"/>
      <c r="AX12" s="235"/>
      <c r="AY12" s="235"/>
      <c r="AZ12" s="235"/>
      <c r="CD12" s="120"/>
    </row>
    <row r="13" spans="2:97" ht="9.9499999999999993" customHeight="1">
      <c r="B13" s="131"/>
      <c r="W13" s="235"/>
      <c r="X13" s="235"/>
      <c r="Y13" s="235"/>
      <c r="Z13" s="235"/>
      <c r="AA13" s="235"/>
      <c r="AB13" s="235"/>
      <c r="AC13" s="235"/>
      <c r="AD13" s="235"/>
      <c r="AE13" s="235"/>
      <c r="AJ13" s="235"/>
      <c r="AK13" s="235"/>
      <c r="AL13" s="235"/>
      <c r="AM13" s="235"/>
      <c r="AN13" s="235"/>
      <c r="AO13" s="235"/>
      <c r="AS13" s="237"/>
      <c r="AX13" s="235"/>
      <c r="AY13" s="235"/>
      <c r="AZ13" s="235"/>
      <c r="CD13" s="120"/>
    </row>
    <row r="14" spans="2:97" ht="9.9499999999999993" customHeight="1">
      <c r="B14" s="131"/>
      <c r="Q14" s="237"/>
      <c r="R14" s="237"/>
      <c r="S14" s="237"/>
      <c r="W14" s="235"/>
      <c r="X14" s="235"/>
      <c r="Y14" s="235"/>
      <c r="Z14" s="235"/>
      <c r="AA14" s="235"/>
      <c r="AB14" s="235"/>
      <c r="AC14" s="235"/>
      <c r="AD14" s="235"/>
      <c r="AE14" s="235"/>
      <c r="AF14" s="237"/>
      <c r="AG14" s="237"/>
      <c r="AH14" s="237"/>
      <c r="AI14" s="235"/>
      <c r="AJ14" s="235"/>
      <c r="AK14" s="235"/>
      <c r="AL14" s="235"/>
      <c r="AM14" s="235"/>
      <c r="AN14" s="235"/>
      <c r="AO14" s="235"/>
      <c r="AS14" s="237"/>
      <c r="AT14" s="237"/>
      <c r="AU14" s="237"/>
      <c r="AV14" s="237"/>
      <c r="AW14" s="237"/>
      <c r="AX14" s="235"/>
      <c r="AY14" s="235"/>
      <c r="AZ14" s="235"/>
      <c r="CD14" s="120"/>
    </row>
    <row r="15" spans="2:97" ht="9.9499999999999993" customHeight="1">
      <c r="B15" s="131"/>
      <c r="AS15" s="238"/>
      <c r="CD15" s="120"/>
      <c r="CQ15" s="133"/>
      <c r="CR15" s="133"/>
      <c r="CS15" s="133"/>
    </row>
    <row r="16" spans="2:97" ht="9.9499999999999993" customHeight="1">
      <c r="B16" s="131"/>
      <c r="AS16" s="135"/>
      <c r="CD16" s="120"/>
    </row>
    <row r="17" spans="2:103" ht="9.9499999999999993" customHeight="1">
      <c r="B17" s="131"/>
      <c r="AB17" s="135"/>
      <c r="AP17" s="135"/>
      <c r="AQ17" s="135"/>
      <c r="AR17" s="135"/>
      <c r="AS17" s="135"/>
      <c r="AT17" s="135"/>
      <c r="CD17" s="120"/>
    </row>
    <row r="18" spans="2:103" ht="9.9499999999999993" customHeight="1">
      <c r="B18" s="131"/>
      <c r="CD18" s="120"/>
    </row>
    <row r="19" spans="2:103" ht="9.9499999999999993" customHeight="1">
      <c r="B19" s="131"/>
      <c r="CD19" s="120"/>
    </row>
    <row r="20" spans="2:103" ht="9.9499999999999993" customHeight="1">
      <c r="B20" s="131"/>
      <c r="CD20" s="120"/>
      <c r="CW20" s="136"/>
    </row>
    <row r="21" spans="2:103" ht="9.75" customHeight="1">
      <c r="B21" s="131"/>
      <c r="CD21" s="120"/>
      <c r="CW21" s="136"/>
      <c r="CX21" s="136"/>
    </row>
    <row r="22" spans="2:103" ht="9.75" customHeight="1">
      <c r="B22" s="131"/>
      <c r="CD22" s="120"/>
      <c r="CW22" s="136"/>
      <c r="CX22" s="136"/>
      <c r="CY22" s="136"/>
    </row>
    <row r="23" spans="2:103" ht="9.75" customHeight="1">
      <c r="B23" s="131"/>
      <c r="CD23" s="120"/>
    </row>
    <row r="24" spans="2:103" ht="9.75" customHeight="1">
      <c r="B24" s="131"/>
      <c r="CD24" s="120"/>
    </row>
    <row r="25" spans="2:103" ht="9.75" customHeight="1">
      <c r="B25" s="131"/>
      <c r="R25" s="542">
        <f>Kalk2!H28</f>
        <v>0</v>
      </c>
      <c r="S25" s="542"/>
      <c r="T25" s="542"/>
      <c r="U25" s="542"/>
      <c r="AC25" s="542">
        <f>Kalk2!H28</f>
        <v>0</v>
      </c>
      <c r="AD25" s="542"/>
      <c r="AE25" s="542"/>
      <c r="AF25" s="542"/>
      <c r="AG25" s="542"/>
      <c r="AO25" s="542">
        <f>Kalk2!H28</f>
        <v>0</v>
      </c>
      <c r="AP25" s="542"/>
      <c r="AQ25" s="542"/>
      <c r="AR25" s="542"/>
      <c r="CD25" s="120"/>
    </row>
    <row r="26" spans="2:103" ht="12" customHeight="1">
      <c r="B26" s="131"/>
      <c r="BA26" s="235"/>
      <c r="BB26" s="235"/>
      <c r="BC26" s="235"/>
      <c r="BD26" s="235"/>
      <c r="BE26" s="235"/>
      <c r="BF26" s="235"/>
      <c r="BG26" s="235"/>
      <c r="BH26" s="235"/>
      <c r="BI26" s="235"/>
      <c r="BJ26" s="235"/>
      <c r="BK26" s="235"/>
      <c r="BL26" s="235"/>
      <c r="BM26" s="235"/>
      <c r="BQ26" s="237"/>
      <c r="BR26" s="237"/>
      <c r="BS26" s="237"/>
      <c r="CD26" s="120"/>
    </row>
    <row r="27" spans="2:103" ht="9.75" customHeight="1">
      <c r="B27" s="131"/>
      <c r="N27" s="541">
        <v>5</v>
      </c>
      <c r="O27" s="541"/>
      <c r="X27" s="540">
        <v>5</v>
      </c>
      <c r="Y27" s="540"/>
      <c r="AU27" s="540">
        <v>5</v>
      </c>
      <c r="AV27" s="540"/>
      <c r="BA27" s="235"/>
      <c r="BB27" s="235"/>
      <c r="BC27" s="235"/>
      <c r="BD27" s="235"/>
      <c r="BE27" s="235"/>
      <c r="BF27" s="235"/>
      <c r="BG27" s="235"/>
      <c r="BH27" s="235"/>
      <c r="BI27" s="235"/>
      <c r="BJ27" s="235"/>
      <c r="BK27" s="235"/>
      <c r="BL27" s="235"/>
      <c r="BM27" s="235"/>
      <c r="BQ27" s="237"/>
      <c r="BR27" s="540">
        <v>5</v>
      </c>
      <c r="BS27" s="540"/>
      <c r="CD27" s="120"/>
    </row>
    <row r="28" spans="2:103" ht="9.75" customHeight="1">
      <c r="B28" s="131"/>
      <c r="BQ28" s="236"/>
      <c r="BR28" s="236"/>
      <c r="BS28" s="236"/>
      <c r="CD28" s="120"/>
    </row>
    <row r="29" spans="2:103" ht="9.75" customHeight="1">
      <c r="B29" s="131"/>
      <c r="Q29" s="237"/>
      <c r="AP29" s="238"/>
      <c r="AQ29" s="238"/>
      <c r="AR29" s="238"/>
      <c r="AS29" s="238"/>
      <c r="AT29" s="238"/>
      <c r="BN29" s="236"/>
      <c r="BO29" s="236"/>
      <c r="BP29" s="236"/>
      <c r="BQ29" s="236"/>
      <c r="BR29" s="236"/>
      <c r="BS29" s="236"/>
      <c r="CD29" s="120"/>
    </row>
    <row r="30" spans="2:103" ht="9.75" customHeight="1">
      <c r="B30" s="131"/>
      <c r="Q30" s="237"/>
      <c r="CD30" s="120"/>
    </row>
    <row r="31" spans="2:103" ht="9.75" customHeight="1">
      <c r="B31" s="131"/>
      <c r="CD31" s="120"/>
    </row>
    <row r="32" spans="2:103" ht="9" customHeight="1">
      <c r="B32" s="131"/>
      <c r="U32" s="236"/>
      <c r="CD32" s="120"/>
    </row>
    <row r="33" spans="2:93" ht="9.75" customHeight="1">
      <c r="B33" s="131"/>
      <c r="R33" s="236"/>
      <c r="S33" s="236"/>
      <c r="T33" s="236"/>
      <c r="U33" s="236"/>
      <c r="CD33" s="120"/>
    </row>
    <row r="34" spans="2:93" ht="9.75" customHeight="1">
      <c r="B34" s="131"/>
      <c r="R34" s="543">
        <f>Kalk2!AH38</f>
        <v>0</v>
      </c>
      <c r="S34" s="543"/>
      <c r="T34" s="543"/>
      <c r="U34" s="543"/>
      <c r="AO34" s="543">
        <f>Kalk2!AH38</f>
        <v>0</v>
      </c>
      <c r="AP34" s="543"/>
      <c r="AQ34" s="543"/>
      <c r="AR34" s="543"/>
      <c r="BA34" s="135"/>
      <c r="BB34" s="135"/>
      <c r="BC34" s="135"/>
      <c r="BD34" s="135"/>
      <c r="BE34" s="135"/>
      <c r="BF34" s="135"/>
      <c r="BG34" s="135"/>
      <c r="BH34" s="135"/>
      <c r="BI34" s="135"/>
      <c r="BJ34" s="135"/>
      <c r="BK34" s="135"/>
      <c r="BL34" s="543">
        <f>Kalk2!AH38</f>
        <v>0</v>
      </c>
      <c r="BM34" s="543"/>
      <c r="BN34" s="543"/>
      <c r="BO34" s="543"/>
      <c r="BP34" s="135"/>
      <c r="BQ34" s="135"/>
      <c r="BR34" s="135"/>
      <c r="BS34" s="135"/>
      <c r="BT34" s="135"/>
      <c r="BU34" s="135"/>
      <c r="BV34" s="135"/>
      <c r="BW34" s="135"/>
      <c r="BX34" s="135"/>
      <c r="BY34" s="135"/>
      <c r="BZ34" s="135"/>
      <c r="CA34" s="135"/>
      <c r="CD34" s="120"/>
      <c r="CO34" s="137"/>
    </row>
    <row r="35" spans="2:93" ht="10.5" customHeight="1">
      <c r="B35" s="131"/>
      <c r="R35" s="543" t="s">
        <v>22580</v>
      </c>
      <c r="S35" s="543"/>
      <c r="T35" s="543"/>
      <c r="U35" s="543"/>
      <c r="AO35" s="542" t="str">
        <f>IF(Kalk2!H35=2,"(1x)","("&amp; Kalk2!H35-2 &amp; "x)")</f>
        <v>(-1x)</v>
      </c>
      <c r="AP35" s="542"/>
      <c r="AQ35" s="542"/>
      <c r="AR35" s="542"/>
      <c r="BA35" s="135"/>
      <c r="BB35" s="135"/>
      <c r="BC35" s="135"/>
      <c r="BD35" s="135"/>
      <c r="BE35" s="135"/>
      <c r="BF35" s="135"/>
      <c r="BG35" s="135"/>
      <c r="BH35" s="135"/>
      <c r="BI35" s="135"/>
      <c r="BJ35" s="135"/>
      <c r="BK35" s="135"/>
      <c r="BL35" s="543" t="s">
        <v>22580</v>
      </c>
      <c r="BM35" s="543"/>
      <c r="BN35" s="543"/>
      <c r="BO35" s="543"/>
      <c r="BP35" s="135"/>
      <c r="BQ35" s="135"/>
      <c r="BR35" s="135"/>
      <c r="BS35" s="135"/>
      <c r="BT35" s="135"/>
      <c r="BU35" s="135"/>
      <c r="BV35" s="135"/>
      <c r="BW35" s="135"/>
      <c r="BX35" s="135"/>
      <c r="BY35" s="135"/>
      <c r="BZ35" s="135"/>
      <c r="CA35" s="135"/>
      <c r="CD35" s="120"/>
      <c r="CO35" s="137"/>
    </row>
    <row r="36" spans="2:93" ht="9.75" customHeight="1">
      <c r="B36" s="131"/>
      <c r="R36" s="543"/>
      <c r="S36" s="543"/>
      <c r="T36" s="543"/>
      <c r="U36" s="543"/>
      <c r="AO36" s="542"/>
      <c r="AP36" s="542"/>
      <c r="AQ36" s="542"/>
      <c r="AR36" s="542"/>
      <c r="AY36" s="135"/>
      <c r="AZ36" s="135"/>
      <c r="BA36" s="135"/>
      <c r="BB36" s="135"/>
      <c r="BC36" s="135"/>
      <c r="BD36" s="135"/>
      <c r="BE36" s="135"/>
      <c r="BF36" s="135"/>
      <c r="BG36" s="135"/>
      <c r="BH36" s="135"/>
      <c r="BI36" s="135"/>
      <c r="BJ36" s="135"/>
      <c r="BK36" s="135"/>
      <c r="BL36" s="543"/>
      <c r="BM36" s="543"/>
      <c r="BN36" s="543"/>
      <c r="BO36" s="543"/>
      <c r="BP36" s="135"/>
      <c r="BQ36" s="135"/>
      <c r="BR36" s="135"/>
      <c r="BS36" s="135"/>
      <c r="BT36" s="135"/>
      <c r="BU36" s="135"/>
      <c r="BV36" s="135"/>
      <c r="BW36" s="135"/>
      <c r="BX36" s="135"/>
      <c r="BY36" s="135"/>
      <c r="BZ36" s="135"/>
      <c r="CA36" s="135"/>
      <c r="CD36" s="120"/>
      <c r="CO36" s="137"/>
    </row>
    <row r="37" spans="2:93" ht="9.75" customHeight="1">
      <c r="B37" s="131"/>
      <c r="R37" s="543">
        <f>IF(M51=1,R25,IF(M51&gt;1,R34+I46,""))</f>
        <v>0</v>
      </c>
      <c r="S37" s="543"/>
      <c r="T37" s="543"/>
      <c r="U37" s="543"/>
      <c r="AO37" s="543" t="str">
        <f>IF(M51=2,AO34+M46,IF(M51&gt;2,AO34+K46,""))</f>
        <v/>
      </c>
      <c r="AP37" s="543"/>
      <c r="AQ37" s="543"/>
      <c r="AR37" s="543"/>
      <c r="AY37" s="135"/>
      <c r="AZ37" s="135"/>
      <c r="BA37" s="135"/>
      <c r="BB37" s="135"/>
      <c r="BC37" s="135"/>
      <c r="BD37" s="135"/>
      <c r="BE37" s="135"/>
      <c r="BF37" s="135"/>
      <c r="BG37" s="135"/>
      <c r="BH37" s="135"/>
      <c r="BI37" s="135"/>
      <c r="BJ37" s="135"/>
      <c r="BK37" s="135"/>
      <c r="BL37" s="543" t="str">
        <f>IF(M51&gt;2,BL34+M46,"")</f>
        <v/>
      </c>
      <c r="BM37" s="543"/>
      <c r="BN37" s="543"/>
      <c r="BO37" s="543"/>
      <c r="BP37" s="135"/>
      <c r="BQ37" s="135"/>
      <c r="BR37" s="135"/>
      <c r="BS37" s="135"/>
      <c r="BT37" s="135"/>
      <c r="BU37" s="135"/>
      <c r="BV37" s="135"/>
      <c r="BW37" s="135"/>
      <c r="BX37" s="135"/>
      <c r="BY37" s="135"/>
      <c r="BZ37" s="135"/>
      <c r="CA37" s="135"/>
      <c r="CD37" s="120"/>
    </row>
    <row r="38" spans="2:93" ht="9.75" customHeight="1">
      <c r="B38" s="131"/>
      <c r="BK38" s="135"/>
      <c r="BL38" s="135"/>
      <c r="BM38" s="135"/>
      <c r="BN38" s="135"/>
      <c r="BO38" s="135"/>
      <c r="BP38" s="135"/>
      <c r="BQ38" s="135"/>
      <c r="BR38" s="135"/>
      <c r="BS38" s="135"/>
      <c r="BT38" s="135"/>
      <c r="BU38" s="135"/>
      <c r="BV38" s="135"/>
      <c r="BW38" s="135"/>
      <c r="BX38" s="135"/>
      <c r="BY38" s="135"/>
      <c r="BZ38" s="135"/>
      <c r="CA38" s="135"/>
      <c r="CD38" s="120"/>
    </row>
    <row r="39" spans="2:93" ht="9.9499999999999993" customHeight="1">
      <c r="B39" s="131"/>
      <c r="BK39" s="135"/>
      <c r="BL39" s="135"/>
      <c r="BM39" s="135"/>
      <c r="BN39" s="135"/>
      <c r="BO39" s="135"/>
      <c r="BP39" s="135"/>
      <c r="BQ39" s="135"/>
      <c r="BR39" s="135"/>
      <c r="BS39" s="135"/>
      <c r="BT39" s="135"/>
      <c r="BU39" s="135"/>
      <c r="BV39" s="135"/>
      <c r="BW39" s="135"/>
      <c r="BX39" s="135"/>
      <c r="BY39" s="135"/>
      <c r="BZ39" s="135"/>
      <c r="CA39" s="135"/>
      <c r="CD39" s="120"/>
    </row>
    <row r="40" spans="2:93" ht="9.9499999999999993" customHeight="1">
      <c r="B40" s="131"/>
      <c r="BK40" s="135"/>
      <c r="BL40" s="135"/>
      <c r="BM40" s="135"/>
      <c r="BN40" s="135"/>
      <c r="BO40" s="135"/>
      <c r="BP40" s="135"/>
      <c r="BQ40" s="135"/>
      <c r="BR40" s="135"/>
      <c r="BS40" s="135"/>
      <c r="BT40" s="135"/>
      <c r="BU40" s="135"/>
      <c r="BV40" s="135"/>
      <c r="BW40" s="135"/>
      <c r="BX40" s="135"/>
      <c r="BY40" s="135"/>
      <c r="BZ40" s="135"/>
      <c r="CA40" s="135"/>
      <c r="CD40" s="120"/>
    </row>
    <row r="41" spans="2:93" ht="9.9499999999999993" customHeight="1">
      <c r="B41" s="131"/>
      <c r="CD41" s="120"/>
    </row>
    <row r="42" spans="2:93" ht="9.9499999999999993" customHeight="1">
      <c r="B42" s="131"/>
      <c r="CD42" s="120"/>
    </row>
    <row r="43" spans="2:93" ht="9.75" customHeight="1">
      <c r="B43" s="131"/>
      <c r="CD43" s="120"/>
    </row>
    <row r="44" spans="2:93" ht="9.9499999999999993" customHeight="1">
      <c r="B44" s="131"/>
      <c r="F44" s="321"/>
      <c r="G44" s="321"/>
      <c r="H44" s="321"/>
      <c r="I44" s="321" t="s">
        <v>19882</v>
      </c>
      <c r="J44" s="321"/>
      <c r="K44" s="321" t="s">
        <v>22634</v>
      </c>
      <c r="L44" s="321"/>
      <c r="M44" s="321" t="s">
        <v>20310</v>
      </c>
      <c r="N44" s="321"/>
      <c r="O44" s="320"/>
      <c r="CD44" s="120"/>
      <c r="CE44" s="135"/>
      <c r="CF44" s="135"/>
      <c r="CG44" s="135"/>
    </row>
    <row r="45" spans="2:93" ht="9.9499999999999993" customHeight="1">
      <c r="B45" s="131"/>
      <c r="F45" s="321"/>
      <c r="G45" s="321"/>
      <c r="H45" s="321"/>
      <c r="I45" s="544">
        <f>Kalk2!AA7</f>
        <v>1</v>
      </c>
      <c r="J45" s="544"/>
      <c r="K45" s="544"/>
      <c r="L45" s="544"/>
      <c r="M45" s="544">
        <f>Kalk2!AA9</f>
        <v>1</v>
      </c>
      <c r="N45" s="544"/>
      <c r="O45" s="320"/>
      <c r="CD45" s="120"/>
      <c r="CE45" s="135"/>
      <c r="CF45" s="135"/>
      <c r="CG45" s="135"/>
    </row>
    <row r="46" spans="2:93" ht="9.9499999999999993" customHeight="1">
      <c r="B46" s="131"/>
      <c r="F46" s="321"/>
      <c r="G46" s="321"/>
      <c r="H46" s="321"/>
      <c r="I46" s="544">
        <f>IF(I45=1,I47,IF(I45=2,I48,IF(I45=3,I49,0)))</f>
        <v>-18</v>
      </c>
      <c r="J46" s="544"/>
      <c r="K46" s="544">
        <v>50</v>
      </c>
      <c r="L46" s="544"/>
      <c r="M46" s="544">
        <f>IF(M45=1,M47,IF(M45=2,M48,IF(M45=3,M49,0)))</f>
        <v>-18</v>
      </c>
      <c r="N46" s="544"/>
      <c r="O46" s="320"/>
      <c r="CD46" s="120"/>
    </row>
    <row r="47" spans="2:93" ht="9.9499999999999993" customHeight="1">
      <c r="B47" s="131"/>
      <c r="F47" s="321" t="s">
        <v>22635</v>
      </c>
      <c r="G47" s="321"/>
      <c r="H47" s="321"/>
      <c r="I47" s="544">
        <v>-18</v>
      </c>
      <c r="J47" s="544"/>
      <c r="K47" s="544">
        <v>50</v>
      </c>
      <c r="L47" s="544"/>
      <c r="M47" s="544">
        <v>-18</v>
      </c>
      <c r="N47" s="544"/>
      <c r="O47" s="320"/>
      <c r="CD47" s="120"/>
    </row>
    <row r="48" spans="2:93" ht="9.9499999999999993" customHeight="1">
      <c r="B48" s="131"/>
      <c r="F48" s="321" t="s">
        <v>22636</v>
      </c>
      <c r="G48" s="321"/>
      <c r="H48" s="321"/>
      <c r="I48" s="544">
        <v>55</v>
      </c>
      <c r="J48" s="544"/>
      <c r="K48" s="544">
        <v>50</v>
      </c>
      <c r="L48" s="544"/>
      <c r="M48" s="544">
        <v>55</v>
      </c>
      <c r="N48" s="544"/>
      <c r="O48" s="320"/>
      <c r="CD48" s="120"/>
    </row>
    <row r="49" spans="2:82" ht="9.9499999999999993" customHeight="1">
      <c r="B49" s="131"/>
      <c r="F49" s="321" t="s">
        <v>22637</v>
      </c>
      <c r="G49" s="321"/>
      <c r="H49" s="321"/>
      <c r="I49" s="544">
        <v>-13</v>
      </c>
      <c r="J49" s="544"/>
      <c r="K49" s="544">
        <v>50</v>
      </c>
      <c r="L49" s="544"/>
      <c r="M49" s="544">
        <v>-13</v>
      </c>
      <c r="N49" s="544"/>
      <c r="O49" s="320"/>
      <c r="CD49" s="120"/>
    </row>
    <row r="50" spans="2:82" ht="9.9499999999999993" customHeight="1">
      <c r="B50" s="131"/>
      <c r="F50" s="320"/>
      <c r="G50" s="320"/>
      <c r="H50" s="320"/>
      <c r="I50" s="320"/>
      <c r="J50" s="320"/>
      <c r="K50" s="320"/>
      <c r="L50" s="320"/>
      <c r="M50" s="320"/>
      <c r="N50" s="320"/>
      <c r="O50" s="320"/>
      <c r="CD50" s="120"/>
    </row>
    <row r="51" spans="2:82" ht="9.75" customHeight="1">
      <c r="B51" s="131"/>
      <c r="F51" s="321" t="s">
        <v>22638</v>
      </c>
      <c r="G51" s="320"/>
      <c r="H51" s="320"/>
      <c r="I51" s="320"/>
      <c r="J51" s="320"/>
      <c r="K51" s="320"/>
      <c r="L51" s="320"/>
      <c r="M51" s="321">
        <f>Kalk1!H33</f>
        <v>1</v>
      </c>
      <c r="N51" s="320"/>
      <c r="O51" s="320"/>
      <c r="CD51" s="120"/>
    </row>
    <row r="52" spans="2:82" ht="9.75" customHeight="1">
      <c r="B52" s="131"/>
      <c r="AX52" s="528"/>
      <c r="AY52" s="528"/>
      <c r="AZ52" s="528"/>
      <c r="BA52" s="528"/>
      <c r="BB52" s="528" t="s">
        <v>22287</v>
      </c>
      <c r="BC52" s="528"/>
      <c r="BD52" s="528"/>
      <c r="BE52" s="528"/>
      <c r="BF52" s="528"/>
      <c r="BG52" s="528"/>
      <c r="BH52" s="528"/>
      <c r="BI52" s="528" t="s">
        <v>2545</v>
      </c>
      <c r="BJ52" s="528"/>
      <c r="BK52" s="528"/>
      <c r="BL52" s="528"/>
      <c r="BM52" s="528"/>
      <c r="BN52" s="528"/>
      <c r="BO52" s="528"/>
      <c r="BP52" s="114"/>
      <c r="BQ52" s="115"/>
      <c r="BR52" s="115"/>
      <c r="BS52" s="115"/>
      <c r="BT52" s="116" t="s">
        <v>22289</v>
      </c>
      <c r="BU52" s="115"/>
      <c r="BV52" s="115"/>
      <c r="BW52" s="115"/>
      <c r="BX52" s="115"/>
      <c r="BY52" s="117"/>
      <c r="BZ52" s="117"/>
      <c r="CA52" s="117"/>
      <c r="CB52" s="117"/>
      <c r="CC52" s="117"/>
      <c r="CD52" s="118"/>
    </row>
    <row r="53" spans="2:82" ht="9.75" customHeight="1">
      <c r="B53" s="131"/>
      <c r="AX53" s="528" t="s">
        <v>22288</v>
      </c>
      <c r="AY53" s="528"/>
      <c r="AZ53" s="528"/>
      <c r="BA53" s="528"/>
      <c r="BB53" s="529">
        <f ca="1">TODAY()</f>
        <v>45408</v>
      </c>
      <c r="BC53" s="529"/>
      <c r="BD53" s="529"/>
      <c r="BE53" s="529"/>
      <c r="BF53" s="529"/>
      <c r="BG53" s="529"/>
      <c r="BH53" s="529"/>
      <c r="BI53" s="530"/>
      <c r="BJ53" s="530"/>
      <c r="BK53" s="530"/>
      <c r="BL53" s="530"/>
      <c r="BM53" s="530"/>
      <c r="BN53" s="530"/>
      <c r="BO53" s="530"/>
      <c r="BP53" s="119"/>
      <c r="BQ53" s="135"/>
      <c r="BR53" s="135"/>
      <c r="BS53" s="135"/>
      <c r="BT53" s="239" t="s">
        <v>22290</v>
      </c>
      <c r="BU53" s="135"/>
      <c r="BV53" s="135"/>
      <c r="BW53" s="135"/>
      <c r="BX53" s="135"/>
      <c r="CD53" s="120"/>
    </row>
    <row r="54" spans="2:82" ht="9.75" customHeight="1">
      <c r="B54" s="131"/>
      <c r="AX54" s="528"/>
      <c r="AY54" s="528"/>
      <c r="AZ54" s="528"/>
      <c r="BA54" s="528"/>
      <c r="BB54" s="529"/>
      <c r="BC54" s="529"/>
      <c r="BD54" s="529"/>
      <c r="BE54" s="529"/>
      <c r="BF54" s="529"/>
      <c r="BG54" s="529"/>
      <c r="BH54" s="529"/>
      <c r="BI54" s="530"/>
      <c r="BJ54" s="530"/>
      <c r="BK54" s="530"/>
      <c r="BL54" s="530"/>
      <c r="BM54" s="530"/>
      <c r="BN54" s="530"/>
      <c r="BO54" s="530"/>
      <c r="BP54" s="121"/>
      <c r="BQ54" s="122"/>
      <c r="BR54" s="122"/>
      <c r="BS54" s="122"/>
      <c r="BT54" s="123" t="s">
        <v>22291</v>
      </c>
      <c r="BU54" s="122"/>
      <c r="BV54" s="122"/>
      <c r="BW54" s="122"/>
      <c r="BX54" s="122"/>
      <c r="BY54" s="124"/>
      <c r="BZ54" s="124"/>
      <c r="CA54" s="124"/>
      <c r="CB54" s="124"/>
      <c r="CC54" s="124"/>
      <c r="CD54" s="125"/>
    </row>
    <row r="55" spans="2:82" ht="9.75" customHeight="1">
      <c r="B55" s="131"/>
      <c r="AX55" s="531" t="str">
        <f>Kalk2!D5&amp; "                                                                                                               " &amp;
Kalk2!D15 &amp; " | " &amp; Kalk2!D16</f>
        <v xml:space="preserve">0                                                                                                               0 | </v>
      </c>
      <c r="AY55" s="532"/>
      <c r="AZ55" s="532"/>
      <c r="BA55" s="532"/>
      <c r="BB55" s="532"/>
      <c r="BC55" s="532"/>
      <c r="BD55" s="532"/>
      <c r="BE55" s="532"/>
      <c r="BF55" s="532"/>
      <c r="BG55" s="532"/>
      <c r="BH55" s="532"/>
      <c r="BI55" s="532"/>
      <c r="BJ55" s="532"/>
      <c r="BK55" s="532"/>
      <c r="BL55" s="532"/>
      <c r="BM55" s="532"/>
      <c r="BN55" s="532"/>
      <c r="BO55" s="532"/>
      <c r="BP55" s="532"/>
      <c r="BQ55" s="532"/>
      <c r="BR55" s="532"/>
      <c r="BS55" s="532"/>
      <c r="BT55" s="532"/>
      <c r="BU55" s="532"/>
      <c r="BV55" s="532"/>
      <c r="BW55" s="532"/>
      <c r="BX55" s="532"/>
      <c r="BY55" s="532"/>
      <c r="BZ55" s="533"/>
      <c r="CA55" s="527" t="s">
        <v>22613</v>
      </c>
      <c r="CB55" s="527"/>
      <c r="CC55" s="527"/>
      <c r="CD55" s="527"/>
    </row>
    <row r="56" spans="2:82" ht="9.75" customHeight="1">
      <c r="B56" s="131"/>
      <c r="AX56" s="534"/>
      <c r="AY56" s="535"/>
      <c r="AZ56" s="535"/>
      <c r="BA56" s="535"/>
      <c r="BB56" s="535"/>
      <c r="BC56" s="535"/>
      <c r="BD56" s="535"/>
      <c r="BE56" s="535"/>
      <c r="BF56" s="535"/>
      <c r="BG56" s="535"/>
      <c r="BH56" s="535"/>
      <c r="BI56" s="535"/>
      <c r="BJ56" s="535"/>
      <c r="BK56" s="535"/>
      <c r="BL56" s="535"/>
      <c r="BM56" s="535"/>
      <c r="BN56" s="535"/>
      <c r="BO56" s="535"/>
      <c r="BP56" s="535"/>
      <c r="BQ56" s="535"/>
      <c r="BR56" s="535"/>
      <c r="BS56" s="535"/>
      <c r="BT56" s="535"/>
      <c r="BU56" s="535"/>
      <c r="BV56" s="535"/>
      <c r="BW56" s="535"/>
      <c r="BX56" s="535"/>
      <c r="BY56" s="535"/>
      <c r="BZ56" s="536"/>
      <c r="CA56" s="526" t="s">
        <v>22292</v>
      </c>
      <c r="CB56" s="526"/>
      <c r="CC56" s="526"/>
      <c r="CD56" s="526"/>
    </row>
    <row r="57" spans="2:82" ht="9.75" customHeight="1">
      <c r="B57" s="131"/>
      <c r="AX57" s="537"/>
      <c r="AY57" s="538"/>
      <c r="AZ57" s="538"/>
      <c r="BA57" s="538"/>
      <c r="BB57" s="538"/>
      <c r="BC57" s="538"/>
      <c r="BD57" s="538"/>
      <c r="BE57" s="538"/>
      <c r="BF57" s="538"/>
      <c r="BG57" s="538"/>
      <c r="BH57" s="538"/>
      <c r="BI57" s="538"/>
      <c r="BJ57" s="538"/>
      <c r="BK57" s="538"/>
      <c r="BL57" s="538"/>
      <c r="BM57" s="538"/>
      <c r="BN57" s="538"/>
      <c r="BO57" s="538"/>
      <c r="BP57" s="538"/>
      <c r="BQ57" s="538"/>
      <c r="BR57" s="538"/>
      <c r="BS57" s="538"/>
      <c r="BT57" s="538"/>
      <c r="BU57" s="538"/>
      <c r="BV57" s="538"/>
      <c r="BW57" s="538"/>
      <c r="BX57" s="538"/>
      <c r="BY57" s="538"/>
      <c r="BZ57" s="539"/>
      <c r="CA57" s="524" t="s">
        <v>12771</v>
      </c>
      <c r="CB57" s="525"/>
      <c r="CC57" s="525"/>
      <c r="CD57" s="525"/>
    </row>
    <row r="58" spans="2:82" ht="9.75" customHeight="1">
      <c r="B58" s="132"/>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6" t="s">
        <v>22286</v>
      </c>
      <c r="AY58" s="127"/>
      <c r="AZ58" s="127"/>
      <c r="BA58" s="127"/>
      <c r="BB58" s="128"/>
      <c r="BC58" s="128"/>
      <c r="BD58" s="128"/>
      <c r="BE58" s="145" t="str" cm="1">
        <f t="array" aca="1" ref="BE58" ca="1">MID(CELL("Dateiname"),FIND("[",CELL("Dateiname"))+1,FIND("]",CELL("Dateiname"))-FIND("[",CELL("Dateiname"))-1)</f>
        <v>02110307_CH-de_Vorlage_Erhebungsbogen Hochwasserschutz_PREFA_2024-4.xlsx</v>
      </c>
      <c r="BF58" s="128"/>
      <c r="BG58" s="128"/>
      <c r="BH58" s="128"/>
      <c r="BI58" s="128"/>
      <c r="BJ58" s="127"/>
      <c r="BK58" s="128"/>
      <c r="BL58" s="128"/>
      <c r="BM58" s="128"/>
      <c r="BN58" s="128"/>
      <c r="BO58" s="128"/>
      <c r="BP58" s="128"/>
      <c r="BQ58" s="128"/>
      <c r="BR58" s="128"/>
      <c r="BS58" s="128"/>
      <c r="BT58" s="128"/>
      <c r="BU58" s="128"/>
      <c r="BV58" s="128"/>
      <c r="BW58" s="128"/>
      <c r="BX58" s="128"/>
      <c r="BY58" s="128"/>
      <c r="BZ58" s="128"/>
      <c r="CA58" s="128"/>
      <c r="CB58" s="128"/>
      <c r="CC58" s="128"/>
      <c r="CD58" s="129"/>
    </row>
    <row r="59" spans="2:82" ht="9.75" customHeight="1"/>
    <row r="60" spans="2:82" ht="9.75" hidden="1" customHeight="1"/>
    <row r="61" spans="2:82" ht="9.75" hidden="1" customHeight="1"/>
  </sheetData>
  <sheetProtection sheet="1" objects="1" scenarios="1" selectLockedCells="1"/>
  <mergeCells count="41">
    <mergeCell ref="AX53:BA54"/>
    <mergeCell ref="BB53:BH54"/>
    <mergeCell ref="BI53:BO54"/>
    <mergeCell ref="AX55:BZ57"/>
    <mergeCell ref="CA55:CD55"/>
    <mergeCell ref="CA56:CD56"/>
    <mergeCell ref="CA57:CD57"/>
    <mergeCell ref="R37:U37"/>
    <mergeCell ref="AO37:AR37"/>
    <mergeCell ref="BL37:BO37"/>
    <mergeCell ref="AX52:BA52"/>
    <mergeCell ref="BB52:BH52"/>
    <mergeCell ref="BI52:BO52"/>
    <mergeCell ref="BR27:BS27"/>
    <mergeCell ref="R34:U34"/>
    <mergeCell ref="AO34:AR34"/>
    <mergeCell ref="BL34:BO34"/>
    <mergeCell ref="R35:U36"/>
    <mergeCell ref="AO35:AR36"/>
    <mergeCell ref="BL35:BO36"/>
    <mergeCell ref="AU27:AV27"/>
    <mergeCell ref="R25:U25"/>
    <mergeCell ref="AC25:AG25"/>
    <mergeCell ref="AO25:AR25"/>
    <mergeCell ref="N27:O27"/>
    <mergeCell ref="X27:Y27"/>
    <mergeCell ref="I45:J45"/>
    <mergeCell ref="K45:L45"/>
    <mergeCell ref="M45:N45"/>
    <mergeCell ref="I46:J46"/>
    <mergeCell ref="K46:L46"/>
    <mergeCell ref="M46:N46"/>
    <mergeCell ref="I49:J49"/>
    <mergeCell ref="K49:L49"/>
    <mergeCell ref="M49:N49"/>
    <mergeCell ref="I47:J47"/>
    <mergeCell ref="K47:L47"/>
    <mergeCell ref="M47:N47"/>
    <mergeCell ref="I48:J48"/>
    <mergeCell ref="K48:L48"/>
    <mergeCell ref="M48:N48"/>
  </mergeCells>
  <pageMargins left="0.19685039370078741" right="0.19685039370078741" top="0.19685039370078741" bottom="0.19685039370078741" header="0.19685039370078741" footer="0.11811023622047245"/>
  <pageSetup paperSize="9" scale="98"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541757E2-A28C-432E-8558-5C25B858C2FD}">
            <xm:f>Kalk2!$AA$7=1</xm:f>
            <x14:dxf>
              <font>
                <color theme="1"/>
              </font>
            </x14:dxf>
          </x14:cfRule>
          <xm:sqref>N27</xm:sqref>
        </x14:conditionalFormatting>
        <x14:conditionalFormatting xmlns:xm="http://schemas.microsoft.com/office/excel/2006/main">
          <x14:cfRule type="expression" priority="11" id="{48B55A3D-0CEB-4B73-BAC4-891DF02A89CA}">
            <xm:f>AND(Kalk2!$AA$9=1,Kalk2!$H$35=1)</xm:f>
            <x14:dxf>
              <font>
                <color theme="1"/>
              </font>
            </x14:dxf>
          </x14:cfRule>
          <xm:sqref>X27</xm:sqref>
        </x14:conditionalFormatting>
        <x14:conditionalFormatting xmlns:xm="http://schemas.microsoft.com/office/excel/2006/main">
          <x14:cfRule type="expression" priority="15" id="{C9B41813-93EF-4E7A-9E40-75636C602266}">
            <xm:f>Kalk2!$H$35&gt;2</xm:f>
            <x14:dxf>
              <font>
                <color theme="0"/>
              </font>
            </x14:dxf>
          </x14:cfRule>
          <xm:sqref>AB3 X4:AB4 AB17 R25 AC25</xm:sqref>
        </x14:conditionalFormatting>
        <x14:conditionalFormatting xmlns:xm="http://schemas.microsoft.com/office/excel/2006/main">
          <x14:cfRule type="expression" priority="10" id="{026A0E9A-E842-40DD-AD2D-7D01B4880D95}">
            <xm:f>Kalk2!$H$35=1</xm:f>
            <x14:dxf>
              <font>
                <color theme="0"/>
              </font>
            </x14:dxf>
          </x14:cfRule>
          <xm:sqref>AC25 AO25 AU27 BR27 AO34:AO35</xm:sqref>
        </x14:conditionalFormatting>
        <x14:conditionalFormatting xmlns:xm="http://schemas.microsoft.com/office/excel/2006/main">
          <x14:cfRule type="expression" priority="3" id="{5C545B45-416B-456E-9767-266276E8FC8A}">
            <xm:f>Kalk2!$H$35=1</xm:f>
            <x14:dxf>
              <font>
                <color theme="0"/>
              </font>
            </x14:dxf>
          </x14:cfRule>
          <xm:sqref>AO37</xm:sqref>
        </x14:conditionalFormatting>
        <x14:conditionalFormatting xmlns:xm="http://schemas.microsoft.com/office/excel/2006/main">
          <x14:cfRule type="expression" priority="13" id="{1B78CFC7-BE2D-498C-8C1C-A58DC9C70DDC}">
            <xm:f>Kalk2!$H$35=2</xm:f>
            <x14:dxf>
              <font>
                <color theme="0"/>
              </font>
            </x14:dxf>
          </x14:cfRule>
          <xm:sqref>AP3:AT3 AS16 AS17:AT17 R25 AO25</xm:sqref>
        </x14:conditionalFormatting>
        <x14:conditionalFormatting xmlns:xm="http://schemas.microsoft.com/office/excel/2006/main">
          <x14:cfRule type="expression" priority="12" id="{851583C8-10AC-4615-AEB5-E57B83691DE1}">
            <xm:f>AND(Kalk2!$AA$9=1,Kalk2!$H$35=2)</xm:f>
            <x14:dxf>
              <font>
                <color theme="1"/>
              </font>
            </x14:dxf>
          </x14:cfRule>
          <xm:sqref>AU27</xm:sqref>
        </x14:conditionalFormatting>
        <x14:conditionalFormatting xmlns:xm="http://schemas.microsoft.com/office/excel/2006/main">
          <x14:cfRule type="expression" priority="7" id="{A3AF3079-826A-4E44-91A9-D2CB658DC8FD}">
            <xm:f>Kalk2!$H$35=1</xm:f>
            <x14:dxf>
              <font>
                <color theme="0"/>
              </font>
            </x14:dxf>
          </x14:cfRule>
          <xm:sqref>BL34:BL35</xm:sqref>
        </x14:conditionalFormatting>
        <x14:conditionalFormatting xmlns:xm="http://schemas.microsoft.com/office/excel/2006/main">
          <x14:cfRule type="expression" priority="1" id="{1A1FDFB8-09F0-4B97-BC85-F11585339347}">
            <xm:f>Kalk2!$H$35=1</xm:f>
            <x14:dxf>
              <font>
                <color theme="0"/>
              </font>
            </x14:dxf>
          </x14:cfRule>
          <x14:cfRule type="expression" priority="2" id="{9068340E-4944-44C7-9A40-86831DCCE090}">
            <xm:f>Kalk2!$H$35=2</xm:f>
            <x14:dxf>
              <font>
                <color theme="0"/>
              </font>
            </x14:dxf>
          </x14:cfRule>
          <xm:sqref>BL37</xm:sqref>
        </x14:conditionalFormatting>
        <x14:conditionalFormatting xmlns:xm="http://schemas.microsoft.com/office/excel/2006/main">
          <x14:cfRule type="expression" priority="8" id="{3A204199-C01B-436D-8305-A5ECE9B2E09E}">
            <xm:f>Kalk2!$H$35=2</xm:f>
            <x14:dxf>
              <font>
                <color theme="0"/>
              </font>
            </x14:dxf>
          </x14:cfRule>
          <xm:sqref>BQ26:BS28 BN29:BS29 BL34:BL35</xm:sqref>
        </x14:conditionalFormatting>
        <x14:conditionalFormatting xmlns:xm="http://schemas.microsoft.com/office/excel/2006/main">
          <x14:cfRule type="expression" priority="14" id="{810E1D99-B40F-4AF5-9C22-62B9112E8544}">
            <xm:f>AND(Kalk2!$H$35&gt;2,Kalk2!$AA$9=1)</xm:f>
            <x14:dxf>
              <font>
                <color theme="1"/>
              </font>
            </x14:dxf>
          </x14:cfRule>
          <xm:sqref>BR27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23BA4-A1F0-4BA9-BC2E-4C8C2F1D512E}">
  <sheetPr codeName="Tabelle24">
    <pageSetUpPr fitToPage="1"/>
  </sheetPr>
  <dimension ref="A1:DR61"/>
  <sheetViews>
    <sheetView showGridLines="0" workbookViewId="0"/>
  </sheetViews>
  <sheetFormatPr baseColWidth="10" defaultColWidth="0" defaultRowHeight="15" customHeight="1" zeroHeight="1"/>
  <cols>
    <col min="1" max="83" width="1.7109375" customWidth="1"/>
    <col min="84" max="122" width="1.7109375" hidden="1" customWidth="1"/>
    <col min="123" max="16384" width="11.42578125" hidden="1"/>
  </cols>
  <sheetData>
    <row r="1" spans="2:97" ht="8.1" customHeight="1"/>
    <row r="2" spans="2:97" ht="9.9499999999999993" customHeight="1">
      <c r="B2" s="130"/>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8"/>
    </row>
    <row r="3" spans="2:97" ht="9.9499999999999993" customHeight="1">
      <c r="B3" s="131"/>
      <c r="AB3" s="135"/>
      <c r="AP3" s="135"/>
      <c r="AQ3" s="135"/>
      <c r="AR3" s="135"/>
      <c r="AS3" s="135"/>
      <c r="AT3" s="135"/>
      <c r="CD3" s="120"/>
    </row>
    <row r="4" spans="2:97" ht="9.9499999999999993" customHeight="1">
      <c r="B4" s="131"/>
      <c r="P4" s="242"/>
      <c r="V4" s="242"/>
      <c r="X4" s="135"/>
      <c r="Y4" s="135"/>
      <c r="Z4" s="135"/>
      <c r="AA4" s="135"/>
      <c r="AB4" s="135"/>
      <c r="AZ4" s="242"/>
      <c r="CD4" s="120"/>
    </row>
    <row r="5" spans="2:97" ht="9.9499999999999993" customHeight="1">
      <c r="B5" s="131"/>
      <c r="N5" s="242"/>
      <c r="O5" s="242"/>
      <c r="P5" s="242"/>
      <c r="T5" s="242"/>
      <c r="U5" s="242"/>
      <c r="V5" s="242"/>
      <c r="AX5" s="242"/>
      <c r="AY5" s="242"/>
      <c r="AZ5" s="242"/>
      <c r="CD5" s="120"/>
    </row>
    <row r="6" spans="2:97" ht="9.9499999999999993" customHeight="1">
      <c r="B6" s="131"/>
      <c r="CD6" s="120"/>
    </row>
    <row r="7" spans="2:97" ht="9.9499999999999993" customHeight="1">
      <c r="B7" s="131"/>
      <c r="AM7" s="242"/>
      <c r="CD7" s="120"/>
    </row>
    <row r="8" spans="2:97" ht="9.9499999999999993" customHeight="1">
      <c r="B8" s="131"/>
      <c r="AK8" s="242"/>
      <c r="AL8" s="242"/>
      <c r="AM8" s="242"/>
      <c r="CD8" s="120"/>
    </row>
    <row r="9" spans="2:97" ht="9.9499999999999993" customHeight="1">
      <c r="B9" s="131"/>
      <c r="CD9" s="120"/>
    </row>
    <row r="10" spans="2:97" ht="9.9499999999999993" customHeight="1">
      <c r="B10" s="131"/>
      <c r="Q10" s="237"/>
      <c r="R10" s="237"/>
      <c r="S10" s="237"/>
      <c r="AF10" s="237"/>
      <c r="AG10" s="237"/>
      <c r="AH10" s="237"/>
      <c r="AT10" s="237"/>
      <c r="AU10" s="237"/>
      <c r="AV10" s="237"/>
      <c r="AW10" s="237"/>
      <c r="CD10" s="120"/>
    </row>
    <row r="11" spans="2:97" ht="9.9499999999999993" customHeight="1">
      <c r="B11" s="131"/>
      <c r="W11" s="235"/>
      <c r="X11" s="235"/>
      <c r="Y11" s="235"/>
      <c r="Z11" s="235"/>
      <c r="AA11" s="235"/>
      <c r="AB11" s="235"/>
      <c r="AC11" s="235"/>
      <c r="AD11" s="235"/>
      <c r="AE11" s="235"/>
      <c r="AJ11" s="235"/>
      <c r="AK11" s="235"/>
      <c r="AL11" s="235"/>
      <c r="AM11" s="235"/>
      <c r="AN11" s="235"/>
      <c r="AO11" s="235"/>
      <c r="AS11" s="237"/>
      <c r="AX11" s="235"/>
      <c r="AY11" s="235"/>
      <c r="AZ11" s="235"/>
      <c r="CD11" s="120"/>
    </row>
    <row r="12" spans="2:97" ht="9.9499999999999993" customHeight="1">
      <c r="B12" s="131"/>
      <c r="W12" s="235"/>
      <c r="X12" s="235"/>
      <c r="Y12" s="235"/>
      <c r="Z12" s="235"/>
      <c r="AA12" s="235"/>
      <c r="AB12" s="235"/>
      <c r="AC12" s="235"/>
      <c r="AD12" s="235"/>
      <c r="AE12" s="235"/>
      <c r="AJ12" s="235"/>
      <c r="AK12" s="235"/>
      <c r="AL12" s="235"/>
      <c r="AM12" s="235"/>
      <c r="AN12" s="235"/>
      <c r="AO12" s="235"/>
      <c r="AS12" s="237"/>
      <c r="AX12" s="235"/>
      <c r="AY12" s="235"/>
      <c r="AZ12" s="235"/>
      <c r="CD12" s="120"/>
    </row>
    <row r="13" spans="2:97" ht="9.9499999999999993" customHeight="1">
      <c r="B13" s="131"/>
      <c r="W13" s="235"/>
      <c r="X13" s="235"/>
      <c r="Y13" s="235"/>
      <c r="Z13" s="235"/>
      <c r="AA13" s="235"/>
      <c r="AB13" s="235"/>
      <c r="AC13" s="235"/>
      <c r="AD13" s="235"/>
      <c r="AE13" s="235"/>
      <c r="AJ13" s="235"/>
      <c r="AK13" s="235"/>
      <c r="AL13" s="235"/>
      <c r="AM13" s="235"/>
      <c r="AN13" s="235"/>
      <c r="AO13" s="235"/>
      <c r="AS13" s="237"/>
      <c r="AX13" s="235"/>
      <c r="AY13" s="235"/>
      <c r="AZ13" s="235"/>
      <c r="CD13" s="120"/>
    </row>
    <row r="14" spans="2:97" ht="9.9499999999999993" customHeight="1">
      <c r="B14" s="131"/>
      <c r="Q14" s="237"/>
      <c r="R14" s="237"/>
      <c r="S14" s="237"/>
      <c r="W14" s="235"/>
      <c r="X14" s="235"/>
      <c r="Y14" s="235"/>
      <c r="Z14" s="235"/>
      <c r="AA14" s="235"/>
      <c r="AB14" s="235"/>
      <c r="AC14" s="235"/>
      <c r="AD14" s="235"/>
      <c r="AE14" s="235"/>
      <c r="AF14" s="237"/>
      <c r="AG14" s="237"/>
      <c r="AH14" s="237"/>
      <c r="AI14" s="235"/>
      <c r="AJ14" s="235"/>
      <c r="AK14" s="235"/>
      <c r="AL14" s="235"/>
      <c r="AM14" s="235"/>
      <c r="AN14" s="235"/>
      <c r="AO14" s="235"/>
      <c r="AS14" s="237"/>
      <c r="AT14" s="237"/>
      <c r="AU14" s="237"/>
      <c r="AV14" s="237"/>
      <c r="AW14" s="237"/>
      <c r="AX14" s="235"/>
      <c r="AY14" s="235"/>
      <c r="AZ14" s="235"/>
      <c r="CD14" s="120"/>
    </row>
    <row r="15" spans="2:97" ht="9.9499999999999993" customHeight="1">
      <c r="B15" s="131"/>
      <c r="AS15" s="238"/>
      <c r="CD15" s="120"/>
      <c r="CQ15" s="133"/>
      <c r="CR15" s="133"/>
      <c r="CS15" s="133"/>
    </row>
    <row r="16" spans="2:97" ht="9.9499999999999993" customHeight="1">
      <c r="B16" s="131"/>
      <c r="AS16" s="135"/>
      <c r="CD16" s="120"/>
    </row>
    <row r="17" spans="2:103" ht="9.9499999999999993" customHeight="1">
      <c r="B17" s="131"/>
      <c r="AB17" s="135"/>
      <c r="AP17" s="135"/>
      <c r="AQ17" s="135"/>
      <c r="AR17" s="135"/>
      <c r="AS17" s="135"/>
      <c r="AT17" s="135"/>
      <c r="CD17" s="120"/>
    </row>
    <row r="18" spans="2:103" ht="9.9499999999999993" customHeight="1">
      <c r="B18" s="131"/>
      <c r="CD18" s="120"/>
    </row>
    <row r="19" spans="2:103" ht="9.9499999999999993" customHeight="1">
      <c r="B19" s="131"/>
      <c r="CD19" s="120"/>
    </row>
    <row r="20" spans="2:103" ht="9.9499999999999993" customHeight="1">
      <c r="B20" s="131"/>
      <c r="CD20" s="120"/>
      <c r="CW20" s="136"/>
    </row>
    <row r="21" spans="2:103" ht="9.75" customHeight="1">
      <c r="B21" s="131"/>
      <c r="CD21" s="120"/>
      <c r="CW21" s="136"/>
      <c r="CX21" s="136"/>
    </row>
    <row r="22" spans="2:103" ht="9.75" customHeight="1">
      <c r="B22" s="131"/>
      <c r="CD22" s="120"/>
      <c r="CW22" s="136"/>
      <c r="CX22" s="136"/>
      <c r="CY22" s="136"/>
    </row>
    <row r="23" spans="2:103" ht="9.75" customHeight="1">
      <c r="B23" s="131"/>
      <c r="CD23" s="120"/>
    </row>
    <row r="24" spans="2:103" ht="9.75" customHeight="1">
      <c r="B24" s="131"/>
      <c r="CD24" s="120"/>
    </row>
    <row r="25" spans="2:103" ht="9.75" customHeight="1">
      <c r="B25" s="131"/>
      <c r="R25" s="542">
        <f>Kalk3!H28</f>
        <v>0</v>
      </c>
      <c r="S25" s="542"/>
      <c r="T25" s="542"/>
      <c r="U25" s="542"/>
      <c r="AC25" s="542">
        <f>Kalk3!H28</f>
        <v>0</v>
      </c>
      <c r="AD25" s="542"/>
      <c r="AE25" s="542"/>
      <c r="AF25" s="542"/>
      <c r="AG25" s="542"/>
      <c r="AO25" s="542">
        <f>Kalk3!H28</f>
        <v>0</v>
      </c>
      <c r="AP25" s="542"/>
      <c r="AQ25" s="542"/>
      <c r="AR25" s="542"/>
      <c r="CD25" s="120"/>
    </row>
    <row r="26" spans="2:103" ht="12" customHeight="1">
      <c r="B26" s="131"/>
      <c r="BA26" s="235"/>
      <c r="BB26" s="235"/>
      <c r="BC26" s="235"/>
      <c r="BD26" s="235"/>
      <c r="BE26" s="235"/>
      <c r="BF26" s="235"/>
      <c r="BG26" s="235"/>
      <c r="BH26" s="235"/>
      <c r="BI26" s="235"/>
      <c r="BJ26" s="235"/>
      <c r="BK26" s="235"/>
      <c r="BL26" s="235"/>
      <c r="BM26" s="235"/>
      <c r="BQ26" s="237"/>
      <c r="BR26" s="237"/>
      <c r="BS26" s="237"/>
      <c r="CD26" s="120"/>
    </row>
    <row r="27" spans="2:103" ht="9.75" customHeight="1">
      <c r="B27" s="131"/>
      <c r="N27" s="541">
        <v>5</v>
      </c>
      <c r="O27" s="541"/>
      <c r="X27" s="540">
        <v>5</v>
      </c>
      <c r="Y27" s="540"/>
      <c r="AU27" s="540">
        <v>5</v>
      </c>
      <c r="AV27" s="540"/>
      <c r="BA27" s="235"/>
      <c r="BB27" s="235"/>
      <c r="BC27" s="235"/>
      <c r="BD27" s="235"/>
      <c r="BE27" s="235"/>
      <c r="BF27" s="235"/>
      <c r="BG27" s="235"/>
      <c r="BH27" s="235"/>
      <c r="BI27" s="235"/>
      <c r="BJ27" s="235"/>
      <c r="BK27" s="235"/>
      <c r="BL27" s="235"/>
      <c r="BM27" s="235"/>
      <c r="BQ27" s="237"/>
      <c r="BR27" s="540">
        <v>5</v>
      </c>
      <c r="BS27" s="540"/>
      <c r="CD27" s="120"/>
    </row>
    <row r="28" spans="2:103" ht="9.75" customHeight="1">
      <c r="B28" s="131"/>
      <c r="BQ28" s="236"/>
      <c r="BR28" s="236"/>
      <c r="BS28" s="236"/>
      <c r="CD28" s="120"/>
    </row>
    <row r="29" spans="2:103" ht="9.75" customHeight="1">
      <c r="B29" s="131"/>
      <c r="Q29" s="237"/>
      <c r="AP29" s="238"/>
      <c r="AQ29" s="238"/>
      <c r="AR29" s="238"/>
      <c r="AS29" s="238"/>
      <c r="AT29" s="238"/>
      <c r="BN29" s="236"/>
      <c r="BO29" s="236"/>
      <c r="BP29" s="236"/>
      <c r="BQ29" s="236"/>
      <c r="BR29" s="236"/>
      <c r="BS29" s="236"/>
      <c r="CD29" s="120"/>
    </row>
    <row r="30" spans="2:103" ht="9.75" customHeight="1">
      <c r="B30" s="131"/>
      <c r="Q30" s="237"/>
      <c r="CD30" s="120"/>
    </row>
    <row r="31" spans="2:103" ht="9.75" customHeight="1">
      <c r="B31" s="131"/>
      <c r="CD31" s="120"/>
    </row>
    <row r="32" spans="2:103" ht="9" customHeight="1">
      <c r="B32" s="131"/>
      <c r="U32" s="236"/>
      <c r="CD32" s="120"/>
    </row>
    <row r="33" spans="2:93" ht="9.75" customHeight="1">
      <c r="B33" s="131"/>
      <c r="R33" s="236"/>
      <c r="S33" s="236"/>
      <c r="T33" s="236"/>
      <c r="U33" s="236"/>
      <c r="CD33" s="120"/>
    </row>
    <row r="34" spans="2:93" ht="9.75" customHeight="1">
      <c r="B34" s="131"/>
      <c r="R34" s="543">
        <f>Kalk3!AH38</f>
        <v>0</v>
      </c>
      <c r="S34" s="543"/>
      <c r="T34" s="543"/>
      <c r="U34" s="543"/>
      <c r="AO34" s="543">
        <f>Kalk3!AH38</f>
        <v>0</v>
      </c>
      <c r="AP34" s="543"/>
      <c r="AQ34" s="543"/>
      <c r="AR34" s="543"/>
      <c r="BA34" s="135"/>
      <c r="BB34" s="135"/>
      <c r="BC34" s="135"/>
      <c r="BD34" s="135"/>
      <c r="BE34" s="135"/>
      <c r="BF34" s="135"/>
      <c r="BG34" s="135"/>
      <c r="BH34" s="135"/>
      <c r="BI34" s="135"/>
      <c r="BJ34" s="135"/>
      <c r="BK34" s="135"/>
      <c r="BL34" s="543">
        <f>Kalk3!AH38</f>
        <v>0</v>
      </c>
      <c r="BM34" s="543"/>
      <c r="BN34" s="543"/>
      <c r="BO34" s="543"/>
      <c r="BP34" s="135"/>
      <c r="BQ34" s="135"/>
      <c r="BR34" s="135"/>
      <c r="BS34" s="135"/>
      <c r="BT34" s="135"/>
      <c r="BU34" s="135"/>
      <c r="BV34" s="135"/>
      <c r="BW34" s="135"/>
      <c r="BX34" s="135"/>
      <c r="BY34" s="135"/>
      <c r="BZ34" s="135"/>
      <c r="CA34" s="135"/>
      <c r="CD34" s="120"/>
      <c r="CO34" s="137"/>
    </row>
    <row r="35" spans="2:93" ht="10.5" customHeight="1">
      <c r="B35" s="131"/>
      <c r="R35" s="543" t="s">
        <v>22580</v>
      </c>
      <c r="S35" s="543"/>
      <c r="T35" s="543"/>
      <c r="U35" s="543"/>
      <c r="AO35" s="542" t="str">
        <f>IF(Kalk3!H35=2,"(1x)","("&amp; Kalk3!H35-2 &amp; "x)")</f>
        <v>(-1x)</v>
      </c>
      <c r="AP35" s="542"/>
      <c r="AQ35" s="542"/>
      <c r="AR35" s="542"/>
      <c r="BA35" s="135"/>
      <c r="BB35" s="135"/>
      <c r="BC35" s="135"/>
      <c r="BD35" s="135"/>
      <c r="BE35" s="135"/>
      <c r="BF35" s="135"/>
      <c r="BG35" s="135"/>
      <c r="BH35" s="135"/>
      <c r="BI35" s="135"/>
      <c r="BJ35" s="135"/>
      <c r="BK35" s="135"/>
      <c r="BL35" s="543" t="s">
        <v>22580</v>
      </c>
      <c r="BM35" s="543"/>
      <c r="BN35" s="543"/>
      <c r="BO35" s="543"/>
      <c r="BP35" s="135"/>
      <c r="BQ35" s="135"/>
      <c r="BR35" s="135"/>
      <c r="BS35" s="135"/>
      <c r="BT35" s="135"/>
      <c r="BU35" s="135"/>
      <c r="BV35" s="135"/>
      <c r="BW35" s="135"/>
      <c r="BX35" s="135"/>
      <c r="BY35" s="135"/>
      <c r="BZ35" s="135"/>
      <c r="CA35" s="135"/>
      <c r="CD35" s="120"/>
      <c r="CO35" s="137"/>
    </row>
    <row r="36" spans="2:93" ht="9.75" customHeight="1">
      <c r="B36" s="131"/>
      <c r="R36" s="543"/>
      <c r="S36" s="543"/>
      <c r="T36" s="543"/>
      <c r="U36" s="543"/>
      <c r="AO36" s="542"/>
      <c r="AP36" s="542"/>
      <c r="AQ36" s="542"/>
      <c r="AR36" s="542"/>
      <c r="AY36" s="135"/>
      <c r="AZ36" s="135"/>
      <c r="BA36" s="135"/>
      <c r="BB36" s="135"/>
      <c r="BC36" s="135"/>
      <c r="BD36" s="135"/>
      <c r="BE36" s="135"/>
      <c r="BF36" s="135"/>
      <c r="BG36" s="135"/>
      <c r="BH36" s="135"/>
      <c r="BI36" s="135"/>
      <c r="BJ36" s="135"/>
      <c r="BK36" s="135"/>
      <c r="BL36" s="543"/>
      <c r="BM36" s="543"/>
      <c r="BN36" s="543"/>
      <c r="BO36" s="543"/>
      <c r="BP36" s="135"/>
      <c r="BQ36" s="135"/>
      <c r="BR36" s="135"/>
      <c r="BS36" s="135"/>
      <c r="BT36" s="135"/>
      <c r="BU36" s="135"/>
      <c r="BV36" s="135"/>
      <c r="BW36" s="135"/>
      <c r="BX36" s="135"/>
      <c r="BY36" s="135"/>
      <c r="BZ36" s="135"/>
      <c r="CA36" s="135"/>
      <c r="CD36" s="120"/>
      <c r="CO36" s="137"/>
    </row>
    <row r="37" spans="2:93" ht="9.75" customHeight="1">
      <c r="B37" s="131"/>
      <c r="R37" s="543">
        <f>IF(M51=1,R25,IF(M51&gt;1,R34+I46,""))</f>
        <v>0</v>
      </c>
      <c r="S37" s="543"/>
      <c r="T37" s="543"/>
      <c r="U37" s="543"/>
      <c r="AO37" s="543" t="str">
        <f>IF(M51=2,AO34+M46,IF(M51&gt;2,AO34+K46,""))</f>
        <v/>
      </c>
      <c r="AP37" s="543"/>
      <c r="AQ37" s="543"/>
      <c r="AR37" s="543"/>
      <c r="AY37" s="135"/>
      <c r="AZ37" s="135"/>
      <c r="BA37" s="135"/>
      <c r="BB37" s="135"/>
      <c r="BC37" s="135"/>
      <c r="BD37" s="135"/>
      <c r="BE37" s="135"/>
      <c r="BF37" s="135"/>
      <c r="BG37" s="135"/>
      <c r="BH37" s="135"/>
      <c r="BI37" s="135"/>
      <c r="BJ37" s="135"/>
      <c r="BK37" s="135"/>
      <c r="BL37" s="543" t="str">
        <f>IF(M51&gt;2,BL34+M46,"")</f>
        <v/>
      </c>
      <c r="BM37" s="543"/>
      <c r="BN37" s="543"/>
      <c r="BO37" s="543"/>
      <c r="BP37" s="135"/>
      <c r="BQ37" s="135"/>
      <c r="BR37" s="135"/>
      <c r="BS37" s="135"/>
      <c r="BT37" s="135"/>
      <c r="BU37" s="135"/>
      <c r="BV37" s="135"/>
      <c r="BW37" s="135"/>
      <c r="BX37" s="135"/>
      <c r="BY37" s="135"/>
      <c r="BZ37" s="135"/>
      <c r="CA37" s="135"/>
      <c r="CD37" s="120"/>
    </row>
    <row r="38" spans="2:93" ht="9.75" customHeight="1">
      <c r="B38" s="131"/>
      <c r="BK38" s="135"/>
      <c r="BL38" s="135"/>
      <c r="BM38" s="135"/>
      <c r="BN38" s="135"/>
      <c r="BO38" s="135"/>
      <c r="BP38" s="135"/>
      <c r="BQ38" s="135"/>
      <c r="BR38" s="135"/>
      <c r="BS38" s="135"/>
      <c r="BT38" s="135"/>
      <c r="BU38" s="135"/>
      <c r="BV38" s="135"/>
      <c r="BW38" s="135"/>
      <c r="BX38" s="135"/>
      <c r="BY38" s="135"/>
      <c r="BZ38" s="135"/>
      <c r="CA38" s="135"/>
      <c r="CD38" s="120"/>
    </row>
    <row r="39" spans="2:93" ht="9.9499999999999993" customHeight="1">
      <c r="B39" s="131"/>
      <c r="BK39" s="135"/>
      <c r="BL39" s="135"/>
      <c r="BM39" s="135"/>
      <c r="BN39" s="135"/>
      <c r="BO39" s="135"/>
      <c r="BP39" s="135"/>
      <c r="BQ39" s="135"/>
      <c r="BR39" s="135"/>
      <c r="BS39" s="135"/>
      <c r="BT39" s="135"/>
      <c r="BU39" s="135"/>
      <c r="BV39" s="135"/>
      <c r="BW39" s="135"/>
      <c r="BX39" s="135"/>
      <c r="BY39" s="135"/>
      <c r="BZ39" s="135"/>
      <c r="CA39" s="135"/>
      <c r="CD39" s="120"/>
    </row>
    <row r="40" spans="2:93" ht="9.9499999999999993" customHeight="1">
      <c r="B40" s="131"/>
      <c r="BK40" s="135"/>
      <c r="BL40" s="135"/>
      <c r="BM40" s="135"/>
      <c r="BN40" s="135"/>
      <c r="BO40" s="135"/>
      <c r="BP40" s="135"/>
      <c r="BQ40" s="135"/>
      <c r="BR40" s="135"/>
      <c r="BS40" s="135"/>
      <c r="BT40" s="135"/>
      <c r="BU40" s="135"/>
      <c r="BV40" s="135"/>
      <c r="BW40" s="135"/>
      <c r="BX40" s="135"/>
      <c r="BY40" s="135"/>
      <c r="BZ40" s="135"/>
      <c r="CA40" s="135"/>
      <c r="CD40" s="120"/>
    </row>
    <row r="41" spans="2:93" ht="9.9499999999999993" customHeight="1">
      <c r="B41" s="131"/>
      <c r="CD41" s="120"/>
    </row>
    <row r="42" spans="2:93" ht="9.9499999999999993" customHeight="1">
      <c r="B42" s="131"/>
      <c r="CD42" s="120"/>
    </row>
    <row r="43" spans="2:93" ht="9.75" customHeight="1">
      <c r="B43" s="131"/>
      <c r="CD43" s="120"/>
    </row>
    <row r="44" spans="2:93" ht="9.9499999999999993" customHeight="1">
      <c r="B44" s="131"/>
      <c r="F44" s="321"/>
      <c r="G44" s="321"/>
      <c r="H44" s="321"/>
      <c r="I44" s="321" t="s">
        <v>19882</v>
      </c>
      <c r="J44" s="321"/>
      <c r="K44" s="321" t="s">
        <v>22634</v>
      </c>
      <c r="L44" s="321"/>
      <c r="M44" s="321" t="s">
        <v>20310</v>
      </c>
      <c r="N44" s="321"/>
      <c r="O44" s="320"/>
      <c r="CD44" s="120"/>
      <c r="CE44" s="135"/>
      <c r="CF44" s="135"/>
      <c r="CG44" s="135"/>
    </row>
    <row r="45" spans="2:93" ht="9.9499999999999993" customHeight="1">
      <c r="B45" s="131"/>
      <c r="F45" s="321"/>
      <c r="G45" s="321"/>
      <c r="H45" s="321"/>
      <c r="I45" s="544">
        <f>Kalk3!AA7</f>
        <v>1</v>
      </c>
      <c r="J45" s="544"/>
      <c r="K45" s="544"/>
      <c r="L45" s="544"/>
      <c r="M45" s="544">
        <f>Kalk3!AA9</f>
        <v>1</v>
      </c>
      <c r="N45" s="544"/>
      <c r="O45" s="320"/>
      <c r="CD45" s="120"/>
      <c r="CE45" s="135"/>
      <c r="CF45" s="135"/>
      <c r="CG45" s="135"/>
    </row>
    <row r="46" spans="2:93" ht="9.9499999999999993" customHeight="1">
      <c r="B46" s="131"/>
      <c r="F46" s="321"/>
      <c r="G46" s="321"/>
      <c r="H46" s="321"/>
      <c r="I46" s="544">
        <f>IF(I45=1,I47,IF(I45=2,I48,IF(I45=3,I49,0)))</f>
        <v>-18</v>
      </c>
      <c r="J46" s="544"/>
      <c r="K46" s="544">
        <v>50</v>
      </c>
      <c r="L46" s="544"/>
      <c r="M46" s="544">
        <f>IF(M45=1,M47,IF(M45=2,M48,IF(M45=3,M49,0)))</f>
        <v>-18</v>
      </c>
      <c r="N46" s="544"/>
      <c r="O46" s="320"/>
      <c r="CD46" s="120"/>
    </row>
    <row r="47" spans="2:93" ht="9.9499999999999993" customHeight="1">
      <c r="B47" s="131"/>
      <c r="F47" s="321" t="s">
        <v>22635</v>
      </c>
      <c r="G47" s="321"/>
      <c r="H47" s="321"/>
      <c r="I47" s="544">
        <v>-18</v>
      </c>
      <c r="J47" s="544"/>
      <c r="K47" s="544">
        <v>50</v>
      </c>
      <c r="L47" s="544"/>
      <c r="M47" s="544">
        <v>-18</v>
      </c>
      <c r="N47" s="544"/>
      <c r="O47" s="320"/>
      <c r="CD47" s="120"/>
    </row>
    <row r="48" spans="2:93" ht="9.9499999999999993" customHeight="1">
      <c r="B48" s="131"/>
      <c r="F48" s="321" t="s">
        <v>22636</v>
      </c>
      <c r="G48" s="321"/>
      <c r="H48" s="321"/>
      <c r="I48" s="544">
        <v>55</v>
      </c>
      <c r="J48" s="544"/>
      <c r="K48" s="544">
        <v>50</v>
      </c>
      <c r="L48" s="544"/>
      <c r="M48" s="544">
        <v>55</v>
      </c>
      <c r="N48" s="544"/>
      <c r="O48" s="320"/>
      <c r="CD48" s="120"/>
    </row>
    <row r="49" spans="2:82" ht="9.9499999999999993" customHeight="1">
      <c r="B49" s="131"/>
      <c r="F49" s="321" t="s">
        <v>22637</v>
      </c>
      <c r="G49" s="321"/>
      <c r="H49" s="321"/>
      <c r="I49" s="544">
        <v>-13</v>
      </c>
      <c r="J49" s="544"/>
      <c r="K49" s="544">
        <v>50</v>
      </c>
      <c r="L49" s="544"/>
      <c r="M49" s="544">
        <v>-13</v>
      </c>
      <c r="N49" s="544"/>
      <c r="O49" s="320"/>
      <c r="CD49" s="120"/>
    </row>
    <row r="50" spans="2:82" ht="9.9499999999999993" customHeight="1">
      <c r="B50" s="131"/>
      <c r="F50" s="320"/>
      <c r="G50" s="320"/>
      <c r="H50" s="320"/>
      <c r="I50" s="320"/>
      <c r="J50" s="320"/>
      <c r="K50" s="320"/>
      <c r="L50" s="320"/>
      <c r="M50" s="320"/>
      <c r="N50" s="320"/>
      <c r="O50" s="320"/>
      <c r="CD50" s="120"/>
    </row>
    <row r="51" spans="2:82" ht="9.75" customHeight="1">
      <c r="B51" s="131"/>
      <c r="F51" s="321" t="s">
        <v>22638</v>
      </c>
      <c r="G51" s="320"/>
      <c r="H51" s="320"/>
      <c r="I51" s="320"/>
      <c r="J51" s="320"/>
      <c r="K51" s="320"/>
      <c r="L51" s="320"/>
      <c r="M51" s="321">
        <f>Kalk1!H33</f>
        <v>1</v>
      </c>
      <c r="N51" s="320"/>
      <c r="O51" s="320"/>
      <c r="CD51" s="120"/>
    </row>
    <row r="52" spans="2:82" ht="9.75" customHeight="1">
      <c r="B52" s="131"/>
      <c r="AX52" s="528"/>
      <c r="AY52" s="528"/>
      <c r="AZ52" s="528"/>
      <c r="BA52" s="528"/>
      <c r="BB52" s="528" t="s">
        <v>22287</v>
      </c>
      <c r="BC52" s="528"/>
      <c r="BD52" s="528"/>
      <c r="BE52" s="528"/>
      <c r="BF52" s="528"/>
      <c r="BG52" s="528"/>
      <c r="BH52" s="528"/>
      <c r="BI52" s="528" t="s">
        <v>2545</v>
      </c>
      <c r="BJ52" s="528"/>
      <c r="BK52" s="528"/>
      <c r="BL52" s="528"/>
      <c r="BM52" s="528"/>
      <c r="BN52" s="528"/>
      <c r="BO52" s="528"/>
      <c r="BP52" s="114"/>
      <c r="BQ52" s="115"/>
      <c r="BR52" s="115"/>
      <c r="BS52" s="115"/>
      <c r="BT52" s="116" t="s">
        <v>22289</v>
      </c>
      <c r="BU52" s="115"/>
      <c r="BV52" s="115"/>
      <c r="BW52" s="115"/>
      <c r="BX52" s="115"/>
      <c r="BY52" s="117"/>
      <c r="BZ52" s="117"/>
      <c r="CA52" s="117"/>
      <c r="CB52" s="117"/>
      <c r="CC52" s="117"/>
      <c r="CD52" s="118"/>
    </row>
    <row r="53" spans="2:82" ht="9.75" customHeight="1">
      <c r="B53" s="131"/>
      <c r="AX53" s="528" t="s">
        <v>22288</v>
      </c>
      <c r="AY53" s="528"/>
      <c r="AZ53" s="528"/>
      <c r="BA53" s="528"/>
      <c r="BB53" s="529">
        <f ca="1">TODAY()</f>
        <v>45408</v>
      </c>
      <c r="BC53" s="529"/>
      <c r="BD53" s="529"/>
      <c r="BE53" s="529"/>
      <c r="BF53" s="529"/>
      <c r="BG53" s="529"/>
      <c r="BH53" s="529"/>
      <c r="BI53" s="530"/>
      <c r="BJ53" s="530"/>
      <c r="BK53" s="530"/>
      <c r="BL53" s="530"/>
      <c r="BM53" s="530"/>
      <c r="BN53" s="530"/>
      <c r="BO53" s="530"/>
      <c r="BP53" s="119"/>
      <c r="BQ53" s="135"/>
      <c r="BR53" s="135"/>
      <c r="BS53" s="135"/>
      <c r="BT53" s="239" t="s">
        <v>22290</v>
      </c>
      <c r="BU53" s="135"/>
      <c r="BV53" s="135"/>
      <c r="BW53" s="135"/>
      <c r="BX53" s="135"/>
      <c r="CD53" s="120"/>
    </row>
    <row r="54" spans="2:82" ht="9.75" customHeight="1">
      <c r="B54" s="131"/>
      <c r="AX54" s="528"/>
      <c r="AY54" s="528"/>
      <c r="AZ54" s="528"/>
      <c r="BA54" s="528"/>
      <c r="BB54" s="529"/>
      <c r="BC54" s="529"/>
      <c r="BD54" s="529"/>
      <c r="BE54" s="529"/>
      <c r="BF54" s="529"/>
      <c r="BG54" s="529"/>
      <c r="BH54" s="529"/>
      <c r="BI54" s="530"/>
      <c r="BJ54" s="530"/>
      <c r="BK54" s="530"/>
      <c r="BL54" s="530"/>
      <c r="BM54" s="530"/>
      <c r="BN54" s="530"/>
      <c r="BO54" s="530"/>
      <c r="BP54" s="121"/>
      <c r="BQ54" s="122"/>
      <c r="BR54" s="122"/>
      <c r="BS54" s="122"/>
      <c r="BT54" s="123" t="s">
        <v>22291</v>
      </c>
      <c r="BU54" s="122"/>
      <c r="BV54" s="122"/>
      <c r="BW54" s="122"/>
      <c r="BX54" s="122"/>
      <c r="BY54" s="124"/>
      <c r="BZ54" s="124"/>
      <c r="CA54" s="124"/>
      <c r="CB54" s="124"/>
      <c r="CC54" s="124"/>
      <c r="CD54" s="125"/>
    </row>
    <row r="55" spans="2:82" ht="9.75" customHeight="1">
      <c r="B55" s="131"/>
      <c r="AX55" s="531" t="str">
        <f>Kalk3!D5&amp; "                                                                                                               " &amp;
Kalk3!D15 &amp; " | " &amp; Kalk3!D16</f>
        <v xml:space="preserve">0                                                                                                               0 | </v>
      </c>
      <c r="AY55" s="532"/>
      <c r="AZ55" s="532"/>
      <c r="BA55" s="532"/>
      <c r="BB55" s="532"/>
      <c r="BC55" s="532"/>
      <c r="BD55" s="532"/>
      <c r="BE55" s="532"/>
      <c r="BF55" s="532"/>
      <c r="BG55" s="532"/>
      <c r="BH55" s="532"/>
      <c r="BI55" s="532"/>
      <c r="BJ55" s="532"/>
      <c r="BK55" s="532"/>
      <c r="BL55" s="532"/>
      <c r="BM55" s="532"/>
      <c r="BN55" s="532"/>
      <c r="BO55" s="532"/>
      <c r="BP55" s="532"/>
      <c r="BQ55" s="532"/>
      <c r="BR55" s="532"/>
      <c r="BS55" s="532"/>
      <c r="BT55" s="532"/>
      <c r="BU55" s="532"/>
      <c r="BV55" s="532"/>
      <c r="BW55" s="532"/>
      <c r="BX55" s="532"/>
      <c r="BY55" s="532"/>
      <c r="BZ55" s="533"/>
      <c r="CA55" s="527" t="s">
        <v>22613</v>
      </c>
      <c r="CB55" s="527"/>
      <c r="CC55" s="527"/>
      <c r="CD55" s="527"/>
    </row>
    <row r="56" spans="2:82" ht="9.75" customHeight="1">
      <c r="B56" s="131"/>
      <c r="AX56" s="534"/>
      <c r="AY56" s="535"/>
      <c r="AZ56" s="535"/>
      <c r="BA56" s="535"/>
      <c r="BB56" s="535"/>
      <c r="BC56" s="535"/>
      <c r="BD56" s="535"/>
      <c r="BE56" s="535"/>
      <c r="BF56" s="535"/>
      <c r="BG56" s="535"/>
      <c r="BH56" s="535"/>
      <c r="BI56" s="535"/>
      <c r="BJ56" s="535"/>
      <c r="BK56" s="535"/>
      <c r="BL56" s="535"/>
      <c r="BM56" s="535"/>
      <c r="BN56" s="535"/>
      <c r="BO56" s="535"/>
      <c r="BP56" s="535"/>
      <c r="BQ56" s="535"/>
      <c r="BR56" s="535"/>
      <c r="BS56" s="535"/>
      <c r="BT56" s="535"/>
      <c r="BU56" s="535"/>
      <c r="BV56" s="535"/>
      <c r="BW56" s="535"/>
      <c r="BX56" s="535"/>
      <c r="BY56" s="535"/>
      <c r="BZ56" s="536"/>
      <c r="CA56" s="526" t="s">
        <v>22292</v>
      </c>
      <c r="CB56" s="526"/>
      <c r="CC56" s="526"/>
      <c r="CD56" s="526"/>
    </row>
    <row r="57" spans="2:82" ht="9.75" customHeight="1">
      <c r="B57" s="131"/>
      <c r="AX57" s="537"/>
      <c r="AY57" s="538"/>
      <c r="AZ57" s="538"/>
      <c r="BA57" s="538"/>
      <c r="BB57" s="538"/>
      <c r="BC57" s="538"/>
      <c r="BD57" s="538"/>
      <c r="BE57" s="538"/>
      <c r="BF57" s="538"/>
      <c r="BG57" s="538"/>
      <c r="BH57" s="538"/>
      <c r="BI57" s="538"/>
      <c r="BJ57" s="538"/>
      <c r="BK57" s="538"/>
      <c r="BL57" s="538"/>
      <c r="BM57" s="538"/>
      <c r="BN57" s="538"/>
      <c r="BO57" s="538"/>
      <c r="BP57" s="538"/>
      <c r="BQ57" s="538"/>
      <c r="BR57" s="538"/>
      <c r="BS57" s="538"/>
      <c r="BT57" s="538"/>
      <c r="BU57" s="538"/>
      <c r="BV57" s="538"/>
      <c r="BW57" s="538"/>
      <c r="BX57" s="538"/>
      <c r="BY57" s="538"/>
      <c r="BZ57" s="539"/>
      <c r="CA57" s="524" t="s">
        <v>12772</v>
      </c>
      <c r="CB57" s="525"/>
      <c r="CC57" s="525"/>
      <c r="CD57" s="525"/>
    </row>
    <row r="58" spans="2:82" ht="9.75" customHeight="1">
      <c r="B58" s="132"/>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6" t="s">
        <v>22286</v>
      </c>
      <c r="AY58" s="127"/>
      <c r="AZ58" s="127"/>
      <c r="BA58" s="127"/>
      <c r="BB58" s="128"/>
      <c r="BC58" s="128"/>
      <c r="BD58" s="128"/>
      <c r="BE58" s="145" t="str" cm="1">
        <f t="array" aca="1" ref="BE58" ca="1">MID(CELL("Dateiname"),FIND("[",CELL("Dateiname"))+1,FIND("]",CELL("Dateiname"))-FIND("[",CELL("Dateiname"))-1)</f>
        <v>02110307_CH-de_Vorlage_Erhebungsbogen Hochwasserschutz_PREFA_2024-4.xlsx</v>
      </c>
      <c r="BF58" s="128"/>
      <c r="BG58" s="128"/>
      <c r="BH58" s="128"/>
      <c r="BI58" s="128"/>
      <c r="BJ58" s="127"/>
      <c r="BK58" s="128"/>
      <c r="BL58" s="128"/>
      <c r="BM58" s="128"/>
      <c r="BN58" s="128"/>
      <c r="BO58" s="128"/>
      <c r="BP58" s="128"/>
      <c r="BQ58" s="128"/>
      <c r="BR58" s="128"/>
      <c r="BS58" s="128"/>
      <c r="BT58" s="128"/>
      <c r="BU58" s="128"/>
      <c r="BV58" s="128"/>
      <c r="BW58" s="128"/>
      <c r="BX58" s="128"/>
      <c r="BY58" s="128"/>
      <c r="BZ58" s="128"/>
      <c r="CA58" s="128"/>
      <c r="CB58" s="128"/>
      <c r="CC58" s="128"/>
      <c r="CD58" s="129"/>
    </row>
    <row r="59" spans="2:82" ht="9.75" customHeight="1"/>
    <row r="60" spans="2:82" ht="9.75" hidden="1" customHeight="1"/>
    <row r="61" spans="2:82" ht="9.75" hidden="1" customHeight="1"/>
  </sheetData>
  <sheetProtection sheet="1" objects="1" scenarios="1" selectLockedCells="1"/>
  <mergeCells count="41">
    <mergeCell ref="AX53:BA54"/>
    <mergeCell ref="BB53:BH54"/>
    <mergeCell ref="BI53:BO54"/>
    <mergeCell ref="AX55:BZ57"/>
    <mergeCell ref="CA55:CD55"/>
    <mergeCell ref="CA56:CD56"/>
    <mergeCell ref="CA57:CD57"/>
    <mergeCell ref="R37:U37"/>
    <mergeCell ref="AO37:AR37"/>
    <mergeCell ref="BL37:BO37"/>
    <mergeCell ref="AX52:BA52"/>
    <mergeCell ref="BB52:BH52"/>
    <mergeCell ref="BI52:BO52"/>
    <mergeCell ref="BR27:BS27"/>
    <mergeCell ref="R34:U34"/>
    <mergeCell ref="AO34:AR34"/>
    <mergeCell ref="BL34:BO34"/>
    <mergeCell ref="R35:U36"/>
    <mergeCell ref="AO35:AR36"/>
    <mergeCell ref="BL35:BO36"/>
    <mergeCell ref="AU27:AV27"/>
    <mergeCell ref="R25:U25"/>
    <mergeCell ref="AC25:AG25"/>
    <mergeCell ref="AO25:AR25"/>
    <mergeCell ref="N27:O27"/>
    <mergeCell ref="X27:Y27"/>
    <mergeCell ref="I45:J45"/>
    <mergeCell ref="K45:L45"/>
    <mergeCell ref="M45:N45"/>
    <mergeCell ref="I46:J46"/>
    <mergeCell ref="K46:L46"/>
    <mergeCell ref="M46:N46"/>
    <mergeCell ref="I49:J49"/>
    <mergeCell ref="K49:L49"/>
    <mergeCell ref="M49:N49"/>
    <mergeCell ref="I47:J47"/>
    <mergeCell ref="K47:L47"/>
    <mergeCell ref="M47:N47"/>
    <mergeCell ref="I48:J48"/>
    <mergeCell ref="K48:L48"/>
    <mergeCell ref="M48:N48"/>
  </mergeCells>
  <pageMargins left="0.19685039370078741" right="0.19685039370078741" top="0.19685039370078741" bottom="0.19685039370078741" header="0.19685039370078741" footer="0.11811023622047245"/>
  <pageSetup paperSize="9" scale="98"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25D2BE9D-70AF-4807-A43C-5954CFA2AD38}">
            <xm:f>Kalk3!$AA$7=1</xm:f>
            <x14:dxf>
              <font>
                <color theme="1"/>
              </font>
            </x14:dxf>
          </x14:cfRule>
          <xm:sqref>N27</xm:sqref>
        </x14:conditionalFormatting>
        <x14:conditionalFormatting xmlns:xm="http://schemas.microsoft.com/office/excel/2006/main">
          <x14:cfRule type="expression" priority="11" id="{9361C039-7F3B-4B0D-BF35-5AC5F757ACAB}">
            <xm:f>AND(Kalk3!$AA$9=1,Kalk3!$H$35=1)</xm:f>
            <x14:dxf>
              <font>
                <color theme="1"/>
              </font>
            </x14:dxf>
          </x14:cfRule>
          <xm:sqref>X27</xm:sqref>
        </x14:conditionalFormatting>
        <x14:conditionalFormatting xmlns:xm="http://schemas.microsoft.com/office/excel/2006/main">
          <x14:cfRule type="expression" priority="15" id="{09931B79-286E-40CA-A86D-278D00576858}">
            <xm:f>Kalk3!$H$35&gt;2</xm:f>
            <x14:dxf>
              <font>
                <color theme="0"/>
              </font>
            </x14:dxf>
          </x14:cfRule>
          <xm:sqref>AB3 X4:AB4 AB17 R25 AC25</xm:sqref>
        </x14:conditionalFormatting>
        <x14:conditionalFormatting xmlns:xm="http://schemas.microsoft.com/office/excel/2006/main">
          <x14:cfRule type="expression" priority="10" id="{8EDB5C3D-08A0-4AE1-9D39-BC003E882BB0}">
            <xm:f>Kalk3!$H$35=1</xm:f>
            <x14:dxf>
              <font>
                <color theme="0"/>
              </font>
            </x14:dxf>
          </x14:cfRule>
          <xm:sqref>AC25 AO25 AU27 BR27 AO34:AO35</xm:sqref>
        </x14:conditionalFormatting>
        <x14:conditionalFormatting xmlns:xm="http://schemas.microsoft.com/office/excel/2006/main">
          <x14:cfRule type="expression" priority="3" id="{BAA3FDEB-599F-4DB4-8322-624CA45AB6A3}">
            <xm:f>Kalk3!$H$35=1</xm:f>
            <x14:dxf>
              <font>
                <color theme="0"/>
              </font>
            </x14:dxf>
          </x14:cfRule>
          <xm:sqref>AO37</xm:sqref>
        </x14:conditionalFormatting>
        <x14:conditionalFormatting xmlns:xm="http://schemas.microsoft.com/office/excel/2006/main">
          <x14:cfRule type="expression" priority="13" id="{530F2B10-F39A-43E9-B481-59E3F3E916F7}">
            <xm:f>Kalk3!$H$35=2</xm:f>
            <x14:dxf>
              <font>
                <color theme="0"/>
              </font>
            </x14:dxf>
          </x14:cfRule>
          <xm:sqref>AP3:AT3 AS16 AS17:AT17 R25 AO25</xm:sqref>
        </x14:conditionalFormatting>
        <x14:conditionalFormatting xmlns:xm="http://schemas.microsoft.com/office/excel/2006/main">
          <x14:cfRule type="expression" priority="12" id="{037C209A-0D20-4703-87D4-661EE8DB8B91}">
            <xm:f>AND(Kalk3!$AA$9=1,Kalk3!$H$35=2)</xm:f>
            <x14:dxf>
              <font>
                <color theme="1"/>
              </font>
            </x14:dxf>
          </x14:cfRule>
          <xm:sqref>AU27</xm:sqref>
        </x14:conditionalFormatting>
        <x14:conditionalFormatting xmlns:xm="http://schemas.microsoft.com/office/excel/2006/main">
          <x14:cfRule type="expression" priority="7" id="{E9FC632F-6CC9-44FA-9065-65EEA950856F}">
            <xm:f>Kalk3!$H$35=1</xm:f>
            <x14:dxf>
              <font>
                <color theme="0"/>
              </font>
            </x14:dxf>
          </x14:cfRule>
          <xm:sqref>BL34:BL35</xm:sqref>
        </x14:conditionalFormatting>
        <x14:conditionalFormatting xmlns:xm="http://schemas.microsoft.com/office/excel/2006/main">
          <x14:cfRule type="expression" priority="1" id="{CCBD0977-DDDF-47C6-B1E4-408E1D21DFE8}">
            <xm:f>Kalk3!$H$35=1</xm:f>
            <x14:dxf>
              <font>
                <color theme="0"/>
              </font>
            </x14:dxf>
          </x14:cfRule>
          <x14:cfRule type="expression" priority="2" id="{3C53A341-CBE6-4B40-878B-32A0DB3DB9D0}">
            <xm:f>Kalk3!$H$35=2</xm:f>
            <x14:dxf>
              <font>
                <color theme="0"/>
              </font>
            </x14:dxf>
          </x14:cfRule>
          <xm:sqref>BL37</xm:sqref>
        </x14:conditionalFormatting>
        <x14:conditionalFormatting xmlns:xm="http://schemas.microsoft.com/office/excel/2006/main">
          <x14:cfRule type="expression" priority="8" id="{C376466F-E725-426F-9871-A6F1C28348B2}">
            <xm:f>Kalk3!$H$35=2</xm:f>
            <x14:dxf>
              <font>
                <color theme="0"/>
              </font>
            </x14:dxf>
          </x14:cfRule>
          <xm:sqref>BQ26:BS28 BN29:BS29 BL34:BL35</xm:sqref>
        </x14:conditionalFormatting>
        <x14:conditionalFormatting xmlns:xm="http://schemas.microsoft.com/office/excel/2006/main">
          <x14:cfRule type="expression" priority="14" id="{4D416FF7-ABAF-4039-B505-FF68757EE56E}">
            <xm:f>AND(Kalk3!$H$35&gt;2,Kalk3!$AA$9=1)</xm:f>
            <x14:dxf>
              <font>
                <color theme="1"/>
              </font>
            </x14:dxf>
          </x14:cfRule>
          <xm:sqref>BR27</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BE472-9391-4F87-A9F3-029BC6C53377}">
  <sheetPr codeName="Tabelle32">
    <pageSetUpPr fitToPage="1"/>
  </sheetPr>
  <dimension ref="A1:DR61"/>
  <sheetViews>
    <sheetView showGridLines="0" workbookViewId="0"/>
  </sheetViews>
  <sheetFormatPr baseColWidth="10" defaultColWidth="0" defaultRowHeight="15" customHeight="1" zeroHeight="1"/>
  <cols>
    <col min="1" max="83" width="1.7109375" customWidth="1"/>
    <col min="84" max="122" width="1.7109375" hidden="1" customWidth="1"/>
    <col min="123" max="16384" width="11.42578125" hidden="1"/>
  </cols>
  <sheetData>
    <row r="1" spans="2:97" ht="8.1" customHeight="1"/>
    <row r="2" spans="2:97" ht="9.9499999999999993" customHeight="1">
      <c r="B2" s="130"/>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8"/>
    </row>
    <row r="3" spans="2:97" ht="9.9499999999999993" customHeight="1">
      <c r="B3" s="131"/>
      <c r="AB3" s="135"/>
      <c r="AP3" s="135"/>
      <c r="AQ3" s="135"/>
      <c r="AR3" s="135"/>
      <c r="AS3" s="135"/>
      <c r="AT3" s="135"/>
      <c r="CD3" s="120"/>
    </row>
    <row r="4" spans="2:97" ht="9.9499999999999993" customHeight="1">
      <c r="B4" s="131"/>
      <c r="P4" s="242"/>
      <c r="V4" s="242"/>
      <c r="X4" s="135"/>
      <c r="Y4" s="135"/>
      <c r="Z4" s="135"/>
      <c r="AA4" s="135"/>
      <c r="AB4" s="135"/>
      <c r="AZ4" s="242"/>
      <c r="CD4" s="120"/>
    </row>
    <row r="5" spans="2:97" ht="9.9499999999999993" customHeight="1">
      <c r="B5" s="131"/>
      <c r="N5" s="242"/>
      <c r="O5" s="242"/>
      <c r="P5" s="242"/>
      <c r="T5" s="242"/>
      <c r="U5" s="242"/>
      <c r="V5" s="242"/>
      <c r="AX5" s="242"/>
      <c r="AY5" s="242"/>
      <c r="AZ5" s="242"/>
      <c r="CD5" s="120"/>
    </row>
    <row r="6" spans="2:97" ht="9.9499999999999993" customHeight="1">
      <c r="B6" s="131"/>
      <c r="CD6" s="120"/>
    </row>
    <row r="7" spans="2:97" ht="9.9499999999999993" customHeight="1">
      <c r="B7" s="131"/>
      <c r="AM7" s="242"/>
      <c r="CD7" s="120"/>
    </row>
    <row r="8" spans="2:97" ht="9.9499999999999993" customHeight="1">
      <c r="B8" s="131"/>
      <c r="AK8" s="242"/>
      <c r="AL8" s="242"/>
      <c r="AM8" s="242"/>
      <c r="CD8" s="120"/>
    </row>
    <row r="9" spans="2:97" ht="9.9499999999999993" customHeight="1">
      <c r="B9" s="131"/>
      <c r="CD9" s="120"/>
    </row>
    <row r="10" spans="2:97" ht="9.9499999999999993" customHeight="1">
      <c r="B10" s="131"/>
      <c r="Q10" s="237"/>
      <c r="R10" s="237"/>
      <c r="S10" s="237"/>
      <c r="AF10" s="237"/>
      <c r="AG10" s="237"/>
      <c r="AH10" s="237"/>
      <c r="AT10" s="237"/>
      <c r="AU10" s="237"/>
      <c r="AV10" s="237"/>
      <c r="AW10" s="237"/>
      <c r="CD10" s="120"/>
    </row>
    <row r="11" spans="2:97" ht="9.9499999999999993" customHeight="1">
      <c r="B11" s="131"/>
      <c r="W11" s="235"/>
      <c r="X11" s="235"/>
      <c r="Y11" s="235"/>
      <c r="Z11" s="235"/>
      <c r="AA11" s="235"/>
      <c r="AB11" s="235"/>
      <c r="AC11" s="235"/>
      <c r="AD11" s="235"/>
      <c r="AE11" s="235"/>
      <c r="AJ11" s="235"/>
      <c r="AK11" s="235"/>
      <c r="AL11" s="235"/>
      <c r="AM11" s="235"/>
      <c r="AN11" s="235"/>
      <c r="AO11" s="235"/>
      <c r="AS11" s="237"/>
      <c r="AX11" s="235"/>
      <c r="AY11" s="235"/>
      <c r="AZ11" s="235"/>
      <c r="CD11" s="120"/>
    </row>
    <row r="12" spans="2:97" ht="9.9499999999999993" customHeight="1">
      <c r="B12" s="131"/>
      <c r="W12" s="235"/>
      <c r="X12" s="235"/>
      <c r="Y12" s="235"/>
      <c r="Z12" s="235"/>
      <c r="AA12" s="235"/>
      <c r="AB12" s="235"/>
      <c r="AC12" s="235"/>
      <c r="AD12" s="235"/>
      <c r="AE12" s="235"/>
      <c r="AJ12" s="235"/>
      <c r="AK12" s="235"/>
      <c r="AL12" s="235"/>
      <c r="AM12" s="235"/>
      <c r="AN12" s="235"/>
      <c r="AO12" s="235"/>
      <c r="AS12" s="237"/>
      <c r="AX12" s="235"/>
      <c r="AY12" s="235"/>
      <c r="AZ12" s="235"/>
      <c r="CD12" s="120"/>
    </row>
    <row r="13" spans="2:97" ht="9.9499999999999993" customHeight="1">
      <c r="B13" s="131"/>
      <c r="W13" s="235"/>
      <c r="X13" s="235"/>
      <c r="Y13" s="235"/>
      <c r="Z13" s="235"/>
      <c r="AA13" s="235"/>
      <c r="AB13" s="235"/>
      <c r="AC13" s="235"/>
      <c r="AD13" s="235"/>
      <c r="AE13" s="235"/>
      <c r="AJ13" s="235"/>
      <c r="AK13" s="235"/>
      <c r="AL13" s="235"/>
      <c r="AM13" s="235"/>
      <c r="AN13" s="235"/>
      <c r="AO13" s="235"/>
      <c r="AS13" s="237"/>
      <c r="AX13" s="235"/>
      <c r="AY13" s="235"/>
      <c r="AZ13" s="235"/>
      <c r="CD13" s="120"/>
    </row>
    <row r="14" spans="2:97" ht="9.9499999999999993" customHeight="1">
      <c r="B14" s="131"/>
      <c r="Q14" s="237"/>
      <c r="R14" s="237"/>
      <c r="S14" s="237"/>
      <c r="W14" s="235"/>
      <c r="X14" s="235"/>
      <c r="Y14" s="235"/>
      <c r="Z14" s="235"/>
      <c r="AA14" s="235"/>
      <c r="AB14" s="235"/>
      <c r="AC14" s="235"/>
      <c r="AD14" s="235"/>
      <c r="AE14" s="235"/>
      <c r="AF14" s="237"/>
      <c r="AG14" s="237"/>
      <c r="AH14" s="237"/>
      <c r="AI14" s="235"/>
      <c r="AJ14" s="235"/>
      <c r="AK14" s="235"/>
      <c r="AL14" s="235"/>
      <c r="AM14" s="235"/>
      <c r="AN14" s="235"/>
      <c r="AO14" s="235"/>
      <c r="AS14" s="237"/>
      <c r="AT14" s="237"/>
      <c r="AU14" s="237"/>
      <c r="AV14" s="237"/>
      <c r="AW14" s="237"/>
      <c r="AX14" s="235"/>
      <c r="AY14" s="235"/>
      <c r="AZ14" s="235"/>
      <c r="CD14" s="120"/>
    </row>
    <row r="15" spans="2:97" ht="9.9499999999999993" customHeight="1">
      <c r="B15" s="131"/>
      <c r="AS15" s="238"/>
      <c r="CD15" s="120"/>
      <c r="CQ15" s="133"/>
      <c r="CR15" s="133"/>
      <c r="CS15" s="133"/>
    </row>
    <row r="16" spans="2:97" ht="9.9499999999999993" customHeight="1">
      <c r="B16" s="131"/>
      <c r="AS16" s="135"/>
      <c r="CD16" s="120"/>
    </row>
    <row r="17" spans="2:103" ht="9.9499999999999993" customHeight="1">
      <c r="B17" s="131"/>
      <c r="AB17" s="135"/>
      <c r="AP17" s="135"/>
      <c r="AQ17" s="135"/>
      <c r="AR17" s="135"/>
      <c r="AS17" s="135"/>
      <c r="AT17" s="135"/>
      <c r="CD17" s="120"/>
    </row>
    <row r="18" spans="2:103" ht="9.9499999999999993" customHeight="1">
      <c r="B18" s="131"/>
      <c r="CD18" s="120"/>
    </row>
    <row r="19" spans="2:103" ht="9.9499999999999993" customHeight="1">
      <c r="B19" s="131"/>
      <c r="CD19" s="120"/>
    </row>
    <row r="20" spans="2:103" ht="9.9499999999999993" customHeight="1">
      <c r="B20" s="131"/>
      <c r="CD20" s="120"/>
      <c r="CW20" s="136"/>
    </row>
    <row r="21" spans="2:103" ht="9.75" customHeight="1">
      <c r="B21" s="131"/>
      <c r="CD21" s="120"/>
      <c r="CW21" s="136"/>
      <c r="CX21" s="136"/>
    </row>
    <row r="22" spans="2:103" ht="9.75" customHeight="1">
      <c r="B22" s="131"/>
      <c r="CD22" s="120"/>
      <c r="CW22" s="136"/>
      <c r="CX22" s="136"/>
      <c r="CY22" s="136"/>
    </row>
    <row r="23" spans="2:103" ht="9.75" customHeight="1">
      <c r="B23" s="131"/>
      <c r="CD23" s="120"/>
    </row>
    <row r="24" spans="2:103" ht="9.75" customHeight="1">
      <c r="B24" s="131"/>
      <c r="CD24" s="120"/>
    </row>
    <row r="25" spans="2:103" ht="9.75" customHeight="1">
      <c r="B25" s="131"/>
      <c r="R25" s="542">
        <f>Kalk4!H28</f>
        <v>0</v>
      </c>
      <c r="S25" s="542"/>
      <c r="T25" s="542"/>
      <c r="U25" s="542"/>
      <c r="AC25" s="542">
        <f>Kalk4!H28</f>
        <v>0</v>
      </c>
      <c r="AD25" s="542"/>
      <c r="AE25" s="542"/>
      <c r="AF25" s="542"/>
      <c r="AG25" s="542"/>
      <c r="AO25" s="542">
        <f>Kalk4!H28</f>
        <v>0</v>
      </c>
      <c r="AP25" s="542"/>
      <c r="AQ25" s="542"/>
      <c r="AR25" s="542"/>
      <c r="CD25" s="120"/>
    </row>
    <row r="26" spans="2:103" ht="12" customHeight="1">
      <c r="B26" s="131"/>
      <c r="BA26" s="235"/>
      <c r="BB26" s="235"/>
      <c r="BC26" s="235"/>
      <c r="BD26" s="235"/>
      <c r="BE26" s="235"/>
      <c r="BF26" s="235"/>
      <c r="BG26" s="235"/>
      <c r="BH26" s="235"/>
      <c r="BI26" s="235"/>
      <c r="BJ26" s="235"/>
      <c r="BK26" s="235"/>
      <c r="BL26" s="235"/>
      <c r="BM26" s="235"/>
      <c r="BQ26" s="237"/>
      <c r="BR26" s="237"/>
      <c r="BS26" s="237"/>
      <c r="CD26" s="120"/>
    </row>
    <row r="27" spans="2:103" ht="9.75" customHeight="1">
      <c r="B27" s="131"/>
      <c r="N27" s="541">
        <v>5</v>
      </c>
      <c r="O27" s="541"/>
      <c r="X27" s="540">
        <v>5</v>
      </c>
      <c r="Y27" s="540"/>
      <c r="AU27" s="540">
        <v>5</v>
      </c>
      <c r="AV27" s="540"/>
      <c r="BA27" s="235"/>
      <c r="BB27" s="235"/>
      <c r="BC27" s="235"/>
      <c r="BD27" s="235"/>
      <c r="BE27" s="235"/>
      <c r="BF27" s="235"/>
      <c r="BG27" s="235"/>
      <c r="BH27" s="235"/>
      <c r="BI27" s="235"/>
      <c r="BJ27" s="235"/>
      <c r="BK27" s="235"/>
      <c r="BL27" s="235"/>
      <c r="BM27" s="235"/>
      <c r="BQ27" s="237"/>
      <c r="BR27" s="540">
        <v>5</v>
      </c>
      <c r="BS27" s="540"/>
      <c r="CD27" s="120"/>
    </row>
    <row r="28" spans="2:103" ht="9.75" customHeight="1">
      <c r="B28" s="131"/>
      <c r="BQ28" s="236"/>
      <c r="BR28" s="236"/>
      <c r="BS28" s="236"/>
      <c r="CD28" s="120"/>
    </row>
    <row r="29" spans="2:103" ht="9.75" customHeight="1">
      <c r="B29" s="131"/>
      <c r="Q29" s="237"/>
      <c r="AP29" s="238"/>
      <c r="AQ29" s="238"/>
      <c r="AR29" s="238"/>
      <c r="AS29" s="238"/>
      <c r="AT29" s="238"/>
      <c r="BN29" s="236"/>
      <c r="BO29" s="236"/>
      <c r="BP29" s="236"/>
      <c r="BQ29" s="236"/>
      <c r="BR29" s="236"/>
      <c r="BS29" s="236"/>
      <c r="CD29" s="120"/>
    </row>
    <row r="30" spans="2:103" ht="9.75" customHeight="1">
      <c r="B30" s="131"/>
      <c r="Q30" s="237"/>
      <c r="CD30" s="120"/>
    </row>
    <row r="31" spans="2:103" ht="9.75" customHeight="1">
      <c r="B31" s="131"/>
      <c r="CD31" s="120"/>
    </row>
    <row r="32" spans="2:103" ht="9" customHeight="1">
      <c r="B32" s="131"/>
      <c r="U32" s="236"/>
      <c r="CD32" s="120"/>
    </row>
    <row r="33" spans="2:93" ht="9.75" customHeight="1">
      <c r="B33" s="131"/>
      <c r="R33" s="236"/>
      <c r="S33" s="236"/>
      <c r="T33" s="236"/>
      <c r="U33" s="236"/>
      <c r="CD33" s="120"/>
    </row>
    <row r="34" spans="2:93" ht="9.75" customHeight="1">
      <c r="B34" s="131"/>
      <c r="R34" s="543">
        <f>Kalk4!AH38</f>
        <v>0</v>
      </c>
      <c r="S34" s="543"/>
      <c r="T34" s="543"/>
      <c r="U34" s="543"/>
      <c r="AO34" s="543">
        <f>Kalk4!AH38</f>
        <v>0</v>
      </c>
      <c r="AP34" s="543"/>
      <c r="AQ34" s="543"/>
      <c r="AR34" s="543"/>
      <c r="BA34" s="135"/>
      <c r="BB34" s="135"/>
      <c r="BC34" s="135"/>
      <c r="BD34" s="135"/>
      <c r="BE34" s="135"/>
      <c r="BF34" s="135"/>
      <c r="BG34" s="135"/>
      <c r="BH34" s="135"/>
      <c r="BI34" s="135"/>
      <c r="BJ34" s="135"/>
      <c r="BK34" s="135"/>
      <c r="BL34" s="543">
        <f>Kalk4!AH38</f>
        <v>0</v>
      </c>
      <c r="BM34" s="543"/>
      <c r="BN34" s="543"/>
      <c r="BO34" s="543"/>
      <c r="BP34" s="135"/>
      <c r="BQ34" s="135"/>
      <c r="BR34" s="135"/>
      <c r="BS34" s="135"/>
      <c r="BT34" s="135"/>
      <c r="BU34" s="135"/>
      <c r="BV34" s="135"/>
      <c r="BW34" s="135"/>
      <c r="BX34" s="135"/>
      <c r="BY34" s="135"/>
      <c r="BZ34" s="135"/>
      <c r="CA34" s="135"/>
      <c r="CD34" s="120"/>
      <c r="CO34" s="137"/>
    </row>
    <row r="35" spans="2:93" ht="10.5" customHeight="1">
      <c r="B35" s="131"/>
      <c r="R35" s="543" t="s">
        <v>22580</v>
      </c>
      <c r="S35" s="543"/>
      <c r="T35" s="543"/>
      <c r="U35" s="543"/>
      <c r="AO35" s="542" t="str">
        <f>IF(Kalk4!H35=2,"(1x)","("&amp; Kalk4!H35-2 &amp; "x)")</f>
        <v>(-1x)</v>
      </c>
      <c r="AP35" s="542"/>
      <c r="AQ35" s="542"/>
      <c r="AR35" s="542"/>
      <c r="BA35" s="135"/>
      <c r="BB35" s="135"/>
      <c r="BC35" s="135"/>
      <c r="BD35" s="135"/>
      <c r="BE35" s="135"/>
      <c r="BF35" s="135"/>
      <c r="BG35" s="135"/>
      <c r="BH35" s="135"/>
      <c r="BI35" s="135"/>
      <c r="BJ35" s="135"/>
      <c r="BK35" s="135"/>
      <c r="BL35" s="543" t="s">
        <v>22580</v>
      </c>
      <c r="BM35" s="543"/>
      <c r="BN35" s="543"/>
      <c r="BO35" s="543"/>
      <c r="BP35" s="135"/>
      <c r="BQ35" s="135"/>
      <c r="BR35" s="135"/>
      <c r="BS35" s="135"/>
      <c r="BT35" s="135"/>
      <c r="BU35" s="135"/>
      <c r="BV35" s="135"/>
      <c r="BW35" s="135"/>
      <c r="BX35" s="135"/>
      <c r="BY35" s="135"/>
      <c r="BZ35" s="135"/>
      <c r="CA35" s="135"/>
      <c r="CD35" s="120"/>
      <c r="CO35" s="137"/>
    </row>
    <row r="36" spans="2:93" ht="9.75" customHeight="1">
      <c r="B36" s="131"/>
      <c r="R36" s="543"/>
      <c r="S36" s="543"/>
      <c r="T36" s="543"/>
      <c r="U36" s="543"/>
      <c r="AO36" s="542"/>
      <c r="AP36" s="542"/>
      <c r="AQ36" s="542"/>
      <c r="AR36" s="542"/>
      <c r="AY36" s="135"/>
      <c r="AZ36" s="135"/>
      <c r="BA36" s="135"/>
      <c r="BB36" s="135"/>
      <c r="BC36" s="135"/>
      <c r="BD36" s="135"/>
      <c r="BE36" s="135"/>
      <c r="BF36" s="135"/>
      <c r="BG36" s="135"/>
      <c r="BH36" s="135"/>
      <c r="BI36" s="135"/>
      <c r="BJ36" s="135"/>
      <c r="BK36" s="135"/>
      <c r="BL36" s="543"/>
      <c r="BM36" s="543"/>
      <c r="BN36" s="543"/>
      <c r="BO36" s="543"/>
      <c r="BP36" s="135"/>
      <c r="BQ36" s="135"/>
      <c r="BR36" s="135"/>
      <c r="BS36" s="135"/>
      <c r="BT36" s="135"/>
      <c r="BU36" s="135"/>
      <c r="BV36" s="135"/>
      <c r="BW36" s="135"/>
      <c r="BX36" s="135"/>
      <c r="BY36" s="135"/>
      <c r="BZ36" s="135"/>
      <c r="CA36" s="135"/>
      <c r="CD36" s="120"/>
      <c r="CO36" s="137"/>
    </row>
    <row r="37" spans="2:93" ht="9.75" customHeight="1">
      <c r="B37" s="131"/>
      <c r="R37" s="543">
        <f>IF(M51=1,R25,IF(M51&gt;1,R34+I46,""))</f>
        <v>0</v>
      </c>
      <c r="S37" s="543"/>
      <c r="T37" s="543"/>
      <c r="U37" s="543"/>
      <c r="AO37" s="543" t="str">
        <f>IF(M51=2,AO34+M46,IF(M51&gt;2,AO34+K46,""))</f>
        <v/>
      </c>
      <c r="AP37" s="543"/>
      <c r="AQ37" s="543"/>
      <c r="AR37" s="543"/>
      <c r="AY37" s="135"/>
      <c r="AZ37" s="135"/>
      <c r="BA37" s="135"/>
      <c r="BB37" s="135"/>
      <c r="BC37" s="135"/>
      <c r="BD37" s="135"/>
      <c r="BE37" s="135"/>
      <c r="BF37" s="135"/>
      <c r="BG37" s="135"/>
      <c r="BH37" s="135"/>
      <c r="BI37" s="135"/>
      <c r="BJ37" s="135"/>
      <c r="BK37" s="135"/>
      <c r="BL37" s="543" t="str">
        <f>IF(M51&gt;2,BL34+M46,"")</f>
        <v/>
      </c>
      <c r="BM37" s="543"/>
      <c r="BN37" s="543"/>
      <c r="BO37" s="543"/>
      <c r="BP37" s="135"/>
      <c r="BQ37" s="135"/>
      <c r="BR37" s="135"/>
      <c r="BS37" s="135"/>
      <c r="BT37" s="135"/>
      <c r="BU37" s="135"/>
      <c r="BV37" s="135"/>
      <c r="BW37" s="135"/>
      <c r="BX37" s="135"/>
      <c r="BY37" s="135"/>
      <c r="BZ37" s="135"/>
      <c r="CA37" s="135"/>
      <c r="CD37" s="120"/>
    </row>
    <row r="38" spans="2:93" ht="9.75" customHeight="1">
      <c r="B38" s="131"/>
      <c r="BK38" s="135"/>
      <c r="BL38" s="135"/>
      <c r="BM38" s="135"/>
      <c r="BN38" s="135"/>
      <c r="BO38" s="135"/>
      <c r="BP38" s="135"/>
      <c r="BQ38" s="135"/>
      <c r="BR38" s="135"/>
      <c r="BS38" s="135"/>
      <c r="BT38" s="135"/>
      <c r="BU38" s="135"/>
      <c r="BV38" s="135"/>
      <c r="BW38" s="135"/>
      <c r="BX38" s="135"/>
      <c r="BY38" s="135"/>
      <c r="BZ38" s="135"/>
      <c r="CA38" s="135"/>
      <c r="CD38" s="120"/>
    </row>
    <row r="39" spans="2:93" ht="9.9499999999999993" customHeight="1">
      <c r="B39" s="131"/>
      <c r="BK39" s="135"/>
      <c r="BL39" s="135"/>
      <c r="BM39" s="135"/>
      <c r="BN39" s="135"/>
      <c r="BO39" s="135"/>
      <c r="BP39" s="135"/>
      <c r="BQ39" s="135"/>
      <c r="BR39" s="135"/>
      <c r="BS39" s="135"/>
      <c r="BT39" s="135"/>
      <c r="BU39" s="135"/>
      <c r="BV39" s="135"/>
      <c r="BW39" s="135"/>
      <c r="BX39" s="135"/>
      <c r="BY39" s="135"/>
      <c r="BZ39" s="135"/>
      <c r="CA39" s="135"/>
      <c r="CD39" s="120"/>
    </row>
    <row r="40" spans="2:93" ht="9.9499999999999993" customHeight="1">
      <c r="B40" s="131"/>
      <c r="BK40" s="135"/>
      <c r="BL40" s="135"/>
      <c r="BM40" s="135"/>
      <c r="BN40" s="135"/>
      <c r="BO40" s="135"/>
      <c r="BP40" s="135"/>
      <c r="BQ40" s="135"/>
      <c r="BR40" s="135"/>
      <c r="BS40" s="135"/>
      <c r="BT40" s="135"/>
      <c r="BU40" s="135"/>
      <c r="BV40" s="135"/>
      <c r="BW40" s="135"/>
      <c r="BX40" s="135"/>
      <c r="BY40" s="135"/>
      <c r="BZ40" s="135"/>
      <c r="CA40" s="135"/>
      <c r="CD40" s="120"/>
    </row>
    <row r="41" spans="2:93" ht="9.9499999999999993" customHeight="1">
      <c r="B41" s="131"/>
      <c r="CD41" s="120"/>
    </row>
    <row r="42" spans="2:93" ht="9.9499999999999993" customHeight="1">
      <c r="B42" s="131"/>
      <c r="CD42" s="120"/>
    </row>
    <row r="43" spans="2:93" ht="9.75" customHeight="1">
      <c r="B43" s="131"/>
      <c r="CD43" s="120"/>
    </row>
    <row r="44" spans="2:93" ht="9.9499999999999993" customHeight="1">
      <c r="B44" s="131"/>
      <c r="E44" s="320"/>
      <c r="F44" s="321"/>
      <c r="G44" s="321"/>
      <c r="H44" s="321"/>
      <c r="I44" s="321" t="s">
        <v>19882</v>
      </c>
      <c r="J44" s="321"/>
      <c r="K44" s="321" t="s">
        <v>22634</v>
      </c>
      <c r="L44" s="321"/>
      <c r="M44" s="321" t="s">
        <v>20310</v>
      </c>
      <c r="N44" s="321"/>
      <c r="O44" s="320"/>
      <c r="CD44" s="120"/>
      <c r="CE44" s="135"/>
      <c r="CF44" s="135"/>
      <c r="CG44" s="135"/>
    </row>
    <row r="45" spans="2:93" ht="9.9499999999999993" customHeight="1">
      <c r="B45" s="131"/>
      <c r="E45" s="320"/>
      <c r="F45" s="321"/>
      <c r="G45" s="321"/>
      <c r="H45" s="321"/>
      <c r="I45" s="544">
        <f>Kalk4!AA7</f>
        <v>1</v>
      </c>
      <c r="J45" s="544"/>
      <c r="K45" s="544"/>
      <c r="L45" s="544"/>
      <c r="M45" s="544">
        <f>Kalk4!AA9</f>
        <v>1</v>
      </c>
      <c r="N45" s="544"/>
      <c r="O45" s="320"/>
      <c r="CD45" s="120"/>
      <c r="CE45" s="135"/>
      <c r="CF45" s="135"/>
      <c r="CG45" s="135"/>
    </row>
    <row r="46" spans="2:93" ht="9.9499999999999993" customHeight="1">
      <c r="B46" s="131"/>
      <c r="E46" s="320"/>
      <c r="F46" s="321"/>
      <c r="G46" s="321"/>
      <c r="H46" s="321"/>
      <c r="I46" s="544">
        <f>IF(I45=1,I47,IF(I45=2,I48,IF(I45=3,I49,0)))</f>
        <v>-18</v>
      </c>
      <c r="J46" s="544"/>
      <c r="K46" s="544">
        <v>50</v>
      </c>
      <c r="L46" s="544"/>
      <c r="M46" s="544">
        <f>IF(M45=1,M47,IF(M45=2,M48,IF(M45=3,M49,0)))</f>
        <v>-18</v>
      </c>
      <c r="N46" s="544"/>
      <c r="O46" s="320"/>
      <c r="CD46" s="120"/>
    </row>
    <row r="47" spans="2:93" ht="9.9499999999999993" customHeight="1">
      <c r="B47" s="131"/>
      <c r="E47" s="320"/>
      <c r="F47" s="321" t="s">
        <v>22635</v>
      </c>
      <c r="G47" s="321"/>
      <c r="H47" s="321"/>
      <c r="I47" s="544">
        <v>-18</v>
      </c>
      <c r="J47" s="544"/>
      <c r="K47" s="544">
        <v>50</v>
      </c>
      <c r="L47" s="544"/>
      <c r="M47" s="544">
        <v>-18</v>
      </c>
      <c r="N47" s="544"/>
      <c r="O47" s="320"/>
      <c r="CD47" s="120"/>
    </row>
    <row r="48" spans="2:93" ht="9.9499999999999993" customHeight="1">
      <c r="B48" s="131"/>
      <c r="E48" s="320"/>
      <c r="F48" s="321" t="s">
        <v>22636</v>
      </c>
      <c r="G48" s="321"/>
      <c r="H48" s="321"/>
      <c r="I48" s="544">
        <v>55</v>
      </c>
      <c r="J48" s="544"/>
      <c r="K48" s="544">
        <v>50</v>
      </c>
      <c r="L48" s="544"/>
      <c r="M48" s="544">
        <v>55</v>
      </c>
      <c r="N48" s="544"/>
      <c r="O48" s="320"/>
      <c r="CD48" s="120"/>
    </row>
    <row r="49" spans="2:82" ht="9.9499999999999993" customHeight="1">
      <c r="B49" s="131"/>
      <c r="E49" s="320"/>
      <c r="F49" s="321" t="s">
        <v>22637</v>
      </c>
      <c r="G49" s="321"/>
      <c r="H49" s="321"/>
      <c r="I49" s="544">
        <v>-13</v>
      </c>
      <c r="J49" s="544"/>
      <c r="K49" s="544">
        <v>50</v>
      </c>
      <c r="L49" s="544"/>
      <c r="M49" s="544">
        <v>-13</v>
      </c>
      <c r="N49" s="544"/>
      <c r="O49" s="320"/>
      <c r="CD49" s="120"/>
    </row>
    <row r="50" spans="2:82" ht="9.9499999999999993" customHeight="1">
      <c r="B50" s="131"/>
      <c r="E50" s="320"/>
      <c r="F50" s="320"/>
      <c r="G50" s="320"/>
      <c r="H50" s="320"/>
      <c r="I50" s="320"/>
      <c r="J50" s="320"/>
      <c r="K50" s="320"/>
      <c r="L50" s="320"/>
      <c r="M50" s="320"/>
      <c r="N50" s="320"/>
      <c r="O50" s="320"/>
      <c r="CD50" s="120"/>
    </row>
    <row r="51" spans="2:82" ht="9.75" customHeight="1">
      <c r="B51" s="131"/>
      <c r="E51" s="320"/>
      <c r="F51" s="321" t="s">
        <v>22638</v>
      </c>
      <c r="G51" s="320"/>
      <c r="H51" s="320"/>
      <c r="I51" s="320"/>
      <c r="J51" s="320"/>
      <c r="K51" s="320"/>
      <c r="L51" s="320"/>
      <c r="M51" s="321">
        <f>Kalk1!H33</f>
        <v>1</v>
      </c>
      <c r="N51" s="320"/>
      <c r="O51" s="320"/>
      <c r="CD51" s="120"/>
    </row>
    <row r="52" spans="2:82" ht="9.75" customHeight="1">
      <c r="B52" s="131"/>
      <c r="AX52" s="528"/>
      <c r="AY52" s="528"/>
      <c r="AZ52" s="528"/>
      <c r="BA52" s="528"/>
      <c r="BB52" s="528" t="s">
        <v>22287</v>
      </c>
      <c r="BC52" s="528"/>
      <c r="BD52" s="528"/>
      <c r="BE52" s="528"/>
      <c r="BF52" s="528"/>
      <c r="BG52" s="528"/>
      <c r="BH52" s="528"/>
      <c r="BI52" s="528" t="s">
        <v>2545</v>
      </c>
      <c r="BJ52" s="528"/>
      <c r="BK52" s="528"/>
      <c r="BL52" s="528"/>
      <c r="BM52" s="528"/>
      <c r="BN52" s="528"/>
      <c r="BO52" s="528"/>
      <c r="BP52" s="114"/>
      <c r="BQ52" s="115"/>
      <c r="BR52" s="115"/>
      <c r="BS52" s="115"/>
      <c r="BT52" s="116" t="s">
        <v>22289</v>
      </c>
      <c r="BU52" s="115"/>
      <c r="BV52" s="115"/>
      <c r="BW52" s="115"/>
      <c r="BX52" s="115"/>
      <c r="BY52" s="117"/>
      <c r="BZ52" s="117"/>
      <c r="CA52" s="117"/>
      <c r="CB52" s="117"/>
      <c r="CC52" s="117"/>
      <c r="CD52" s="118"/>
    </row>
    <row r="53" spans="2:82" ht="9.75" customHeight="1">
      <c r="B53" s="131"/>
      <c r="AX53" s="528" t="s">
        <v>22288</v>
      </c>
      <c r="AY53" s="528"/>
      <c r="AZ53" s="528"/>
      <c r="BA53" s="528"/>
      <c r="BB53" s="529">
        <f ca="1">TODAY()</f>
        <v>45408</v>
      </c>
      <c r="BC53" s="529"/>
      <c r="BD53" s="529"/>
      <c r="BE53" s="529"/>
      <c r="BF53" s="529"/>
      <c r="BG53" s="529"/>
      <c r="BH53" s="529"/>
      <c r="BI53" s="530"/>
      <c r="BJ53" s="530"/>
      <c r="BK53" s="530"/>
      <c r="BL53" s="530"/>
      <c r="BM53" s="530"/>
      <c r="BN53" s="530"/>
      <c r="BO53" s="530"/>
      <c r="BP53" s="119"/>
      <c r="BQ53" s="135"/>
      <c r="BR53" s="135"/>
      <c r="BS53" s="135"/>
      <c r="BT53" s="239" t="s">
        <v>22290</v>
      </c>
      <c r="BU53" s="135"/>
      <c r="BV53" s="135"/>
      <c r="BW53" s="135"/>
      <c r="BX53" s="135"/>
      <c r="CD53" s="120"/>
    </row>
    <row r="54" spans="2:82" ht="9.75" customHeight="1">
      <c r="B54" s="131"/>
      <c r="AX54" s="528"/>
      <c r="AY54" s="528"/>
      <c r="AZ54" s="528"/>
      <c r="BA54" s="528"/>
      <c r="BB54" s="529"/>
      <c r="BC54" s="529"/>
      <c r="BD54" s="529"/>
      <c r="BE54" s="529"/>
      <c r="BF54" s="529"/>
      <c r="BG54" s="529"/>
      <c r="BH54" s="529"/>
      <c r="BI54" s="530"/>
      <c r="BJ54" s="530"/>
      <c r="BK54" s="530"/>
      <c r="BL54" s="530"/>
      <c r="BM54" s="530"/>
      <c r="BN54" s="530"/>
      <c r="BO54" s="530"/>
      <c r="BP54" s="121"/>
      <c r="BQ54" s="122"/>
      <c r="BR54" s="122"/>
      <c r="BS54" s="122"/>
      <c r="BT54" s="123" t="s">
        <v>22291</v>
      </c>
      <c r="BU54" s="122"/>
      <c r="BV54" s="122"/>
      <c r="BW54" s="122"/>
      <c r="BX54" s="122"/>
      <c r="BY54" s="124"/>
      <c r="BZ54" s="124"/>
      <c r="CA54" s="124"/>
      <c r="CB54" s="124"/>
      <c r="CC54" s="124"/>
      <c r="CD54" s="125"/>
    </row>
    <row r="55" spans="2:82" ht="9.75" customHeight="1">
      <c r="B55" s="131"/>
      <c r="AX55" s="531" t="str">
        <f>Kalk4!D5&amp; "                                                                                                               " &amp;
Kalk4!D15 &amp; " | " &amp; Kalk4!D16</f>
        <v xml:space="preserve">0                                                                                                               0 | </v>
      </c>
      <c r="AY55" s="532"/>
      <c r="AZ55" s="532"/>
      <c r="BA55" s="532"/>
      <c r="BB55" s="532"/>
      <c r="BC55" s="532"/>
      <c r="BD55" s="532"/>
      <c r="BE55" s="532"/>
      <c r="BF55" s="532"/>
      <c r="BG55" s="532"/>
      <c r="BH55" s="532"/>
      <c r="BI55" s="532"/>
      <c r="BJ55" s="532"/>
      <c r="BK55" s="532"/>
      <c r="BL55" s="532"/>
      <c r="BM55" s="532"/>
      <c r="BN55" s="532"/>
      <c r="BO55" s="532"/>
      <c r="BP55" s="532"/>
      <c r="BQ55" s="532"/>
      <c r="BR55" s="532"/>
      <c r="BS55" s="532"/>
      <c r="BT55" s="532"/>
      <c r="BU55" s="532"/>
      <c r="BV55" s="532"/>
      <c r="BW55" s="532"/>
      <c r="BX55" s="532"/>
      <c r="BY55" s="532"/>
      <c r="BZ55" s="533"/>
      <c r="CA55" s="527" t="s">
        <v>22613</v>
      </c>
      <c r="CB55" s="527"/>
      <c r="CC55" s="527"/>
      <c r="CD55" s="527"/>
    </row>
    <row r="56" spans="2:82" ht="9.75" customHeight="1">
      <c r="B56" s="131"/>
      <c r="AX56" s="534"/>
      <c r="AY56" s="535"/>
      <c r="AZ56" s="535"/>
      <c r="BA56" s="535"/>
      <c r="BB56" s="535"/>
      <c r="BC56" s="535"/>
      <c r="BD56" s="535"/>
      <c r="BE56" s="535"/>
      <c r="BF56" s="535"/>
      <c r="BG56" s="535"/>
      <c r="BH56" s="535"/>
      <c r="BI56" s="535"/>
      <c r="BJ56" s="535"/>
      <c r="BK56" s="535"/>
      <c r="BL56" s="535"/>
      <c r="BM56" s="535"/>
      <c r="BN56" s="535"/>
      <c r="BO56" s="535"/>
      <c r="BP56" s="535"/>
      <c r="BQ56" s="535"/>
      <c r="BR56" s="535"/>
      <c r="BS56" s="535"/>
      <c r="BT56" s="535"/>
      <c r="BU56" s="535"/>
      <c r="BV56" s="535"/>
      <c r="BW56" s="535"/>
      <c r="BX56" s="535"/>
      <c r="BY56" s="535"/>
      <c r="BZ56" s="536"/>
      <c r="CA56" s="526" t="s">
        <v>22292</v>
      </c>
      <c r="CB56" s="526"/>
      <c r="CC56" s="526"/>
      <c r="CD56" s="526"/>
    </row>
    <row r="57" spans="2:82" ht="9.75" customHeight="1">
      <c r="B57" s="131"/>
      <c r="AX57" s="537"/>
      <c r="AY57" s="538"/>
      <c r="AZ57" s="538"/>
      <c r="BA57" s="538"/>
      <c r="BB57" s="538"/>
      <c r="BC57" s="538"/>
      <c r="BD57" s="538"/>
      <c r="BE57" s="538"/>
      <c r="BF57" s="538"/>
      <c r="BG57" s="538"/>
      <c r="BH57" s="538"/>
      <c r="BI57" s="538"/>
      <c r="BJ57" s="538"/>
      <c r="BK57" s="538"/>
      <c r="BL57" s="538"/>
      <c r="BM57" s="538"/>
      <c r="BN57" s="538"/>
      <c r="BO57" s="538"/>
      <c r="BP57" s="538"/>
      <c r="BQ57" s="538"/>
      <c r="BR57" s="538"/>
      <c r="BS57" s="538"/>
      <c r="BT57" s="538"/>
      <c r="BU57" s="538"/>
      <c r="BV57" s="538"/>
      <c r="BW57" s="538"/>
      <c r="BX57" s="538"/>
      <c r="BY57" s="538"/>
      <c r="BZ57" s="539"/>
      <c r="CA57" s="524" t="s">
        <v>12773</v>
      </c>
      <c r="CB57" s="525"/>
      <c r="CC57" s="525"/>
      <c r="CD57" s="525"/>
    </row>
    <row r="58" spans="2:82" ht="9.75" customHeight="1">
      <c r="B58" s="132"/>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6" t="s">
        <v>22286</v>
      </c>
      <c r="AY58" s="127"/>
      <c r="AZ58" s="127"/>
      <c r="BA58" s="127"/>
      <c r="BB58" s="128"/>
      <c r="BC58" s="128"/>
      <c r="BD58" s="128"/>
      <c r="BE58" s="145" t="str" cm="1">
        <f t="array" aca="1" ref="BE58" ca="1">MID(CELL("Dateiname"),FIND("[",CELL("Dateiname"))+1,FIND("]",CELL("Dateiname"))-FIND("[",CELL("Dateiname"))-1)</f>
        <v>02110307_CH-de_Vorlage_Erhebungsbogen Hochwasserschutz_PREFA_2024-4.xlsx</v>
      </c>
      <c r="BF58" s="128"/>
      <c r="BG58" s="128"/>
      <c r="BH58" s="128"/>
      <c r="BI58" s="128"/>
      <c r="BJ58" s="127"/>
      <c r="BK58" s="128"/>
      <c r="BL58" s="128"/>
      <c r="BM58" s="128"/>
      <c r="BN58" s="128"/>
      <c r="BO58" s="128"/>
      <c r="BP58" s="128"/>
      <c r="BQ58" s="128"/>
      <c r="BR58" s="128"/>
      <c r="BS58" s="128"/>
      <c r="BT58" s="128"/>
      <c r="BU58" s="128"/>
      <c r="BV58" s="128"/>
      <c r="BW58" s="128"/>
      <c r="BX58" s="128"/>
      <c r="BY58" s="128"/>
      <c r="BZ58" s="128"/>
      <c r="CA58" s="128"/>
      <c r="CB58" s="128"/>
      <c r="CC58" s="128"/>
      <c r="CD58" s="129"/>
    </row>
    <row r="59" spans="2:82" ht="9.75" customHeight="1"/>
    <row r="60" spans="2:82" ht="9.75" hidden="1" customHeight="1"/>
    <row r="61" spans="2:82" ht="9.75" hidden="1" customHeight="1"/>
  </sheetData>
  <sheetProtection sheet="1" objects="1" scenarios="1" selectLockedCells="1"/>
  <mergeCells count="41">
    <mergeCell ref="AX53:BA54"/>
    <mergeCell ref="BB53:BH54"/>
    <mergeCell ref="BI53:BO54"/>
    <mergeCell ref="AX55:BZ57"/>
    <mergeCell ref="CA55:CD55"/>
    <mergeCell ref="CA56:CD56"/>
    <mergeCell ref="CA57:CD57"/>
    <mergeCell ref="R37:U37"/>
    <mergeCell ref="AO37:AR37"/>
    <mergeCell ref="BL37:BO37"/>
    <mergeCell ref="AX52:BA52"/>
    <mergeCell ref="BB52:BH52"/>
    <mergeCell ref="BI52:BO52"/>
    <mergeCell ref="BR27:BS27"/>
    <mergeCell ref="R34:U34"/>
    <mergeCell ref="AO34:AR34"/>
    <mergeCell ref="BL34:BO34"/>
    <mergeCell ref="R35:U36"/>
    <mergeCell ref="AO35:AR36"/>
    <mergeCell ref="BL35:BO36"/>
    <mergeCell ref="AU27:AV27"/>
    <mergeCell ref="R25:U25"/>
    <mergeCell ref="AC25:AG25"/>
    <mergeCell ref="AO25:AR25"/>
    <mergeCell ref="N27:O27"/>
    <mergeCell ref="X27:Y27"/>
    <mergeCell ref="I45:J45"/>
    <mergeCell ref="K45:L45"/>
    <mergeCell ref="M45:N45"/>
    <mergeCell ref="I46:J46"/>
    <mergeCell ref="K46:L46"/>
    <mergeCell ref="M46:N46"/>
    <mergeCell ref="I49:J49"/>
    <mergeCell ref="K49:L49"/>
    <mergeCell ref="M49:N49"/>
    <mergeCell ref="I47:J47"/>
    <mergeCell ref="K47:L47"/>
    <mergeCell ref="M47:N47"/>
    <mergeCell ref="I48:J48"/>
    <mergeCell ref="K48:L48"/>
    <mergeCell ref="M48:N48"/>
  </mergeCells>
  <pageMargins left="0.19685039370078741" right="0.19685039370078741" top="0.19685039370078741" bottom="0.19685039370078741" header="0.19685039370078741" footer="0.11811023622047245"/>
  <pageSetup paperSize="9" scale="98"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97A6ED06-548A-443D-8640-FE67DE2D6230}">
            <xm:f>Kalk4!$AA$7=1</xm:f>
            <x14:dxf>
              <font>
                <color theme="1"/>
              </font>
            </x14:dxf>
          </x14:cfRule>
          <xm:sqref>N27</xm:sqref>
        </x14:conditionalFormatting>
        <x14:conditionalFormatting xmlns:xm="http://schemas.microsoft.com/office/excel/2006/main">
          <x14:cfRule type="expression" priority="11" id="{5E7A913B-B783-4014-AA96-05FE47CC218C}">
            <xm:f>AND(Kalk4!$AA$9=1,Kalk4!$H$35=1)</xm:f>
            <x14:dxf>
              <font>
                <color theme="1"/>
              </font>
            </x14:dxf>
          </x14:cfRule>
          <xm:sqref>X27</xm:sqref>
        </x14:conditionalFormatting>
        <x14:conditionalFormatting xmlns:xm="http://schemas.microsoft.com/office/excel/2006/main">
          <x14:cfRule type="expression" priority="15" id="{FF78448D-BFDF-4CE1-961D-F904D4111675}">
            <xm:f>Kalk4!$H$35&gt;2</xm:f>
            <x14:dxf>
              <font>
                <color theme="0"/>
              </font>
            </x14:dxf>
          </x14:cfRule>
          <xm:sqref>AB3 X4:AB4 AB17 R25 AC25</xm:sqref>
        </x14:conditionalFormatting>
        <x14:conditionalFormatting xmlns:xm="http://schemas.microsoft.com/office/excel/2006/main">
          <x14:cfRule type="expression" priority="10" id="{9259130E-7AA9-470B-BA8D-E936D946F228}">
            <xm:f>Kalk4!$H$35=1</xm:f>
            <x14:dxf>
              <font>
                <color theme="0"/>
              </font>
            </x14:dxf>
          </x14:cfRule>
          <xm:sqref>AC25 AO25 AU27 BR27 AO34:AO35</xm:sqref>
        </x14:conditionalFormatting>
        <x14:conditionalFormatting xmlns:xm="http://schemas.microsoft.com/office/excel/2006/main">
          <x14:cfRule type="expression" priority="3" id="{291C1D96-AB7D-49E8-95B2-984B5E5055EF}">
            <xm:f>Kalk4!$H$35=1</xm:f>
            <x14:dxf>
              <font>
                <color theme="0"/>
              </font>
            </x14:dxf>
          </x14:cfRule>
          <xm:sqref>AO37</xm:sqref>
        </x14:conditionalFormatting>
        <x14:conditionalFormatting xmlns:xm="http://schemas.microsoft.com/office/excel/2006/main">
          <x14:cfRule type="expression" priority="13" id="{B46ABEE4-9FF4-4FB5-B05B-5C107424D5E3}">
            <xm:f>Kalk4!$H$35=2</xm:f>
            <x14:dxf>
              <font>
                <color theme="0"/>
              </font>
            </x14:dxf>
          </x14:cfRule>
          <xm:sqref>AP3:AT3 AS16 AS17:AT17 R25 AO25</xm:sqref>
        </x14:conditionalFormatting>
        <x14:conditionalFormatting xmlns:xm="http://schemas.microsoft.com/office/excel/2006/main">
          <x14:cfRule type="expression" priority="12" id="{7237688B-5802-4507-9FDD-B1CDF40AAE73}">
            <xm:f>AND(Kalk4!$AA$9=1,Kalk4!$H$35=2)</xm:f>
            <x14:dxf>
              <font>
                <color theme="1"/>
              </font>
            </x14:dxf>
          </x14:cfRule>
          <xm:sqref>AU27</xm:sqref>
        </x14:conditionalFormatting>
        <x14:conditionalFormatting xmlns:xm="http://schemas.microsoft.com/office/excel/2006/main">
          <x14:cfRule type="expression" priority="7" id="{7A438032-0420-4B60-A18B-7FA008F11407}">
            <xm:f>Kalk4!$H$35=1</xm:f>
            <x14:dxf>
              <font>
                <color theme="0"/>
              </font>
            </x14:dxf>
          </x14:cfRule>
          <xm:sqref>BL34:BL35</xm:sqref>
        </x14:conditionalFormatting>
        <x14:conditionalFormatting xmlns:xm="http://schemas.microsoft.com/office/excel/2006/main">
          <x14:cfRule type="expression" priority="1" id="{9A47CDDD-6938-4425-9F87-CEA65B9A47CC}">
            <xm:f>Kalk4!$H$35=1</xm:f>
            <x14:dxf>
              <font>
                <color theme="0"/>
              </font>
            </x14:dxf>
          </x14:cfRule>
          <x14:cfRule type="expression" priority="2" id="{FCCFECA3-7F86-4AA0-8EBC-26F8D01FBF4E}">
            <xm:f>Kalk4!$H$35=2</xm:f>
            <x14:dxf>
              <font>
                <color theme="0"/>
              </font>
            </x14:dxf>
          </x14:cfRule>
          <xm:sqref>BL37</xm:sqref>
        </x14:conditionalFormatting>
        <x14:conditionalFormatting xmlns:xm="http://schemas.microsoft.com/office/excel/2006/main">
          <x14:cfRule type="expression" priority="8" id="{943A538F-8E3B-4491-A0E0-B3BEC08D06A1}">
            <xm:f>Kalk4!$H$35=2</xm:f>
            <x14:dxf>
              <font>
                <color theme="0"/>
              </font>
            </x14:dxf>
          </x14:cfRule>
          <xm:sqref>BQ26:BS28 BN29:BS29 BL34:BL35</xm:sqref>
        </x14:conditionalFormatting>
        <x14:conditionalFormatting xmlns:xm="http://schemas.microsoft.com/office/excel/2006/main">
          <x14:cfRule type="expression" priority="14" id="{EF48F0E9-1FFB-4ED4-BEE2-7B1D9CDBFC6D}">
            <xm:f>AND(Kalk4!$H$35&gt;2,Kalk4!$AA$9=1)</xm:f>
            <x14:dxf>
              <font>
                <color theme="1"/>
              </font>
            </x14:dxf>
          </x14:cfRule>
          <xm:sqref>BR27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7AEE0-DD58-49EA-A196-5267688E9428}">
  <sheetPr codeName="Tabelle3"/>
  <dimension ref="A1:Q56"/>
  <sheetViews>
    <sheetView showGridLines="0" topLeftCell="A19" workbookViewId="0">
      <selection activeCell="M43" sqref="M43"/>
    </sheetView>
  </sheetViews>
  <sheetFormatPr baseColWidth="10" defaultColWidth="0" defaultRowHeight="14.25" zeroHeight="1"/>
  <cols>
    <col min="1" max="1" width="1.7109375" style="4" customWidth="1"/>
    <col min="2" max="2" width="8" style="4" customWidth="1"/>
    <col min="3" max="15" width="5.7109375" style="4" customWidth="1"/>
    <col min="16" max="17" width="0" style="4" hidden="1" customWidth="1"/>
    <col min="18" max="16384" width="11.42578125" style="4" hidden="1"/>
  </cols>
  <sheetData>
    <row r="1" spans="2:17"/>
    <row r="2" spans="2:17" ht="14.25" customHeight="1">
      <c r="D2" s="408" t="str">
        <f>VLOOKUP(1781,Sprachindex!$A:$Z,Erhebungsbogen!$Y$20,FALSE)</f>
        <v>PREFA HWS BERECHNUNGSTOOL</v>
      </c>
      <c r="E2" s="408"/>
      <c r="F2" s="408"/>
      <c r="G2" s="408"/>
      <c r="H2" s="408"/>
      <c r="I2" s="408"/>
      <c r="J2" s="408"/>
      <c r="K2" s="408"/>
      <c r="L2" s="408"/>
      <c r="M2" s="408"/>
      <c r="N2" s="408"/>
      <c r="O2" s="408"/>
      <c r="P2" s="30"/>
      <c r="Q2" s="30"/>
    </row>
    <row r="3" spans="2:17" ht="14.25" customHeight="1">
      <c r="D3" s="408"/>
      <c r="E3" s="408"/>
      <c r="F3" s="408"/>
      <c r="G3" s="408"/>
      <c r="H3" s="408"/>
      <c r="I3" s="408"/>
      <c r="J3" s="408"/>
      <c r="K3" s="408"/>
      <c r="L3" s="408"/>
      <c r="M3" s="408"/>
      <c r="N3" s="408"/>
      <c r="O3" s="408"/>
      <c r="P3" s="30"/>
      <c r="Q3" s="30"/>
    </row>
    <row r="4" spans="2:17" ht="14.25" customHeight="1">
      <c r="D4" s="408"/>
      <c r="E4" s="408"/>
      <c r="F4" s="408"/>
      <c r="G4" s="408"/>
      <c r="H4" s="408"/>
      <c r="I4" s="408"/>
      <c r="J4" s="408"/>
      <c r="K4" s="408"/>
      <c r="L4" s="408"/>
      <c r="M4" s="408"/>
      <c r="N4" s="408"/>
      <c r="O4" s="408"/>
      <c r="P4" s="30"/>
      <c r="Q4" s="30"/>
    </row>
    <row r="5" spans="2:17" ht="14.25" customHeight="1">
      <c r="D5" s="6" t="str">
        <f>VLOOKUP(1697,Sprachindex!$A:$Z,Erhebungsbogen!$Y$20,FALSE)</f>
        <v>Einverständniserklärung</v>
      </c>
      <c r="E5" s="7"/>
      <c r="F5" s="7"/>
      <c r="G5" s="7"/>
      <c r="H5" s="7"/>
      <c r="I5" s="7"/>
      <c r="J5" s="7"/>
      <c r="K5" s="7"/>
      <c r="L5" s="7"/>
      <c r="M5" s="7"/>
      <c r="N5" s="7"/>
      <c r="O5" s="7"/>
      <c r="P5" s="7"/>
      <c r="Q5" s="7"/>
    </row>
    <row r="6" spans="2:17"/>
    <row r="7" spans="2:17">
      <c r="B7" s="403" t="str">
        <f>VLOOKUP(1779,Sprachindex!$A:$Z,Erhebungsbogen!$Y$20,FALSE) &amp; CHAR(10) &amp;VLOOKUP(1669,Sprachindex!$A:$Z,Erhebungsbogen!$Y$20,FALSE)</f>
        <v>PREFA bietet dem Anwender ein kostenloses Berechnungstool für PREFA Hochwasserschutzsysteme.
Das Berechnungstool berücksichtigt die Anforderungen des Merkblattes 6/BWK Ausgabe Dezember 2005:</v>
      </c>
      <c r="C7" s="403"/>
      <c r="D7" s="403"/>
      <c r="E7" s="403"/>
      <c r="F7" s="403"/>
      <c r="G7" s="403"/>
      <c r="H7" s="403"/>
      <c r="I7" s="403"/>
      <c r="J7" s="403"/>
      <c r="K7" s="403"/>
      <c r="L7" s="403"/>
      <c r="M7" s="403"/>
      <c r="N7" s="403"/>
    </row>
    <row r="8" spans="2:17">
      <c r="B8" s="403"/>
      <c r="C8" s="403"/>
      <c r="D8" s="403"/>
      <c r="E8" s="403"/>
      <c r="F8" s="403"/>
      <c r="G8" s="403"/>
      <c r="H8" s="403"/>
      <c r="I8" s="403"/>
      <c r="J8" s="403"/>
      <c r="K8" s="403"/>
      <c r="L8" s="403"/>
      <c r="M8" s="403"/>
      <c r="N8" s="403"/>
    </row>
    <row r="9" spans="2:17">
      <c r="B9" s="403"/>
      <c r="C9" s="403"/>
      <c r="D9" s="403"/>
      <c r="E9" s="403"/>
      <c r="F9" s="403"/>
      <c r="G9" s="403"/>
      <c r="H9" s="403"/>
      <c r="I9" s="403"/>
      <c r="J9" s="403"/>
      <c r="K9" s="403"/>
      <c r="L9" s="403"/>
      <c r="M9" s="403"/>
      <c r="N9" s="403"/>
    </row>
    <row r="10" spans="2:17">
      <c r="B10" s="403"/>
      <c r="C10" s="403"/>
      <c r="D10" s="403"/>
      <c r="E10" s="403"/>
      <c r="F10" s="403"/>
      <c r="G10" s="403"/>
      <c r="H10" s="403"/>
      <c r="I10" s="403"/>
      <c r="J10" s="403"/>
      <c r="K10" s="403"/>
      <c r="L10" s="403"/>
      <c r="M10" s="403"/>
      <c r="N10" s="403"/>
    </row>
    <row r="11" spans="2:17"/>
    <row r="12" spans="2:17" ht="14.25" customHeight="1">
      <c r="B12" s="403" t="str">
        <f>VLOOKUP(1687,Sprachindex!$A:$Z,Erhebungsbogen!$Y$20,FALSE)&amp;" "&amp;VLOOKUP(1684,Sprachindex!$A:$Z,Erhebungsbogen!$Y$20,FALSE)&amp;" "&amp;VLOOKUP(1670,Sprachindex!$A:$Z,Erhebungsbogen!$Y$20,FALSE)&amp;" "&amp;VLOOKUP(1683,Sprachindex!$A:$Z,Erhebungsbogen!$Y$20,FALSE)&amp;" "&amp;VLOOKUP(1776,Sprachindex!$A:$Z,Erhebungsbogen!$Y$20,FALSE)&amp;" "&amp;VLOOKUP(1748,Sprachindex!$A:$Z,Erhebungsbogen!$Y$20,FALSE)&amp;" "&amp;VLOOKUP(1729,Sprachindex!$A:$Z,Erhebungsbogen!$Y$20,FALSE)&amp;" "&amp;VLOOKUP(1785,Sprachindex!$A:$Z,Erhebungsbogen!$Y$20,FALSE)&amp;" "&amp;VLOOKUP(1783,Sprachindex!$A:$Z,Erhebungsbogen!$Y$20,FALSE)&amp;" "&amp;VLOOKUP(1636,Sprachindex!$A:$Z,Erhebungsbogen!$Y$20,FALSE)&amp;" "&amp;VLOOKUP(1695,Sprachindex!$A:$Z,Erhebungsbogen!$Y$20,FALSE)&amp;" "&amp;VLOOKUP(1668,Sprachindex!$A:$Z,Erhebungsbogen!$Y$20,FALSE)&amp;CHAR(10)&amp;VLOOKUP(1784,Sprachindex!$A:$Z,Erhebungsbogen!$Y$20,FALSE)</f>
        <v>Die vom Anwender eingegebenen Daten werden vom Berechnungstool automatisch verarbeitet ohne auf deren Richtigkeit überprüft werden zu können. Die Berechnungsergebnisse sind nur für das von den Eingabedaten erfassten Hochwasserschutzsystem heranzuziehen. Das Berechnungstool bezieht sich ausschließlich auf PREFA Hochwasserschutzsysteme. Die Berechnungsergebnisse sind nicht auf andere Produkte oder Einsätze anwendbar. Obwohl das Berechnungstool von PREFA mit größtmöglicher Sorgfalt erstellt wurde, können die Berechnungsergebnisse zufolge der individuellen konstruktiven Besonderheiten jedes Hochwasser-schutzsystemes und möglicher fehlerhafter Eingabe der Berechnungsgrundlagen nur unverbindliche Empfehlungen darstellen. PREFA versteht das Berechnungstool als Hilfestellung an den Fachmann, die diesen aber nicht von der Pflicht zur eigenständigen Prüfung im Einzelfall entbindet. PREFA übernimmt im Hinblick hierauf keinerlei Haftung für die Richtigkeit oder Vollständigkeit der Berechnungsergebnisse oder für hieraus abgeleitete Schadenersatzansprüche. Bei nicht fachgerechter Montage und/oder Wartung oder bei Benutzung von nicht originalem Zubehör übernimmt PREFA keinerlei Haftung. Ebenso sind bauliche Mängel, insbesondere nicht entsprechend wasserdichte Bausubstanz des Bauwerks, hydrostatische Krafteinwirkung und unsachgemäße Handhabung der Bauteile, darunter auch Beschädigung durch mechanische Einwirkung von Personen oder Gegenständen, ausschlussgebend für eine Haftung seitens PREFA.
PREFA übernimmt keine Garantie für absolute Schadensverhinderung.</v>
      </c>
      <c r="C12" s="403"/>
      <c r="D12" s="403"/>
      <c r="E12" s="403"/>
      <c r="F12" s="403"/>
      <c r="G12" s="403"/>
      <c r="H12" s="403"/>
      <c r="I12" s="403"/>
      <c r="J12" s="403"/>
      <c r="K12" s="403"/>
      <c r="L12" s="403"/>
      <c r="M12" s="403"/>
      <c r="N12" s="403"/>
      <c r="Q12" s="28"/>
    </row>
    <row r="13" spans="2:17">
      <c r="B13" s="403"/>
      <c r="C13" s="403"/>
      <c r="D13" s="403"/>
      <c r="E13" s="403"/>
      <c r="F13" s="403"/>
      <c r="G13" s="403"/>
      <c r="H13" s="403"/>
      <c r="I13" s="403"/>
      <c r="J13" s="403"/>
      <c r="K13" s="403"/>
      <c r="L13" s="403"/>
      <c r="M13" s="403"/>
      <c r="N13" s="403"/>
      <c r="Q13" s="28"/>
    </row>
    <row r="14" spans="2:17">
      <c r="B14" s="403"/>
      <c r="C14" s="403"/>
      <c r="D14" s="403"/>
      <c r="E14" s="403"/>
      <c r="F14" s="403"/>
      <c r="G14" s="403"/>
      <c r="H14" s="403"/>
      <c r="I14" s="403"/>
      <c r="J14" s="403"/>
      <c r="K14" s="403"/>
      <c r="L14" s="403"/>
      <c r="M14" s="403"/>
      <c r="N14" s="403"/>
      <c r="Q14" s="28"/>
    </row>
    <row r="15" spans="2:17">
      <c r="B15" s="403"/>
      <c r="C15" s="403"/>
      <c r="D15" s="403"/>
      <c r="E15" s="403"/>
      <c r="F15" s="403"/>
      <c r="G15" s="403"/>
      <c r="H15" s="403"/>
      <c r="I15" s="403"/>
      <c r="J15" s="403"/>
      <c r="K15" s="403"/>
      <c r="L15" s="403"/>
      <c r="M15" s="403"/>
      <c r="N15" s="403"/>
      <c r="Q15" s="28"/>
    </row>
    <row r="16" spans="2:17">
      <c r="B16" s="403"/>
      <c r="C16" s="403"/>
      <c r="D16" s="403"/>
      <c r="E16" s="403"/>
      <c r="F16" s="403"/>
      <c r="G16" s="403"/>
      <c r="H16" s="403"/>
      <c r="I16" s="403"/>
      <c r="J16" s="403"/>
      <c r="K16" s="403"/>
      <c r="L16" s="403"/>
      <c r="M16" s="403"/>
      <c r="N16" s="403"/>
      <c r="Q16" s="28"/>
    </row>
    <row r="17" spans="2:17">
      <c r="B17" s="403"/>
      <c r="C17" s="403"/>
      <c r="D17" s="403"/>
      <c r="E17" s="403"/>
      <c r="F17" s="403"/>
      <c r="G17" s="403"/>
      <c r="H17" s="403"/>
      <c r="I17" s="403"/>
      <c r="J17" s="403"/>
      <c r="K17" s="403"/>
      <c r="L17" s="403"/>
      <c r="M17" s="403"/>
      <c r="N17" s="403"/>
      <c r="Q17" s="28"/>
    </row>
    <row r="18" spans="2:17">
      <c r="B18" s="403"/>
      <c r="C18" s="403"/>
      <c r="D18" s="403"/>
      <c r="E18" s="403"/>
      <c r="F18" s="403"/>
      <c r="G18" s="403"/>
      <c r="H18" s="403"/>
      <c r="I18" s="403"/>
      <c r="J18" s="403"/>
      <c r="K18" s="403"/>
      <c r="L18" s="403"/>
      <c r="M18" s="403"/>
      <c r="N18" s="403"/>
      <c r="Q18" s="28"/>
    </row>
    <row r="19" spans="2:17">
      <c r="B19" s="403"/>
      <c r="C19" s="403"/>
      <c r="D19" s="403"/>
      <c r="E19" s="403"/>
      <c r="F19" s="403"/>
      <c r="G19" s="403"/>
      <c r="H19" s="403"/>
      <c r="I19" s="403"/>
      <c r="J19" s="403"/>
      <c r="K19" s="403"/>
      <c r="L19" s="403"/>
      <c r="M19" s="403"/>
      <c r="N19" s="403"/>
      <c r="Q19" s="28"/>
    </row>
    <row r="20" spans="2:17">
      <c r="B20" s="403"/>
      <c r="C20" s="403"/>
      <c r="D20" s="403"/>
      <c r="E20" s="403"/>
      <c r="F20" s="403"/>
      <c r="G20" s="403"/>
      <c r="H20" s="403"/>
      <c r="I20" s="403"/>
      <c r="J20" s="403"/>
      <c r="K20" s="403"/>
      <c r="L20" s="403"/>
      <c r="M20" s="403"/>
      <c r="N20" s="403"/>
      <c r="Q20" s="28"/>
    </row>
    <row r="21" spans="2:17">
      <c r="B21" s="403"/>
      <c r="C21" s="403"/>
      <c r="D21" s="403"/>
      <c r="E21" s="403"/>
      <c r="F21" s="403"/>
      <c r="G21" s="403"/>
      <c r="H21" s="403"/>
      <c r="I21" s="403"/>
      <c r="J21" s="403"/>
      <c r="K21" s="403"/>
      <c r="L21" s="403"/>
      <c r="M21" s="403"/>
      <c r="N21" s="403"/>
      <c r="Q21" s="28"/>
    </row>
    <row r="22" spans="2:17">
      <c r="B22" s="403"/>
      <c r="C22" s="403"/>
      <c r="D22" s="403"/>
      <c r="E22" s="403"/>
      <c r="F22" s="403"/>
      <c r="G22" s="403"/>
      <c r="H22" s="403"/>
      <c r="I22" s="403"/>
      <c r="J22" s="403"/>
      <c r="K22" s="403"/>
      <c r="L22" s="403"/>
      <c r="M22" s="403"/>
      <c r="N22" s="403"/>
      <c r="Q22" s="28"/>
    </row>
    <row r="23" spans="2:17">
      <c r="B23" s="403"/>
      <c r="C23" s="403"/>
      <c r="D23" s="403"/>
      <c r="E23" s="403"/>
      <c r="F23" s="403"/>
      <c r="G23" s="403"/>
      <c r="H23" s="403"/>
      <c r="I23" s="403"/>
      <c r="J23" s="403"/>
      <c r="K23" s="403"/>
      <c r="L23" s="403"/>
      <c r="M23" s="403"/>
      <c r="N23" s="403"/>
      <c r="Q23" s="28"/>
    </row>
    <row r="24" spans="2:17">
      <c r="B24" s="403"/>
      <c r="C24" s="403"/>
      <c r="D24" s="403"/>
      <c r="E24" s="403"/>
      <c r="F24" s="403"/>
      <c r="G24" s="403"/>
      <c r="H24" s="403"/>
      <c r="I24" s="403"/>
      <c r="J24" s="403"/>
      <c r="K24" s="403"/>
      <c r="L24" s="403"/>
      <c r="M24" s="403"/>
      <c r="N24" s="403"/>
      <c r="Q24" s="28"/>
    </row>
    <row r="25" spans="2:17">
      <c r="B25" s="403"/>
      <c r="C25" s="403"/>
      <c r="D25" s="403"/>
      <c r="E25" s="403"/>
      <c r="F25" s="403"/>
      <c r="G25" s="403"/>
      <c r="H25" s="403"/>
      <c r="I25" s="403"/>
      <c r="J25" s="403"/>
      <c r="K25" s="403"/>
      <c r="L25" s="403"/>
      <c r="M25" s="403"/>
      <c r="N25" s="403"/>
    </row>
    <row r="26" spans="2:17">
      <c r="B26" s="403"/>
      <c r="C26" s="403"/>
      <c r="D26" s="403"/>
      <c r="E26" s="403"/>
      <c r="F26" s="403"/>
      <c r="G26" s="403"/>
      <c r="H26" s="403"/>
      <c r="I26" s="403"/>
      <c r="J26" s="403"/>
      <c r="K26" s="403"/>
      <c r="L26" s="403"/>
      <c r="M26" s="403"/>
      <c r="N26" s="403"/>
    </row>
    <row r="27" spans="2:17">
      <c r="B27" s="403"/>
      <c r="C27" s="403"/>
      <c r="D27" s="403"/>
      <c r="E27" s="403"/>
      <c r="F27" s="403"/>
      <c r="G27" s="403"/>
      <c r="H27" s="403"/>
      <c r="I27" s="403"/>
      <c r="J27" s="403"/>
      <c r="K27" s="403"/>
      <c r="L27" s="403"/>
      <c r="M27" s="403"/>
      <c r="N27" s="403"/>
    </row>
    <row r="28" spans="2:17">
      <c r="B28" s="403"/>
      <c r="C28" s="403"/>
      <c r="D28" s="403"/>
      <c r="E28" s="403"/>
      <c r="F28" s="403"/>
      <c r="G28" s="403"/>
      <c r="H28" s="403"/>
      <c r="I28" s="403"/>
      <c r="J28" s="403"/>
      <c r="K28" s="403"/>
      <c r="L28" s="403"/>
      <c r="M28" s="403"/>
      <c r="N28" s="403"/>
    </row>
    <row r="29" spans="2:17">
      <c r="B29" s="403"/>
      <c r="C29" s="403"/>
      <c r="D29" s="403"/>
      <c r="E29" s="403"/>
      <c r="F29" s="403"/>
      <c r="G29" s="403"/>
      <c r="H29" s="403"/>
      <c r="I29" s="403"/>
      <c r="J29" s="403"/>
      <c r="K29" s="403"/>
      <c r="L29" s="403"/>
      <c r="M29" s="403"/>
      <c r="N29" s="403"/>
    </row>
    <row r="30" spans="2:17">
      <c r="B30" s="31" t="str">
        <f>VLOOKUP(1868,Sprachindex!$A:$Z,Erhebungsbogen!$Y$20,FALSE)</f>
        <v>Vorannahmen für den statischen Nachweis (bei Bedarf änderbar):</v>
      </c>
      <c r="C30" s="29"/>
      <c r="D30" s="29"/>
      <c r="E30" s="29"/>
      <c r="F30" s="29"/>
      <c r="G30" s="29"/>
      <c r="H30" s="29"/>
      <c r="I30" s="29"/>
      <c r="J30" s="29"/>
      <c r="K30" s="29"/>
      <c r="L30" s="29"/>
      <c r="M30" s="29"/>
      <c r="N30" s="29"/>
    </row>
    <row r="31" spans="2:17">
      <c r="B31" s="27"/>
      <c r="C31" s="405" t="str">
        <f>VLOOKUP(1678,Sprachindex!$A:$Z,Erhebungsbogen!$Y$20,FALSE)</f>
        <v>Dichte Wasser inkl. Geschiebe:  rw</v>
      </c>
      <c r="D31" s="405"/>
      <c r="E31" s="405"/>
      <c r="F31" s="405"/>
      <c r="G31" s="405"/>
      <c r="H31" s="405"/>
      <c r="I31" s="405"/>
      <c r="J31" s="405"/>
      <c r="K31" s="405"/>
      <c r="L31" s="406">
        <v>1000</v>
      </c>
      <c r="M31" s="406"/>
      <c r="N31" s="27" t="str">
        <f>VLOOKUP(1743,Sprachindex!$A:$Z,Erhebungsbogen!$Y$20,FALSE)</f>
        <v>kg/m³</v>
      </c>
    </row>
    <row r="32" spans="2:17">
      <c r="B32" s="27"/>
      <c r="C32" s="405" t="str">
        <f>VLOOKUP(1711,Sprachindex!$A:$Z,Erhebungsbogen!$Y$20,FALSE)</f>
        <v>Fließgeschwindigkeit: v</v>
      </c>
      <c r="D32" s="405"/>
      <c r="E32" s="405"/>
      <c r="F32" s="405"/>
      <c r="G32" s="405"/>
      <c r="H32" s="405"/>
      <c r="I32" s="405"/>
      <c r="J32" s="405"/>
      <c r="K32" s="405"/>
      <c r="L32" s="406">
        <v>4</v>
      </c>
      <c r="M32" s="406"/>
      <c r="N32" s="27" t="str">
        <f>VLOOKUP(1756,Sprachindex!$A:$Z,Erhebungsbogen!$Y$20,FALSE)</f>
        <v>m/s</v>
      </c>
    </row>
    <row r="33" spans="2:14">
      <c r="B33" s="27"/>
      <c r="C33" s="405" t="str">
        <f>VLOOKUP(1620,Sprachindex!$A:$Z,Erhebungsbogen!$Y$20,FALSE)</f>
        <v>anprallende Treibgutmasse: m</v>
      </c>
      <c r="D33" s="405"/>
      <c r="E33" s="405"/>
      <c r="F33" s="405"/>
      <c r="G33" s="405"/>
      <c r="H33" s="405"/>
      <c r="I33" s="405"/>
      <c r="J33" s="405"/>
      <c r="K33" s="405"/>
      <c r="L33" s="406">
        <v>0.4</v>
      </c>
      <c r="M33" s="406"/>
      <c r="N33" s="27" t="str">
        <f>VLOOKUP(1848,Sprachindex!$A:$Z,Erhebungsbogen!$Y$20,FALSE)</f>
        <v>t</v>
      </c>
    </row>
    <row r="34" spans="2:14">
      <c r="B34" s="27"/>
      <c r="C34" s="405" t="str">
        <f>VLOOKUP(1758,Sprachindex!$A:$Z,Erhebungsbogen!$Y$20,FALSE)</f>
        <v>Maximale Durchbiegung Dammbalken (1/150 = Standard)</v>
      </c>
      <c r="D34" s="405"/>
      <c r="E34" s="405"/>
      <c r="F34" s="405"/>
      <c r="G34" s="405"/>
      <c r="H34" s="405"/>
      <c r="I34" s="405"/>
      <c r="J34" s="405"/>
      <c r="K34" s="405"/>
      <c r="L34" s="406">
        <v>150</v>
      </c>
      <c r="M34" s="406"/>
      <c r="N34" s="27"/>
    </row>
    <row r="35" spans="2:14">
      <c r="B35" s="27"/>
      <c r="C35" s="405" t="str">
        <f>VLOOKUP(1759,Sprachindex!$A:$Z,Erhebungsbogen!$Y$20,FALSE)</f>
        <v>Maximale Durchbiegung Rundsteher (1/150 = Standard)</v>
      </c>
      <c r="D35" s="405"/>
      <c r="E35" s="405"/>
      <c r="F35" s="405"/>
      <c r="G35" s="405"/>
      <c r="H35" s="405"/>
      <c r="I35" s="405"/>
      <c r="J35" s="405"/>
      <c r="K35" s="405"/>
      <c r="L35" s="406">
        <v>150</v>
      </c>
      <c r="M35" s="406"/>
      <c r="N35" s="27"/>
    </row>
    <row r="36" spans="2:14"/>
    <row r="37" spans="2:14">
      <c r="B37" s="31" t="str">
        <f>VLOOKUP(1712,Sprachindex!$A:$Z,Erhebungsbogen!$Y$20,FALSE)</f>
        <v>Folgende Nachweise werden berechnet bzw berücksichtigt:</v>
      </c>
    </row>
    <row r="38" spans="2:14">
      <c r="C38" s="28" t="str">
        <f>VLOOKUP(1735,Sprachindex!$A:$Z,Erhebungsbogen!$Y$20,FALSE)</f>
        <v>Hydrostatische Einwirkung</v>
      </c>
    </row>
    <row r="39" spans="2:14">
      <c r="C39" s="28" t="str">
        <f>VLOOKUP(1731,Sprachindex!$A:$Z,Erhebungsbogen!$Y$20,FALSE)</f>
        <v>Hydrodynamische Einwirkung</v>
      </c>
    </row>
    <row r="40" spans="2:14">
      <c r="C40" s="28" t="str">
        <f>VLOOKUP(1618,Sprachindex!$A:$Z,Erhebungsbogen!$Y$20,FALSE)</f>
        <v>Anprall von Treibgut (nur bei Eingabe von Anströmwinkel)</v>
      </c>
    </row>
    <row r="41" spans="2:14"/>
    <row r="42" spans="2:14"/>
    <row r="43" spans="2:14">
      <c r="L43" s="96" t="str">
        <f>VLOOKUP(2116,Sprachindex!$A:$Z,Erhebungsbogen!$Y$20,FALSE)</f>
        <v>MwSt.</v>
      </c>
      <c r="M43" s="332">
        <v>8.1</v>
      </c>
      <c r="N43" s="97" t="s">
        <v>22195</v>
      </c>
    </row>
    <row r="44" spans="2:14"/>
    <row r="45" spans="2:14"/>
    <row r="46" spans="2:14">
      <c r="H46" s="28" t="str">
        <f>VLOOKUP(1647,Sprachindex!$A:$Z,Erhebungsbogen!$Y$20,FALSE)</f>
        <v>BHW = Bemessungshochwasser</v>
      </c>
    </row>
    <row r="47" spans="2:14">
      <c r="H47" s="28" t="str">
        <f>VLOOKUP(1707,Sprachindex!$A:$Z,Erhebungsbogen!$Y$20,FALSE)</f>
        <v>FB = Freibord</v>
      </c>
    </row>
    <row r="48" spans="2:14">
      <c r="H48" s="28" t="str">
        <f>VLOOKUP(1869,Sprachindex!$A:$Z,Erhebungsbogen!$Y$20,FALSE)</f>
        <v>VS = Volleinstau</v>
      </c>
    </row>
    <row r="49" spans="1:15"/>
    <row r="50" spans="1:15">
      <c r="C50" s="28" t="str">
        <f>VLOOKUP(1607,Sprachindex!$A:$Z,Erhebungsbogen!$Y$20,FALSE)</f>
        <v>Abbildung 1</v>
      </c>
    </row>
    <row r="51" spans="1:15"/>
    <row r="52" spans="1:15" ht="15" customHeight="1">
      <c r="A52" s="402" t="str">
        <f>VLOOKUP(1685,Sprachindex!$A:$Z,Erhebungsbogen!$Y$20,FALSE)</f>
        <v>Die Gültigkeit dieses Dokumentes endet mit 31.12.2023</v>
      </c>
      <c r="B52" s="402"/>
      <c r="C52" s="402"/>
      <c r="D52" s="402"/>
      <c r="E52" s="402"/>
      <c r="F52" s="402"/>
      <c r="G52" s="402"/>
      <c r="H52" s="402"/>
      <c r="I52" s="402"/>
      <c r="J52" s="402"/>
      <c r="K52" s="402"/>
      <c r="L52" s="402"/>
      <c r="M52" s="402"/>
      <c r="N52" s="402"/>
      <c r="O52" s="402"/>
    </row>
    <row r="53" spans="1:15" ht="14.25" customHeight="1">
      <c r="C53" s="404" t="str">
        <f>VLOOKUP(1686,Sprachindex!$A:$Z,Erhebungsbogen!$Y$20,FALSE)</f>
        <v>Die hinterlegten Preise gelten bis Neuauflage der Preisliste vorbehaltlich vorgezogener Preisanpassungen</v>
      </c>
      <c r="D53" s="404"/>
      <c r="E53" s="404"/>
      <c r="F53" s="404"/>
      <c r="G53" s="404"/>
      <c r="H53" s="404"/>
      <c r="I53" s="404"/>
      <c r="J53" s="404"/>
      <c r="K53" s="404"/>
      <c r="L53" s="404"/>
      <c r="M53" s="404"/>
    </row>
    <row r="54" spans="1:15">
      <c r="C54" s="404"/>
      <c r="D54" s="404"/>
      <c r="E54" s="404"/>
      <c r="F54" s="404"/>
      <c r="G54" s="404"/>
      <c r="H54" s="404"/>
      <c r="I54" s="404"/>
      <c r="J54" s="404"/>
      <c r="K54" s="404"/>
      <c r="L54" s="404"/>
      <c r="M54" s="404"/>
    </row>
    <row r="55" spans="1:15">
      <c r="C55" s="26"/>
      <c r="D55" s="26"/>
      <c r="E55" s="26"/>
      <c r="F55" s="26"/>
      <c r="G55" s="26"/>
      <c r="H55" s="26"/>
      <c r="I55" s="26"/>
      <c r="J55" s="26"/>
      <c r="K55" s="26"/>
      <c r="L55" s="26"/>
      <c r="M55" s="26"/>
    </row>
    <row r="56" spans="1:15">
      <c r="A56" s="286"/>
      <c r="B56" s="287" t="s">
        <v>22603</v>
      </c>
      <c r="C56" s="287"/>
      <c r="D56" s="407" t="str" cm="1">
        <f t="array" aca="1" ref="D56" ca="1">MID(CELL("Dateiname"),FIND("[",CELL("Dateiname"))+1,FIND("]",CELL("Dateiname"))-FIND("[",CELL("Dateiname"))-1)</f>
        <v>02110307_CH-de_Vorlage_Erhebungsbogen Hochwasserschutz_PREFA_2024-4.xlsx</v>
      </c>
      <c r="E56" s="407"/>
      <c r="F56" s="407"/>
      <c r="G56" s="407"/>
      <c r="H56" s="407"/>
      <c r="I56" s="407"/>
      <c r="J56" s="407"/>
      <c r="K56" s="407"/>
      <c r="L56" s="287"/>
      <c r="M56" s="288" t="str">
        <f>VLOOKUP(1865,Sprachindex!$A:$Z,Erhebungsbogen!$Y$20,FALSE)</f>
        <v>Version:</v>
      </c>
      <c r="N56" s="400">
        <f>Erhebungsbogen!W63</f>
        <v>45398</v>
      </c>
      <c r="O56" s="401"/>
    </row>
  </sheetData>
  <sheetProtection sheet="1" objects="1" scenarios="1" selectLockedCells="1"/>
  <mergeCells count="17">
    <mergeCell ref="D2:O4"/>
    <mergeCell ref="C31:K31"/>
    <mergeCell ref="C32:K32"/>
    <mergeCell ref="L32:M32"/>
    <mergeCell ref="L31:M31"/>
    <mergeCell ref="N56:O56"/>
    <mergeCell ref="A52:O52"/>
    <mergeCell ref="B7:N10"/>
    <mergeCell ref="B12:N29"/>
    <mergeCell ref="C53:M54"/>
    <mergeCell ref="C33:K33"/>
    <mergeCell ref="C34:K34"/>
    <mergeCell ref="C35:K35"/>
    <mergeCell ref="L35:M35"/>
    <mergeCell ref="L34:M34"/>
    <mergeCell ref="L33:M33"/>
    <mergeCell ref="D56:K56"/>
  </mergeCells>
  <pageMargins left="0.39370078740157483" right="0.39370078740157483" top="0.39370078740157483" bottom="0.39370078740157483" header="0.31496062992125984" footer="0.31496062992125984"/>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11AD2C63-56DE-4BC5-B243-22392A23F1B1}">
            <xm:f>Erhebungsbogen!$W$37&gt;0</xm:f>
            <x14:dxf>
              <font>
                <color theme="1"/>
              </font>
            </x14:dxf>
          </x14:cfRule>
          <xm:sqref>L43:N43</xm:sqref>
        </x14:conditionalFormatting>
        <x14:conditionalFormatting xmlns:xm="http://schemas.microsoft.com/office/excel/2006/main">
          <x14:cfRule type="expression" priority="1" id="{07A6A0B6-0F0F-4C7B-BEC7-717E2D1AC561}">
            <xm:f>Erhebungsbogen!$W$37&gt;0</xm:f>
            <x14:dxf>
              <fill>
                <patternFill>
                  <bgColor theme="0" tint="-0.14996795556505021"/>
                </patternFill>
              </fill>
              <border>
                <bottom style="dotted">
                  <color auto="1"/>
                </bottom>
                <vertical/>
                <horizontal/>
              </border>
            </x14:dxf>
          </x14:cfRule>
          <xm:sqref>M43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3ACCA-DD60-4CD9-896D-2D5E072E116C}">
  <sheetPr codeName="Tabelle40">
    <pageSetUpPr fitToPage="1"/>
  </sheetPr>
  <dimension ref="A1:DR61"/>
  <sheetViews>
    <sheetView showGridLines="0" workbookViewId="0"/>
  </sheetViews>
  <sheetFormatPr baseColWidth="10" defaultColWidth="0" defaultRowHeight="15" customHeight="1" zeroHeight="1"/>
  <cols>
    <col min="1" max="83" width="1.7109375" customWidth="1"/>
    <col min="84" max="122" width="1.7109375" hidden="1" customWidth="1"/>
    <col min="123" max="16384" width="11.42578125" hidden="1"/>
  </cols>
  <sheetData>
    <row r="1" spans="2:97" ht="8.1" customHeight="1"/>
    <row r="2" spans="2:97" ht="9.9499999999999993" customHeight="1">
      <c r="B2" s="130"/>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8"/>
    </row>
    <row r="3" spans="2:97" ht="9.9499999999999993" customHeight="1">
      <c r="B3" s="131"/>
      <c r="AB3" s="135"/>
      <c r="AP3" s="135"/>
      <c r="AQ3" s="135"/>
      <c r="AR3" s="135"/>
      <c r="AS3" s="135"/>
      <c r="AT3" s="135"/>
      <c r="CD3" s="120"/>
    </row>
    <row r="4" spans="2:97" ht="9.9499999999999993" customHeight="1">
      <c r="B4" s="131"/>
      <c r="P4" s="242"/>
      <c r="V4" s="242"/>
      <c r="X4" s="135"/>
      <c r="Y4" s="135"/>
      <c r="Z4" s="135"/>
      <c r="AA4" s="135"/>
      <c r="AB4" s="135"/>
      <c r="AZ4" s="242"/>
      <c r="CD4" s="120"/>
    </row>
    <row r="5" spans="2:97" ht="9.9499999999999993" customHeight="1">
      <c r="B5" s="131"/>
      <c r="N5" s="242"/>
      <c r="O5" s="242"/>
      <c r="P5" s="242"/>
      <c r="T5" s="242"/>
      <c r="U5" s="242"/>
      <c r="V5" s="242"/>
      <c r="AX5" s="242"/>
      <c r="AY5" s="242"/>
      <c r="AZ5" s="242"/>
      <c r="CD5" s="120"/>
    </row>
    <row r="6" spans="2:97" ht="9.9499999999999993" customHeight="1">
      <c r="B6" s="131"/>
      <c r="CD6" s="120"/>
    </row>
    <row r="7" spans="2:97" ht="9.9499999999999993" customHeight="1">
      <c r="B7" s="131"/>
      <c r="AM7" s="242"/>
      <c r="CD7" s="120"/>
    </row>
    <row r="8" spans="2:97" ht="9.9499999999999993" customHeight="1">
      <c r="B8" s="131"/>
      <c r="AK8" s="242"/>
      <c r="AL8" s="242"/>
      <c r="AM8" s="242"/>
      <c r="CD8" s="120"/>
    </row>
    <row r="9" spans="2:97" ht="9.9499999999999993" customHeight="1">
      <c r="B9" s="131"/>
      <c r="CD9" s="120"/>
    </row>
    <row r="10" spans="2:97" ht="9.9499999999999993" customHeight="1">
      <c r="B10" s="131"/>
      <c r="Q10" s="237"/>
      <c r="R10" s="237"/>
      <c r="S10" s="237"/>
      <c r="AF10" s="237"/>
      <c r="AG10" s="237"/>
      <c r="AH10" s="237"/>
      <c r="AT10" s="237"/>
      <c r="AU10" s="237"/>
      <c r="AV10" s="237"/>
      <c r="AW10" s="237"/>
      <c r="CD10" s="120"/>
    </row>
    <row r="11" spans="2:97" ht="9.9499999999999993" customHeight="1">
      <c r="B11" s="131"/>
      <c r="W11" s="235"/>
      <c r="X11" s="235"/>
      <c r="Y11" s="235"/>
      <c r="Z11" s="235"/>
      <c r="AA11" s="235"/>
      <c r="AB11" s="235"/>
      <c r="AC11" s="235"/>
      <c r="AD11" s="235"/>
      <c r="AE11" s="235"/>
      <c r="AJ11" s="235"/>
      <c r="AK11" s="235"/>
      <c r="AL11" s="235"/>
      <c r="AM11" s="235"/>
      <c r="AN11" s="235"/>
      <c r="AO11" s="235"/>
      <c r="AS11" s="237"/>
      <c r="AX11" s="235"/>
      <c r="AY11" s="235"/>
      <c r="AZ11" s="235"/>
      <c r="CD11" s="120"/>
    </row>
    <row r="12" spans="2:97" ht="9.9499999999999993" customHeight="1">
      <c r="B12" s="131"/>
      <c r="W12" s="235"/>
      <c r="X12" s="235"/>
      <c r="Y12" s="235"/>
      <c r="Z12" s="235"/>
      <c r="AA12" s="235"/>
      <c r="AB12" s="235"/>
      <c r="AC12" s="235"/>
      <c r="AD12" s="235"/>
      <c r="AE12" s="235"/>
      <c r="AJ12" s="235"/>
      <c r="AK12" s="235"/>
      <c r="AL12" s="235"/>
      <c r="AM12" s="235"/>
      <c r="AN12" s="235"/>
      <c r="AO12" s="235"/>
      <c r="AS12" s="237"/>
      <c r="AX12" s="235"/>
      <c r="AY12" s="235"/>
      <c r="AZ12" s="235"/>
      <c r="CD12" s="120"/>
    </row>
    <row r="13" spans="2:97" ht="9.9499999999999993" customHeight="1">
      <c r="B13" s="131"/>
      <c r="W13" s="235"/>
      <c r="X13" s="235"/>
      <c r="Y13" s="235"/>
      <c r="Z13" s="235"/>
      <c r="AA13" s="235"/>
      <c r="AB13" s="235"/>
      <c r="AC13" s="235"/>
      <c r="AD13" s="235"/>
      <c r="AE13" s="235"/>
      <c r="AJ13" s="235"/>
      <c r="AK13" s="235"/>
      <c r="AL13" s="235"/>
      <c r="AM13" s="235"/>
      <c r="AN13" s="235"/>
      <c r="AO13" s="235"/>
      <c r="AS13" s="237"/>
      <c r="AX13" s="235"/>
      <c r="AY13" s="235"/>
      <c r="AZ13" s="235"/>
      <c r="CD13" s="120"/>
    </row>
    <row r="14" spans="2:97" ht="9.9499999999999993" customHeight="1">
      <c r="B14" s="131"/>
      <c r="Q14" s="237"/>
      <c r="R14" s="237"/>
      <c r="S14" s="237"/>
      <c r="W14" s="235"/>
      <c r="X14" s="235"/>
      <c r="Y14" s="235"/>
      <c r="Z14" s="235"/>
      <c r="AA14" s="235"/>
      <c r="AB14" s="235"/>
      <c r="AC14" s="235"/>
      <c r="AD14" s="235"/>
      <c r="AE14" s="235"/>
      <c r="AF14" s="237"/>
      <c r="AG14" s="237"/>
      <c r="AH14" s="237"/>
      <c r="AI14" s="235"/>
      <c r="AJ14" s="235"/>
      <c r="AK14" s="235"/>
      <c r="AL14" s="235"/>
      <c r="AM14" s="235"/>
      <c r="AN14" s="235"/>
      <c r="AO14" s="235"/>
      <c r="AS14" s="237"/>
      <c r="AT14" s="237"/>
      <c r="AU14" s="237"/>
      <c r="AV14" s="237"/>
      <c r="AW14" s="237"/>
      <c r="AX14" s="235"/>
      <c r="AY14" s="235"/>
      <c r="AZ14" s="235"/>
      <c r="CD14" s="120"/>
    </row>
    <row r="15" spans="2:97" ht="9.9499999999999993" customHeight="1">
      <c r="B15" s="131"/>
      <c r="AS15" s="238"/>
      <c r="CD15" s="120"/>
      <c r="CQ15" s="133"/>
      <c r="CR15" s="133"/>
      <c r="CS15" s="133"/>
    </row>
    <row r="16" spans="2:97" ht="9.9499999999999993" customHeight="1">
      <c r="B16" s="131"/>
      <c r="AS16" s="135"/>
      <c r="CD16" s="120"/>
    </row>
    <row r="17" spans="2:103" ht="9.9499999999999993" customHeight="1">
      <c r="B17" s="131"/>
      <c r="AB17" s="135"/>
      <c r="AP17" s="135"/>
      <c r="AQ17" s="135"/>
      <c r="AR17" s="135"/>
      <c r="AS17" s="135"/>
      <c r="AT17" s="135"/>
      <c r="CD17" s="120"/>
    </row>
    <row r="18" spans="2:103" ht="9.9499999999999993" customHeight="1">
      <c r="B18" s="131"/>
      <c r="CD18" s="120"/>
    </row>
    <row r="19" spans="2:103" ht="9.9499999999999993" customHeight="1">
      <c r="B19" s="131"/>
      <c r="CD19" s="120"/>
    </row>
    <row r="20" spans="2:103" ht="9.9499999999999993" customHeight="1">
      <c r="B20" s="131"/>
      <c r="CD20" s="120"/>
      <c r="CW20" s="136"/>
    </row>
    <row r="21" spans="2:103" ht="9.75" customHeight="1">
      <c r="B21" s="131"/>
      <c r="CD21" s="120"/>
      <c r="CW21" s="136"/>
      <c r="CX21" s="136"/>
    </row>
    <row r="22" spans="2:103" ht="9.75" customHeight="1">
      <c r="B22" s="131"/>
      <c r="CD22" s="120"/>
      <c r="CW22" s="136"/>
      <c r="CX22" s="136"/>
      <c r="CY22" s="136"/>
    </row>
    <row r="23" spans="2:103" ht="9.75" customHeight="1">
      <c r="B23" s="131"/>
      <c r="CD23" s="120"/>
    </row>
    <row r="24" spans="2:103" ht="9.75" customHeight="1">
      <c r="B24" s="131"/>
      <c r="CD24" s="120"/>
    </row>
    <row r="25" spans="2:103" ht="9.75" customHeight="1">
      <c r="B25" s="131"/>
      <c r="R25" s="542">
        <f>Kalk5!H28</f>
        <v>0</v>
      </c>
      <c r="S25" s="542"/>
      <c r="T25" s="542"/>
      <c r="U25" s="542"/>
      <c r="AC25" s="542">
        <f>Kalk5!H28</f>
        <v>0</v>
      </c>
      <c r="AD25" s="542"/>
      <c r="AE25" s="542"/>
      <c r="AF25" s="542"/>
      <c r="AG25" s="542"/>
      <c r="AO25" s="542">
        <f>Kalk5!H28</f>
        <v>0</v>
      </c>
      <c r="AP25" s="542"/>
      <c r="AQ25" s="542"/>
      <c r="AR25" s="542"/>
      <c r="CD25" s="120"/>
    </row>
    <row r="26" spans="2:103" ht="12" customHeight="1">
      <c r="B26" s="131"/>
      <c r="BA26" s="235"/>
      <c r="BB26" s="235"/>
      <c r="BC26" s="235"/>
      <c r="BD26" s="235"/>
      <c r="BE26" s="235"/>
      <c r="BF26" s="235"/>
      <c r="BG26" s="235"/>
      <c r="BH26" s="235"/>
      <c r="BI26" s="235"/>
      <c r="BJ26" s="235"/>
      <c r="BK26" s="235"/>
      <c r="BL26" s="235"/>
      <c r="BM26" s="235"/>
      <c r="BQ26" s="237"/>
      <c r="BR26" s="237"/>
      <c r="BS26" s="237"/>
      <c r="CD26" s="120"/>
    </row>
    <row r="27" spans="2:103" ht="9.75" customHeight="1">
      <c r="B27" s="131"/>
      <c r="N27" s="541">
        <v>5</v>
      </c>
      <c r="O27" s="541"/>
      <c r="X27" s="540">
        <v>5</v>
      </c>
      <c r="Y27" s="540"/>
      <c r="AU27" s="540">
        <v>5</v>
      </c>
      <c r="AV27" s="540"/>
      <c r="BA27" s="235"/>
      <c r="BB27" s="235"/>
      <c r="BC27" s="235"/>
      <c r="BD27" s="235"/>
      <c r="BE27" s="235"/>
      <c r="BF27" s="235"/>
      <c r="BG27" s="235"/>
      <c r="BH27" s="235"/>
      <c r="BI27" s="235"/>
      <c r="BJ27" s="235"/>
      <c r="BK27" s="235"/>
      <c r="BL27" s="235"/>
      <c r="BM27" s="235"/>
      <c r="BQ27" s="237"/>
      <c r="BR27" s="540">
        <v>5</v>
      </c>
      <c r="BS27" s="540"/>
      <c r="CD27" s="120"/>
    </row>
    <row r="28" spans="2:103" ht="9.75" customHeight="1">
      <c r="B28" s="131"/>
      <c r="BQ28" s="236"/>
      <c r="BR28" s="236"/>
      <c r="BS28" s="236"/>
      <c r="CD28" s="120"/>
    </row>
    <row r="29" spans="2:103" ht="9.75" customHeight="1">
      <c r="B29" s="131"/>
      <c r="Q29" s="237"/>
      <c r="AP29" s="238"/>
      <c r="AQ29" s="238"/>
      <c r="AR29" s="238"/>
      <c r="AS29" s="238"/>
      <c r="AT29" s="238"/>
      <c r="BN29" s="236"/>
      <c r="BO29" s="236"/>
      <c r="BP29" s="236"/>
      <c r="BQ29" s="236"/>
      <c r="BR29" s="236"/>
      <c r="BS29" s="236"/>
      <c r="CD29" s="120"/>
    </row>
    <row r="30" spans="2:103" ht="9.75" customHeight="1">
      <c r="B30" s="131"/>
      <c r="Q30" s="237"/>
      <c r="CD30" s="120"/>
    </row>
    <row r="31" spans="2:103" ht="9.75" customHeight="1">
      <c r="B31" s="131"/>
      <c r="CD31" s="120"/>
    </row>
    <row r="32" spans="2:103" ht="9" customHeight="1">
      <c r="B32" s="131"/>
      <c r="U32" s="236"/>
      <c r="CD32" s="120"/>
    </row>
    <row r="33" spans="2:93" ht="9.75" customHeight="1">
      <c r="B33" s="131"/>
      <c r="R33" s="236"/>
      <c r="S33" s="236"/>
      <c r="T33" s="236"/>
      <c r="U33" s="236"/>
      <c r="CD33" s="120"/>
    </row>
    <row r="34" spans="2:93" ht="9.75" customHeight="1">
      <c r="B34" s="131"/>
      <c r="R34" s="543">
        <f>Kalk5!AH38</f>
        <v>0</v>
      </c>
      <c r="S34" s="543"/>
      <c r="T34" s="543"/>
      <c r="U34" s="543"/>
      <c r="AO34" s="543">
        <f>Kalk5!AH38</f>
        <v>0</v>
      </c>
      <c r="AP34" s="543"/>
      <c r="AQ34" s="543"/>
      <c r="AR34" s="543"/>
      <c r="BA34" s="135"/>
      <c r="BB34" s="135"/>
      <c r="BC34" s="135"/>
      <c r="BD34" s="135"/>
      <c r="BE34" s="135"/>
      <c r="BF34" s="135"/>
      <c r="BG34" s="135"/>
      <c r="BH34" s="135"/>
      <c r="BI34" s="135"/>
      <c r="BJ34" s="135"/>
      <c r="BK34" s="135"/>
      <c r="BL34" s="543">
        <f>Kalk5!AH38</f>
        <v>0</v>
      </c>
      <c r="BM34" s="543"/>
      <c r="BN34" s="543"/>
      <c r="BO34" s="543"/>
      <c r="BP34" s="135"/>
      <c r="BQ34" s="135"/>
      <c r="BR34" s="135"/>
      <c r="BS34" s="135"/>
      <c r="BT34" s="135"/>
      <c r="BU34" s="135"/>
      <c r="BV34" s="135"/>
      <c r="BW34" s="135"/>
      <c r="BX34" s="135"/>
      <c r="BY34" s="135"/>
      <c r="BZ34" s="135"/>
      <c r="CA34" s="135"/>
      <c r="CD34" s="120"/>
      <c r="CO34" s="137"/>
    </row>
    <row r="35" spans="2:93" ht="10.5" customHeight="1">
      <c r="B35" s="131"/>
      <c r="R35" s="543" t="s">
        <v>22580</v>
      </c>
      <c r="S35" s="543"/>
      <c r="T35" s="543"/>
      <c r="U35" s="543"/>
      <c r="AO35" s="542" t="str">
        <f>IF(Kalk5!H35=2,"(1x)","("&amp; Kalk5!H35-2 &amp; "x)")</f>
        <v>(-1x)</v>
      </c>
      <c r="AP35" s="542"/>
      <c r="AQ35" s="542"/>
      <c r="AR35" s="542"/>
      <c r="BA35" s="135"/>
      <c r="BB35" s="135"/>
      <c r="BC35" s="135"/>
      <c r="BD35" s="135"/>
      <c r="BE35" s="135"/>
      <c r="BF35" s="135"/>
      <c r="BG35" s="135"/>
      <c r="BH35" s="135"/>
      <c r="BI35" s="135"/>
      <c r="BJ35" s="135"/>
      <c r="BK35" s="135"/>
      <c r="BL35" s="543" t="s">
        <v>22580</v>
      </c>
      <c r="BM35" s="543"/>
      <c r="BN35" s="543"/>
      <c r="BO35" s="543"/>
      <c r="BP35" s="135"/>
      <c r="BQ35" s="135"/>
      <c r="BR35" s="135"/>
      <c r="BS35" s="135"/>
      <c r="BT35" s="135"/>
      <c r="BU35" s="135"/>
      <c r="BV35" s="135"/>
      <c r="BW35" s="135"/>
      <c r="BX35" s="135"/>
      <c r="BY35" s="135"/>
      <c r="BZ35" s="135"/>
      <c r="CA35" s="135"/>
      <c r="CD35" s="120"/>
      <c r="CO35" s="137"/>
    </row>
    <row r="36" spans="2:93" ht="9.75" customHeight="1">
      <c r="B36" s="131"/>
      <c r="R36" s="543"/>
      <c r="S36" s="543"/>
      <c r="T36" s="543"/>
      <c r="U36" s="543"/>
      <c r="AO36" s="542"/>
      <c r="AP36" s="542"/>
      <c r="AQ36" s="542"/>
      <c r="AR36" s="542"/>
      <c r="AY36" s="135"/>
      <c r="AZ36" s="135"/>
      <c r="BA36" s="135"/>
      <c r="BB36" s="135"/>
      <c r="BC36" s="135"/>
      <c r="BD36" s="135"/>
      <c r="BE36" s="135"/>
      <c r="BF36" s="135"/>
      <c r="BG36" s="135"/>
      <c r="BH36" s="135"/>
      <c r="BI36" s="135"/>
      <c r="BJ36" s="135"/>
      <c r="BK36" s="135"/>
      <c r="BL36" s="543"/>
      <c r="BM36" s="543"/>
      <c r="BN36" s="543"/>
      <c r="BO36" s="543"/>
      <c r="BP36" s="135"/>
      <c r="BQ36" s="135"/>
      <c r="BR36" s="135"/>
      <c r="BS36" s="135"/>
      <c r="BT36" s="135"/>
      <c r="BU36" s="135"/>
      <c r="BV36" s="135"/>
      <c r="BW36" s="135"/>
      <c r="BX36" s="135"/>
      <c r="BY36" s="135"/>
      <c r="BZ36" s="135"/>
      <c r="CA36" s="135"/>
      <c r="CD36" s="120"/>
      <c r="CO36" s="137"/>
    </row>
    <row r="37" spans="2:93" ht="9.75" customHeight="1">
      <c r="B37" s="131"/>
      <c r="R37" s="543">
        <f>IF(M51=1,R25,IF(M51&gt;1,R34+I46,""))</f>
        <v>0</v>
      </c>
      <c r="S37" s="543"/>
      <c r="T37" s="543"/>
      <c r="U37" s="543"/>
      <c r="AO37" s="543" t="str">
        <f>IF(M51=2,AO34+M46,IF(M51&gt;2,AO34+K46,""))</f>
        <v/>
      </c>
      <c r="AP37" s="543"/>
      <c r="AQ37" s="543"/>
      <c r="AR37" s="543"/>
      <c r="AY37" s="135"/>
      <c r="AZ37" s="135"/>
      <c r="BA37" s="135"/>
      <c r="BB37" s="135"/>
      <c r="BC37" s="135"/>
      <c r="BD37" s="135"/>
      <c r="BE37" s="135"/>
      <c r="BF37" s="135"/>
      <c r="BG37" s="135"/>
      <c r="BH37" s="135"/>
      <c r="BI37" s="135"/>
      <c r="BJ37" s="135"/>
      <c r="BK37" s="135"/>
      <c r="BL37" s="543" t="str">
        <f>IF(M51&gt;2,BL34+M46,"")</f>
        <v/>
      </c>
      <c r="BM37" s="543"/>
      <c r="BN37" s="543"/>
      <c r="BO37" s="543"/>
      <c r="BP37" s="135"/>
      <c r="BQ37" s="135"/>
      <c r="BR37" s="135"/>
      <c r="BS37" s="135"/>
      <c r="BT37" s="135"/>
      <c r="BU37" s="135"/>
      <c r="BV37" s="135"/>
      <c r="BW37" s="135"/>
      <c r="BX37" s="135"/>
      <c r="BY37" s="135"/>
      <c r="BZ37" s="135"/>
      <c r="CA37" s="135"/>
      <c r="CD37" s="120"/>
    </row>
    <row r="38" spans="2:93" ht="9.75" customHeight="1">
      <c r="B38" s="131"/>
      <c r="BK38" s="135"/>
      <c r="BL38" s="135"/>
      <c r="BM38" s="135"/>
      <c r="BN38" s="135"/>
      <c r="BO38" s="135"/>
      <c r="BP38" s="135"/>
      <c r="BQ38" s="135"/>
      <c r="BR38" s="135"/>
      <c r="BS38" s="135"/>
      <c r="BT38" s="135"/>
      <c r="BU38" s="135"/>
      <c r="BV38" s="135"/>
      <c r="BW38" s="135"/>
      <c r="BX38" s="135"/>
      <c r="BY38" s="135"/>
      <c r="BZ38" s="135"/>
      <c r="CA38" s="135"/>
      <c r="CD38" s="120"/>
    </row>
    <row r="39" spans="2:93" ht="9.9499999999999993" customHeight="1">
      <c r="B39" s="131"/>
      <c r="BK39" s="135"/>
      <c r="BL39" s="135"/>
      <c r="BM39" s="135"/>
      <c r="BN39" s="135"/>
      <c r="BO39" s="135"/>
      <c r="BP39" s="135"/>
      <c r="BQ39" s="135"/>
      <c r="BR39" s="135"/>
      <c r="BS39" s="135"/>
      <c r="BT39" s="135"/>
      <c r="BU39" s="135"/>
      <c r="BV39" s="135"/>
      <c r="BW39" s="135"/>
      <c r="BX39" s="135"/>
      <c r="BY39" s="135"/>
      <c r="BZ39" s="135"/>
      <c r="CA39" s="135"/>
      <c r="CD39" s="120"/>
    </row>
    <row r="40" spans="2:93" ht="9.9499999999999993" customHeight="1">
      <c r="B40" s="131"/>
      <c r="BK40" s="135"/>
      <c r="BL40" s="135"/>
      <c r="BM40" s="135"/>
      <c r="BN40" s="135"/>
      <c r="BO40" s="135"/>
      <c r="BP40" s="135"/>
      <c r="BQ40" s="135"/>
      <c r="BR40" s="135"/>
      <c r="BS40" s="135"/>
      <c r="BT40" s="135"/>
      <c r="BU40" s="135"/>
      <c r="BV40" s="135"/>
      <c r="BW40" s="135"/>
      <c r="BX40" s="135"/>
      <c r="BY40" s="135"/>
      <c r="BZ40" s="135"/>
      <c r="CA40" s="135"/>
      <c r="CD40" s="120"/>
    </row>
    <row r="41" spans="2:93" ht="9.9499999999999993" customHeight="1">
      <c r="B41" s="131"/>
      <c r="CD41" s="120"/>
    </row>
    <row r="42" spans="2:93" ht="9.9499999999999993" customHeight="1">
      <c r="B42" s="131"/>
      <c r="CD42" s="120"/>
    </row>
    <row r="43" spans="2:93" ht="9.75" customHeight="1">
      <c r="B43" s="131"/>
      <c r="CD43" s="120"/>
    </row>
    <row r="44" spans="2:93" ht="9.9499999999999993" customHeight="1">
      <c r="B44" s="131"/>
      <c r="F44" s="321"/>
      <c r="G44" s="321"/>
      <c r="H44" s="321"/>
      <c r="I44" s="321" t="s">
        <v>19882</v>
      </c>
      <c r="J44" s="321"/>
      <c r="K44" s="321" t="s">
        <v>22634</v>
      </c>
      <c r="L44" s="321"/>
      <c r="M44" s="321" t="s">
        <v>20310</v>
      </c>
      <c r="N44" s="321"/>
      <c r="O44" s="320"/>
      <c r="CD44" s="120"/>
      <c r="CE44" s="135"/>
      <c r="CF44" s="135"/>
      <c r="CG44" s="135"/>
    </row>
    <row r="45" spans="2:93" ht="9.9499999999999993" customHeight="1">
      <c r="B45" s="131"/>
      <c r="F45" s="321"/>
      <c r="G45" s="321"/>
      <c r="H45" s="321"/>
      <c r="I45" s="544">
        <f>Kalk5!AA7</f>
        <v>1</v>
      </c>
      <c r="J45" s="544"/>
      <c r="K45" s="544"/>
      <c r="L45" s="544"/>
      <c r="M45" s="544">
        <f>Kalk5!AA9</f>
        <v>1</v>
      </c>
      <c r="N45" s="544"/>
      <c r="O45" s="320"/>
      <c r="CD45" s="120"/>
      <c r="CE45" s="135"/>
      <c r="CF45" s="135"/>
      <c r="CG45" s="135"/>
    </row>
    <row r="46" spans="2:93" ht="9.9499999999999993" customHeight="1">
      <c r="B46" s="131"/>
      <c r="F46" s="321"/>
      <c r="G46" s="321"/>
      <c r="H46" s="321"/>
      <c r="I46" s="544">
        <f>IF(I45=1,I47,IF(I45=2,I48,IF(I45=3,I49,0)))</f>
        <v>-18</v>
      </c>
      <c r="J46" s="544"/>
      <c r="K46" s="544">
        <v>50</v>
      </c>
      <c r="L46" s="544"/>
      <c r="M46" s="544">
        <f>IF(M45=1,M47,IF(M45=2,M48,IF(M45=3,M49,0)))</f>
        <v>-18</v>
      </c>
      <c r="N46" s="544"/>
      <c r="O46" s="320"/>
      <c r="CD46" s="120"/>
    </row>
    <row r="47" spans="2:93" ht="9.9499999999999993" customHeight="1">
      <c r="B47" s="131"/>
      <c r="F47" s="321" t="s">
        <v>22635</v>
      </c>
      <c r="G47" s="321"/>
      <c r="H47" s="321"/>
      <c r="I47" s="544">
        <v>-18</v>
      </c>
      <c r="J47" s="544"/>
      <c r="K47" s="544">
        <v>50</v>
      </c>
      <c r="L47" s="544"/>
      <c r="M47" s="544">
        <v>-18</v>
      </c>
      <c r="N47" s="544"/>
      <c r="O47" s="320"/>
      <c r="CD47" s="120"/>
    </row>
    <row r="48" spans="2:93" ht="9.9499999999999993" customHeight="1">
      <c r="B48" s="131"/>
      <c r="F48" s="321" t="s">
        <v>22636</v>
      </c>
      <c r="G48" s="321"/>
      <c r="H48" s="321"/>
      <c r="I48" s="544">
        <v>55</v>
      </c>
      <c r="J48" s="544"/>
      <c r="K48" s="544">
        <v>50</v>
      </c>
      <c r="L48" s="544"/>
      <c r="M48" s="544">
        <v>55</v>
      </c>
      <c r="N48" s="544"/>
      <c r="O48" s="320"/>
      <c r="CD48" s="120"/>
    </row>
    <row r="49" spans="2:82" ht="9.9499999999999993" customHeight="1">
      <c r="B49" s="131"/>
      <c r="F49" s="321" t="s">
        <v>22637</v>
      </c>
      <c r="G49" s="321"/>
      <c r="H49" s="321"/>
      <c r="I49" s="544">
        <v>-13</v>
      </c>
      <c r="J49" s="544"/>
      <c r="K49" s="544">
        <v>50</v>
      </c>
      <c r="L49" s="544"/>
      <c r="M49" s="544">
        <v>-13</v>
      </c>
      <c r="N49" s="544"/>
      <c r="O49" s="320"/>
      <c r="CD49" s="120"/>
    </row>
    <row r="50" spans="2:82" ht="9.9499999999999993" customHeight="1">
      <c r="B50" s="131"/>
      <c r="F50" s="320"/>
      <c r="G50" s="320"/>
      <c r="H50" s="320"/>
      <c r="I50" s="320"/>
      <c r="J50" s="320"/>
      <c r="K50" s="320"/>
      <c r="L50" s="320"/>
      <c r="M50" s="320"/>
      <c r="N50" s="320"/>
      <c r="O50" s="320"/>
      <c r="CD50" s="120"/>
    </row>
    <row r="51" spans="2:82" ht="9.75" customHeight="1">
      <c r="B51" s="131"/>
      <c r="F51" s="321" t="s">
        <v>22638</v>
      </c>
      <c r="G51" s="320"/>
      <c r="H51" s="320"/>
      <c r="I51" s="320"/>
      <c r="J51" s="320"/>
      <c r="K51" s="320"/>
      <c r="L51" s="320"/>
      <c r="M51" s="321">
        <f>Kalk1!H33</f>
        <v>1</v>
      </c>
      <c r="N51" s="320"/>
      <c r="O51" s="320"/>
      <c r="CD51" s="120"/>
    </row>
    <row r="52" spans="2:82" ht="9.75" customHeight="1">
      <c r="B52" s="131"/>
      <c r="AX52" s="528"/>
      <c r="AY52" s="528"/>
      <c r="AZ52" s="528"/>
      <c r="BA52" s="528"/>
      <c r="BB52" s="528" t="s">
        <v>22287</v>
      </c>
      <c r="BC52" s="528"/>
      <c r="BD52" s="528"/>
      <c r="BE52" s="528"/>
      <c r="BF52" s="528"/>
      <c r="BG52" s="528"/>
      <c r="BH52" s="528"/>
      <c r="BI52" s="528" t="s">
        <v>2545</v>
      </c>
      <c r="BJ52" s="528"/>
      <c r="BK52" s="528"/>
      <c r="BL52" s="528"/>
      <c r="BM52" s="528"/>
      <c r="BN52" s="528"/>
      <c r="BO52" s="528"/>
      <c r="BP52" s="114"/>
      <c r="BQ52" s="115"/>
      <c r="BR52" s="115"/>
      <c r="BS52" s="115"/>
      <c r="BT52" s="116" t="s">
        <v>22289</v>
      </c>
      <c r="BU52" s="115"/>
      <c r="BV52" s="115"/>
      <c r="BW52" s="115"/>
      <c r="BX52" s="115"/>
      <c r="BY52" s="117"/>
      <c r="BZ52" s="117"/>
      <c r="CA52" s="117"/>
      <c r="CB52" s="117"/>
      <c r="CC52" s="117"/>
      <c r="CD52" s="118"/>
    </row>
    <row r="53" spans="2:82" ht="9.75" customHeight="1">
      <c r="B53" s="131"/>
      <c r="AX53" s="528" t="s">
        <v>22288</v>
      </c>
      <c r="AY53" s="528"/>
      <c r="AZ53" s="528"/>
      <c r="BA53" s="528"/>
      <c r="BB53" s="529">
        <f ca="1">TODAY()</f>
        <v>45408</v>
      </c>
      <c r="BC53" s="529"/>
      <c r="BD53" s="529"/>
      <c r="BE53" s="529"/>
      <c r="BF53" s="529"/>
      <c r="BG53" s="529"/>
      <c r="BH53" s="529"/>
      <c r="BI53" s="530"/>
      <c r="BJ53" s="530"/>
      <c r="BK53" s="530"/>
      <c r="BL53" s="530"/>
      <c r="BM53" s="530"/>
      <c r="BN53" s="530"/>
      <c r="BO53" s="530"/>
      <c r="BP53" s="119"/>
      <c r="BQ53" s="135"/>
      <c r="BR53" s="135"/>
      <c r="BS53" s="135"/>
      <c r="BT53" s="239" t="s">
        <v>22290</v>
      </c>
      <c r="BU53" s="135"/>
      <c r="BV53" s="135"/>
      <c r="BW53" s="135"/>
      <c r="BX53" s="135"/>
      <c r="CD53" s="120"/>
    </row>
    <row r="54" spans="2:82" ht="9.75" customHeight="1">
      <c r="B54" s="131"/>
      <c r="AX54" s="528"/>
      <c r="AY54" s="528"/>
      <c r="AZ54" s="528"/>
      <c r="BA54" s="528"/>
      <c r="BB54" s="529"/>
      <c r="BC54" s="529"/>
      <c r="BD54" s="529"/>
      <c r="BE54" s="529"/>
      <c r="BF54" s="529"/>
      <c r="BG54" s="529"/>
      <c r="BH54" s="529"/>
      <c r="BI54" s="530"/>
      <c r="BJ54" s="530"/>
      <c r="BK54" s="530"/>
      <c r="BL54" s="530"/>
      <c r="BM54" s="530"/>
      <c r="BN54" s="530"/>
      <c r="BO54" s="530"/>
      <c r="BP54" s="121"/>
      <c r="BQ54" s="122"/>
      <c r="BR54" s="122"/>
      <c r="BS54" s="122"/>
      <c r="BT54" s="123" t="s">
        <v>22291</v>
      </c>
      <c r="BU54" s="122"/>
      <c r="BV54" s="122"/>
      <c r="BW54" s="122"/>
      <c r="BX54" s="122"/>
      <c r="BY54" s="124"/>
      <c r="BZ54" s="124"/>
      <c r="CA54" s="124"/>
      <c r="CB54" s="124"/>
      <c r="CC54" s="124"/>
      <c r="CD54" s="125"/>
    </row>
    <row r="55" spans="2:82" ht="9.75" customHeight="1">
      <c r="B55" s="131"/>
      <c r="AX55" s="531" t="str">
        <f>Kalk5!D5&amp; "                                                                                                               " &amp;
Kalk5!D15 &amp; " | " &amp; Kalk5!D16</f>
        <v xml:space="preserve">0                                                                                                               0 | </v>
      </c>
      <c r="AY55" s="532"/>
      <c r="AZ55" s="532"/>
      <c r="BA55" s="532"/>
      <c r="BB55" s="532"/>
      <c r="BC55" s="532"/>
      <c r="BD55" s="532"/>
      <c r="BE55" s="532"/>
      <c r="BF55" s="532"/>
      <c r="BG55" s="532"/>
      <c r="BH55" s="532"/>
      <c r="BI55" s="532"/>
      <c r="BJ55" s="532"/>
      <c r="BK55" s="532"/>
      <c r="BL55" s="532"/>
      <c r="BM55" s="532"/>
      <c r="BN55" s="532"/>
      <c r="BO55" s="532"/>
      <c r="BP55" s="532"/>
      <c r="BQ55" s="532"/>
      <c r="BR55" s="532"/>
      <c r="BS55" s="532"/>
      <c r="BT55" s="532"/>
      <c r="BU55" s="532"/>
      <c r="BV55" s="532"/>
      <c r="BW55" s="532"/>
      <c r="BX55" s="532"/>
      <c r="BY55" s="532"/>
      <c r="BZ55" s="533"/>
      <c r="CA55" s="527" t="s">
        <v>22613</v>
      </c>
      <c r="CB55" s="527"/>
      <c r="CC55" s="527"/>
      <c r="CD55" s="527"/>
    </row>
    <row r="56" spans="2:82" ht="9.75" customHeight="1">
      <c r="B56" s="131"/>
      <c r="AX56" s="534"/>
      <c r="AY56" s="535"/>
      <c r="AZ56" s="535"/>
      <c r="BA56" s="535"/>
      <c r="BB56" s="535"/>
      <c r="BC56" s="535"/>
      <c r="BD56" s="535"/>
      <c r="BE56" s="535"/>
      <c r="BF56" s="535"/>
      <c r="BG56" s="535"/>
      <c r="BH56" s="535"/>
      <c r="BI56" s="535"/>
      <c r="BJ56" s="535"/>
      <c r="BK56" s="535"/>
      <c r="BL56" s="535"/>
      <c r="BM56" s="535"/>
      <c r="BN56" s="535"/>
      <c r="BO56" s="535"/>
      <c r="BP56" s="535"/>
      <c r="BQ56" s="535"/>
      <c r="BR56" s="535"/>
      <c r="BS56" s="535"/>
      <c r="BT56" s="535"/>
      <c r="BU56" s="535"/>
      <c r="BV56" s="535"/>
      <c r="BW56" s="535"/>
      <c r="BX56" s="535"/>
      <c r="BY56" s="535"/>
      <c r="BZ56" s="536"/>
      <c r="CA56" s="526" t="s">
        <v>22292</v>
      </c>
      <c r="CB56" s="526"/>
      <c r="CC56" s="526"/>
      <c r="CD56" s="526"/>
    </row>
    <row r="57" spans="2:82" ht="9.75" customHeight="1">
      <c r="B57" s="131"/>
      <c r="AX57" s="537"/>
      <c r="AY57" s="538"/>
      <c r="AZ57" s="538"/>
      <c r="BA57" s="538"/>
      <c r="BB57" s="538"/>
      <c r="BC57" s="538"/>
      <c r="BD57" s="538"/>
      <c r="BE57" s="538"/>
      <c r="BF57" s="538"/>
      <c r="BG57" s="538"/>
      <c r="BH57" s="538"/>
      <c r="BI57" s="538"/>
      <c r="BJ57" s="538"/>
      <c r="BK57" s="538"/>
      <c r="BL57" s="538"/>
      <c r="BM57" s="538"/>
      <c r="BN57" s="538"/>
      <c r="BO57" s="538"/>
      <c r="BP57" s="538"/>
      <c r="BQ57" s="538"/>
      <c r="BR57" s="538"/>
      <c r="BS57" s="538"/>
      <c r="BT57" s="538"/>
      <c r="BU57" s="538"/>
      <c r="BV57" s="538"/>
      <c r="BW57" s="538"/>
      <c r="BX57" s="538"/>
      <c r="BY57" s="538"/>
      <c r="BZ57" s="539"/>
      <c r="CA57" s="524" t="s">
        <v>12774</v>
      </c>
      <c r="CB57" s="525"/>
      <c r="CC57" s="525"/>
      <c r="CD57" s="525"/>
    </row>
    <row r="58" spans="2:82" ht="9.75" customHeight="1">
      <c r="B58" s="132"/>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6" t="s">
        <v>22286</v>
      </c>
      <c r="AY58" s="127"/>
      <c r="AZ58" s="127"/>
      <c r="BA58" s="127"/>
      <c r="BB58" s="128"/>
      <c r="BC58" s="128"/>
      <c r="BD58" s="128"/>
      <c r="BE58" s="145" t="str" cm="1">
        <f t="array" aca="1" ref="BE58" ca="1">MID(CELL("Dateiname"),FIND("[",CELL("Dateiname"))+1,FIND("]",CELL("Dateiname"))-FIND("[",CELL("Dateiname"))-1)</f>
        <v>02110307_CH-de_Vorlage_Erhebungsbogen Hochwasserschutz_PREFA_2024-4.xlsx</v>
      </c>
      <c r="BF58" s="128"/>
      <c r="BG58" s="128"/>
      <c r="BH58" s="128"/>
      <c r="BI58" s="128"/>
      <c r="BJ58" s="127"/>
      <c r="BK58" s="128"/>
      <c r="BL58" s="128"/>
      <c r="BM58" s="128"/>
      <c r="BN58" s="128"/>
      <c r="BO58" s="128"/>
      <c r="BP58" s="128"/>
      <c r="BQ58" s="128"/>
      <c r="BR58" s="128"/>
      <c r="BS58" s="128"/>
      <c r="BT58" s="128"/>
      <c r="BU58" s="128"/>
      <c r="BV58" s="128"/>
      <c r="BW58" s="128"/>
      <c r="BX58" s="128"/>
      <c r="BY58" s="128"/>
      <c r="BZ58" s="128"/>
      <c r="CA58" s="128"/>
      <c r="CB58" s="128"/>
      <c r="CC58" s="128"/>
      <c r="CD58" s="129"/>
    </row>
    <row r="59" spans="2:82" ht="9.75" customHeight="1"/>
    <row r="60" spans="2:82" ht="9.75" hidden="1" customHeight="1"/>
    <row r="61" spans="2:82" ht="9.75" hidden="1" customHeight="1"/>
  </sheetData>
  <sheetProtection sheet="1" objects="1" scenarios="1" selectLockedCells="1"/>
  <mergeCells count="41">
    <mergeCell ref="AX53:BA54"/>
    <mergeCell ref="BB53:BH54"/>
    <mergeCell ref="BI53:BO54"/>
    <mergeCell ref="AX55:BZ57"/>
    <mergeCell ref="CA55:CD55"/>
    <mergeCell ref="CA56:CD56"/>
    <mergeCell ref="CA57:CD57"/>
    <mergeCell ref="R37:U37"/>
    <mergeCell ref="AO37:AR37"/>
    <mergeCell ref="BL37:BO37"/>
    <mergeCell ref="AX52:BA52"/>
    <mergeCell ref="BB52:BH52"/>
    <mergeCell ref="BI52:BO52"/>
    <mergeCell ref="BR27:BS27"/>
    <mergeCell ref="R34:U34"/>
    <mergeCell ref="AO34:AR34"/>
    <mergeCell ref="BL34:BO34"/>
    <mergeCell ref="R35:U36"/>
    <mergeCell ref="AO35:AR36"/>
    <mergeCell ref="BL35:BO36"/>
    <mergeCell ref="AU27:AV27"/>
    <mergeCell ref="R25:U25"/>
    <mergeCell ref="AC25:AG25"/>
    <mergeCell ref="AO25:AR25"/>
    <mergeCell ref="N27:O27"/>
    <mergeCell ref="X27:Y27"/>
    <mergeCell ref="I45:J45"/>
    <mergeCell ref="K45:L45"/>
    <mergeCell ref="M45:N45"/>
    <mergeCell ref="I46:J46"/>
    <mergeCell ref="K46:L46"/>
    <mergeCell ref="M46:N46"/>
    <mergeCell ref="I49:J49"/>
    <mergeCell ref="K49:L49"/>
    <mergeCell ref="M49:N49"/>
    <mergeCell ref="I47:J47"/>
    <mergeCell ref="K47:L47"/>
    <mergeCell ref="M47:N47"/>
    <mergeCell ref="I48:J48"/>
    <mergeCell ref="K48:L48"/>
    <mergeCell ref="M48:N48"/>
  </mergeCells>
  <pageMargins left="0.19685039370078741" right="0.19685039370078741" top="0.19685039370078741" bottom="0.19685039370078741" header="0.19685039370078741" footer="0.11811023622047245"/>
  <pageSetup paperSize="9" scale="98"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28314156-ACB5-45B5-BB67-A60A62F9A028}">
            <xm:f>Kalk5!$AA$7=1</xm:f>
            <x14:dxf>
              <font>
                <color theme="1"/>
              </font>
            </x14:dxf>
          </x14:cfRule>
          <xm:sqref>N27</xm:sqref>
        </x14:conditionalFormatting>
        <x14:conditionalFormatting xmlns:xm="http://schemas.microsoft.com/office/excel/2006/main">
          <x14:cfRule type="expression" priority="11" id="{F1BC6DB3-976D-43EF-BBBC-D26E19158C2A}">
            <xm:f>AND(Kalk5!$AA$9=1,Kalk5!$H$35=1)</xm:f>
            <x14:dxf>
              <font>
                <color theme="1"/>
              </font>
            </x14:dxf>
          </x14:cfRule>
          <xm:sqref>X27</xm:sqref>
        </x14:conditionalFormatting>
        <x14:conditionalFormatting xmlns:xm="http://schemas.microsoft.com/office/excel/2006/main">
          <x14:cfRule type="expression" priority="15" id="{58260E92-9163-4E18-86A4-6E6F1FBC9B8D}">
            <xm:f>Kalk5!$H$35&gt;2</xm:f>
            <x14:dxf>
              <font>
                <color theme="0"/>
              </font>
            </x14:dxf>
          </x14:cfRule>
          <xm:sqref>AB3 X4:AB4 AB17 R25 AC25</xm:sqref>
        </x14:conditionalFormatting>
        <x14:conditionalFormatting xmlns:xm="http://schemas.microsoft.com/office/excel/2006/main">
          <x14:cfRule type="expression" priority="10" id="{023AD82C-1707-42D2-8E33-EE7CCCD3A9DE}">
            <xm:f>Kalk5!$H$35=1</xm:f>
            <x14:dxf>
              <font>
                <color theme="0"/>
              </font>
            </x14:dxf>
          </x14:cfRule>
          <xm:sqref>AC25 AO25 AU27 BR27 AO34:AO35</xm:sqref>
        </x14:conditionalFormatting>
        <x14:conditionalFormatting xmlns:xm="http://schemas.microsoft.com/office/excel/2006/main">
          <x14:cfRule type="expression" priority="3" id="{2E5D690B-280A-4705-8E5C-DBE428E674EE}">
            <xm:f>Kalk5!$H$35=1</xm:f>
            <x14:dxf>
              <font>
                <color theme="0"/>
              </font>
            </x14:dxf>
          </x14:cfRule>
          <xm:sqref>AO37</xm:sqref>
        </x14:conditionalFormatting>
        <x14:conditionalFormatting xmlns:xm="http://schemas.microsoft.com/office/excel/2006/main">
          <x14:cfRule type="expression" priority="13" id="{609E3BC6-CCEA-462E-BFC0-8C1E2D5741E3}">
            <xm:f>Kalk5!$H$35=2</xm:f>
            <x14:dxf>
              <font>
                <color theme="0"/>
              </font>
            </x14:dxf>
          </x14:cfRule>
          <xm:sqref>AP3:AT3 AS16 AS17:AT17 R25 AO25</xm:sqref>
        </x14:conditionalFormatting>
        <x14:conditionalFormatting xmlns:xm="http://schemas.microsoft.com/office/excel/2006/main">
          <x14:cfRule type="expression" priority="12" id="{5B46894C-62D1-4FA1-96B2-05B2566FA892}">
            <xm:f>AND(Kalk5!$AA$9=1,Kalk5!$H$35=2)</xm:f>
            <x14:dxf>
              <font>
                <color theme="1"/>
              </font>
            </x14:dxf>
          </x14:cfRule>
          <xm:sqref>AU27</xm:sqref>
        </x14:conditionalFormatting>
        <x14:conditionalFormatting xmlns:xm="http://schemas.microsoft.com/office/excel/2006/main">
          <x14:cfRule type="expression" priority="7" id="{33298F62-AE18-45CA-9352-368C7AE041E1}">
            <xm:f>Kalk5!$H$35=1</xm:f>
            <x14:dxf>
              <font>
                <color theme="0"/>
              </font>
            </x14:dxf>
          </x14:cfRule>
          <xm:sqref>BL34:BL35</xm:sqref>
        </x14:conditionalFormatting>
        <x14:conditionalFormatting xmlns:xm="http://schemas.microsoft.com/office/excel/2006/main">
          <x14:cfRule type="expression" priority="1" id="{A6F7F656-40EE-4FAA-8E30-F973B0673269}">
            <xm:f>Kalk5!$H$35=1</xm:f>
            <x14:dxf>
              <font>
                <color theme="0"/>
              </font>
            </x14:dxf>
          </x14:cfRule>
          <x14:cfRule type="expression" priority="2" id="{BECD324F-84AE-40D9-AF50-CB0B075AD574}">
            <xm:f>Kalk5!$H$35=2</xm:f>
            <x14:dxf>
              <font>
                <color theme="0"/>
              </font>
            </x14:dxf>
          </x14:cfRule>
          <xm:sqref>BL37</xm:sqref>
        </x14:conditionalFormatting>
        <x14:conditionalFormatting xmlns:xm="http://schemas.microsoft.com/office/excel/2006/main">
          <x14:cfRule type="expression" priority="8" id="{E5565BB9-AD25-40C1-9746-84F18E96837F}">
            <xm:f>Kalk5!$H$35=2</xm:f>
            <x14:dxf>
              <font>
                <color theme="0"/>
              </font>
            </x14:dxf>
          </x14:cfRule>
          <xm:sqref>BQ26:BS28 BN29:BS29 BL34:BL35</xm:sqref>
        </x14:conditionalFormatting>
        <x14:conditionalFormatting xmlns:xm="http://schemas.microsoft.com/office/excel/2006/main">
          <x14:cfRule type="expression" priority="14" id="{79D53D7A-A9F5-4C44-A2B9-867562907D87}">
            <xm:f>AND(Kalk5!$H$35&gt;2,Kalk5!$AA$9=1)</xm:f>
            <x14:dxf>
              <font>
                <color theme="1"/>
              </font>
            </x14:dxf>
          </x14:cfRule>
          <xm:sqref>BR27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956ED-5CCF-4061-A06E-961266086841}">
  <sheetPr codeName="Tabelle2"/>
  <dimension ref="A1:P2262"/>
  <sheetViews>
    <sheetView workbookViewId="0">
      <pane ySplit="1" topLeftCell="A2211" activePane="bottomLeft" state="frozen"/>
      <selection pane="bottomLeft" sqref="A1:XFD1048576"/>
    </sheetView>
  </sheetViews>
  <sheetFormatPr baseColWidth="10" defaultColWidth="11.42578125" defaultRowHeight="14.25"/>
  <cols>
    <col min="1" max="1" width="11.42578125" style="1" customWidth="1"/>
    <col min="2" max="5" width="75.7109375" style="2" customWidth="1"/>
    <col min="6" max="6" width="75.5703125" style="2" customWidth="1"/>
    <col min="7" max="15" width="75.7109375" style="2" customWidth="1"/>
    <col min="16" max="16" width="255.7109375" style="2" customWidth="1"/>
    <col min="17" max="16384" width="11.42578125" style="2"/>
  </cols>
  <sheetData>
    <row r="1" spans="1:16">
      <c r="A1" s="1"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row>
    <row r="2" spans="1:16">
      <c r="A2" s="1">
        <v>1</v>
      </c>
      <c r="B2" s="2">
        <v>250</v>
      </c>
      <c r="C2" s="2">
        <v>250</v>
      </c>
      <c r="D2" s="2" t="s">
        <v>16</v>
      </c>
      <c r="E2" s="2">
        <v>250</v>
      </c>
      <c r="F2" s="2">
        <v>250</v>
      </c>
      <c r="G2" s="2">
        <v>250</v>
      </c>
      <c r="H2" s="2">
        <v>250</v>
      </c>
      <c r="I2" s="2">
        <v>250</v>
      </c>
      <c r="J2" s="2">
        <v>250</v>
      </c>
      <c r="K2" s="2">
        <v>250</v>
      </c>
      <c r="L2" s="2">
        <v>250</v>
      </c>
      <c r="M2" s="2">
        <v>250</v>
      </c>
      <c r="N2" s="2">
        <v>250</v>
      </c>
      <c r="O2" s="2">
        <v>250</v>
      </c>
      <c r="P2" s="2">
        <v>250</v>
      </c>
    </row>
    <row r="3" spans="1:16">
      <c r="A3" s="1">
        <v>2</v>
      </c>
      <c r="B3" s="2">
        <v>280</v>
      </c>
      <c r="C3" s="2">
        <v>280</v>
      </c>
      <c r="D3" s="2" t="s">
        <v>17</v>
      </c>
      <c r="E3" s="2">
        <v>280</v>
      </c>
      <c r="F3" s="2">
        <v>280</v>
      </c>
      <c r="G3" s="2">
        <v>280</v>
      </c>
      <c r="H3" s="2">
        <v>280</v>
      </c>
      <c r="I3" s="2">
        <v>280</v>
      </c>
      <c r="J3" s="2">
        <v>280</v>
      </c>
      <c r="K3" s="2">
        <v>280</v>
      </c>
      <c r="L3" s="2">
        <v>280</v>
      </c>
      <c r="M3" s="2">
        <v>280</v>
      </c>
      <c r="N3" s="2">
        <v>280</v>
      </c>
      <c r="O3" s="2">
        <v>280</v>
      </c>
      <c r="P3" s="2">
        <v>280</v>
      </c>
    </row>
    <row r="4" spans="1:16">
      <c r="A4" s="1">
        <v>3</v>
      </c>
      <c r="B4" s="2">
        <v>333</v>
      </c>
      <c r="C4" s="2">
        <v>333</v>
      </c>
      <c r="D4" s="2" t="s">
        <v>18</v>
      </c>
      <c r="E4" s="2">
        <v>333</v>
      </c>
      <c r="F4" s="2">
        <v>333</v>
      </c>
      <c r="G4" s="2">
        <v>333</v>
      </c>
      <c r="H4" s="2">
        <v>333</v>
      </c>
      <c r="I4" s="2">
        <v>333</v>
      </c>
      <c r="J4" s="2">
        <v>333</v>
      </c>
      <c r="K4" s="2">
        <v>333</v>
      </c>
      <c r="L4" s="2">
        <v>333</v>
      </c>
      <c r="M4" s="2">
        <v>333</v>
      </c>
      <c r="N4" s="2">
        <v>333</v>
      </c>
      <c r="O4" s="2">
        <v>333</v>
      </c>
      <c r="P4" s="2">
        <v>333</v>
      </c>
    </row>
    <row r="5" spans="1:16">
      <c r="A5" s="1">
        <v>4</v>
      </c>
      <c r="B5" s="2">
        <v>400</v>
      </c>
      <c r="C5" s="2">
        <v>400</v>
      </c>
      <c r="D5" s="2" t="s">
        <v>19</v>
      </c>
      <c r="E5" s="2">
        <v>400</v>
      </c>
      <c r="F5" s="2">
        <v>400</v>
      </c>
      <c r="G5" s="2">
        <v>400</v>
      </c>
      <c r="H5" s="2">
        <v>400</v>
      </c>
      <c r="I5" s="2">
        <v>400</v>
      </c>
      <c r="J5" s="2">
        <v>400</v>
      </c>
      <c r="K5" s="2">
        <v>400</v>
      </c>
      <c r="L5" s="2">
        <v>400</v>
      </c>
      <c r="M5" s="2">
        <v>400</v>
      </c>
      <c r="N5" s="2">
        <v>400</v>
      </c>
      <c r="O5" s="2">
        <v>400</v>
      </c>
      <c r="P5" s="2">
        <v>400</v>
      </c>
    </row>
    <row r="6" spans="1:16">
      <c r="A6" s="1">
        <v>5</v>
      </c>
      <c r="B6" s="2">
        <v>500</v>
      </c>
      <c r="C6" s="2">
        <v>500</v>
      </c>
      <c r="D6" s="2" t="s">
        <v>20</v>
      </c>
      <c r="E6" s="2">
        <v>500</v>
      </c>
      <c r="F6" s="2">
        <v>500</v>
      </c>
      <c r="G6" s="2">
        <v>500</v>
      </c>
      <c r="H6" s="2">
        <v>500</v>
      </c>
      <c r="I6" s="2">
        <v>500</v>
      </c>
      <c r="J6" s="2">
        <v>500</v>
      </c>
      <c r="K6" s="2">
        <v>500</v>
      </c>
      <c r="L6" s="2">
        <v>500</v>
      </c>
      <c r="M6" s="2">
        <v>500</v>
      </c>
      <c r="N6" s="2">
        <v>500</v>
      </c>
      <c r="O6" s="2">
        <v>500</v>
      </c>
      <c r="P6" s="2">
        <v>500</v>
      </c>
    </row>
    <row r="7" spans="1:16">
      <c r="A7" s="1">
        <v>6</v>
      </c>
      <c r="B7" s="2" t="s">
        <v>21</v>
      </c>
      <c r="C7" s="2" t="s">
        <v>22</v>
      </c>
      <c r="D7" s="2" t="s">
        <v>23</v>
      </c>
      <c r="E7" s="2" t="s">
        <v>24</v>
      </c>
      <c r="F7" s="2" t="s">
        <v>25</v>
      </c>
      <c r="G7" s="2" t="s">
        <v>26</v>
      </c>
      <c r="H7" s="2" t="s">
        <v>27</v>
      </c>
      <c r="I7" s="2" t="s">
        <v>28</v>
      </c>
      <c r="J7" s="2" t="s">
        <v>29</v>
      </c>
      <c r="K7" s="2" t="s">
        <v>30</v>
      </c>
      <c r="L7" s="2" t="s">
        <v>31</v>
      </c>
      <c r="M7" s="2" t="s">
        <v>32</v>
      </c>
      <c r="N7" s="2" t="s">
        <v>32</v>
      </c>
      <c r="O7" s="2" t="s">
        <v>33</v>
      </c>
      <c r="P7" s="2" t="s">
        <v>21</v>
      </c>
    </row>
    <row r="8" spans="1:16">
      <c r="A8" s="1">
        <v>7</v>
      </c>
      <c r="B8" s="2" t="s">
        <v>34</v>
      </c>
      <c r="C8" s="2" t="s">
        <v>35</v>
      </c>
      <c r="D8" s="2" t="s">
        <v>36</v>
      </c>
      <c r="E8" s="2" t="s">
        <v>37</v>
      </c>
      <c r="F8" s="2" t="s">
        <v>38</v>
      </c>
      <c r="G8" s="2" t="s">
        <v>39</v>
      </c>
      <c r="H8" s="2" t="s">
        <v>40</v>
      </c>
      <c r="I8" s="2" t="s">
        <v>41</v>
      </c>
      <c r="J8" s="2" t="s">
        <v>42</v>
      </c>
      <c r="K8" s="2" t="s">
        <v>43</v>
      </c>
      <c r="L8" s="2" t="s">
        <v>44</v>
      </c>
      <c r="M8" s="2" t="s">
        <v>45</v>
      </c>
      <c r="N8" s="2" t="s">
        <v>45</v>
      </c>
      <c r="O8" s="2" t="s">
        <v>46</v>
      </c>
      <c r="P8" s="2" t="s">
        <v>34</v>
      </c>
    </row>
    <row r="9" spans="1:16">
      <c r="A9" s="1">
        <v>8</v>
      </c>
      <c r="B9" s="2" t="s">
        <v>47</v>
      </c>
      <c r="C9" s="2" t="s">
        <v>48</v>
      </c>
      <c r="D9" s="2" t="s">
        <v>49</v>
      </c>
      <c r="E9" s="2" t="s">
        <v>50</v>
      </c>
      <c r="F9" s="2" t="s">
        <v>51</v>
      </c>
      <c r="G9" s="2" t="s">
        <v>52</v>
      </c>
      <c r="H9" s="2" t="s">
        <v>53</v>
      </c>
      <c r="I9" s="2" t="s">
        <v>54</v>
      </c>
      <c r="J9" s="2" t="s">
        <v>55</v>
      </c>
      <c r="K9" s="2" t="s">
        <v>56</v>
      </c>
      <c r="L9" s="2" t="s">
        <v>57</v>
      </c>
      <c r="M9" s="2" t="s">
        <v>58</v>
      </c>
      <c r="N9" s="2" t="s">
        <v>58</v>
      </c>
      <c r="O9" s="2" t="s">
        <v>59</v>
      </c>
      <c r="P9" s="2" t="s">
        <v>47</v>
      </c>
    </row>
    <row r="10" spans="1:16">
      <c r="A10" s="1">
        <v>9</v>
      </c>
      <c r="B10" s="2" t="s">
        <v>60</v>
      </c>
      <c r="C10" s="2" t="s">
        <v>61</v>
      </c>
      <c r="D10" s="2" t="s">
        <v>62</v>
      </c>
      <c r="E10" s="2" t="s">
        <v>63</v>
      </c>
      <c r="F10" s="2" t="s">
        <v>64</v>
      </c>
      <c r="G10" s="2" t="s">
        <v>65</v>
      </c>
      <c r="H10" s="2" t="s">
        <v>66</v>
      </c>
      <c r="I10" s="2" t="s">
        <v>67</v>
      </c>
      <c r="J10" s="2" t="s">
        <v>68</v>
      </c>
      <c r="K10" s="2" t="s">
        <v>69</v>
      </c>
      <c r="L10" s="2" t="s">
        <v>70</v>
      </c>
      <c r="M10" s="2" t="s">
        <v>71</v>
      </c>
      <c r="N10" s="2" t="s">
        <v>71</v>
      </c>
      <c r="O10" s="2" t="s">
        <v>72</v>
      </c>
      <c r="P10" s="2" t="s">
        <v>60</v>
      </c>
    </row>
    <row r="11" spans="1:16">
      <c r="A11" s="1">
        <v>10</v>
      </c>
      <c r="B11" s="2" t="s">
        <v>73</v>
      </c>
      <c r="C11" s="2" t="s">
        <v>74</v>
      </c>
      <c r="D11" s="2" t="s">
        <v>75</v>
      </c>
      <c r="E11" s="2" t="s">
        <v>25465</v>
      </c>
      <c r="F11" s="2" t="s">
        <v>76</v>
      </c>
      <c r="G11" s="2" t="s">
        <v>73</v>
      </c>
      <c r="H11" s="2" t="s">
        <v>77</v>
      </c>
      <c r="I11" s="2" t="s">
        <v>78</v>
      </c>
      <c r="J11" s="2" t="s">
        <v>79</v>
      </c>
      <c r="K11" s="2" t="s">
        <v>80</v>
      </c>
      <c r="L11" s="2" t="s">
        <v>81</v>
      </c>
      <c r="M11" s="2" t="s">
        <v>82</v>
      </c>
      <c r="N11" s="2" t="s">
        <v>83</v>
      </c>
      <c r="O11" s="2" t="s">
        <v>84</v>
      </c>
      <c r="P11" s="2" t="s">
        <v>73</v>
      </c>
    </row>
    <row r="12" spans="1:16">
      <c r="A12" s="1">
        <v>11</v>
      </c>
      <c r="B12" s="2" t="s">
        <v>85</v>
      </c>
      <c r="C12" s="2" t="s">
        <v>86</v>
      </c>
      <c r="D12" s="2" t="s">
        <v>87</v>
      </c>
      <c r="E12" s="2" t="s">
        <v>88</v>
      </c>
      <c r="F12" s="2" t="s">
        <v>89</v>
      </c>
      <c r="G12" s="2" t="s">
        <v>90</v>
      </c>
      <c r="H12" s="2" t="s">
        <v>91</v>
      </c>
      <c r="I12" s="2" t="s">
        <v>92</v>
      </c>
      <c r="J12" s="2" t="s">
        <v>93</v>
      </c>
      <c r="K12" s="2" t="s">
        <v>94</v>
      </c>
      <c r="L12" s="2" t="s">
        <v>95</v>
      </c>
      <c r="M12" s="2" t="s">
        <v>96</v>
      </c>
      <c r="N12" s="2" t="s">
        <v>97</v>
      </c>
      <c r="O12" s="2" t="s">
        <v>98</v>
      </c>
      <c r="P12" s="2" t="s">
        <v>85</v>
      </c>
    </row>
    <row r="13" spans="1:16">
      <c r="A13" s="1">
        <v>12</v>
      </c>
      <c r="B13" s="2" t="s">
        <v>99</v>
      </c>
      <c r="C13" s="2" t="s">
        <v>100</v>
      </c>
      <c r="D13" s="2" t="s">
        <v>101</v>
      </c>
      <c r="E13" s="2" t="s">
        <v>102</v>
      </c>
      <c r="F13" s="2" t="s">
        <v>103</v>
      </c>
      <c r="G13" s="2" t="s">
        <v>104</v>
      </c>
      <c r="H13" s="2" t="s">
        <v>105</v>
      </c>
      <c r="I13" s="2" t="s">
        <v>106</v>
      </c>
      <c r="J13" s="2" t="s">
        <v>107</v>
      </c>
      <c r="K13" s="2" t="s">
        <v>108</v>
      </c>
      <c r="L13" s="2" t="s">
        <v>109</v>
      </c>
      <c r="M13" s="2" t="s">
        <v>110</v>
      </c>
      <c r="N13" s="2" t="s">
        <v>111</v>
      </c>
      <c r="O13" s="2" t="s">
        <v>112</v>
      </c>
      <c r="P13" s="2" t="s">
        <v>99</v>
      </c>
    </row>
    <row r="14" spans="1:16">
      <c r="A14" s="1">
        <v>13</v>
      </c>
      <c r="B14" s="2" t="s">
        <v>113</v>
      </c>
      <c r="C14" s="2" t="s">
        <v>114</v>
      </c>
      <c r="D14" s="2" t="s">
        <v>115</v>
      </c>
      <c r="E14" s="2" t="s">
        <v>116</v>
      </c>
      <c r="F14" s="2" t="s">
        <v>117</v>
      </c>
      <c r="G14" s="2" t="s">
        <v>118</v>
      </c>
      <c r="H14" s="2" t="s">
        <v>119</v>
      </c>
      <c r="I14" s="2" t="s">
        <v>120</v>
      </c>
      <c r="J14" s="2" t="s">
        <v>121</v>
      </c>
      <c r="K14" s="2" t="s">
        <v>122</v>
      </c>
      <c r="L14" s="2" t="s">
        <v>123</v>
      </c>
      <c r="M14" s="2" t="s">
        <v>124</v>
      </c>
      <c r="N14" s="2" t="s">
        <v>125</v>
      </c>
      <c r="O14" s="2" t="s">
        <v>126</v>
      </c>
      <c r="P14" s="2" t="s">
        <v>113</v>
      </c>
    </row>
    <row r="15" spans="1:16">
      <c r="A15" s="1">
        <v>14</v>
      </c>
      <c r="B15" s="2" t="s">
        <v>127</v>
      </c>
      <c r="C15" s="2" t="s">
        <v>128</v>
      </c>
      <c r="D15" s="2" t="s">
        <v>129</v>
      </c>
      <c r="E15" s="2" t="s">
        <v>130</v>
      </c>
      <c r="F15" s="2" t="s">
        <v>131</v>
      </c>
      <c r="G15" s="2" t="s">
        <v>132</v>
      </c>
      <c r="H15" s="2" t="s">
        <v>133</v>
      </c>
      <c r="I15" s="2" t="s">
        <v>134</v>
      </c>
      <c r="J15" s="2" t="s">
        <v>135</v>
      </c>
      <c r="K15" s="2" t="s">
        <v>136</v>
      </c>
      <c r="L15" s="2" t="s">
        <v>137</v>
      </c>
      <c r="M15" s="2" t="s">
        <v>138</v>
      </c>
      <c r="N15" s="2" t="s">
        <v>139</v>
      </c>
      <c r="O15" s="2" t="s">
        <v>140</v>
      </c>
      <c r="P15" s="2" t="s">
        <v>127</v>
      </c>
    </row>
    <row r="16" spans="1:16">
      <c r="A16" s="1">
        <v>15</v>
      </c>
      <c r="B16" s="2" t="s">
        <v>141</v>
      </c>
      <c r="C16" s="2" t="s">
        <v>142</v>
      </c>
      <c r="D16" s="2" t="s">
        <v>143</v>
      </c>
      <c r="E16" s="2" t="s">
        <v>144</v>
      </c>
      <c r="F16" s="2" t="s">
        <v>145</v>
      </c>
      <c r="G16" s="2" t="s">
        <v>146</v>
      </c>
      <c r="H16" s="2" t="s">
        <v>147</v>
      </c>
      <c r="I16" s="2" t="s">
        <v>148</v>
      </c>
      <c r="J16" s="2" t="s">
        <v>149</v>
      </c>
      <c r="K16" s="2" t="s">
        <v>150</v>
      </c>
      <c r="L16" s="2" t="s">
        <v>151</v>
      </c>
      <c r="M16" s="2" t="s">
        <v>152</v>
      </c>
      <c r="N16" s="2" t="s">
        <v>153</v>
      </c>
      <c r="O16" s="2" t="s">
        <v>154</v>
      </c>
      <c r="P16" s="2" t="s">
        <v>141</v>
      </c>
    </row>
    <row r="17" spans="1:16">
      <c r="A17" s="1">
        <v>16</v>
      </c>
      <c r="B17" s="2" t="s">
        <v>155</v>
      </c>
      <c r="C17" s="2" t="s">
        <v>156</v>
      </c>
      <c r="D17" s="2" t="s">
        <v>157</v>
      </c>
      <c r="E17" s="2" t="s">
        <v>156</v>
      </c>
      <c r="F17" s="2" t="s">
        <v>158</v>
      </c>
      <c r="G17" s="2" t="s">
        <v>159</v>
      </c>
      <c r="H17" s="2" t="s">
        <v>160</v>
      </c>
      <c r="I17" s="2" t="s">
        <v>158</v>
      </c>
      <c r="J17" s="2" t="s">
        <v>156</v>
      </c>
      <c r="K17" s="2" t="s">
        <v>161</v>
      </c>
      <c r="L17" s="2" t="s">
        <v>162</v>
      </c>
      <c r="M17" s="2" t="s">
        <v>162</v>
      </c>
      <c r="N17" s="2" t="s">
        <v>162</v>
      </c>
      <c r="O17" s="2" t="s">
        <v>163</v>
      </c>
      <c r="P17" s="2" t="s">
        <v>155</v>
      </c>
    </row>
    <row r="18" spans="1:16">
      <c r="A18" s="1">
        <v>17</v>
      </c>
      <c r="B18" s="2" t="s">
        <v>164</v>
      </c>
      <c r="C18" s="2" t="s">
        <v>165</v>
      </c>
      <c r="D18" s="2" t="s">
        <v>166</v>
      </c>
      <c r="E18" s="2" t="s">
        <v>167</v>
      </c>
      <c r="F18" s="2" t="s">
        <v>168</v>
      </c>
      <c r="G18" s="2" t="s">
        <v>169</v>
      </c>
      <c r="H18" s="2" t="s">
        <v>170</v>
      </c>
      <c r="I18" s="2" t="s">
        <v>22660</v>
      </c>
      <c r="J18" s="2" t="s">
        <v>171</v>
      </c>
      <c r="K18" s="2" t="s">
        <v>172</v>
      </c>
      <c r="L18" s="2" t="s">
        <v>173</v>
      </c>
      <c r="M18" s="2" t="s">
        <v>174</v>
      </c>
      <c r="N18" s="2" t="s">
        <v>175</v>
      </c>
      <c r="O18" s="2" t="s">
        <v>176</v>
      </c>
      <c r="P18" s="2" t="s">
        <v>164</v>
      </c>
    </row>
    <row r="19" spans="1:16" ht="13.9" customHeight="1">
      <c r="A19" s="1">
        <v>18</v>
      </c>
      <c r="B19" s="2" t="s">
        <v>177</v>
      </c>
      <c r="C19" s="2" t="s">
        <v>178</v>
      </c>
      <c r="D19" s="2" t="s">
        <v>179</v>
      </c>
      <c r="E19" s="2" t="s">
        <v>180</v>
      </c>
      <c r="F19" s="2" t="s">
        <v>181</v>
      </c>
      <c r="G19" s="2" t="s">
        <v>182</v>
      </c>
      <c r="H19" s="2" t="s">
        <v>183</v>
      </c>
      <c r="I19" s="2" t="s">
        <v>184</v>
      </c>
      <c r="J19" s="2" t="s">
        <v>185</v>
      </c>
      <c r="K19" s="2" t="s">
        <v>186</v>
      </c>
      <c r="L19" s="2" t="s">
        <v>187</v>
      </c>
      <c r="M19" s="2" t="s">
        <v>188</v>
      </c>
      <c r="N19" s="2" t="s">
        <v>189</v>
      </c>
      <c r="O19" s="2" t="s">
        <v>190</v>
      </c>
      <c r="P19" s="2" t="s">
        <v>177</v>
      </c>
    </row>
    <row r="20" spans="1:16" ht="13.9" customHeight="1">
      <c r="A20" s="1">
        <v>19</v>
      </c>
      <c r="B20" s="2" t="s">
        <v>191</v>
      </c>
      <c r="C20" s="2" t="s">
        <v>192</v>
      </c>
      <c r="D20" s="2" t="s">
        <v>193</v>
      </c>
      <c r="E20" s="2" t="s">
        <v>194</v>
      </c>
      <c r="F20" s="2" t="s">
        <v>195</v>
      </c>
      <c r="G20" s="2" t="s">
        <v>196</v>
      </c>
      <c r="H20" s="2" t="s">
        <v>197</v>
      </c>
      <c r="I20" s="2" t="s">
        <v>198</v>
      </c>
      <c r="J20" s="2" t="s">
        <v>199</v>
      </c>
      <c r="K20" s="2" t="s">
        <v>200</v>
      </c>
      <c r="L20" s="2" t="s">
        <v>201</v>
      </c>
      <c r="M20" s="2" t="s">
        <v>202</v>
      </c>
      <c r="N20" s="2" t="s">
        <v>203</v>
      </c>
      <c r="O20" s="2" t="s">
        <v>204</v>
      </c>
      <c r="P20" s="2" t="s">
        <v>191</v>
      </c>
    </row>
    <row r="21" spans="1:16" ht="13.9" customHeight="1">
      <c r="A21" s="1">
        <v>20</v>
      </c>
      <c r="B21" s="2" t="s">
        <v>205</v>
      </c>
      <c r="C21" s="2" t="s">
        <v>206</v>
      </c>
      <c r="D21" s="2" t="s">
        <v>207</v>
      </c>
      <c r="E21" s="2" t="s">
        <v>208</v>
      </c>
      <c r="F21" s="2" t="s">
        <v>208</v>
      </c>
      <c r="G21" s="2" t="s">
        <v>206</v>
      </c>
      <c r="H21" s="2" t="s">
        <v>208</v>
      </c>
      <c r="I21" s="2" t="s">
        <v>208</v>
      </c>
      <c r="J21" s="2" t="s">
        <v>209</v>
      </c>
      <c r="K21" s="2" t="s">
        <v>208</v>
      </c>
      <c r="L21" s="2" t="s">
        <v>208</v>
      </c>
      <c r="M21" s="2" t="s">
        <v>208</v>
      </c>
      <c r="N21" s="2" t="s">
        <v>210</v>
      </c>
      <c r="O21" s="2" t="s">
        <v>205</v>
      </c>
      <c r="P21" s="2" t="s">
        <v>205</v>
      </c>
    </row>
    <row r="22" spans="1:16" ht="13.9" customHeight="1">
      <c r="A22" s="1">
        <v>21</v>
      </c>
      <c r="B22" s="2" t="s">
        <v>211</v>
      </c>
      <c r="C22" s="2" t="s">
        <v>25466</v>
      </c>
      <c r="D22" s="2" t="s">
        <v>211</v>
      </c>
      <c r="E22" s="2" t="s">
        <v>25467</v>
      </c>
      <c r="F22" s="2" t="s">
        <v>25467</v>
      </c>
      <c r="G22" s="2" t="s">
        <v>25466</v>
      </c>
      <c r="H22" s="2" t="s">
        <v>25467</v>
      </c>
      <c r="I22" s="2" t="s">
        <v>25467</v>
      </c>
      <c r="J22" s="2" t="s">
        <v>25467</v>
      </c>
      <c r="K22" s="2" t="s">
        <v>25467</v>
      </c>
      <c r="L22" s="2" t="s">
        <v>25467</v>
      </c>
      <c r="M22" s="2" t="s">
        <v>25467</v>
      </c>
      <c r="N22" s="2" t="s">
        <v>25468</v>
      </c>
      <c r="O22" s="2" t="s">
        <v>211</v>
      </c>
      <c r="P22" s="2" t="s">
        <v>211</v>
      </c>
    </row>
    <row r="23" spans="1:16" ht="13.9" customHeight="1">
      <c r="A23" s="1">
        <v>22</v>
      </c>
      <c r="B23" s="2" t="s">
        <v>212</v>
      </c>
      <c r="C23" s="2" t="s">
        <v>213</v>
      </c>
      <c r="D23" s="2" t="s">
        <v>212</v>
      </c>
      <c r="E23" s="2" t="s">
        <v>214</v>
      </c>
      <c r="F23" s="2" t="s">
        <v>214</v>
      </c>
      <c r="G23" s="2" t="s">
        <v>213</v>
      </c>
      <c r="H23" s="2" t="s">
        <v>214</v>
      </c>
      <c r="I23" s="2" t="s">
        <v>214</v>
      </c>
      <c r="J23" s="2" t="s">
        <v>214</v>
      </c>
      <c r="K23" s="2" t="s">
        <v>214</v>
      </c>
      <c r="L23" s="2" t="s">
        <v>214</v>
      </c>
      <c r="M23" s="2" t="s">
        <v>214</v>
      </c>
      <c r="N23" s="2" t="s">
        <v>215</v>
      </c>
      <c r="O23" s="2" t="s">
        <v>212</v>
      </c>
      <c r="P23" s="2" t="s">
        <v>212</v>
      </c>
    </row>
    <row r="24" spans="1:16" ht="13.9" customHeight="1">
      <c r="A24" s="1">
        <v>23</v>
      </c>
      <c r="B24" s="2" t="s">
        <v>216</v>
      </c>
      <c r="C24" s="2" t="s">
        <v>217</v>
      </c>
      <c r="D24" s="2" t="s">
        <v>218</v>
      </c>
      <c r="E24" s="2" t="s">
        <v>219</v>
      </c>
      <c r="F24" s="2" t="s">
        <v>220</v>
      </c>
      <c r="G24" s="2" t="s">
        <v>221</v>
      </c>
      <c r="H24" s="2" t="s">
        <v>222</v>
      </c>
      <c r="I24" s="2" t="s">
        <v>223</v>
      </c>
      <c r="J24" s="2" t="s">
        <v>224</v>
      </c>
      <c r="K24" s="2" t="s">
        <v>225</v>
      </c>
      <c r="L24" s="2" t="s">
        <v>226</v>
      </c>
      <c r="M24" s="2" t="s">
        <v>227</v>
      </c>
      <c r="N24" s="2" t="s">
        <v>228</v>
      </c>
      <c r="O24" s="2" t="s">
        <v>229</v>
      </c>
      <c r="P24" s="2" t="s">
        <v>216</v>
      </c>
    </row>
    <row r="25" spans="1:16" ht="13.9" customHeight="1">
      <c r="A25" s="1">
        <v>24</v>
      </c>
      <c r="B25" s="2" t="s">
        <v>230</v>
      </c>
      <c r="C25" s="2" t="s">
        <v>231</v>
      </c>
      <c r="D25" s="2" t="s">
        <v>232</v>
      </c>
      <c r="E25" s="2" t="s">
        <v>233</v>
      </c>
      <c r="F25" s="2" t="s">
        <v>234</v>
      </c>
      <c r="G25" s="2" t="s">
        <v>235</v>
      </c>
      <c r="H25" s="2" t="s">
        <v>236</v>
      </c>
      <c r="I25" s="2" t="s">
        <v>237</v>
      </c>
      <c r="J25" s="2" t="s">
        <v>238</v>
      </c>
      <c r="K25" s="2" t="s">
        <v>239</v>
      </c>
      <c r="L25" s="2" t="s">
        <v>232</v>
      </c>
      <c r="M25" s="2" t="s">
        <v>232</v>
      </c>
      <c r="N25" s="2" t="s">
        <v>232</v>
      </c>
      <c r="O25" s="2" t="s">
        <v>240</v>
      </c>
      <c r="P25" s="2" t="s">
        <v>230</v>
      </c>
    </row>
    <row r="26" spans="1:16" ht="13.9" customHeight="1">
      <c r="A26" s="1">
        <v>25</v>
      </c>
      <c r="B26" s="2" t="s">
        <v>241</v>
      </c>
      <c r="C26" s="2" t="s">
        <v>242</v>
      </c>
      <c r="D26" s="2" t="s">
        <v>243</v>
      </c>
      <c r="E26" s="2" t="s">
        <v>244</v>
      </c>
      <c r="F26" s="2" t="s">
        <v>245</v>
      </c>
      <c r="G26" s="2" t="s">
        <v>246</v>
      </c>
      <c r="H26" s="2" t="s">
        <v>247</v>
      </c>
      <c r="I26" s="2" t="s">
        <v>248</v>
      </c>
      <c r="J26" s="2" t="s">
        <v>249</v>
      </c>
      <c r="K26" s="2" t="s">
        <v>250</v>
      </c>
      <c r="L26" s="2" t="s">
        <v>251</v>
      </c>
      <c r="M26" s="2" t="s">
        <v>251</v>
      </c>
      <c r="N26" s="2" t="s">
        <v>251</v>
      </c>
      <c r="O26" s="2" t="s">
        <v>252</v>
      </c>
      <c r="P26" s="2" t="s">
        <v>241</v>
      </c>
    </row>
    <row r="27" spans="1:16">
      <c r="A27" s="1">
        <v>26</v>
      </c>
      <c r="B27" s="2" t="s">
        <v>253</v>
      </c>
      <c r="C27" s="2" t="s">
        <v>254</v>
      </c>
      <c r="D27" s="2" t="s">
        <v>254</v>
      </c>
      <c r="E27" s="2" t="s">
        <v>255</v>
      </c>
      <c r="F27" s="2" t="s">
        <v>256</v>
      </c>
      <c r="G27" s="2" t="s">
        <v>257</v>
      </c>
      <c r="H27" s="2" t="s">
        <v>258</v>
      </c>
      <c r="I27" s="2" t="s">
        <v>259</v>
      </c>
      <c r="J27" s="2" t="s">
        <v>260</v>
      </c>
      <c r="K27" s="2" t="s">
        <v>261</v>
      </c>
      <c r="L27" s="2" t="s">
        <v>262</v>
      </c>
      <c r="M27" s="2" t="s">
        <v>262</v>
      </c>
      <c r="N27" s="2" t="s">
        <v>263</v>
      </c>
      <c r="O27" s="2" t="s">
        <v>262</v>
      </c>
      <c r="P27" s="2" t="s">
        <v>253</v>
      </c>
    </row>
    <row r="28" spans="1:16">
      <c r="A28" s="1">
        <v>27</v>
      </c>
      <c r="B28" s="2" t="s">
        <v>264</v>
      </c>
      <c r="C28" s="2" t="s">
        <v>265</v>
      </c>
      <c r="D28" s="2" t="s">
        <v>266</v>
      </c>
      <c r="E28" s="2" t="s">
        <v>267</v>
      </c>
      <c r="F28" s="2" t="s">
        <v>268</v>
      </c>
      <c r="G28" s="2" t="s">
        <v>269</v>
      </c>
      <c r="H28" s="2" t="s">
        <v>268</v>
      </c>
      <c r="I28" s="2" t="s">
        <v>270</v>
      </c>
      <c r="J28" s="2" t="s">
        <v>271</v>
      </c>
      <c r="K28" s="2" t="s">
        <v>272</v>
      </c>
      <c r="L28" s="2" t="s">
        <v>268</v>
      </c>
      <c r="M28" s="2" t="s">
        <v>273</v>
      </c>
      <c r="N28" s="2" t="s">
        <v>274</v>
      </c>
      <c r="O28" s="2" t="s">
        <v>268</v>
      </c>
      <c r="P28" s="2" t="s">
        <v>264</v>
      </c>
    </row>
    <row r="29" spans="1:16">
      <c r="A29" s="1">
        <v>28</v>
      </c>
      <c r="B29" s="2" t="s">
        <v>275</v>
      </c>
      <c r="C29" s="2" t="s">
        <v>276</v>
      </c>
      <c r="D29" s="2" t="s">
        <v>277</v>
      </c>
      <c r="E29" s="2" t="s">
        <v>278</v>
      </c>
      <c r="F29" s="2" t="s">
        <v>279</v>
      </c>
      <c r="G29" s="2" t="s">
        <v>280</v>
      </c>
      <c r="H29" s="2" t="s">
        <v>281</v>
      </c>
      <c r="I29" s="2" t="s">
        <v>282</v>
      </c>
      <c r="J29" s="2" t="s">
        <v>283</v>
      </c>
      <c r="K29" s="2" t="s">
        <v>284</v>
      </c>
      <c r="L29" s="2" t="s">
        <v>285</v>
      </c>
      <c r="M29" s="2" t="s">
        <v>286</v>
      </c>
      <c r="N29" s="2" t="s">
        <v>285</v>
      </c>
      <c r="O29" s="2" t="s">
        <v>287</v>
      </c>
      <c r="P29" s="2" t="s">
        <v>275</v>
      </c>
    </row>
    <row r="30" spans="1:16">
      <c r="A30" s="1">
        <v>29</v>
      </c>
      <c r="B30" s="2" t="s">
        <v>288</v>
      </c>
      <c r="C30" s="2" t="s">
        <v>289</v>
      </c>
      <c r="D30" s="2" t="s">
        <v>290</v>
      </c>
      <c r="E30" s="2" t="s">
        <v>291</v>
      </c>
      <c r="F30" s="2" t="s">
        <v>292</v>
      </c>
      <c r="G30" s="2" t="s">
        <v>293</v>
      </c>
      <c r="H30" s="2" t="s">
        <v>294</v>
      </c>
      <c r="I30" s="2" t="s">
        <v>295</v>
      </c>
      <c r="J30" s="2" t="s">
        <v>296</v>
      </c>
      <c r="K30" s="2" t="s">
        <v>297</v>
      </c>
      <c r="L30" s="2" t="s">
        <v>298</v>
      </c>
      <c r="M30" s="2" t="s">
        <v>299</v>
      </c>
      <c r="N30" s="2" t="s">
        <v>298</v>
      </c>
      <c r="O30" s="2" t="s">
        <v>300</v>
      </c>
      <c r="P30" s="2" t="s">
        <v>288</v>
      </c>
    </row>
    <row r="31" spans="1:16">
      <c r="A31" s="1">
        <v>30</v>
      </c>
      <c r="B31" s="2" t="s">
        <v>301</v>
      </c>
      <c r="C31" s="2" t="s">
        <v>302</v>
      </c>
      <c r="D31" s="2" t="s">
        <v>303</v>
      </c>
      <c r="E31" s="2" t="s">
        <v>304</v>
      </c>
      <c r="F31" s="2" t="s">
        <v>305</v>
      </c>
      <c r="G31" s="2" t="s">
        <v>306</v>
      </c>
      <c r="H31" s="2" t="s">
        <v>307</v>
      </c>
      <c r="I31" s="2" t="s">
        <v>308</v>
      </c>
      <c r="J31" s="2" t="s">
        <v>309</v>
      </c>
      <c r="K31" s="2" t="s">
        <v>310</v>
      </c>
      <c r="L31" s="2" t="s">
        <v>311</v>
      </c>
      <c r="M31" s="2" t="s">
        <v>312</v>
      </c>
      <c r="N31" s="2" t="s">
        <v>313</v>
      </c>
      <c r="O31" s="2" t="s">
        <v>314</v>
      </c>
      <c r="P31" s="2" t="s">
        <v>301</v>
      </c>
    </row>
    <row r="32" spans="1:16">
      <c r="A32" s="1">
        <v>31</v>
      </c>
      <c r="B32" s="2" t="s">
        <v>315</v>
      </c>
      <c r="C32" s="2" t="s">
        <v>316</v>
      </c>
      <c r="D32" s="2" t="s">
        <v>317</v>
      </c>
      <c r="E32" s="2" t="s">
        <v>318</v>
      </c>
      <c r="F32" s="2" t="s">
        <v>319</v>
      </c>
      <c r="G32" s="2" t="s">
        <v>320</v>
      </c>
      <c r="H32" s="2" t="s">
        <v>321</v>
      </c>
      <c r="I32" s="2" t="s">
        <v>322</v>
      </c>
      <c r="J32" s="2" t="s">
        <v>323</v>
      </c>
      <c r="K32" s="2" t="s">
        <v>324</v>
      </c>
      <c r="L32" s="2" t="s">
        <v>325</v>
      </c>
      <c r="M32" s="2" t="s">
        <v>326</v>
      </c>
      <c r="N32" s="2" t="s">
        <v>327</v>
      </c>
      <c r="O32" s="2" t="s">
        <v>328</v>
      </c>
      <c r="P32" s="2" t="s">
        <v>315</v>
      </c>
    </row>
    <row r="33" spans="1:16">
      <c r="A33" s="1">
        <v>32</v>
      </c>
      <c r="B33" s="2" t="s">
        <v>329</v>
      </c>
      <c r="C33" s="2" t="s">
        <v>330</v>
      </c>
      <c r="D33" s="2" t="s">
        <v>331</v>
      </c>
      <c r="E33" s="2" t="s">
        <v>332</v>
      </c>
      <c r="F33" s="2" t="s">
        <v>333</v>
      </c>
      <c r="G33" s="2" t="s">
        <v>334</v>
      </c>
      <c r="H33" s="2" t="s">
        <v>335</v>
      </c>
      <c r="I33" s="2" t="s">
        <v>336</v>
      </c>
      <c r="J33" s="2" t="s">
        <v>337</v>
      </c>
      <c r="K33" s="2" t="s">
        <v>338</v>
      </c>
      <c r="L33" s="2" t="s">
        <v>339</v>
      </c>
      <c r="M33" s="2" t="s">
        <v>340</v>
      </c>
      <c r="N33" s="2" t="s">
        <v>341</v>
      </c>
      <c r="O33" s="2" t="s">
        <v>342</v>
      </c>
      <c r="P33" s="2" t="s">
        <v>329</v>
      </c>
    </row>
    <row r="34" spans="1:16">
      <c r="A34" s="1">
        <v>33</v>
      </c>
      <c r="B34" s="2" t="s">
        <v>343</v>
      </c>
      <c r="C34" s="2" t="s">
        <v>344</v>
      </c>
      <c r="D34" s="2" t="s">
        <v>345</v>
      </c>
      <c r="E34" s="2" t="s">
        <v>346</v>
      </c>
      <c r="F34" s="2" t="s">
        <v>347</v>
      </c>
      <c r="G34" s="2" t="s">
        <v>348</v>
      </c>
      <c r="H34" s="2" t="s">
        <v>349</v>
      </c>
      <c r="I34" s="2" t="s">
        <v>350</v>
      </c>
      <c r="J34" s="2" t="s">
        <v>351</v>
      </c>
      <c r="K34" s="2" t="s">
        <v>352</v>
      </c>
      <c r="L34" s="2" t="s">
        <v>353</v>
      </c>
      <c r="M34" s="2" t="s">
        <v>354</v>
      </c>
      <c r="N34" s="2" t="s">
        <v>355</v>
      </c>
      <c r="O34" s="2" t="s">
        <v>356</v>
      </c>
      <c r="P34" s="2" t="s">
        <v>343</v>
      </c>
    </row>
    <row r="35" spans="1:16" ht="13.9" customHeight="1">
      <c r="A35" s="1">
        <v>34</v>
      </c>
      <c r="B35" s="2" t="s">
        <v>357</v>
      </c>
      <c r="C35" s="2" t="s">
        <v>358</v>
      </c>
      <c r="D35" s="2" t="s">
        <v>359</v>
      </c>
      <c r="E35" s="2" t="s">
        <v>360</v>
      </c>
      <c r="F35" s="2" t="s">
        <v>361</v>
      </c>
      <c r="G35" s="2" t="s">
        <v>362</v>
      </c>
      <c r="H35" s="2" t="s">
        <v>363</v>
      </c>
      <c r="I35" s="2" t="s">
        <v>364</v>
      </c>
      <c r="J35" s="2" t="s">
        <v>365</v>
      </c>
      <c r="K35" s="2" t="s">
        <v>366</v>
      </c>
      <c r="L35" s="2" t="s">
        <v>367</v>
      </c>
      <c r="M35" s="2" t="s">
        <v>368</v>
      </c>
      <c r="N35" s="2" t="s">
        <v>369</v>
      </c>
      <c r="O35" s="2" t="s">
        <v>370</v>
      </c>
      <c r="P35" s="2" t="s">
        <v>357</v>
      </c>
    </row>
    <row r="36" spans="1:16" ht="13.9" customHeight="1">
      <c r="A36" s="1">
        <v>35</v>
      </c>
      <c r="B36" s="2" t="s">
        <v>371</v>
      </c>
      <c r="C36" s="2" t="s">
        <v>372</v>
      </c>
      <c r="D36" s="2" t="s">
        <v>373</v>
      </c>
      <c r="E36" s="2" t="s">
        <v>374</v>
      </c>
      <c r="F36" s="2" t="s">
        <v>375</v>
      </c>
      <c r="G36" s="2" t="s">
        <v>376</v>
      </c>
      <c r="H36" s="2" t="s">
        <v>377</v>
      </c>
      <c r="I36" s="2" t="s">
        <v>378</v>
      </c>
      <c r="J36" s="2" t="s">
        <v>379</v>
      </c>
      <c r="K36" s="2" t="s">
        <v>380</v>
      </c>
      <c r="L36" s="2" t="s">
        <v>381</v>
      </c>
      <c r="M36" s="2" t="s">
        <v>382</v>
      </c>
      <c r="N36" s="2" t="s">
        <v>383</v>
      </c>
      <c r="O36" s="2" t="s">
        <v>384</v>
      </c>
      <c r="P36" s="2" t="s">
        <v>371</v>
      </c>
    </row>
    <row r="37" spans="1:16" ht="13.9" customHeight="1">
      <c r="A37" s="1">
        <v>36</v>
      </c>
      <c r="B37" s="2" t="s">
        <v>385</v>
      </c>
      <c r="C37" s="2" t="s">
        <v>386</v>
      </c>
      <c r="D37" s="2" t="s">
        <v>387</v>
      </c>
      <c r="E37" s="2" t="s">
        <v>388</v>
      </c>
      <c r="F37" s="2" t="s">
        <v>389</v>
      </c>
      <c r="G37" s="2" t="s">
        <v>390</v>
      </c>
      <c r="H37" s="2" t="s">
        <v>391</v>
      </c>
      <c r="I37" s="2" t="s">
        <v>392</v>
      </c>
      <c r="J37" s="2" t="s">
        <v>393</v>
      </c>
      <c r="K37" s="2" t="s">
        <v>394</v>
      </c>
      <c r="L37" s="2" t="s">
        <v>395</v>
      </c>
      <c r="M37" s="2" t="s">
        <v>396</v>
      </c>
      <c r="N37" s="2" t="s">
        <v>396</v>
      </c>
      <c r="O37" s="2" t="s">
        <v>397</v>
      </c>
      <c r="P37" s="2" t="s">
        <v>385</v>
      </c>
    </row>
    <row r="38" spans="1:16" ht="13.9" customHeight="1">
      <c r="A38" s="1">
        <v>37</v>
      </c>
      <c r="B38" s="2" t="s">
        <v>398</v>
      </c>
      <c r="C38" s="2" t="s">
        <v>399</v>
      </c>
      <c r="D38" s="2" t="s">
        <v>400</v>
      </c>
      <c r="E38" s="2" t="s">
        <v>401</v>
      </c>
      <c r="F38" s="2" t="s">
        <v>402</v>
      </c>
      <c r="G38" s="2" t="s">
        <v>403</v>
      </c>
      <c r="H38" s="2" t="s">
        <v>404</v>
      </c>
      <c r="I38" s="2" t="s">
        <v>405</v>
      </c>
      <c r="J38" s="2" t="s">
        <v>406</v>
      </c>
      <c r="K38" s="2" t="s">
        <v>407</v>
      </c>
      <c r="L38" s="2" t="s">
        <v>408</v>
      </c>
      <c r="M38" s="2" t="s">
        <v>409</v>
      </c>
      <c r="N38" s="2" t="s">
        <v>409</v>
      </c>
      <c r="O38" s="2" t="s">
        <v>410</v>
      </c>
      <c r="P38" s="2" t="s">
        <v>398</v>
      </c>
    </row>
    <row r="39" spans="1:16" ht="13.9" customHeight="1">
      <c r="A39" s="1">
        <v>38</v>
      </c>
      <c r="B39" s="2" t="s">
        <v>411</v>
      </c>
      <c r="C39" s="2" t="s">
        <v>412</v>
      </c>
      <c r="D39" s="2" t="s">
        <v>413</v>
      </c>
      <c r="E39" s="2" t="s">
        <v>414</v>
      </c>
      <c r="F39" s="2" t="s">
        <v>415</v>
      </c>
      <c r="G39" s="2" t="s">
        <v>416</v>
      </c>
      <c r="H39" s="2" t="s">
        <v>417</v>
      </c>
      <c r="I39" s="2" t="s">
        <v>418</v>
      </c>
      <c r="J39" s="2" t="s">
        <v>419</v>
      </c>
      <c r="K39" s="2" t="s">
        <v>420</v>
      </c>
      <c r="L39" s="2" t="s">
        <v>421</v>
      </c>
      <c r="M39" s="2" t="s">
        <v>421</v>
      </c>
      <c r="N39" s="2" t="s">
        <v>422</v>
      </c>
      <c r="O39" s="2" t="s">
        <v>423</v>
      </c>
      <c r="P39" s="2" t="s">
        <v>411</v>
      </c>
    </row>
    <row r="40" spans="1:16" ht="13.9" customHeight="1">
      <c r="A40" s="1">
        <v>39</v>
      </c>
      <c r="B40" s="2" t="s">
        <v>424</v>
      </c>
      <c r="C40" s="2" t="s">
        <v>425</v>
      </c>
      <c r="D40" s="2" t="s">
        <v>426</v>
      </c>
      <c r="E40" s="2" t="s">
        <v>427</v>
      </c>
      <c r="F40" s="2" t="s">
        <v>428</v>
      </c>
      <c r="G40" s="2" t="s">
        <v>429</v>
      </c>
      <c r="H40" s="2" t="s">
        <v>430</v>
      </c>
      <c r="I40" s="2" t="s">
        <v>431</v>
      </c>
      <c r="J40" s="2" t="s">
        <v>432</v>
      </c>
      <c r="K40" s="2" t="s">
        <v>433</v>
      </c>
      <c r="L40" s="2" t="s">
        <v>434</v>
      </c>
      <c r="M40" s="2" t="s">
        <v>434</v>
      </c>
      <c r="N40" s="2" t="s">
        <v>435</v>
      </c>
      <c r="O40" s="2" t="s">
        <v>436</v>
      </c>
      <c r="P40" s="2" t="s">
        <v>424</v>
      </c>
    </row>
    <row r="41" spans="1:16" ht="13.9" customHeight="1">
      <c r="A41" s="1">
        <v>40</v>
      </c>
      <c r="B41" s="2" t="s">
        <v>25469</v>
      </c>
      <c r="C41" s="2" t="s">
        <v>25470</v>
      </c>
      <c r="D41" s="2" t="s">
        <v>437</v>
      </c>
      <c r="E41" s="2" t="s">
        <v>25471</v>
      </c>
      <c r="F41" s="2" t="s">
        <v>25472</v>
      </c>
      <c r="G41" s="2" t="s">
        <v>25470</v>
      </c>
      <c r="H41" s="2" t="s">
        <v>25472</v>
      </c>
      <c r="I41" s="2" t="s">
        <v>25472</v>
      </c>
      <c r="J41" s="2" t="s">
        <v>25473</v>
      </c>
      <c r="K41" s="2" t="s">
        <v>25472</v>
      </c>
      <c r="L41" s="2" t="s">
        <v>25472</v>
      </c>
      <c r="M41" s="2" t="s">
        <v>25472</v>
      </c>
      <c r="N41" s="2" t="s">
        <v>25474</v>
      </c>
      <c r="O41" s="2" t="s">
        <v>25469</v>
      </c>
      <c r="P41" s="2" t="s">
        <v>25469</v>
      </c>
    </row>
    <row r="42" spans="1:16" ht="13.9" customHeight="1">
      <c r="A42" s="1">
        <v>41</v>
      </c>
      <c r="B42" s="2" t="s">
        <v>438</v>
      </c>
      <c r="C42" s="2" t="s">
        <v>439</v>
      </c>
      <c r="D42" s="2" t="s">
        <v>440</v>
      </c>
      <c r="E42" s="2" t="s">
        <v>441</v>
      </c>
      <c r="F42" s="2" t="s">
        <v>442</v>
      </c>
      <c r="G42" s="2" t="s">
        <v>443</v>
      </c>
      <c r="H42" s="2" t="s">
        <v>444</v>
      </c>
      <c r="I42" s="2" t="s">
        <v>445</v>
      </c>
      <c r="J42" s="2" t="s">
        <v>446</v>
      </c>
      <c r="K42" s="2" t="s">
        <v>447</v>
      </c>
      <c r="L42" s="2" t="s">
        <v>448</v>
      </c>
      <c r="M42" s="2" t="s">
        <v>449</v>
      </c>
      <c r="N42" s="2" t="s">
        <v>450</v>
      </c>
      <c r="O42" s="2" t="s">
        <v>451</v>
      </c>
      <c r="P42" s="2" t="s">
        <v>438</v>
      </c>
    </row>
    <row r="43" spans="1:16" ht="13.9" customHeight="1">
      <c r="A43" s="1">
        <v>42</v>
      </c>
      <c r="B43" s="2" t="s">
        <v>452</v>
      </c>
      <c r="C43" s="2" t="s">
        <v>453</v>
      </c>
      <c r="D43" s="2" t="s">
        <v>454</v>
      </c>
      <c r="E43" s="2" t="s">
        <v>455</v>
      </c>
      <c r="F43" s="2" t="s">
        <v>456</v>
      </c>
      <c r="G43" s="2" t="s">
        <v>457</v>
      </c>
      <c r="H43" s="2" t="s">
        <v>458</v>
      </c>
      <c r="I43" s="2" t="s">
        <v>459</v>
      </c>
      <c r="J43" s="2" t="s">
        <v>460</v>
      </c>
      <c r="K43" s="2" t="s">
        <v>461</v>
      </c>
      <c r="L43" s="2" t="s">
        <v>462</v>
      </c>
      <c r="M43" s="2" t="s">
        <v>463</v>
      </c>
      <c r="N43" s="2" t="s">
        <v>464</v>
      </c>
      <c r="O43" s="2" t="s">
        <v>465</v>
      </c>
      <c r="P43" s="2" t="s">
        <v>452</v>
      </c>
    </row>
    <row r="44" spans="1:16">
      <c r="A44" s="1">
        <v>43</v>
      </c>
      <c r="B44" s="2" t="s">
        <v>466</v>
      </c>
      <c r="C44" s="2" t="s">
        <v>467</v>
      </c>
      <c r="D44" s="2" t="s">
        <v>468</v>
      </c>
      <c r="E44" s="2" t="s">
        <v>469</v>
      </c>
      <c r="F44" s="2" t="s">
        <v>470</v>
      </c>
      <c r="G44" s="2" t="s">
        <v>471</v>
      </c>
      <c r="H44" s="2" t="s">
        <v>472</v>
      </c>
      <c r="I44" s="2" t="s">
        <v>473</v>
      </c>
      <c r="J44" s="2" t="s">
        <v>474</v>
      </c>
      <c r="K44" s="2" t="s">
        <v>475</v>
      </c>
      <c r="L44" s="2" t="s">
        <v>476</v>
      </c>
      <c r="M44" s="2" t="s">
        <v>477</v>
      </c>
      <c r="N44" s="2" t="s">
        <v>478</v>
      </c>
      <c r="O44" s="2" t="s">
        <v>479</v>
      </c>
      <c r="P44" s="2" t="s">
        <v>466</v>
      </c>
    </row>
    <row r="45" spans="1:16">
      <c r="A45" s="1">
        <v>44</v>
      </c>
      <c r="B45" s="2" t="s">
        <v>480</v>
      </c>
      <c r="C45" s="2" t="s">
        <v>481</v>
      </c>
      <c r="D45" s="2" t="s">
        <v>482</v>
      </c>
      <c r="E45" s="2" t="s">
        <v>483</v>
      </c>
      <c r="F45" s="2" t="s">
        <v>484</v>
      </c>
      <c r="G45" s="2" t="s">
        <v>481</v>
      </c>
      <c r="H45" s="2" t="s">
        <v>481</v>
      </c>
      <c r="I45" s="2" t="s">
        <v>481</v>
      </c>
      <c r="J45" s="2" t="s">
        <v>485</v>
      </c>
      <c r="K45" s="2" t="s">
        <v>484</v>
      </c>
      <c r="L45" s="2" t="s">
        <v>486</v>
      </c>
      <c r="M45" s="2" t="s">
        <v>481</v>
      </c>
      <c r="N45" s="2" t="s">
        <v>487</v>
      </c>
      <c r="O45" s="2" t="s">
        <v>480</v>
      </c>
      <c r="P45" s="2" t="s">
        <v>480</v>
      </c>
    </row>
    <row r="46" spans="1:16">
      <c r="A46" s="1">
        <v>45</v>
      </c>
      <c r="B46" s="2" t="s">
        <v>22661</v>
      </c>
      <c r="C46" s="2" t="s">
        <v>489</v>
      </c>
      <c r="D46" s="2" t="s">
        <v>488</v>
      </c>
      <c r="E46" s="2" t="s">
        <v>490</v>
      </c>
      <c r="F46" s="2" t="s">
        <v>491</v>
      </c>
      <c r="G46" s="2" t="s">
        <v>492</v>
      </c>
      <c r="H46" s="2" t="s">
        <v>493</v>
      </c>
      <c r="I46" s="2" t="s">
        <v>24945</v>
      </c>
      <c r="J46" s="2" t="s">
        <v>493</v>
      </c>
      <c r="K46" s="2" t="s">
        <v>494</v>
      </c>
      <c r="L46" s="2" t="s">
        <v>493</v>
      </c>
      <c r="M46" s="2" t="s">
        <v>493</v>
      </c>
      <c r="N46" s="2" t="s">
        <v>493</v>
      </c>
      <c r="O46" s="2" t="s">
        <v>488</v>
      </c>
      <c r="P46" s="2" t="s">
        <v>22661</v>
      </c>
    </row>
    <row r="47" spans="1:16">
      <c r="A47" s="1">
        <v>46</v>
      </c>
      <c r="B47" s="2" t="s">
        <v>22662</v>
      </c>
      <c r="C47" s="2" t="s">
        <v>496</v>
      </c>
      <c r="D47" s="2" t="s">
        <v>497</v>
      </c>
      <c r="E47" s="2" t="s">
        <v>498</v>
      </c>
      <c r="F47" s="2" t="s">
        <v>499</v>
      </c>
      <c r="G47" s="2" t="s">
        <v>500</v>
      </c>
      <c r="H47" s="2" t="s">
        <v>501</v>
      </c>
      <c r="I47" s="2" t="s">
        <v>24946</v>
      </c>
      <c r="J47" s="2" t="s">
        <v>502</v>
      </c>
      <c r="K47" s="2" t="s">
        <v>499</v>
      </c>
      <c r="L47" s="2" t="s">
        <v>501</v>
      </c>
      <c r="M47" s="2" t="s">
        <v>501</v>
      </c>
      <c r="N47" s="2" t="s">
        <v>503</v>
      </c>
      <c r="O47" s="2" t="s">
        <v>495</v>
      </c>
      <c r="P47" s="2" t="s">
        <v>22662</v>
      </c>
    </row>
    <row r="48" spans="1:16">
      <c r="A48" s="1">
        <v>47</v>
      </c>
      <c r="B48" s="2" t="s">
        <v>22663</v>
      </c>
      <c r="C48" s="2" t="s">
        <v>505</v>
      </c>
      <c r="D48" s="2" t="s">
        <v>506</v>
      </c>
      <c r="E48" s="2" t="s">
        <v>507</v>
      </c>
      <c r="F48" s="2" t="s">
        <v>508</v>
      </c>
      <c r="G48" s="2" t="s">
        <v>509</v>
      </c>
      <c r="H48" s="2" t="s">
        <v>510</v>
      </c>
      <c r="I48" s="2" t="s">
        <v>24947</v>
      </c>
      <c r="J48" s="2" t="s">
        <v>511</v>
      </c>
      <c r="K48" s="2" t="s">
        <v>508</v>
      </c>
      <c r="L48" s="2" t="s">
        <v>512</v>
      </c>
      <c r="M48" s="2" t="s">
        <v>510</v>
      </c>
      <c r="N48" s="2" t="s">
        <v>513</v>
      </c>
      <c r="O48" s="2" t="s">
        <v>504</v>
      </c>
      <c r="P48" s="2" t="s">
        <v>22663</v>
      </c>
    </row>
    <row r="49" spans="1:16">
      <c r="A49" s="1">
        <v>48</v>
      </c>
      <c r="B49" s="2" t="s">
        <v>514</v>
      </c>
      <c r="C49" s="2" t="s">
        <v>515</v>
      </c>
      <c r="D49" s="2" t="s">
        <v>516</v>
      </c>
      <c r="E49" s="2" t="s">
        <v>517</v>
      </c>
      <c r="F49" s="2" t="s">
        <v>517</v>
      </c>
      <c r="G49" s="2" t="s">
        <v>515</v>
      </c>
      <c r="H49" s="2" t="s">
        <v>515</v>
      </c>
      <c r="I49" s="2" t="s">
        <v>515</v>
      </c>
      <c r="J49" s="2" t="s">
        <v>518</v>
      </c>
      <c r="K49" s="2" t="s">
        <v>517</v>
      </c>
      <c r="L49" s="2" t="s">
        <v>519</v>
      </c>
      <c r="M49" s="2" t="s">
        <v>519</v>
      </c>
      <c r="N49" s="2" t="s">
        <v>520</v>
      </c>
      <c r="O49" s="2" t="s">
        <v>514</v>
      </c>
      <c r="P49" s="2" t="s">
        <v>514</v>
      </c>
    </row>
    <row r="50" spans="1:16">
      <c r="A50" s="1">
        <v>49</v>
      </c>
      <c r="B50" s="2" t="s">
        <v>521</v>
      </c>
      <c r="C50" s="2" t="s">
        <v>522</v>
      </c>
      <c r="D50" s="2" t="s">
        <v>523</v>
      </c>
      <c r="E50" s="2" t="s">
        <v>524</v>
      </c>
      <c r="F50" s="2" t="s">
        <v>524</v>
      </c>
      <c r="G50" s="2" t="s">
        <v>522</v>
      </c>
      <c r="H50" s="2" t="s">
        <v>522</v>
      </c>
      <c r="I50" s="2" t="s">
        <v>522</v>
      </c>
      <c r="J50" s="2" t="s">
        <v>525</v>
      </c>
      <c r="K50" s="2" t="s">
        <v>524</v>
      </c>
      <c r="L50" s="2" t="s">
        <v>526</v>
      </c>
      <c r="M50" s="2" t="s">
        <v>526</v>
      </c>
      <c r="N50" s="2" t="s">
        <v>526</v>
      </c>
      <c r="O50" s="2" t="s">
        <v>521</v>
      </c>
      <c r="P50" s="2" t="s">
        <v>521</v>
      </c>
    </row>
    <row r="51" spans="1:16">
      <c r="A51" s="1">
        <v>50</v>
      </c>
      <c r="B51" s="2" t="s">
        <v>527</v>
      </c>
      <c r="C51" s="2" t="s">
        <v>528</v>
      </c>
      <c r="D51" s="2" t="s">
        <v>529</v>
      </c>
      <c r="E51" s="2" t="s">
        <v>530</v>
      </c>
      <c r="F51" s="2" t="s">
        <v>531</v>
      </c>
      <c r="G51" s="2" t="s">
        <v>532</v>
      </c>
      <c r="H51" s="2" t="s">
        <v>533</v>
      </c>
      <c r="I51" s="2" t="s">
        <v>534</v>
      </c>
      <c r="J51" s="2" t="s">
        <v>535</v>
      </c>
      <c r="K51" s="2" t="s">
        <v>530</v>
      </c>
      <c r="L51" s="2" t="s">
        <v>536</v>
      </c>
      <c r="M51" s="2" t="s">
        <v>537</v>
      </c>
      <c r="N51" s="2" t="s">
        <v>538</v>
      </c>
      <c r="O51" s="2" t="s">
        <v>539</v>
      </c>
      <c r="P51" s="2" t="s">
        <v>527</v>
      </c>
    </row>
    <row r="52" spans="1:16">
      <c r="A52" s="1">
        <v>51</v>
      </c>
      <c r="B52" s="2" t="s">
        <v>540</v>
      </c>
      <c r="C52" s="2" t="s">
        <v>541</v>
      </c>
      <c r="D52" s="2" t="s">
        <v>542</v>
      </c>
      <c r="E52" s="2" t="s">
        <v>543</v>
      </c>
      <c r="F52" s="2" t="s">
        <v>544</v>
      </c>
      <c r="G52" s="2" t="s">
        <v>545</v>
      </c>
      <c r="H52" s="2" t="s">
        <v>546</v>
      </c>
      <c r="I52" s="2" t="s">
        <v>547</v>
      </c>
      <c r="J52" s="2" t="s">
        <v>548</v>
      </c>
      <c r="K52" s="2" t="s">
        <v>549</v>
      </c>
      <c r="L52" s="2" t="s">
        <v>550</v>
      </c>
      <c r="M52" s="2" t="s">
        <v>551</v>
      </c>
      <c r="N52" s="2" t="s">
        <v>552</v>
      </c>
      <c r="O52" s="2" t="s">
        <v>553</v>
      </c>
      <c r="P52" s="2" t="s">
        <v>540</v>
      </c>
    </row>
    <row r="53" spans="1:16">
      <c r="A53" s="1">
        <v>52</v>
      </c>
      <c r="B53" s="2" t="s">
        <v>554</v>
      </c>
      <c r="C53" s="2" t="s">
        <v>555</v>
      </c>
      <c r="D53" s="2" t="s">
        <v>556</v>
      </c>
      <c r="E53" s="2" t="s">
        <v>557</v>
      </c>
      <c r="F53" s="2" t="s">
        <v>558</v>
      </c>
      <c r="G53" s="2" t="s">
        <v>559</v>
      </c>
      <c r="H53" s="2" t="s">
        <v>560</v>
      </c>
      <c r="I53" s="2" t="s">
        <v>561</v>
      </c>
      <c r="J53" s="2" t="s">
        <v>562</v>
      </c>
      <c r="K53" s="2" t="s">
        <v>563</v>
      </c>
      <c r="L53" s="2" t="s">
        <v>564</v>
      </c>
      <c r="M53" s="2" t="s">
        <v>565</v>
      </c>
      <c r="N53" s="2" t="s">
        <v>566</v>
      </c>
      <c r="O53" s="2" t="s">
        <v>567</v>
      </c>
      <c r="P53" s="2" t="s">
        <v>554</v>
      </c>
    </row>
    <row r="54" spans="1:16">
      <c r="A54" s="1">
        <v>53</v>
      </c>
      <c r="B54" s="2" t="s">
        <v>570</v>
      </c>
      <c r="C54" s="2" t="s">
        <v>569</v>
      </c>
      <c r="D54" s="2" t="s">
        <v>570</v>
      </c>
      <c r="E54" s="2" t="s">
        <v>571</v>
      </c>
      <c r="F54" s="2" t="s">
        <v>572</v>
      </c>
      <c r="G54" s="2" t="s">
        <v>573</v>
      </c>
      <c r="H54" s="2" t="s">
        <v>574</v>
      </c>
      <c r="I54" s="2" t="s">
        <v>24948</v>
      </c>
      <c r="J54" s="2" t="s">
        <v>574</v>
      </c>
      <c r="K54" s="2" t="s">
        <v>572</v>
      </c>
      <c r="L54" s="2" t="s">
        <v>574</v>
      </c>
      <c r="M54" s="2" t="s">
        <v>574</v>
      </c>
      <c r="N54" s="2" t="s">
        <v>574</v>
      </c>
      <c r="O54" s="2" t="s">
        <v>568</v>
      </c>
      <c r="P54" s="2" t="s">
        <v>570</v>
      </c>
    </row>
    <row r="55" spans="1:16">
      <c r="A55" s="1">
        <v>54</v>
      </c>
      <c r="B55" s="2" t="s">
        <v>575</v>
      </c>
      <c r="C55" s="2" t="s">
        <v>576</v>
      </c>
      <c r="D55" s="2" t="s">
        <v>577</v>
      </c>
      <c r="E55" s="2" t="s">
        <v>578</v>
      </c>
      <c r="F55" s="2" t="s">
        <v>579</v>
      </c>
      <c r="G55" s="2" t="s">
        <v>580</v>
      </c>
      <c r="H55" s="2" t="s">
        <v>581</v>
      </c>
      <c r="I55" s="2" t="s">
        <v>582</v>
      </c>
      <c r="J55" s="2" t="s">
        <v>583</v>
      </c>
      <c r="K55" s="2" t="s">
        <v>584</v>
      </c>
      <c r="L55" s="2" t="s">
        <v>585</v>
      </c>
      <c r="M55" s="2" t="s">
        <v>586</v>
      </c>
      <c r="N55" s="2" t="s">
        <v>586</v>
      </c>
      <c r="O55" s="2" t="s">
        <v>587</v>
      </c>
      <c r="P55" s="2" t="s">
        <v>575</v>
      </c>
    </row>
    <row r="56" spans="1:16">
      <c r="A56" s="1">
        <v>55</v>
      </c>
      <c r="B56" s="2" t="s">
        <v>588</v>
      </c>
      <c r="C56" s="2" t="s">
        <v>589</v>
      </c>
      <c r="D56" s="2" t="s">
        <v>588</v>
      </c>
      <c r="E56" s="2" t="s">
        <v>590</v>
      </c>
      <c r="F56" s="2" t="s">
        <v>591</v>
      </c>
      <c r="G56" s="2" t="s">
        <v>591</v>
      </c>
      <c r="H56" s="2" t="s">
        <v>591</v>
      </c>
      <c r="I56" s="2" t="s">
        <v>591</v>
      </c>
      <c r="J56" s="2" t="s">
        <v>591</v>
      </c>
      <c r="K56" s="2" t="s">
        <v>591</v>
      </c>
      <c r="L56" s="2" t="s">
        <v>591</v>
      </c>
      <c r="M56" s="2" t="s">
        <v>591</v>
      </c>
      <c r="N56" s="2" t="s">
        <v>591</v>
      </c>
      <c r="O56" s="2" t="s">
        <v>591</v>
      </c>
      <c r="P56" s="2" t="s">
        <v>588</v>
      </c>
    </row>
    <row r="57" spans="1:16">
      <c r="A57" s="1">
        <v>56</v>
      </c>
      <c r="B57" s="2" t="s">
        <v>592</v>
      </c>
      <c r="C57" s="2" t="s">
        <v>593</v>
      </c>
      <c r="D57" s="2" t="s">
        <v>592</v>
      </c>
      <c r="E57" s="2" t="s">
        <v>593</v>
      </c>
      <c r="F57" s="2" t="s">
        <v>594</v>
      </c>
      <c r="G57" s="2" t="s">
        <v>594</v>
      </c>
      <c r="H57" s="2" t="s">
        <v>594</v>
      </c>
      <c r="I57" s="2" t="s">
        <v>593</v>
      </c>
      <c r="J57" s="2" t="s">
        <v>593</v>
      </c>
      <c r="K57" s="2" t="s">
        <v>594</v>
      </c>
      <c r="L57" s="2" t="s">
        <v>594</v>
      </c>
      <c r="M57" s="2" t="s">
        <v>594</v>
      </c>
      <c r="N57" s="2" t="s">
        <v>594</v>
      </c>
      <c r="O57" s="2" t="s">
        <v>594</v>
      </c>
      <c r="P57" s="2" t="s">
        <v>592</v>
      </c>
    </row>
    <row r="58" spans="1:16">
      <c r="A58" s="1">
        <v>57</v>
      </c>
      <c r="B58" s="2" t="s">
        <v>595</v>
      </c>
      <c r="C58" s="2" t="s">
        <v>596</v>
      </c>
      <c r="D58" s="2" t="s">
        <v>595</v>
      </c>
      <c r="E58" s="2" t="s">
        <v>596</v>
      </c>
      <c r="F58" s="2" t="s">
        <v>596</v>
      </c>
      <c r="G58" s="2" t="s">
        <v>596</v>
      </c>
      <c r="H58" s="2" t="s">
        <v>596</v>
      </c>
      <c r="I58" s="2" t="s">
        <v>596</v>
      </c>
      <c r="J58" s="2" t="s">
        <v>596</v>
      </c>
      <c r="K58" s="2" t="s">
        <v>596</v>
      </c>
      <c r="L58" s="2" t="s">
        <v>596</v>
      </c>
      <c r="M58" s="2" t="s">
        <v>596</v>
      </c>
      <c r="N58" s="2" t="s">
        <v>596</v>
      </c>
      <c r="O58" s="2" t="s">
        <v>595</v>
      </c>
      <c r="P58" s="2" t="s">
        <v>595</v>
      </c>
    </row>
    <row r="59" spans="1:16">
      <c r="A59" s="1">
        <v>58</v>
      </c>
      <c r="B59" s="2" t="s">
        <v>597</v>
      </c>
      <c r="C59" s="2" t="s">
        <v>598</v>
      </c>
      <c r="D59" s="2" t="s">
        <v>597</v>
      </c>
      <c r="E59" s="2" t="s">
        <v>599</v>
      </c>
      <c r="F59" s="2" t="s">
        <v>600</v>
      </c>
      <c r="G59" s="2" t="s">
        <v>598</v>
      </c>
      <c r="H59" s="2" t="s">
        <v>601</v>
      </c>
      <c r="I59" s="2" t="s">
        <v>24949</v>
      </c>
      <c r="J59" s="2" t="s">
        <v>601</v>
      </c>
      <c r="K59" s="2" t="s">
        <v>600</v>
      </c>
      <c r="L59" s="2" t="s">
        <v>601</v>
      </c>
      <c r="M59" s="2" t="s">
        <v>601</v>
      </c>
      <c r="N59" s="2" t="s">
        <v>601</v>
      </c>
      <c r="O59" s="2" t="s">
        <v>597</v>
      </c>
      <c r="P59" s="2" t="s">
        <v>597</v>
      </c>
    </row>
    <row r="60" spans="1:16">
      <c r="A60" s="1">
        <v>59</v>
      </c>
      <c r="B60" s="2" t="s">
        <v>602</v>
      </c>
      <c r="C60" s="2" t="s">
        <v>603</v>
      </c>
      <c r="D60" s="2" t="s">
        <v>604</v>
      </c>
      <c r="E60" s="2" t="s">
        <v>605</v>
      </c>
      <c r="F60" s="2" t="s">
        <v>606</v>
      </c>
      <c r="G60" s="2" t="s">
        <v>607</v>
      </c>
      <c r="H60" s="2" t="s">
        <v>608</v>
      </c>
      <c r="I60" s="2" t="s">
        <v>22664</v>
      </c>
      <c r="J60" s="2" t="s">
        <v>609</v>
      </c>
      <c r="K60" s="2" t="s">
        <v>610</v>
      </c>
      <c r="L60" s="2" t="s">
        <v>611</v>
      </c>
      <c r="M60" s="2" t="s">
        <v>612</v>
      </c>
      <c r="N60" s="2" t="s">
        <v>613</v>
      </c>
      <c r="O60" s="2" t="s">
        <v>614</v>
      </c>
      <c r="P60" s="2" t="s">
        <v>602</v>
      </c>
    </row>
    <row r="61" spans="1:16">
      <c r="A61" s="1">
        <v>60</v>
      </c>
      <c r="B61" s="2" t="s">
        <v>615</v>
      </c>
      <c r="C61" s="2" t="s">
        <v>616</v>
      </c>
      <c r="D61" s="2" t="s">
        <v>617</v>
      </c>
      <c r="E61" s="2" t="s">
        <v>618</v>
      </c>
      <c r="F61" s="2" t="s">
        <v>619</v>
      </c>
      <c r="G61" s="2" t="s">
        <v>620</v>
      </c>
      <c r="H61" s="2" t="s">
        <v>621</v>
      </c>
      <c r="I61" s="2" t="s">
        <v>22665</v>
      </c>
      <c r="J61" s="2" t="s">
        <v>622</v>
      </c>
      <c r="K61" s="2" t="s">
        <v>623</v>
      </c>
      <c r="L61" s="2" t="s">
        <v>624</v>
      </c>
      <c r="M61" s="2" t="s">
        <v>625</v>
      </c>
      <c r="N61" s="2" t="s">
        <v>626</v>
      </c>
      <c r="O61" s="2" t="s">
        <v>627</v>
      </c>
      <c r="P61" s="2" t="s">
        <v>615</v>
      </c>
    </row>
    <row r="62" spans="1:16">
      <c r="A62" s="1">
        <v>61</v>
      </c>
      <c r="B62" s="2" t="s">
        <v>628</v>
      </c>
      <c r="C62" s="2" t="s">
        <v>629</v>
      </c>
      <c r="D62" s="2" t="s">
        <v>630</v>
      </c>
      <c r="E62" s="2" t="s">
        <v>631</v>
      </c>
      <c r="F62" s="2" t="s">
        <v>631</v>
      </c>
      <c r="G62" s="2" t="s">
        <v>629</v>
      </c>
      <c r="H62" s="2" t="s">
        <v>629</v>
      </c>
      <c r="I62" s="2" t="s">
        <v>629</v>
      </c>
      <c r="J62" s="2" t="s">
        <v>632</v>
      </c>
      <c r="K62" s="2" t="s">
        <v>631</v>
      </c>
      <c r="L62" s="2" t="s">
        <v>633</v>
      </c>
      <c r="M62" s="2" t="s">
        <v>633</v>
      </c>
      <c r="N62" s="2" t="s">
        <v>633</v>
      </c>
      <c r="O62" s="2" t="s">
        <v>628</v>
      </c>
      <c r="P62" s="2" t="s">
        <v>628</v>
      </c>
    </row>
    <row r="63" spans="1:16">
      <c r="A63" s="1">
        <v>62</v>
      </c>
      <c r="B63" s="2" t="s">
        <v>634</v>
      </c>
      <c r="C63" s="2" t="s">
        <v>635</v>
      </c>
      <c r="D63" s="2" t="s">
        <v>636</v>
      </c>
      <c r="E63" s="2" t="s">
        <v>637</v>
      </c>
      <c r="F63" s="2" t="s">
        <v>637</v>
      </c>
      <c r="G63" s="2" t="s">
        <v>635</v>
      </c>
      <c r="H63" s="2" t="s">
        <v>635</v>
      </c>
      <c r="I63" s="2" t="s">
        <v>635</v>
      </c>
      <c r="J63" s="2" t="s">
        <v>638</v>
      </c>
      <c r="K63" s="2" t="s">
        <v>637</v>
      </c>
      <c r="L63" s="2" t="s">
        <v>639</v>
      </c>
      <c r="M63" s="2" t="s">
        <v>639</v>
      </c>
      <c r="N63" s="2" t="s">
        <v>639</v>
      </c>
      <c r="O63" s="2" t="s">
        <v>634</v>
      </c>
      <c r="P63" s="2" t="s">
        <v>634</v>
      </c>
    </row>
    <row r="64" spans="1:16">
      <c r="A64" s="1">
        <v>63</v>
      </c>
      <c r="B64" s="2" t="s">
        <v>640</v>
      </c>
      <c r="C64" s="2" t="s">
        <v>641</v>
      </c>
      <c r="D64" s="2" t="s">
        <v>642</v>
      </c>
      <c r="E64" s="2" t="s">
        <v>643</v>
      </c>
      <c r="F64" s="2" t="s">
        <v>644</v>
      </c>
      <c r="G64" s="2" t="s">
        <v>645</v>
      </c>
      <c r="H64" s="2" t="s">
        <v>646</v>
      </c>
      <c r="I64" s="2" t="s">
        <v>22666</v>
      </c>
      <c r="J64" s="2" t="s">
        <v>647</v>
      </c>
      <c r="K64" s="2" t="s">
        <v>648</v>
      </c>
      <c r="L64" s="2" t="s">
        <v>649</v>
      </c>
      <c r="M64" s="2" t="s">
        <v>650</v>
      </c>
      <c r="N64" s="2" t="s">
        <v>651</v>
      </c>
      <c r="O64" s="2" t="s">
        <v>648</v>
      </c>
      <c r="P64" s="2" t="s">
        <v>640</v>
      </c>
    </row>
    <row r="65" spans="1:16">
      <c r="A65" s="1">
        <v>64</v>
      </c>
      <c r="B65" s="2" t="s">
        <v>652</v>
      </c>
      <c r="C65" s="2" t="s">
        <v>653</v>
      </c>
      <c r="D65" s="2" t="s">
        <v>654</v>
      </c>
      <c r="E65" s="2" t="s">
        <v>655</v>
      </c>
      <c r="F65" s="2" t="s">
        <v>656</v>
      </c>
      <c r="G65" s="2" t="s">
        <v>657</v>
      </c>
      <c r="H65" s="2" t="s">
        <v>658</v>
      </c>
      <c r="I65" s="2" t="s">
        <v>659</v>
      </c>
      <c r="J65" s="2" t="s">
        <v>660</v>
      </c>
      <c r="K65" s="2" t="s">
        <v>661</v>
      </c>
      <c r="L65" s="2" t="s">
        <v>662</v>
      </c>
      <c r="M65" s="2" t="s">
        <v>663</v>
      </c>
      <c r="N65" s="2" t="s">
        <v>652</v>
      </c>
      <c r="O65" s="2" t="s">
        <v>664</v>
      </c>
      <c r="P65" s="2" t="s">
        <v>652</v>
      </c>
    </row>
    <row r="66" spans="1:16">
      <c r="A66" s="1">
        <v>65</v>
      </c>
      <c r="B66" s="2" t="s">
        <v>665</v>
      </c>
      <c r="C66" s="2" t="s">
        <v>666</v>
      </c>
      <c r="D66" s="2" t="s">
        <v>665</v>
      </c>
      <c r="E66" s="2" t="s">
        <v>667</v>
      </c>
      <c r="F66" s="2" t="s">
        <v>667</v>
      </c>
      <c r="G66" s="2" t="s">
        <v>666</v>
      </c>
      <c r="H66" s="2" t="s">
        <v>667</v>
      </c>
      <c r="I66" s="2" t="s">
        <v>22667</v>
      </c>
      <c r="J66" s="2" t="s">
        <v>668</v>
      </c>
      <c r="K66" s="2" t="s">
        <v>667</v>
      </c>
      <c r="L66" s="2" t="s">
        <v>669</v>
      </c>
      <c r="M66" s="2" t="s">
        <v>667</v>
      </c>
      <c r="N66" s="2" t="s">
        <v>670</v>
      </c>
      <c r="O66" s="2" t="s">
        <v>665</v>
      </c>
      <c r="P66" s="2" t="s">
        <v>665</v>
      </c>
    </row>
    <row r="67" spans="1:16">
      <c r="A67" s="1">
        <v>66</v>
      </c>
      <c r="B67" s="2" t="s">
        <v>671</v>
      </c>
      <c r="C67" s="2" t="s">
        <v>672</v>
      </c>
      <c r="D67" s="2" t="s">
        <v>671</v>
      </c>
      <c r="E67" s="2" t="s">
        <v>673</v>
      </c>
      <c r="F67" s="2" t="s">
        <v>673</v>
      </c>
      <c r="G67" s="2" t="s">
        <v>672</v>
      </c>
      <c r="H67" s="2" t="s">
        <v>673</v>
      </c>
      <c r="I67" s="2" t="s">
        <v>22668</v>
      </c>
      <c r="J67" s="2" t="s">
        <v>674</v>
      </c>
      <c r="K67" s="2" t="s">
        <v>673</v>
      </c>
      <c r="L67" s="2" t="s">
        <v>675</v>
      </c>
      <c r="M67" s="2" t="s">
        <v>673</v>
      </c>
      <c r="N67" s="2" t="s">
        <v>676</v>
      </c>
      <c r="O67" s="2" t="s">
        <v>671</v>
      </c>
      <c r="P67" s="2" t="s">
        <v>671</v>
      </c>
    </row>
    <row r="68" spans="1:16">
      <c r="A68" s="1">
        <v>67</v>
      </c>
      <c r="B68" s="2" t="s">
        <v>677</v>
      </c>
      <c r="C68" s="2" t="s">
        <v>678</v>
      </c>
      <c r="D68" s="2" t="s">
        <v>679</v>
      </c>
      <c r="E68" s="2" t="s">
        <v>680</v>
      </c>
      <c r="F68" s="2" t="s">
        <v>681</v>
      </c>
      <c r="G68" s="2" t="s">
        <v>682</v>
      </c>
      <c r="H68" s="2" t="s">
        <v>683</v>
      </c>
      <c r="I68" s="2" t="s">
        <v>684</v>
      </c>
      <c r="J68" s="2" t="s">
        <v>685</v>
      </c>
      <c r="K68" s="2" t="s">
        <v>686</v>
      </c>
      <c r="L68" s="2" t="s">
        <v>687</v>
      </c>
      <c r="M68" s="2" t="s">
        <v>688</v>
      </c>
      <c r="N68" s="2" t="s">
        <v>689</v>
      </c>
      <c r="O68" s="2" t="s">
        <v>690</v>
      </c>
      <c r="P68" s="2" t="s">
        <v>677</v>
      </c>
    </row>
    <row r="69" spans="1:16">
      <c r="A69" s="1">
        <v>68</v>
      </c>
      <c r="B69" s="2" t="s">
        <v>691</v>
      </c>
      <c r="C69" s="2" t="s">
        <v>692</v>
      </c>
      <c r="D69" s="2" t="s">
        <v>693</v>
      </c>
      <c r="E69" s="2" t="s">
        <v>694</v>
      </c>
      <c r="F69" s="2" t="s">
        <v>695</v>
      </c>
      <c r="G69" s="2" t="s">
        <v>696</v>
      </c>
      <c r="H69" s="2" t="s">
        <v>697</v>
      </c>
      <c r="I69" s="2" t="s">
        <v>698</v>
      </c>
      <c r="J69" s="2" t="s">
        <v>699</v>
      </c>
      <c r="K69" s="2" t="s">
        <v>700</v>
      </c>
      <c r="L69" s="2" t="s">
        <v>701</v>
      </c>
      <c r="M69" s="2" t="s">
        <v>702</v>
      </c>
      <c r="N69" s="2" t="s">
        <v>703</v>
      </c>
      <c r="O69" s="2" t="s">
        <v>704</v>
      </c>
      <c r="P69" s="2" t="s">
        <v>691</v>
      </c>
    </row>
    <row r="70" spans="1:16">
      <c r="A70" s="1">
        <v>69</v>
      </c>
      <c r="B70" s="2" t="s">
        <v>705</v>
      </c>
      <c r="C70" s="2" t="s">
        <v>706</v>
      </c>
      <c r="D70" s="2" t="s">
        <v>705</v>
      </c>
      <c r="E70" s="2" t="s">
        <v>706</v>
      </c>
      <c r="F70" s="2" t="s">
        <v>706</v>
      </c>
      <c r="G70" s="2" t="s">
        <v>706</v>
      </c>
      <c r="H70" s="2" t="s">
        <v>706</v>
      </c>
      <c r="I70" s="2" t="s">
        <v>706</v>
      </c>
      <c r="J70" s="2" t="s">
        <v>706</v>
      </c>
      <c r="K70" s="2" t="s">
        <v>706</v>
      </c>
      <c r="L70" s="2" t="s">
        <v>706</v>
      </c>
      <c r="M70" s="2" t="s">
        <v>706</v>
      </c>
      <c r="N70" s="2" t="s">
        <v>705</v>
      </c>
      <c r="O70" s="2" t="s">
        <v>705</v>
      </c>
      <c r="P70" s="2" t="s">
        <v>705</v>
      </c>
    </row>
    <row r="71" spans="1:16">
      <c r="A71" s="1">
        <v>70</v>
      </c>
      <c r="B71" s="2" t="s">
        <v>707</v>
      </c>
      <c r="C71" s="2" t="s">
        <v>708</v>
      </c>
      <c r="D71" s="2" t="s">
        <v>707</v>
      </c>
      <c r="E71" s="2" t="s">
        <v>708</v>
      </c>
      <c r="F71" s="2" t="s">
        <v>709</v>
      </c>
      <c r="G71" s="2" t="s">
        <v>709</v>
      </c>
      <c r="H71" s="2" t="s">
        <v>709</v>
      </c>
      <c r="I71" s="2" t="s">
        <v>709</v>
      </c>
      <c r="J71" s="2" t="s">
        <v>709</v>
      </c>
      <c r="K71" s="2" t="s">
        <v>709</v>
      </c>
      <c r="L71" s="2" t="s">
        <v>709</v>
      </c>
      <c r="M71" s="2" t="s">
        <v>709</v>
      </c>
      <c r="N71" s="2" t="s">
        <v>709</v>
      </c>
      <c r="O71" s="2" t="s">
        <v>709</v>
      </c>
      <c r="P71" s="2" t="s">
        <v>707</v>
      </c>
    </row>
    <row r="72" spans="1:16">
      <c r="A72" s="1">
        <v>71</v>
      </c>
      <c r="B72" s="2" t="s">
        <v>710</v>
      </c>
      <c r="C72" s="2" t="s">
        <v>711</v>
      </c>
      <c r="D72" s="2" t="s">
        <v>712</v>
      </c>
      <c r="E72" s="2" t="s">
        <v>713</v>
      </c>
      <c r="F72" s="2" t="s">
        <v>714</v>
      </c>
      <c r="G72" s="2" t="s">
        <v>715</v>
      </c>
      <c r="H72" s="2" t="s">
        <v>716</v>
      </c>
      <c r="I72" s="2" t="s">
        <v>717</v>
      </c>
      <c r="J72" s="2" t="s">
        <v>718</v>
      </c>
      <c r="K72" s="2" t="s">
        <v>719</v>
      </c>
      <c r="L72" s="2" t="s">
        <v>720</v>
      </c>
      <c r="M72" s="2" t="s">
        <v>721</v>
      </c>
      <c r="N72" s="2" t="s">
        <v>721</v>
      </c>
      <c r="O72" s="2" t="s">
        <v>722</v>
      </c>
      <c r="P72" s="2" t="s">
        <v>710</v>
      </c>
    </row>
    <row r="73" spans="1:16">
      <c r="A73" s="1">
        <v>72</v>
      </c>
      <c r="B73" s="2" t="s">
        <v>723</v>
      </c>
      <c r="C73" s="2" t="s">
        <v>724</v>
      </c>
      <c r="D73" s="2" t="s">
        <v>725</v>
      </c>
      <c r="E73" s="2" t="s">
        <v>726</v>
      </c>
      <c r="F73" s="2" t="s">
        <v>727</v>
      </c>
      <c r="G73" s="2" t="s">
        <v>728</v>
      </c>
      <c r="H73" s="2" t="s">
        <v>729</v>
      </c>
      <c r="I73" s="2" t="s">
        <v>22669</v>
      </c>
      <c r="J73" s="2" t="s">
        <v>730</v>
      </c>
      <c r="K73" s="2" t="s">
        <v>731</v>
      </c>
      <c r="L73" s="2" t="s">
        <v>732</v>
      </c>
      <c r="M73" s="2" t="s">
        <v>733</v>
      </c>
      <c r="N73" s="2" t="s">
        <v>732</v>
      </c>
      <c r="O73" s="2" t="s">
        <v>734</v>
      </c>
      <c r="P73" s="2" t="s">
        <v>723</v>
      </c>
    </row>
    <row r="74" spans="1:16">
      <c r="A74" s="1">
        <v>73</v>
      </c>
      <c r="B74" s="2" t="s">
        <v>735</v>
      </c>
      <c r="C74" s="2" t="s">
        <v>736</v>
      </c>
      <c r="D74" s="2" t="s">
        <v>737</v>
      </c>
      <c r="E74" s="2" t="s">
        <v>738</v>
      </c>
      <c r="F74" s="2" t="s">
        <v>738</v>
      </c>
      <c r="G74" s="2" t="s">
        <v>736</v>
      </c>
      <c r="H74" s="2" t="s">
        <v>739</v>
      </c>
      <c r="I74" s="2" t="s">
        <v>739</v>
      </c>
      <c r="J74" s="2" t="s">
        <v>740</v>
      </c>
      <c r="K74" s="2" t="s">
        <v>738</v>
      </c>
      <c r="L74" s="2" t="s">
        <v>739</v>
      </c>
      <c r="M74" s="2" t="s">
        <v>739</v>
      </c>
      <c r="N74" s="2" t="s">
        <v>741</v>
      </c>
      <c r="O74" s="2" t="s">
        <v>735</v>
      </c>
      <c r="P74" s="2" t="s">
        <v>735</v>
      </c>
    </row>
    <row r="75" spans="1:16">
      <c r="A75" s="1">
        <v>74</v>
      </c>
      <c r="B75" s="2" t="s">
        <v>742</v>
      </c>
      <c r="C75" s="2" t="s">
        <v>743</v>
      </c>
      <c r="D75" s="2" t="s">
        <v>744</v>
      </c>
      <c r="E75" s="2" t="s">
        <v>745</v>
      </c>
      <c r="F75" s="2" t="s">
        <v>746</v>
      </c>
      <c r="G75" s="2" t="s">
        <v>747</v>
      </c>
      <c r="H75" s="2" t="s">
        <v>748</v>
      </c>
      <c r="I75" s="2" t="s">
        <v>749</v>
      </c>
      <c r="J75" s="2" t="s">
        <v>750</v>
      </c>
      <c r="K75" s="2" t="s">
        <v>751</v>
      </c>
      <c r="L75" s="2" t="s">
        <v>752</v>
      </c>
      <c r="M75" s="2" t="s">
        <v>752</v>
      </c>
      <c r="N75" s="2" t="s">
        <v>753</v>
      </c>
      <c r="O75" s="2" t="s">
        <v>753</v>
      </c>
      <c r="P75" s="2" t="s">
        <v>742</v>
      </c>
    </row>
    <row r="76" spans="1:16">
      <c r="A76" s="1">
        <v>75</v>
      </c>
      <c r="B76" s="2" t="s">
        <v>754</v>
      </c>
      <c r="C76" s="2" t="s">
        <v>755</v>
      </c>
      <c r="D76" s="2" t="s">
        <v>754</v>
      </c>
      <c r="E76" s="2" t="s">
        <v>755</v>
      </c>
      <c r="F76" s="2" t="s">
        <v>755</v>
      </c>
      <c r="G76" s="2" t="s">
        <v>755</v>
      </c>
      <c r="H76" s="2" t="s">
        <v>755</v>
      </c>
      <c r="I76" s="2" t="s">
        <v>755</v>
      </c>
      <c r="J76" s="2" t="s">
        <v>755</v>
      </c>
      <c r="K76" s="2" t="s">
        <v>755</v>
      </c>
      <c r="L76" s="2" t="s">
        <v>755</v>
      </c>
      <c r="M76" s="2" t="s">
        <v>755</v>
      </c>
      <c r="N76" s="2" t="s">
        <v>754</v>
      </c>
      <c r="O76" s="2" t="s">
        <v>754</v>
      </c>
      <c r="P76" s="2" t="s">
        <v>754</v>
      </c>
    </row>
    <row r="77" spans="1:16">
      <c r="A77" s="1">
        <v>76</v>
      </c>
      <c r="B77" s="2" t="s">
        <v>756</v>
      </c>
      <c r="C77" s="2" t="s">
        <v>757</v>
      </c>
      <c r="D77" s="2" t="s">
        <v>756</v>
      </c>
      <c r="E77" s="2" t="s">
        <v>758</v>
      </c>
      <c r="F77" s="2" t="s">
        <v>758</v>
      </c>
      <c r="G77" s="2" t="s">
        <v>757</v>
      </c>
      <c r="H77" s="2" t="s">
        <v>757</v>
      </c>
      <c r="I77" s="2" t="s">
        <v>757</v>
      </c>
      <c r="J77" s="2" t="s">
        <v>757</v>
      </c>
      <c r="K77" s="2" t="s">
        <v>758</v>
      </c>
      <c r="L77" s="2" t="s">
        <v>757</v>
      </c>
      <c r="M77" s="2" t="s">
        <v>757</v>
      </c>
      <c r="N77" s="2" t="s">
        <v>757</v>
      </c>
      <c r="O77" s="2" t="s">
        <v>756</v>
      </c>
      <c r="P77" s="2" t="s">
        <v>756</v>
      </c>
    </row>
    <row r="78" spans="1:16">
      <c r="A78" s="1">
        <v>77</v>
      </c>
      <c r="B78" s="2" t="s">
        <v>759</v>
      </c>
      <c r="C78" s="2" t="s">
        <v>760</v>
      </c>
      <c r="D78" s="2" t="s">
        <v>761</v>
      </c>
      <c r="E78" s="2" t="s">
        <v>762</v>
      </c>
      <c r="F78" s="2" t="s">
        <v>763</v>
      </c>
      <c r="G78" s="2" t="s">
        <v>764</v>
      </c>
      <c r="H78" s="2" t="s">
        <v>765</v>
      </c>
      <c r="I78" s="2" t="s">
        <v>766</v>
      </c>
      <c r="J78" s="2" t="s">
        <v>767</v>
      </c>
      <c r="K78" s="2" t="s">
        <v>768</v>
      </c>
      <c r="L78" s="2" t="s">
        <v>769</v>
      </c>
      <c r="M78" s="2" t="s">
        <v>770</v>
      </c>
      <c r="N78" s="2" t="s">
        <v>771</v>
      </c>
      <c r="O78" s="2" t="s">
        <v>772</v>
      </c>
      <c r="P78" s="2" t="s">
        <v>759</v>
      </c>
    </row>
    <row r="79" spans="1:16">
      <c r="A79" s="1">
        <v>78</v>
      </c>
      <c r="B79" s="2" t="s">
        <v>773</v>
      </c>
      <c r="C79" s="2" t="s">
        <v>774</v>
      </c>
      <c r="D79" s="2" t="s">
        <v>773</v>
      </c>
      <c r="E79" s="2" t="s">
        <v>775</v>
      </c>
      <c r="F79" s="2" t="s">
        <v>775</v>
      </c>
      <c r="G79" s="2" t="s">
        <v>774</v>
      </c>
      <c r="H79" s="2" t="s">
        <v>774</v>
      </c>
      <c r="I79" s="2" t="s">
        <v>774</v>
      </c>
      <c r="J79" s="2" t="s">
        <v>774</v>
      </c>
      <c r="K79" s="2" t="s">
        <v>775</v>
      </c>
      <c r="L79" s="2" t="s">
        <v>774</v>
      </c>
      <c r="M79" s="2" t="s">
        <v>774</v>
      </c>
      <c r="N79" s="2" t="s">
        <v>774</v>
      </c>
      <c r="O79" s="2" t="s">
        <v>773</v>
      </c>
      <c r="P79" s="2" t="s">
        <v>773</v>
      </c>
    </row>
    <row r="80" spans="1:16">
      <c r="A80" s="1">
        <v>79</v>
      </c>
      <c r="B80" s="2" t="s">
        <v>776</v>
      </c>
      <c r="C80" s="2" t="s">
        <v>777</v>
      </c>
      <c r="D80" s="2" t="s">
        <v>778</v>
      </c>
      <c r="E80" s="2" t="s">
        <v>779</v>
      </c>
      <c r="F80" s="2" t="s">
        <v>780</v>
      </c>
      <c r="G80" s="2" t="s">
        <v>781</v>
      </c>
      <c r="H80" s="2" t="s">
        <v>782</v>
      </c>
      <c r="I80" s="2" t="s">
        <v>783</v>
      </c>
      <c r="J80" s="2" t="s">
        <v>784</v>
      </c>
      <c r="K80" s="2" t="s">
        <v>785</v>
      </c>
      <c r="L80" s="2" t="s">
        <v>786</v>
      </c>
      <c r="M80" s="2" t="s">
        <v>787</v>
      </c>
      <c r="N80" s="2" t="s">
        <v>788</v>
      </c>
      <c r="O80" s="2" t="s">
        <v>789</v>
      </c>
      <c r="P80" s="2" t="s">
        <v>776</v>
      </c>
    </row>
    <row r="81" spans="1:16">
      <c r="A81" s="1">
        <v>80</v>
      </c>
      <c r="B81" s="2" t="s">
        <v>790</v>
      </c>
      <c r="C81" s="2" t="s">
        <v>791</v>
      </c>
      <c r="D81" s="2" t="s">
        <v>792</v>
      </c>
      <c r="E81" s="2" t="s">
        <v>793</v>
      </c>
      <c r="F81" s="2" t="s">
        <v>794</v>
      </c>
      <c r="G81" s="2" t="s">
        <v>795</v>
      </c>
      <c r="H81" s="2" t="s">
        <v>796</v>
      </c>
      <c r="I81" s="2" t="s">
        <v>797</v>
      </c>
      <c r="J81" s="2" t="s">
        <v>798</v>
      </c>
      <c r="K81" s="2" t="s">
        <v>799</v>
      </c>
      <c r="L81" s="2" t="s">
        <v>800</v>
      </c>
      <c r="M81" s="2" t="s">
        <v>801</v>
      </c>
      <c r="N81" s="2" t="s">
        <v>802</v>
      </c>
      <c r="O81" s="2" t="s">
        <v>803</v>
      </c>
      <c r="P81" s="2" t="s">
        <v>790</v>
      </c>
    </row>
    <row r="82" spans="1:16">
      <c r="A82" s="1">
        <v>81</v>
      </c>
      <c r="B82" s="2" t="s">
        <v>804</v>
      </c>
      <c r="C82" s="2" t="s">
        <v>805</v>
      </c>
      <c r="D82" s="2" t="s">
        <v>806</v>
      </c>
      <c r="E82" s="2" t="s">
        <v>807</v>
      </c>
      <c r="F82" s="2" t="s">
        <v>808</v>
      </c>
      <c r="G82" s="2" t="s">
        <v>809</v>
      </c>
      <c r="H82" s="2" t="s">
        <v>810</v>
      </c>
      <c r="I82" s="2" t="s">
        <v>811</v>
      </c>
      <c r="J82" s="2" t="s">
        <v>812</v>
      </c>
      <c r="K82" s="2" t="s">
        <v>813</v>
      </c>
      <c r="L82" s="2" t="s">
        <v>814</v>
      </c>
      <c r="M82" s="2" t="s">
        <v>815</v>
      </c>
      <c r="N82" s="2" t="s">
        <v>816</v>
      </c>
      <c r="O82" s="2" t="s">
        <v>817</v>
      </c>
      <c r="P82" s="2" t="s">
        <v>804</v>
      </c>
    </row>
    <row r="83" spans="1:16" ht="16.5">
      <c r="A83" s="1">
        <v>82</v>
      </c>
      <c r="B83" s="2" t="s">
        <v>818</v>
      </c>
      <c r="C83" s="2" t="s">
        <v>819</v>
      </c>
      <c r="D83" s="2" t="s">
        <v>820</v>
      </c>
      <c r="E83" s="2" t="s">
        <v>821</v>
      </c>
      <c r="F83" s="2" t="s">
        <v>822</v>
      </c>
      <c r="G83" s="2" t="s">
        <v>823</v>
      </c>
      <c r="H83" s="2" t="s">
        <v>824</v>
      </c>
      <c r="I83" s="2" t="s">
        <v>825</v>
      </c>
      <c r="J83" s="2" t="s">
        <v>826</v>
      </c>
      <c r="K83" s="2" t="s">
        <v>827</v>
      </c>
      <c r="L83" s="2" t="s">
        <v>828</v>
      </c>
      <c r="M83" s="2" t="s">
        <v>829</v>
      </c>
      <c r="N83" s="2" t="s">
        <v>830</v>
      </c>
      <c r="O83" s="2" t="s">
        <v>831</v>
      </c>
      <c r="P83" s="2" t="s">
        <v>818</v>
      </c>
    </row>
    <row r="84" spans="1:16">
      <c r="A84" s="1">
        <v>83</v>
      </c>
      <c r="B84" s="2" t="s">
        <v>832</v>
      </c>
      <c r="C84" s="2" t="s">
        <v>833</v>
      </c>
      <c r="D84" s="2" t="s">
        <v>832</v>
      </c>
      <c r="E84" s="2" t="s">
        <v>833</v>
      </c>
      <c r="F84" s="2" t="s">
        <v>833</v>
      </c>
      <c r="G84" s="2" t="s">
        <v>833</v>
      </c>
      <c r="H84" s="2" t="s">
        <v>833</v>
      </c>
      <c r="I84" s="2" t="s">
        <v>833</v>
      </c>
      <c r="J84" s="2" t="s">
        <v>833</v>
      </c>
      <c r="K84" s="2" t="s">
        <v>833</v>
      </c>
      <c r="L84" s="2" t="s">
        <v>833</v>
      </c>
      <c r="M84" s="2" t="s">
        <v>833</v>
      </c>
      <c r="N84" s="2" t="s">
        <v>832</v>
      </c>
      <c r="O84" s="2" t="s">
        <v>832</v>
      </c>
      <c r="P84" s="2" t="s">
        <v>832</v>
      </c>
    </row>
    <row r="85" spans="1:16">
      <c r="A85" s="1">
        <v>84</v>
      </c>
      <c r="B85" s="2" t="s">
        <v>834</v>
      </c>
      <c r="C85" s="2" t="s">
        <v>835</v>
      </c>
      <c r="D85" s="2" t="s">
        <v>836</v>
      </c>
      <c r="E85" s="2" t="s">
        <v>837</v>
      </c>
      <c r="F85" s="2" t="s">
        <v>837</v>
      </c>
      <c r="G85" s="2" t="s">
        <v>835</v>
      </c>
      <c r="H85" s="2" t="s">
        <v>837</v>
      </c>
      <c r="I85" s="2" t="s">
        <v>837</v>
      </c>
      <c r="J85" s="2" t="s">
        <v>838</v>
      </c>
      <c r="K85" s="2" t="s">
        <v>837</v>
      </c>
      <c r="L85" s="2" t="s">
        <v>837</v>
      </c>
      <c r="M85" s="2" t="s">
        <v>837</v>
      </c>
      <c r="N85" s="2" t="s">
        <v>839</v>
      </c>
      <c r="O85" s="2" t="s">
        <v>834</v>
      </c>
      <c r="P85" s="2" t="s">
        <v>834</v>
      </c>
    </row>
    <row r="86" spans="1:16">
      <c r="A86" s="1">
        <v>85</v>
      </c>
      <c r="B86" s="2" t="s">
        <v>840</v>
      </c>
      <c r="C86" s="2" t="s">
        <v>841</v>
      </c>
      <c r="D86" s="2" t="s">
        <v>842</v>
      </c>
      <c r="E86" s="2" t="s">
        <v>843</v>
      </c>
      <c r="F86" s="2" t="s">
        <v>844</v>
      </c>
      <c r="G86" s="2" t="s">
        <v>845</v>
      </c>
      <c r="H86" s="2" t="s">
        <v>846</v>
      </c>
      <c r="I86" s="2" t="s">
        <v>847</v>
      </c>
      <c r="J86" s="2" t="s">
        <v>848</v>
      </c>
      <c r="K86" s="2" t="s">
        <v>849</v>
      </c>
      <c r="L86" s="2" t="s">
        <v>850</v>
      </c>
      <c r="M86" s="2" t="s">
        <v>851</v>
      </c>
      <c r="N86" s="2" t="s">
        <v>852</v>
      </c>
      <c r="O86" s="2" t="s">
        <v>853</v>
      </c>
      <c r="P86" s="2" t="s">
        <v>840</v>
      </c>
    </row>
    <row r="87" spans="1:16">
      <c r="A87" s="1">
        <v>86</v>
      </c>
      <c r="B87" s="2" t="s">
        <v>854</v>
      </c>
      <c r="C87" s="2" t="s">
        <v>855</v>
      </c>
      <c r="D87" s="2" t="s">
        <v>854</v>
      </c>
      <c r="E87" s="2" t="s">
        <v>855</v>
      </c>
      <c r="F87" s="2" t="s">
        <v>855</v>
      </c>
      <c r="G87" s="2" t="s">
        <v>855</v>
      </c>
      <c r="H87" s="2" t="s">
        <v>855</v>
      </c>
      <c r="I87" s="2" t="s">
        <v>855</v>
      </c>
      <c r="J87" s="2" t="s">
        <v>855</v>
      </c>
      <c r="K87" s="2" t="s">
        <v>855</v>
      </c>
      <c r="L87" s="2" t="s">
        <v>855</v>
      </c>
      <c r="M87" s="2" t="s">
        <v>855</v>
      </c>
      <c r="N87" s="2" t="s">
        <v>854</v>
      </c>
      <c r="O87" s="2" t="s">
        <v>854</v>
      </c>
      <c r="P87" s="2" t="s">
        <v>854</v>
      </c>
    </row>
    <row r="88" spans="1:16">
      <c r="A88" s="1">
        <v>87</v>
      </c>
      <c r="B88" s="2" t="s">
        <v>856</v>
      </c>
      <c r="C88" s="2" t="s">
        <v>857</v>
      </c>
      <c r="D88" s="2" t="s">
        <v>856</v>
      </c>
      <c r="E88" s="2" t="s">
        <v>857</v>
      </c>
      <c r="F88" s="2" t="s">
        <v>858</v>
      </c>
      <c r="G88" s="2" t="s">
        <v>858</v>
      </c>
      <c r="H88" s="2" t="s">
        <v>858</v>
      </c>
      <c r="I88" s="2" t="s">
        <v>858</v>
      </c>
      <c r="J88" s="2" t="s">
        <v>858</v>
      </c>
      <c r="K88" s="2" t="s">
        <v>858</v>
      </c>
      <c r="L88" s="2" t="s">
        <v>858</v>
      </c>
      <c r="M88" s="2" t="s">
        <v>858</v>
      </c>
      <c r="N88" s="2" t="s">
        <v>858</v>
      </c>
      <c r="O88" s="2" t="s">
        <v>858</v>
      </c>
      <c r="P88" s="2" t="s">
        <v>856</v>
      </c>
    </row>
    <row r="89" spans="1:16">
      <c r="A89" s="1">
        <v>88</v>
      </c>
      <c r="B89" s="2" t="s">
        <v>859</v>
      </c>
      <c r="C89" s="2" t="s">
        <v>860</v>
      </c>
      <c r="D89" s="2" t="s">
        <v>859</v>
      </c>
      <c r="E89" s="2" t="s">
        <v>860</v>
      </c>
      <c r="F89" s="2" t="s">
        <v>861</v>
      </c>
      <c r="G89" s="2" t="s">
        <v>861</v>
      </c>
      <c r="H89" s="2" t="s">
        <v>861</v>
      </c>
      <c r="I89" s="2" t="s">
        <v>861</v>
      </c>
      <c r="J89" s="2" t="s">
        <v>861</v>
      </c>
      <c r="K89" s="2" t="s">
        <v>861</v>
      </c>
      <c r="L89" s="2" t="s">
        <v>861</v>
      </c>
      <c r="M89" s="2" t="s">
        <v>861</v>
      </c>
      <c r="N89" s="2" t="s">
        <v>861</v>
      </c>
      <c r="O89" s="2" t="s">
        <v>861</v>
      </c>
      <c r="P89" s="2" t="s">
        <v>859</v>
      </c>
    </row>
    <row r="90" spans="1:16">
      <c r="A90" s="1">
        <v>89</v>
      </c>
      <c r="B90" s="2" t="s">
        <v>862</v>
      </c>
      <c r="C90" s="2" t="s">
        <v>863</v>
      </c>
      <c r="D90" s="2" t="s">
        <v>862</v>
      </c>
      <c r="E90" s="2" t="s">
        <v>863</v>
      </c>
      <c r="F90" s="2" t="s">
        <v>864</v>
      </c>
      <c r="G90" s="2" t="s">
        <v>864</v>
      </c>
      <c r="H90" s="2" t="s">
        <v>864</v>
      </c>
      <c r="I90" s="2" t="s">
        <v>864</v>
      </c>
      <c r="J90" s="2" t="s">
        <v>863</v>
      </c>
      <c r="K90" s="2" t="s">
        <v>864</v>
      </c>
      <c r="L90" s="2" t="s">
        <v>863</v>
      </c>
      <c r="M90" s="2" t="s">
        <v>864</v>
      </c>
      <c r="N90" s="2" t="s">
        <v>864</v>
      </c>
      <c r="O90" s="2" t="s">
        <v>864</v>
      </c>
      <c r="P90" s="2" t="s">
        <v>862</v>
      </c>
    </row>
    <row r="91" spans="1:16">
      <c r="A91" s="1">
        <v>90</v>
      </c>
      <c r="B91" s="2" t="s">
        <v>865</v>
      </c>
      <c r="C91" s="2" t="s">
        <v>866</v>
      </c>
      <c r="D91" s="2" t="s">
        <v>865</v>
      </c>
      <c r="E91" s="2" t="s">
        <v>866</v>
      </c>
      <c r="F91" s="2" t="s">
        <v>866</v>
      </c>
      <c r="G91" s="2" t="s">
        <v>866</v>
      </c>
      <c r="H91" s="2" t="s">
        <v>866</v>
      </c>
      <c r="I91" s="2" t="s">
        <v>866</v>
      </c>
      <c r="J91" s="2" t="s">
        <v>866</v>
      </c>
      <c r="K91" s="2" t="s">
        <v>866</v>
      </c>
      <c r="L91" s="2" t="s">
        <v>866</v>
      </c>
      <c r="M91" s="2" t="s">
        <v>866</v>
      </c>
      <c r="N91" s="2" t="s">
        <v>866</v>
      </c>
      <c r="O91" s="2" t="s">
        <v>865</v>
      </c>
      <c r="P91" s="2" t="s">
        <v>865</v>
      </c>
    </row>
    <row r="92" spans="1:16">
      <c r="A92" s="1">
        <v>91</v>
      </c>
      <c r="B92" s="2" t="s">
        <v>867</v>
      </c>
      <c r="C92" s="2" t="s">
        <v>868</v>
      </c>
      <c r="D92" s="2" t="s">
        <v>867</v>
      </c>
      <c r="E92" s="2" t="s">
        <v>869</v>
      </c>
      <c r="F92" s="2" t="s">
        <v>869</v>
      </c>
      <c r="G92" s="2" t="s">
        <v>868</v>
      </c>
      <c r="H92" s="2" t="s">
        <v>868</v>
      </c>
      <c r="I92" s="2" t="s">
        <v>868</v>
      </c>
      <c r="J92" s="2" t="s">
        <v>870</v>
      </c>
      <c r="K92" s="2" t="s">
        <v>869</v>
      </c>
      <c r="L92" s="2" t="s">
        <v>870</v>
      </c>
      <c r="M92" s="2" t="s">
        <v>868</v>
      </c>
      <c r="N92" s="2" t="s">
        <v>871</v>
      </c>
      <c r="O92" s="2" t="s">
        <v>867</v>
      </c>
      <c r="P92" s="2" t="s">
        <v>867</v>
      </c>
    </row>
    <row r="93" spans="1:16">
      <c r="A93" s="1">
        <v>92</v>
      </c>
      <c r="B93" s="2" t="s">
        <v>872</v>
      </c>
      <c r="C93" s="2" t="s">
        <v>873</v>
      </c>
      <c r="D93" s="2" t="s">
        <v>872</v>
      </c>
      <c r="E93" s="2" t="s">
        <v>874</v>
      </c>
      <c r="F93" s="2" t="s">
        <v>874</v>
      </c>
      <c r="G93" s="2" t="s">
        <v>873</v>
      </c>
      <c r="H93" s="2" t="s">
        <v>873</v>
      </c>
      <c r="I93" s="2" t="s">
        <v>873</v>
      </c>
      <c r="J93" s="2" t="s">
        <v>873</v>
      </c>
      <c r="K93" s="2" t="s">
        <v>874</v>
      </c>
      <c r="L93" s="2" t="s">
        <v>873</v>
      </c>
      <c r="M93" s="2" t="s">
        <v>873</v>
      </c>
      <c r="N93" s="2" t="s">
        <v>873</v>
      </c>
      <c r="O93" s="2" t="s">
        <v>872</v>
      </c>
      <c r="P93" s="2" t="s">
        <v>872</v>
      </c>
    </row>
    <row r="94" spans="1:16">
      <c r="A94" s="1">
        <v>93</v>
      </c>
      <c r="B94" s="2" t="s">
        <v>875</v>
      </c>
      <c r="C94" s="2" t="s">
        <v>876</v>
      </c>
      <c r="D94" s="2" t="s">
        <v>877</v>
      </c>
      <c r="E94" s="2" t="s">
        <v>878</v>
      </c>
      <c r="F94" s="2" t="s">
        <v>879</v>
      </c>
      <c r="G94" s="2" t="s">
        <v>880</v>
      </c>
      <c r="H94" s="2" t="s">
        <v>881</v>
      </c>
      <c r="I94" s="2" t="s">
        <v>882</v>
      </c>
      <c r="J94" s="2" t="s">
        <v>883</v>
      </c>
      <c r="K94" s="2" t="s">
        <v>884</v>
      </c>
      <c r="L94" s="2" t="s">
        <v>885</v>
      </c>
      <c r="M94" s="2" t="s">
        <v>886</v>
      </c>
      <c r="N94" s="2" t="s">
        <v>887</v>
      </c>
      <c r="O94" s="2" t="s">
        <v>888</v>
      </c>
      <c r="P94" s="2" t="s">
        <v>875</v>
      </c>
    </row>
    <row r="95" spans="1:16">
      <c r="A95" s="1">
        <v>94</v>
      </c>
      <c r="B95" s="2" t="s">
        <v>889</v>
      </c>
      <c r="C95" s="2" t="s">
        <v>890</v>
      </c>
      <c r="D95" s="2" t="s">
        <v>891</v>
      </c>
      <c r="E95" s="2" t="s">
        <v>892</v>
      </c>
      <c r="F95" s="2" t="s">
        <v>893</v>
      </c>
      <c r="G95" s="2" t="s">
        <v>894</v>
      </c>
      <c r="H95" s="2" t="s">
        <v>895</v>
      </c>
      <c r="I95" s="2" t="s">
        <v>896</v>
      </c>
      <c r="J95" s="2" t="s">
        <v>897</v>
      </c>
      <c r="K95" s="2" t="s">
        <v>898</v>
      </c>
      <c r="L95" s="2" t="s">
        <v>899</v>
      </c>
      <c r="M95" s="2" t="s">
        <v>900</v>
      </c>
      <c r="N95" s="2" t="s">
        <v>901</v>
      </c>
      <c r="O95" s="2" t="s">
        <v>902</v>
      </c>
      <c r="P95" s="2" t="s">
        <v>889</v>
      </c>
    </row>
    <row r="96" spans="1:16">
      <c r="A96" s="1">
        <v>95</v>
      </c>
      <c r="B96" s="2" t="s">
        <v>903</v>
      </c>
      <c r="C96" s="2" t="s">
        <v>904</v>
      </c>
      <c r="D96" s="2" t="s">
        <v>903</v>
      </c>
      <c r="E96" s="2" t="s">
        <v>905</v>
      </c>
      <c r="F96" s="2" t="s">
        <v>905</v>
      </c>
      <c r="G96" s="2" t="s">
        <v>904</v>
      </c>
      <c r="H96" s="2" t="s">
        <v>904</v>
      </c>
      <c r="I96" s="2" t="s">
        <v>904</v>
      </c>
      <c r="J96" s="2" t="s">
        <v>904</v>
      </c>
      <c r="K96" s="2" t="s">
        <v>905</v>
      </c>
      <c r="L96" s="2" t="s">
        <v>904</v>
      </c>
      <c r="M96" s="2" t="s">
        <v>904</v>
      </c>
      <c r="N96" s="2" t="s">
        <v>904</v>
      </c>
      <c r="O96" s="2" t="s">
        <v>903</v>
      </c>
      <c r="P96" s="2" t="s">
        <v>903</v>
      </c>
    </row>
    <row r="97" spans="1:16">
      <c r="A97" s="1">
        <v>96</v>
      </c>
      <c r="B97" s="2" t="s">
        <v>906</v>
      </c>
      <c r="C97" s="2" t="s">
        <v>907</v>
      </c>
      <c r="D97" s="2" t="s">
        <v>906</v>
      </c>
      <c r="E97" s="2" t="s">
        <v>908</v>
      </c>
      <c r="F97" s="2" t="s">
        <v>908</v>
      </c>
      <c r="G97" s="2" t="s">
        <v>907</v>
      </c>
      <c r="H97" s="2" t="s">
        <v>909</v>
      </c>
      <c r="I97" s="2" t="s">
        <v>910</v>
      </c>
      <c r="J97" s="2" t="s">
        <v>910</v>
      </c>
      <c r="K97" s="2" t="s">
        <v>908</v>
      </c>
      <c r="L97" s="2" t="s">
        <v>910</v>
      </c>
      <c r="M97" s="2" t="s">
        <v>910</v>
      </c>
      <c r="N97" s="2" t="s">
        <v>911</v>
      </c>
      <c r="O97" s="2" t="s">
        <v>906</v>
      </c>
      <c r="P97" s="2" t="s">
        <v>906</v>
      </c>
    </row>
    <row r="98" spans="1:16">
      <c r="A98" s="1">
        <v>97</v>
      </c>
      <c r="B98" s="2" t="s">
        <v>912</v>
      </c>
      <c r="C98" s="2" t="s">
        <v>913</v>
      </c>
      <c r="D98" s="2" t="s">
        <v>912</v>
      </c>
      <c r="E98" s="2" t="s">
        <v>914</v>
      </c>
      <c r="F98" s="2" t="s">
        <v>914</v>
      </c>
      <c r="G98" s="2" t="s">
        <v>913</v>
      </c>
      <c r="H98" s="2" t="s">
        <v>915</v>
      </c>
      <c r="I98" s="2" t="s">
        <v>915</v>
      </c>
      <c r="J98" s="2" t="s">
        <v>915</v>
      </c>
      <c r="K98" s="2" t="s">
        <v>914</v>
      </c>
      <c r="L98" s="2" t="s">
        <v>915</v>
      </c>
      <c r="M98" s="2" t="s">
        <v>915</v>
      </c>
      <c r="N98" s="2" t="s">
        <v>915</v>
      </c>
      <c r="O98" s="2" t="s">
        <v>912</v>
      </c>
      <c r="P98" s="2" t="s">
        <v>912</v>
      </c>
    </row>
    <row r="99" spans="1:16">
      <c r="A99" s="1">
        <v>98</v>
      </c>
      <c r="B99" s="2" t="s">
        <v>916</v>
      </c>
      <c r="C99" s="2" t="s">
        <v>917</v>
      </c>
      <c r="D99" s="2" t="s">
        <v>918</v>
      </c>
      <c r="E99" s="2" t="s">
        <v>919</v>
      </c>
      <c r="F99" s="2" t="s">
        <v>920</v>
      </c>
      <c r="G99" s="2" t="s">
        <v>921</v>
      </c>
      <c r="H99" s="2" t="s">
        <v>922</v>
      </c>
      <c r="I99" s="2" t="s">
        <v>22670</v>
      </c>
      <c r="J99" s="2" t="s">
        <v>923</v>
      </c>
      <c r="K99" s="2" t="s">
        <v>924</v>
      </c>
      <c r="L99" s="2" t="s">
        <v>925</v>
      </c>
      <c r="M99" s="2" t="s">
        <v>926</v>
      </c>
      <c r="N99" s="2" t="s">
        <v>927</v>
      </c>
      <c r="O99" s="2" t="s">
        <v>928</v>
      </c>
      <c r="P99" s="2" t="s">
        <v>916</v>
      </c>
    </row>
    <row r="100" spans="1:16">
      <c r="A100" s="1">
        <v>99</v>
      </c>
      <c r="B100" s="2" t="s">
        <v>929</v>
      </c>
      <c r="C100" s="2" t="s">
        <v>930</v>
      </c>
      <c r="D100" s="2" t="s">
        <v>931</v>
      </c>
      <c r="E100" s="2" t="s">
        <v>932</v>
      </c>
      <c r="F100" s="2" t="s">
        <v>933</v>
      </c>
      <c r="G100" s="2" t="s">
        <v>934</v>
      </c>
      <c r="H100" s="2" t="s">
        <v>935</v>
      </c>
      <c r="I100" s="2" t="s">
        <v>936</v>
      </c>
      <c r="J100" s="2" t="s">
        <v>937</v>
      </c>
      <c r="K100" s="2" t="s">
        <v>938</v>
      </c>
      <c r="L100" s="2" t="s">
        <v>939</v>
      </c>
      <c r="M100" s="2" t="s">
        <v>940</v>
      </c>
      <c r="N100" s="2" t="s">
        <v>941</v>
      </c>
      <c r="O100" s="2" t="s">
        <v>942</v>
      </c>
      <c r="P100" s="2" t="s">
        <v>929</v>
      </c>
    </row>
    <row r="101" spans="1:16">
      <c r="A101" s="1">
        <v>100</v>
      </c>
      <c r="B101" s="2" t="s">
        <v>943</v>
      </c>
      <c r="C101" s="2" t="s">
        <v>944</v>
      </c>
      <c r="D101" s="2" t="s">
        <v>945</v>
      </c>
      <c r="E101" s="2" t="s">
        <v>946</v>
      </c>
      <c r="F101" s="2" t="s">
        <v>947</v>
      </c>
      <c r="G101" s="2" t="s">
        <v>948</v>
      </c>
      <c r="H101" s="2" t="s">
        <v>949</v>
      </c>
      <c r="I101" s="2" t="s">
        <v>950</v>
      </c>
      <c r="J101" s="2" t="s">
        <v>951</v>
      </c>
      <c r="K101" s="2" t="s">
        <v>952</v>
      </c>
      <c r="L101" s="2" t="s">
        <v>953</v>
      </c>
      <c r="M101" s="2" t="s">
        <v>954</v>
      </c>
      <c r="N101" s="2" t="s">
        <v>955</v>
      </c>
      <c r="O101" s="2" t="s">
        <v>956</v>
      </c>
      <c r="P101" s="2" t="s">
        <v>943</v>
      </c>
    </row>
    <row r="102" spans="1:16">
      <c r="A102" s="1">
        <v>101</v>
      </c>
      <c r="B102" s="2" t="s">
        <v>957</v>
      </c>
      <c r="C102" s="2" t="s">
        <v>958</v>
      </c>
      <c r="D102" s="2" t="s">
        <v>959</v>
      </c>
      <c r="E102" s="2" t="s">
        <v>960</v>
      </c>
      <c r="F102" s="2" t="s">
        <v>961</v>
      </c>
      <c r="G102" s="2" t="s">
        <v>962</v>
      </c>
      <c r="H102" s="2" t="s">
        <v>963</v>
      </c>
      <c r="I102" s="2" t="s">
        <v>22671</v>
      </c>
      <c r="J102" s="2" t="s">
        <v>964</v>
      </c>
      <c r="K102" s="2" t="s">
        <v>965</v>
      </c>
      <c r="L102" s="2" t="s">
        <v>966</v>
      </c>
      <c r="M102" s="2" t="s">
        <v>967</v>
      </c>
      <c r="N102" s="2" t="s">
        <v>968</v>
      </c>
      <c r="O102" s="2" t="s">
        <v>969</v>
      </c>
      <c r="P102" s="2" t="s">
        <v>957</v>
      </c>
    </row>
    <row r="103" spans="1:16">
      <c r="A103" s="1">
        <v>102</v>
      </c>
      <c r="B103" s="2" t="s">
        <v>889</v>
      </c>
      <c r="C103" s="2" t="s">
        <v>890</v>
      </c>
      <c r="D103" s="2" t="s">
        <v>891</v>
      </c>
      <c r="E103" s="2" t="s">
        <v>892</v>
      </c>
      <c r="F103" s="2" t="s">
        <v>893</v>
      </c>
      <c r="G103" s="2" t="s">
        <v>894</v>
      </c>
      <c r="H103" s="2" t="s">
        <v>895</v>
      </c>
      <c r="I103" s="2" t="s">
        <v>896</v>
      </c>
      <c r="J103" s="2" t="s">
        <v>897</v>
      </c>
      <c r="K103" s="2" t="s">
        <v>898</v>
      </c>
      <c r="L103" s="2" t="s">
        <v>899</v>
      </c>
      <c r="M103" s="2" t="s">
        <v>900</v>
      </c>
      <c r="N103" s="2" t="s">
        <v>901</v>
      </c>
      <c r="O103" s="2" t="s">
        <v>902</v>
      </c>
      <c r="P103" s="2" t="s">
        <v>889</v>
      </c>
    </row>
    <row r="104" spans="1:16">
      <c r="A104" s="1">
        <v>103</v>
      </c>
      <c r="B104" s="2" t="s">
        <v>970</v>
      </c>
      <c r="C104" s="2" t="s">
        <v>971</v>
      </c>
      <c r="D104" s="2" t="s">
        <v>970</v>
      </c>
      <c r="E104" s="2" t="s">
        <v>972</v>
      </c>
      <c r="F104" s="2" t="s">
        <v>972</v>
      </c>
      <c r="G104" s="2" t="s">
        <v>971</v>
      </c>
      <c r="H104" s="2" t="s">
        <v>971</v>
      </c>
      <c r="I104" s="2" t="s">
        <v>971</v>
      </c>
      <c r="J104" s="2" t="s">
        <v>973</v>
      </c>
      <c r="K104" s="2" t="s">
        <v>972</v>
      </c>
      <c r="L104" s="2" t="s">
        <v>973</v>
      </c>
      <c r="M104" s="2" t="s">
        <v>971</v>
      </c>
      <c r="N104" s="2" t="s">
        <v>974</v>
      </c>
      <c r="O104" s="2" t="s">
        <v>970</v>
      </c>
      <c r="P104" s="2" t="s">
        <v>970</v>
      </c>
    </row>
    <row r="105" spans="1:16">
      <c r="A105" s="1">
        <v>104</v>
      </c>
      <c r="B105" s="2" t="s">
        <v>975</v>
      </c>
      <c r="C105" s="2" t="s">
        <v>976</v>
      </c>
      <c r="D105" s="2" t="s">
        <v>975</v>
      </c>
      <c r="E105" s="2" t="s">
        <v>976</v>
      </c>
      <c r="F105" s="2" t="s">
        <v>977</v>
      </c>
      <c r="G105" s="2" t="s">
        <v>977</v>
      </c>
      <c r="H105" s="2" t="s">
        <v>977</v>
      </c>
      <c r="I105" s="2" t="s">
        <v>977</v>
      </c>
      <c r="J105" s="2" t="s">
        <v>977</v>
      </c>
      <c r="K105" s="2" t="s">
        <v>977</v>
      </c>
      <c r="L105" s="2" t="s">
        <v>977</v>
      </c>
      <c r="M105" s="2" t="s">
        <v>977</v>
      </c>
      <c r="N105" s="2" t="s">
        <v>977</v>
      </c>
      <c r="O105" s="2" t="s">
        <v>977</v>
      </c>
      <c r="P105" s="2" t="s">
        <v>975</v>
      </c>
    </row>
    <row r="106" spans="1:16">
      <c r="A106" s="1">
        <v>105</v>
      </c>
      <c r="B106" s="2" t="s">
        <v>978</v>
      </c>
      <c r="C106" s="2" t="s">
        <v>979</v>
      </c>
      <c r="D106" s="2" t="s">
        <v>978</v>
      </c>
      <c r="E106" s="2" t="s">
        <v>979</v>
      </c>
      <c r="F106" s="2" t="s">
        <v>980</v>
      </c>
      <c r="G106" s="2" t="s">
        <v>980</v>
      </c>
      <c r="H106" s="2" t="s">
        <v>980</v>
      </c>
      <c r="I106" s="2" t="s">
        <v>980</v>
      </c>
      <c r="J106" s="2" t="s">
        <v>980</v>
      </c>
      <c r="K106" s="2" t="s">
        <v>980</v>
      </c>
      <c r="L106" s="2" t="s">
        <v>980</v>
      </c>
      <c r="M106" s="2" t="s">
        <v>980</v>
      </c>
      <c r="N106" s="2" t="s">
        <v>980</v>
      </c>
      <c r="O106" s="2" t="s">
        <v>980</v>
      </c>
      <c r="P106" s="2" t="s">
        <v>978</v>
      </c>
    </row>
    <row r="107" spans="1:16">
      <c r="A107" s="1">
        <v>106</v>
      </c>
      <c r="B107" s="2" t="s">
        <v>981</v>
      </c>
      <c r="C107" s="2" t="s">
        <v>982</v>
      </c>
      <c r="D107" s="2" t="s">
        <v>981</v>
      </c>
      <c r="E107" s="2" t="s">
        <v>983</v>
      </c>
      <c r="F107" s="2" t="s">
        <v>983</v>
      </c>
      <c r="G107" s="2" t="s">
        <v>982</v>
      </c>
      <c r="H107" s="2" t="s">
        <v>982</v>
      </c>
      <c r="I107" s="2" t="s">
        <v>982</v>
      </c>
      <c r="J107" s="2" t="s">
        <v>982</v>
      </c>
      <c r="K107" s="2" t="s">
        <v>983</v>
      </c>
      <c r="L107" s="2" t="s">
        <v>982</v>
      </c>
      <c r="M107" s="2" t="s">
        <v>982</v>
      </c>
      <c r="N107" s="2" t="s">
        <v>982</v>
      </c>
      <c r="O107" s="2" t="s">
        <v>981</v>
      </c>
      <c r="P107" s="2" t="s">
        <v>981</v>
      </c>
    </row>
    <row r="108" spans="1:16">
      <c r="A108" s="1">
        <v>107</v>
      </c>
      <c r="B108" s="2" t="s">
        <v>984</v>
      </c>
      <c r="C108" s="2" t="s">
        <v>985</v>
      </c>
      <c r="D108" s="2" t="s">
        <v>984</v>
      </c>
      <c r="E108" s="2" t="s">
        <v>985</v>
      </c>
      <c r="F108" s="2" t="s">
        <v>986</v>
      </c>
      <c r="G108" s="2" t="s">
        <v>986</v>
      </c>
      <c r="H108" s="2" t="s">
        <v>986</v>
      </c>
      <c r="I108" s="2" t="s">
        <v>985</v>
      </c>
      <c r="J108" s="2" t="s">
        <v>985</v>
      </c>
      <c r="K108" s="2" t="s">
        <v>986</v>
      </c>
      <c r="L108" s="2" t="s">
        <v>986</v>
      </c>
      <c r="M108" s="2" t="s">
        <v>986</v>
      </c>
      <c r="N108" s="2" t="s">
        <v>986</v>
      </c>
      <c r="O108" s="2" t="s">
        <v>986</v>
      </c>
      <c r="P108" s="2" t="s">
        <v>984</v>
      </c>
    </row>
    <row r="109" spans="1:16">
      <c r="A109" s="1">
        <v>108</v>
      </c>
      <c r="B109" s="2" t="s">
        <v>987</v>
      </c>
      <c r="C109" s="2" t="s">
        <v>988</v>
      </c>
      <c r="D109" s="2" t="s">
        <v>989</v>
      </c>
      <c r="E109" s="2" t="s">
        <v>990</v>
      </c>
      <c r="F109" s="2" t="s">
        <v>991</v>
      </c>
      <c r="G109" s="2" t="s">
        <v>992</v>
      </c>
      <c r="H109" s="2" t="s">
        <v>993</v>
      </c>
      <c r="I109" s="2" t="s">
        <v>994</v>
      </c>
      <c r="J109" s="2" t="s">
        <v>995</v>
      </c>
      <c r="K109" s="2" t="s">
        <v>996</v>
      </c>
      <c r="L109" s="2" t="s">
        <v>997</v>
      </c>
      <c r="M109" s="2" t="s">
        <v>998</v>
      </c>
      <c r="N109" s="2" t="s">
        <v>998</v>
      </c>
      <c r="O109" s="2" t="s">
        <v>999</v>
      </c>
      <c r="P109" s="2" t="s">
        <v>987</v>
      </c>
    </row>
    <row r="110" spans="1:16">
      <c r="A110" s="1">
        <v>109</v>
      </c>
      <c r="B110" s="2" t="s">
        <v>1000</v>
      </c>
      <c r="C110" s="2" t="s">
        <v>1001</v>
      </c>
      <c r="D110" s="2" t="s">
        <v>1002</v>
      </c>
      <c r="E110" s="2" t="s">
        <v>1003</v>
      </c>
      <c r="F110" s="2" t="s">
        <v>1004</v>
      </c>
      <c r="G110" s="2" t="s">
        <v>1005</v>
      </c>
      <c r="H110" s="2" t="s">
        <v>1006</v>
      </c>
      <c r="I110" s="2" t="s">
        <v>1007</v>
      </c>
      <c r="J110" s="2" t="s">
        <v>1008</v>
      </c>
      <c r="K110" s="2" t="s">
        <v>1009</v>
      </c>
      <c r="L110" s="2" t="s">
        <v>1010</v>
      </c>
      <c r="M110" s="2" t="s">
        <v>1010</v>
      </c>
      <c r="N110" s="2" t="s">
        <v>1010</v>
      </c>
      <c r="O110" s="2" t="s">
        <v>1011</v>
      </c>
      <c r="P110" s="2" t="s">
        <v>1000</v>
      </c>
    </row>
    <row r="111" spans="1:16">
      <c r="A111" s="1">
        <v>110</v>
      </c>
      <c r="B111" s="2" t="s">
        <v>1012</v>
      </c>
      <c r="C111" s="2" t="s">
        <v>1013</v>
      </c>
      <c r="D111" s="2" t="s">
        <v>1014</v>
      </c>
      <c r="E111" s="2" t="s">
        <v>1015</v>
      </c>
      <c r="F111" s="2" t="s">
        <v>1016</v>
      </c>
      <c r="G111" s="2" t="s">
        <v>1017</v>
      </c>
      <c r="H111" s="2" t="s">
        <v>1018</v>
      </c>
      <c r="I111" s="2" t="s">
        <v>1019</v>
      </c>
      <c r="J111" s="2" t="s">
        <v>1020</v>
      </c>
      <c r="K111" s="2" t="s">
        <v>1021</v>
      </c>
      <c r="L111" s="2" t="s">
        <v>1022</v>
      </c>
      <c r="M111" s="2" t="s">
        <v>1022</v>
      </c>
      <c r="N111" s="2" t="s">
        <v>1023</v>
      </c>
      <c r="O111" s="2" t="s">
        <v>1024</v>
      </c>
      <c r="P111" s="2" t="s">
        <v>1012</v>
      </c>
    </row>
    <row r="112" spans="1:16">
      <c r="A112" s="1">
        <v>111</v>
      </c>
      <c r="B112" s="2" t="s">
        <v>1025</v>
      </c>
      <c r="C112" s="2" t="s">
        <v>1026</v>
      </c>
      <c r="D112" s="2" t="s">
        <v>1026</v>
      </c>
      <c r="E112" s="2" t="s">
        <v>1027</v>
      </c>
      <c r="F112" s="2" t="s">
        <v>1028</v>
      </c>
      <c r="G112" s="2" t="s">
        <v>1029</v>
      </c>
      <c r="H112" s="2" t="s">
        <v>1028</v>
      </c>
      <c r="I112" s="2" t="s">
        <v>22672</v>
      </c>
      <c r="J112" s="2" t="s">
        <v>1030</v>
      </c>
      <c r="K112" s="2" t="s">
        <v>1031</v>
      </c>
      <c r="L112" s="2" t="s">
        <v>1030</v>
      </c>
      <c r="M112" s="2" t="s">
        <v>1026</v>
      </c>
      <c r="N112" s="2" t="s">
        <v>1032</v>
      </c>
      <c r="O112" s="2" t="s">
        <v>1033</v>
      </c>
      <c r="P112" s="2" t="s">
        <v>1025</v>
      </c>
    </row>
    <row r="113" spans="1:16">
      <c r="A113" s="1">
        <v>112</v>
      </c>
      <c r="B113" s="2" t="s">
        <v>1034</v>
      </c>
      <c r="C113" s="2" t="s">
        <v>1035</v>
      </c>
      <c r="D113" s="2" t="s">
        <v>1036</v>
      </c>
      <c r="E113" s="2" t="s">
        <v>1037</v>
      </c>
      <c r="F113" s="2" t="s">
        <v>1038</v>
      </c>
      <c r="G113" s="2" t="s">
        <v>1039</v>
      </c>
      <c r="H113" s="2" t="s">
        <v>1040</v>
      </c>
      <c r="I113" s="2" t="s">
        <v>1038</v>
      </c>
      <c r="J113" s="2" t="s">
        <v>1041</v>
      </c>
      <c r="K113" s="2" t="s">
        <v>1042</v>
      </c>
      <c r="L113" s="2" t="s">
        <v>1043</v>
      </c>
      <c r="M113" s="2" t="s">
        <v>1044</v>
      </c>
      <c r="N113" s="2" t="s">
        <v>1045</v>
      </c>
      <c r="O113" s="2" t="s">
        <v>1046</v>
      </c>
      <c r="P113" s="2" t="s">
        <v>1034</v>
      </c>
    </row>
    <row r="114" spans="1:16">
      <c r="A114" s="1">
        <v>113</v>
      </c>
      <c r="B114" s="2" t="s">
        <v>1047</v>
      </c>
      <c r="C114" s="2" t="s">
        <v>1048</v>
      </c>
      <c r="D114" s="2" t="s">
        <v>1049</v>
      </c>
      <c r="E114" s="2" t="s">
        <v>1050</v>
      </c>
      <c r="F114" s="2" t="s">
        <v>1051</v>
      </c>
      <c r="G114" s="2" t="s">
        <v>1052</v>
      </c>
      <c r="H114" s="2" t="s">
        <v>1053</v>
      </c>
      <c r="I114" s="2" t="s">
        <v>1051</v>
      </c>
      <c r="J114" s="2" t="s">
        <v>1054</v>
      </c>
      <c r="K114" s="2" t="s">
        <v>1055</v>
      </c>
      <c r="L114" s="2" t="s">
        <v>1056</v>
      </c>
      <c r="M114" s="2" t="s">
        <v>1057</v>
      </c>
      <c r="N114" s="2" t="s">
        <v>1056</v>
      </c>
      <c r="O114" s="2" t="s">
        <v>1058</v>
      </c>
      <c r="P114" s="2" t="s">
        <v>1047</v>
      </c>
    </row>
    <row r="115" spans="1:16">
      <c r="A115" s="1">
        <v>114</v>
      </c>
      <c r="B115" s="2" t="s">
        <v>1059</v>
      </c>
      <c r="C115" s="2" t="s">
        <v>1060</v>
      </c>
      <c r="D115" s="2" t="s">
        <v>1059</v>
      </c>
      <c r="E115" s="2" t="s">
        <v>1061</v>
      </c>
      <c r="F115" s="2" t="s">
        <v>1061</v>
      </c>
      <c r="G115" s="2" t="s">
        <v>1060</v>
      </c>
      <c r="H115" s="2" t="s">
        <v>1062</v>
      </c>
      <c r="I115" s="2" t="s">
        <v>1062</v>
      </c>
      <c r="J115" s="2" t="s">
        <v>1062</v>
      </c>
      <c r="K115" s="2" t="s">
        <v>1061</v>
      </c>
      <c r="L115" s="2" t="s">
        <v>1062</v>
      </c>
      <c r="M115" s="2" t="s">
        <v>1062</v>
      </c>
      <c r="N115" s="2" t="s">
        <v>1062</v>
      </c>
      <c r="O115" s="2" t="s">
        <v>1059</v>
      </c>
      <c r="P115" s="2" t="s">
        <v>1059</v>
      </c>
    </row>
    <row r="116" spans="1:16">
      <c r="A116" s="1">
        <v>115</v>
      </c>
      <c r="B116" s="2" t="s">
        <v>1063</v>
      </c>
      <c r="C116" s="2" t="s">
        <v>1064</v>
      </c>
      <c r="D116" s="2" t="s">
        <v>1065</v>
      </c>
      <c r="E116" s="2" t="s">
        <v>1066</v>
      </c>
      <c r="F116" s="2" t="s">
        <v>1067</v>
      </c>
      <c r="G116" s="2" t="s">
        <v>1068</v>
      </c>
      <c r="H116" s="2" t="s">
        <v>1069</v>
      </c>
      <c r="I116" s="2" t="s">
        <v>1070</v>
      </c>
      <c r="J116" s="2" t="s">
        <v>1071</v>
      </c>
      <c r="K116" s="2" t="s">
        <v>1072</v>
      </c>
      <c r="L116" s="2" t="s">
        <v>1073</v>
      </c>
      <c r="M116" s="2" t="s">
        <v>1074</v>
      </c>
      <c r="N116" s="2" t="s">
        <v>1075</v>
      </c>
      <c r="O116" s="2" t="s">
        <v>1076</v>
      </c>
      <c r="P116" s="2" t="s">
        <v>1063</v>
      </c>
    </row>
    <row r="117" spans="1:16">
      <c r="A117" s="1">
        <v>116</v>
      </c>
      <c r="B117" s="2" t="s">
        <v>1077</v>
      </c>
      <c r="C117" s="2" t="s">
        <v>1078</v>
      </c>
      <c r="D117" s="2" t="s">
        <v>1079</v>
      </c>
      <c r="E117" s="2" t="s">
        <v>1080</v>
      </c>
      <c r="F117" s="2" t="s">
        <v>1081</v>
      </c>
      <c r="G117" s="2" t="s">
        <v>1082</v>
      </c>
      <c r="H117" s="2" t="s">
        <v>1083</v>
      </c>
      <c r="I117" s="2" t="s">
        <v>22673</v>
      </c>
      <c r="J117" s="2" t="s">
        <v>1084</v>
      </c>
      <c r="K117" s="2" t="s">
        <v>1085</v>
      </c>
      <c r="L117" s="2" t="s">
        <v>1086</v>
      </c>
      <c r="M117" s="2" t="s">
        <v>1087</v>
      </c>
      <c r="N117" s="2" t="s">
        <v>1088</v>
      </c>
      <c r="O117" s="2" t="s">
        <v>1089</v>
      </c>
      <c r="P117" s="2" t="s">
        <v>1077</v>
      </c>
    </row>
    <row r="118" spans="1:16">
      <c r="A118" s="1">
        <v>117</v>
      </c>
      <c r="B118" s="2" t="s">
        <v>1090</v>
      </c>
      <c r="C118" s="2" t="s">
        <v>1091</v>
      </c>
      <c r="D118" s="2" t="s">
        <v>1092</v>
      </c>
      <c r="E118" s="2" t="s">
        <v>1093</v>
      </c>
      <c r="F118" s="2" t="s">
        <v>1094</v>
      </c>
      <c r="G118" s="2" t="s">
        <v>1095</v>
      </c>
      <c r="H118" s="2" t="s">
        <v>1096</v>
      </c>
      <c r="I118" s="2" t="s">
        <v>1097</v>
      </c>
      <c r="J118" s="2" t="s">
        <v>1098</v>
      </c>
      <c r="K118" s="2" t="s">
        <v>1099</v>
      </c>
      <c r="L118" s="2" t="s">
        <v>1100</v>
      </c>
      <c r="M118" s="2" t="s">
        <v>1101</v>
      </c>
      <c r="N118" s="2" t="s">
        <v>1102</v>
      </c>
      <c r="O118" s="2" t="s">
        <v>1103</v>
      </c>
      <c r="P118" s="2" t="s">
        <v>1090</v>
      </c>
    </row>
    <row r="119" spans="1:16">
      <c r="A119" s="1">
        <v>118</v>
      </c>
      <c r="B119" s="2" t="s">
        <v>1104</v>
      </c>
      <c r="C119" s="2" t="s">
        <v>1105</v>
      </c>
      <c r="D119" s="2" t="s">
        <v>1106</v>
      </c>
      <c r="E119" s="2" t="s">
        <v>1107</v>
      </c>
      <c r="F119" s="2" t="s">
        <v>1108</v>
      </c>
      <c r="G119" s="2" t="s">
        <v>1109</v>
      </c>
      <c r="H119" s="2" t="s">
        <v>1110</v>
      </c>
      <c r="I119" s="2" t="s">
        <v>1111</v>
      </c>
      <c r="J119" s="2" t="s">
        <v>1112</v>
      </c>
      <c r="K119" s="2" t="s">
        <v>1113</v>
      </c>
      <c r="L119" s="2" t="s">
        <v>1114</v>
      </c>
      <c r="M119" s="2" t="s">
        <v>1115</v>
      </c>
      <c r="N119" s="2" t="s">
        <v>1116</v>
      </c>
      <c r="O119" s="2" t="s">
        <v>1117</v>
      </c>
      <c r="P119" s="2" t="s">
        <v>1104</v>
      </c>
    </row>
    <row r="120" spans="1:16">
      <c r="A120" s="1">
        <v>119</v>
      </c>
      <c r="B120" s="2" t="s">
        <v>1118</v>
      </c>
      <c r="C120" s="2" t="s">
        <v>1119</v>
      </c>
      <c r="D120" s="2" t="s">
        <v>1120</v>
      </c>
      <c r="E120" s="2" t="s">
        <v>1121</v>
      </c>
      <c r="F120" s="2" t="s">
        <v>1122</v>
      </c>
      <c r="G120" s="2" t="s">
        <v>1123</v>
      </c>
      <c r="H120" s="2" t="s">
        <v>1124</v>
      </c>
      <c r="I120" s="2" t="s">
        <v>1125</v>
      </c>
      <c r="J120" s="2" t="s">
        <v>1126</v>
      </c>
      <c r="K120" s="2" t="s">
        <v>1127</v>
      </c>
      <c r="L120" s="2" t="s">
        <v>1128</v>
      </c>
      <c r="M120" s="2" t="s">
        <v>1129</v>
      </c>
      <c r="N120" s="2" t="s">
        <v>1130</v>
      </c>
      <c r="O120" s="2" t="s">
        <v>1131</v>
      </c>
      <c r="P120" s="2" t="s">
        <v>1118</v>
      </c>
    </row>
    <row r="121" spans="1:16">
      <c r="A121" s="1">
        <v>120</v>
      </c>
      <c r="B121" s="2" t="s">
        <v>1132</v>
      </c>
      <c r="C121" s="2" t="s">
        <v>1133</v>
      </c>
      <c r="D121" s="2" t="s">
        <v>1132</v>
      </c>
      <c r="E121" s="2" t="s">
        <v>25475</v>
      </c>
      <c r="F121" s="2" t="s">
        <v>25475</v>
      </c>
      <c r="G121" s="2" t="s">
        <v>1133</v>
      </c>
      <c r="H121" s="2" t="s">
        <v>1133</v>
      </c>
      <c r="I121" s="2" t="s">
        <v>1133</v>
      </c>
      <c r="J121" s="2" t="s">
        <v>1133</v>
      </c>
      <c r="K121" s="2" t="s">
        <v>25475</v>
      </c>
      <c r="L121" s="2" t="s">
        <v>1133</v>
      </c>
      <c r="M121" s="2" t="s">
        <v>1133</v>
      </c>
      <c r="N121" s="2" t="s">
        <v>1133</v>
      </c>
      <c r="O121" s="2" t="s">
        <v>1132</v>
      </c>
      <c r="P121" s="2" t="s">
        <v>1132</v>
      </c>
    </row>
    <row r="122" spans="1:16">
      <c r="A122" s="1">
        <v>121</v>
      </c>
      <c r="B122" s="2" t="s">
        <v>1134</v>
      </c>
      <c r="C122" s="2" t="s">
        <v>1135</v>
      </c>
      <c r="D122" s="2" t="s">
        <v>1134</v>
      </c>
      <c r="E122" s="2" t="s">
        <v>1135</v>
      </c>
      <c r="F122" s="2" t="s">
        <v>1135</v>
      </c>
      <c r="G122" s="2" t="s">
        <v>1135</v>
      </c>
      <c r="H122" s="2" t="s">
        <v>1135</v>
      </c>
      <c r="I122" s="2" t="s">
        <v>1135</v>
      </c>
      <c r="J122" s="2" t="s">
        <v>1135</v>
      </c>
      <c r="K122" s="2" t="s">
        <v>1135</v>
      </c>
      <c r="L122" s="2" t="s">
        <v>1135</v>
      </c>
      <c r="M122" s="2" t="s">
        <v>1135</v>
      </c>
      <c r="N122" s="2" t="s">
        <v>1135</v>
      </c>
      <c r="O122" s="2" t="s">
        <v>1134</v>
      </c>
      <c r="P122" s="2" t="s">
        <v>1134</v>
      </c>
    </row>
    <row r="123" spans="1:16">
      <c r="A123" s="1">
        <v>122</v>
      </c>
      <c r="B123" s="2" t="s">
        <v>1136</v>
      </c>
      <c r="C123" s="2" t="s">
        <v>1137</v>
      </c>
      <c r="D123" s="2" t="s">
        <v>1138</v>
      </c>
      <c r="E123" s="2" t="s">
        <v>1139</v>
      </c>
      <c r="F123" s="2" t="s">
        <v>1139</v>
      </c>
      <c r="G123" s="2" t="s">
        <v>1137</v>
      </c>
      <c r="H123" s="2" t="s">
        <v>1140</v>
      </c>
      <c r="I123" s="2" t="s">
        <v>1140</v>
      </c>
      <c r="J123" s="2" t="s">
        <v>1141</v>
      </c>
      <c r="K123" s="2" t="s">
        <v>1139</v>
      </c>
      <c r="L123" s="2" t="s">
        <v>1140</v>
      </c>
      <c r="M123" s="2" t="s">
        <v>1140</v>
      </c>
      <c r="N123" s="2" t="s">
        <v>1142</v>
      </c>
      <c r="O123" s="2" t="s">
        <v>1136</v>
      </c>
      <c r="P123" s="2" t="s">
        <v>1136</v>
      </c>
    </row>
    <row r="124" spans="1:16">
      <c r="A124" s="1">
        <v>123</v>
      </c>
      <c r="B124" s="2" t="s">
        <v>1143</v>
      </c>
      <c r="C124" s="2" t="s">
        <v>1144</v>
      </c>
      <c r="D124" s="2" t="s">
        <v>1145</v>
      </c>
      <c r="E124" s="2" t="s">
        <v>1146</v>
      </c>
      <c r="F124" s="2" t="s">
        <v>1147</v>
      </c>
      <c r="G124" s="2" t="s">
        <v>1148</v>
      </c>
      <c r="H124" s="2" t="s">
        <v>1149</v>
      </c>
      <c r="I124" s="2" t="s">
        <v>1150</v>
      </c>
      <c r="J124" s="2" t="s">
        <v>1151</v>
      </c>
      <c r="K124" s="2" t="s">
        <v>1152</v>
      </c>
      <c r="L124" s="2" t="s">
        <v>1153</v>
      </c>
      <c r="M124" s="2" t="s">
        <v>1154</v>
      </c>
      <c r="N124" s="2" t="s">
        <v>1155</v>
      </c>
      <c r="O124" s="2" t="s">
        <v>1156</v>
      </c>
      <c r="P124" s="2" t="s">
        <v>1143</v>
      </c>
    </row>
    <row r="125" spans="1:16">
      <c r="A125" s="1">
        <v>124</v>
      </c>
      <c r="B125" s="2" t="s">
        <v>1157</v>
      </c>
      <c r="C125" s="2" t="s">
        <v>1158</v>
      </c>
      <c r="D125" s="2" t="s">
        <v>1159</v>
      </c>
      <c r="E125" s="2" t="s">
        <v>1160</v>
      </c>
      <c r="F125" s="2" t="s">
        <v>1161</v>
      </c>
      <c r="G125" s="2" t="s">
        <v>1162</v>
      </c>
      <c r="H125" s="2" t="s">
        <v>1163</v>
      </c>
      <c r="I125" s="2" t="s">
        <v>1164</v>
      </c>
      <c r="J125" s="2" t="s">
        <v>1165</v>
      </c>
      <c r="K125" s="2" t="s">
        <v>1166</v>
      </c>
      <c r="L125" s="2" t="s">
        <v>1167</v>
      </c>
      <c r="M125" s="2" t="s">
        <v>1168</v>
      </c>
      <c r="N125" s="2" t="s">
        <v>1169</v>
      </c>
      <c r="O125" s="2" t="s">
        <v>1170</v>
      </c>
      <c r="P125" s="2" t="s">
        <v>1157</v>
      </c>
    </row>
    <row r="126" spans="1:16">
      <c r="A126" s="1">
        <v>125</v>
      </c>
      <c r="B126" s="2" t="s">
        <v>1171</v>
      </c>
      <c r="C126" s="2" t="s">
        <v>1172</v>
      </c>
      <c r="D126" s="2" t="s">
        <v>1171</v>
      </c>
      <c r="E126" s="2" t="s">
        <v>1173</v>
      </c>
      <c r="F126" s="2" t="s">
        <v>1174</v>
      </c>
      <c r="G126" s="2" t="s">
        <v>1172</v>
      </c>
      <c r="H126" s="2" t="s">
        <v>1175</v>
      </c>
      <c r="I126" s="2" t="s">
        <v>24950</v>
      </c>
      <c r="J126" s="2" t="s">
        <v>1175</v>
      </c>
      <c r="K126" s="2" t="s">
        <v>1174</v>
      </c>
      <c r="L126" s="2" t="s">
        <v>1175</v>
      </c>
      <c r="M126" s="2" t="s">
        <v>1175</v>
      </c>
      <c r="N126" s="2" t="s">
        <v>1175</v>
      </c>
      <c r="O126" s="2" t="s">
        <v>1171</v>
      </c>
      <c r="P126" s="2" t="s">
        <v>1171</v>
      </c>
    </row>
    <row r="127" spans="1:16">
      <c r="A127" s="1">
        <v>126</v>
      </c>
      <c r="B127" s="2" t="s">
        <v>1176</v>
      </c>
      <c r="C127" s="2" t="s">
        <v>1177</v>
      </c>
      <c r="D127" s="2" t="s">
        <v>1178</v>
      </c>
      <c r="E127" s="2" t="s">
        <v>1179</v>
      </c>
      <c r="F127" s="2" t="s">
        <v>1180</v>
      </c>
      <c r="G127" s="2" t="s">
        <v>1177</v>
      </c>
      <c r="H127" s="2" t="s">
        <v>1181</v>
      </c>
      <c r="I127" s="2" t="s">
        <v>24951</v>
      </c>
      <c r="J127" s="2" t="s">
        <v>1182</v>
      </c>
      <c r="K127" s="2" t="s">
        <v>1180</v>
      </c>
      <c r="L127" s="2" t="s">
        <v>1181</v>
      </c>
      <c r="M127" s="2" t="s">
        <v>1181</v>
      </c>
      <c r="N127" s="2" t="s">
        <v>1183</v>
      </c>
      <c r="O127" s="2" t="s">
        <v>1176</v>
      </c>
      <c r="P127" s="2" t="s">
        <v>1176</v>
      </c>
    </row>
    <row r="128" spans="1:16">
      <c r="A128" s="1">
        <v>127</v>
      </c>
      <c r="B128" s="2" t="s">
        <v>1184</v>
      </c>
      <c r="C128" s="2" t="s">
        <v>1185</v>
      </c>
      <c r="D128" s="2" t="s">
        <v>1186</v>
      </c>
      <c r="E128" s="2" t="s">
        <v>1187</v>
      </c>
      <c r="F128" s="2" t="s">
        <v>1188</v>
      </c>
      <c r="G128" s="2" t="s">
        <v>1189</v>
      </c>
      <c r="H128" s="2" t="s">
        <v>1190</v>
      </c>
      <c r="I128" s="2" t="s">
        <v>1191</v>
      </c>
      <c r="J128" s="2" t="s">
        <v>1192</v>
      </c>
      <c r="K128" s="2" t="s">
        <v>1193</v>
      </c>
      <c r="L128" s="2" t="s">
        <v>1194</v>
      </c>
      <c r="M128" s="2" t="s">
        <v>1195</v>
      </c>
      <c r="N128" s="2" t="s">
        <v>1196</v>
      </c>
      <c r="O128" s="2" t="s">
        <v>1197</v>
      </c>
      <c r="P128" s="2" t="s">
        <v>1184</v>
      </c>
    </row>
    <row r="129" spans="1:16">
      <c r="A129" s="1">
        <v>128</v>
      </c>
      <c r="B129" s="2" t="s">
        <v>1198</v>
      </c>
      <c r="C129" s="2" t="s">
        <v>1199</v>
      </c>
      <c r="D129" s="2" t="s">
        <v>1198</v>
      </c>
      <c r="E129" s="2" t="s">
        <v>1199</v>
      </c>
      <c r="F129" s="2" t="s">
        <v>1199</v>
      </c>
      <c r="G129" s="2" t="s">
        <v>1199</v>
      </c>
      <c r="H129" s="2" t="s">
        <v>1199</v>
      </c>
      <c r="I129" s="2" t="s">
        <v>1199</v>
      </c>
      <c r="J129" s="2" t="s">
        <v>1199</v>
      </c>
      <c r="K129" s="2" t="s">
        <v>1199</v>
      </c>
      <c r="L129" s="2" t="s">
        <v>1199</v>
      </c>
      <c r="M129" s="2" t="s">
        <v>1199</v>
      </c>
      <c r="N129" s="2" t="s">
        <v>1199</v>
      </c>
      <c r="O129" s="2" t="s">
        <v>1199</v>
      </c>
      <c r="P129" s="2" t="s">
        <v>1198</v>
      </c>
    </row>
    <row r="130" spans="1:16">
      <c r="A130" s="1">
        <v>129</v>
      </c>
      <c r="B130" s="2" t="s">
        <v>1200</v>
      </c>
      <c r="C130" s="2" t="s">
        <v>1201</v>
      </c>
      <c r="D130" s="2" t="s">
        <v>1202</v>
      </c>
      <c r="E130" s="2" t="s">
        <v>1203</v>
      </c>
      <c r="F130" s="2" t="s">
        <v>1204</v>
      </c>
      <c r="G130" s="2" t="s">
        <v>1205</v>
      </c>
      <c r="H130" s="2" t="s">
        <v>1206</v>
      </c>
      <c r="I130" s="2" t="s">
        <v>1207</v>
      </c>
      <c r="J130" s="2" t="s">
        <v>1208</v>
      </c>
      <c r="K130" s="2" t="s">
        <v>1209</v>
      </c>
      <c r="L130" s="2" t="s">
        <v>1210</v>
      </c>
      <c r="M130" s="2" t="s">
        <v>1211</v>
      </c>
      <c r="N130" s="2" t="s">
        <v>1212</v>
      </c>
      <c r="O130" s="2" t="s">
        <v>1213</v>
      </c>
      <c r="P130" s="2" t="s">
        <v>1200</v>
      </c>
    </row>
    <row r="131" spans="1:16">
      <c r="A131" s="1">
        <v>130</v>
      </c>
      <c r="B131" s="2" t="s">
        <v>1214</v>
      </c>
      <c r="C131" s="2" t="s">
        <v>1215</v>
      </c>
      <c r="D131" s="2" t="s">
        <v>1216</v>
      </c>
      <c r="E131" s="2" t="s">
        <v>1217</v>
      </c>
      <c r="F131" s="2" t="s">
        <v>1218</v>
      </c>
      <c r="G131" s="2" t="s">
        <v>1219</v>
      </c>
      <c r="H131" s="2" t="s">
        <v>1220</v>
      </c>
      <c r="I131" s="2" t="s">
        <v>22674</v>
      </c>
      <c r="J131" s="2" t="s">
        <v>1221</v>
      </c>
      <c r="K131" s="2" t="s">
        <v>1222</v>
      </c>
      <c r="L131" s="2" t="s">
        <v>1223</v>
      </c>
      <c r="M131" s="2" t="s">
        <v>1224</v>
      </c>
      <c r="N131" s="2" t="s">
        <v>1225</v>
      </c>
      <c r="O131" s="2" t="s">
        <v>1226</v>
      </c>
      <c r="P131" s="2" t="s">
        <v>1214</v>
      </c>
    </row>
    <row r="132" spans="1:16">
      <c r="A132" s="1">
        <v>131</v>
      </c>
      <c r="B132" s="2" t="s">
        <v>1227</v>
      </c>
      <c r="C132" s="2" t="s">
        <v>1228</v>
      </c>
      <c r="D132" s="2" t="s">
        <v>1227</v>
      </c>
      <c r="E132" s="2" t="s">
        <v>1229</v>
      </c>
      <c r="F132" s="2" t="s">
        <v>1229</v>
      </c>
      <c r="G132" s="2" t="s">
        <v>1228</v>
      </c>
      <c r="H132" s="2" t="s">
        <v>1230</v>
      </c>
      <c r="I132" s="2" t="s">
        <v>1230</v>
      </c>
      <c r="J132" s="2" t="s">
        <v>1230</v>
      </c>
      <c r="K132" s="2" t="s">
        <v>1229</v>
      </c>
      <c r="L132" s="2" t="s">
        <v>1230</v>
      </c>
      <c r="M132" s="2" t="s">
        <v>1230</v>
      </c>
      <c r="N132" s="2" t="s">
        <v>1230</v>
      </c>
      <c r="O132" s="2" t="s">
        <v>1227</v>
      </c>
      <c r="P132" s="2" t="s">
        <v>1227</v>
      </c>
    </row>
    <row r="133" spans="1:16">
      <c r="A133" s="1">
        <v>132</v>
      </c>
      <c r="B133" s="2" t="s">
        <v>1231</v>
      </c>
      <c r="C133" s="2" t="s">
        <v>1232</v>
      </c>
      <c r="D133" s="2" t="s">
        <v>1233</v>
      </c>
      <c r="E133" s="2" t="s">
        <v>1234</v>
      </c>
      <c r="F133" s="2" t="s">
        <v>1235</v>
      </c>
      <c r="G133" s="2" t="s">
        <v>1236</v>
      </c>
      <c r="H133" s="2" t="s">
        <v>1237</v>
      </c>
      <c r="I133" s="2" t="s">
        <v>1238</v>
      </c>
      <c r="J133" s="2" t="s">
        <v>1239</v>
      </c>
      <c r="K133" s="2" t="s">
        <v>1240</v>
      </c>
      <c r="L133" s="2" t="s">
        <v>1241</v>
      </c>
      <c r="M133" s="2" t="s">
        <v>1242</v>
      </c>
      <c r="N133" s="2" t="s">
        <v>1243</v>
      </c>
      <c r="O133" s="2" t="s">
        <v>1244</v>
      </c>
      <c r="P133" s="2" t="s">
        <v>1231</v>
      </c>
    </row>
    <row r="134" spans="1:16">
      <c r="A134" s="1">
        <v>133</v>
      </c>
      <c r="B134" s="2" t="s">
        <v>1245</v>
      </c>
      <c r="C134" s="2" t="s">
        <v>1246</v>
      </c>
      <c r="D134" s="2" t="s">
        <v>1245</v>
      </c>
      <c r="E134" s="2" t="s">
        <v>1247</v>
      </c>
      <c r="F134" s="2" t="s">
        <v>1248</v>
      </c>
      <c r="G134" s="2" t="s">
        <v>1246</v>
      </c>
      <c r="H134" s="2" t="s">
        <v>1249</v>
      </c>
      <c r="I134" s="2" t="s">
        <v>24952</v>
      </c>
      <c r="J134" s="2" t="s">
        <v>1249</v>
      </c>
      <c r="K134" s="2" t="s">
        <v>1248</v>
      </c>
      <c r="L134" s="2" t="s">
        <v>1249</v>
      </c>
      <c r="M134" s="2" t="s">
        <v>1249</v>
      </c>
      <c r="N134" s="2" t="s">
        <v>1249</v>
      </c>
      <c r="O134" s="2" t="s">
        <v>1245</v>
      </c>
      <c r="P134" s="2" t="s">
        <v>1245</v>
      </c>
    </row>
    <row r="135" spans="1:16">
      <c r="A135" s="1">
        <v>134</v>
      </c>
      <c r="B135" s="2" t="s">
        <v>1250</v>
      </c>
      <c r="C135" s="2" t="s">
        <v>1251</v>
      </c>
      <c r="D135" s="2" t="s">
        <v>1252</v>
      </c>
      <c r="E135" s="2" t="s">
        <v>1253</v>
      </c>
      <c r="F135" s="2" t="s">
        <v>1254</v>
      </c>
      <c r="G135" s="2" t="s">
        <v>1255</v>
      </c>
      <c r="H135" s="2" t="s">
        <v>1256</v>
      </c>
      <c r="I135" s="2" t="s">
        <v>22675</v>
      </c>
      <c r="J135" s="2" t="s">
        <v>1257</v>
      </c>
      <c r="K135" s="2" t="s">
        <v>1258</v>
      </c>
      <c r="L135" s="2" t="s">
        <v>1259</v>
      </c>
      <c r="M135" s="2" t="s">
        <v>1260</v>
      </c>
      <c r="N135" s="2" t="s">
        <v>1261</v>
      </c>
      <c r="O135" s="2" t="s">
        <v>1262</v>
      </c>
      <c r="P135" s="2" t="s">
        <v>1250</v>
      </c>
    </row>
    <row r="136" spans="1:16">
      <c r="A136" s="1">
        <v>135</v>
      </c>
      <c r="B136" s="2" t="s">
        <v>1263</v>
      </c>
      <c r="C136" s="2" t="s">
        <v>1263</v>
      </c>
      <c r="D136" s="2" t="s">
        <v>1263</v>
      </c>
      <c r="E136" s="2" t="s">
        <v>1263</v>
      </c>
      <c r="F136" s="2" t="s">
        <v>1263</v>
      </c>
      <c r="G136" s="2" t="s">
        <v>1263</v>
      </c>
      <c r="H136" s="2" t="s">
        <v>1263</v>
      </c>
      <c r="I136" s="2" t="s">
        <v>1263</v>
      </c>
      <c r="J136" s="2" t="s">
        <v>1263</v>
      </c>
      <c r="K136" s="2" t="s">
        <v>1263</v>
      </c>
      <c r="L136" s="2" t="s">
        <v>1263</v>
      </c>
      <c r="M136" s="2" t="s">
        <v>1263</v>
      </c>
      <c r="N136" s="2" t="s">
        <v>1263</v>
      </c>
      <c r="O136" s="2" t="s">
        <v>1263</v>
      </c>
      <c r="P136" s="2" t="s">
        <v>1263</v>
      </c>
    </row>
    <row r="137" spans="1:16">
      <c r="A137" s="1">
        <v>136</v>
      </c>
      <c r="B137" s="2" t="s">
        <v>1264</v>
      </c>
      <c r="C137" s="2" t="s">
        <v>1265</v>
      </c>
      <c r="D137" s="2" t="s">
        <v>1266</v>
      </c>
      <c r="E137" s="2" t="s">
        <v>1267</v>
      </c>
      <c r="F137" s="2" t="s">
        <v>1268</v>
      </c>
      <c r="G137" s="2" t="s">
        <v>1269</v>
      </c>
      <c r="H137" s="2" t="s">
        <v>1270</v>
      </c>
      <c r="I137" s="2" t="s">
        <v>1268</v>
      </c>
      <c r="J137" s="2" t="s">
        <v>1271</v>
      </c>
      <c r="K137" s="2" t="s">
        <v>1272</v>
      </c>
      <c r="L137" s="2" t="s">
        <v>1273</v>
      </c>
      <c r="M137" s="2" t="s">
        <v>1266</v>
      </c>
      <c r="N137" s="2" t="s">
        <v>1274</v>
      </c>
      <c r="O137" s="2" t="s">
        <v>1275</v>
      </c>
      <c r="P137" s="2" t="s">
        <v>1264</v>
      </c>
    </row>
    <row r="138" spans="1:16">
      <c r="A138" s="1">
        <v>137</v>
      </c>
      <c r="B138" s="2" t="s">
        <v>1276</v>
      </c>
      <c r="C138" s="2" t="s">
        <v>1277</v>
      </c>
      <c r="D138" s="2" t="s">
        <v>1278</v>
      </c>
      <c r="E138" s="2" t="s">
        <v>1279</v>
      </c>
      <c r="F138" s="2" t="s">
        <v>1280</v>
      </c>
      <c r="G138" s="2" t="s">
        <v>1281</v>
      </c>
      <c r="H138" s="2" t="s">
        <v>1282</v>
      </c>
      <c r="I138" s="2" t="s">
        <v>1280</v>
      </c>
      <c r="J138" s="2" t="s">
        <v>1283</v>
      </c>
      <c r="K138" s="2" t="s">
        <v>1284</v>
      </c>
      <c r="L138" s="2" t="s">
        <v>1285</v>
      </c>
      <c r="M138" s="2" t="s">
        <v>1286</v>
      </c>
      <c r="N138" s="2" t="s">
        <v>1287</v>
      </c>
      <c r="O138" s="2" t="s">
        <v>1288</v>
      </c>
      <c r="P138" s="2" t="s">
        <v>1276</v>
      </c>
    </row>
    <row r="139" spans="1:16">
      <c r="A139" s="1">
        <v>138</v>
      </c>
      <c r="B139" s="2" t="s">
        <v>1289</v>
      </c>
      <c r="C139" s="2" t="s">
        <v>1290</v>
      </c>
      <c r="D139" s="2" t="s">
        <v>1291</v>
      </c>
      <c r="E139" s="2" t="s">
        <v>1292</v>
      </c>
      <c r="F139" s="2" t="s">
        <v>1293</v>
      </c>
      <c r="G139" s="2" t="s">
        <v>1294</v>
      </c>
      <c r="H139" s="2" t="s">
        <v>1295</v>
      </c>
      <c r="I139" s="2" t="s">
        <v>1296</v>
      </c>
      <c r="J139" s="2" t="s">
        <v>1297</v>
      </c>
      <c r="K139" s="2" t="s">
        <v>1298</v>
      </c>
      <c r="L139" s="2" t="s">
        <v>1299</v>
      </c>
      <c r="M139" s="2" t="s">
        <v>1300</v>
      </c>
      <c r="N139" s="2" t="s">
        <v>1301</v>
      </c>
      <c r="O139" s="2" t="s">
        <v>1302</v>
      </c>
      <c r="P139" s="2" t="s">
        <v>1289</v>
      </c>
    </row>
    <row r="140" spans="1:16">
      <c r="A140" s="1">
        <v>139</v>
      </c>
      <c r="B140" s="2" t="s">
        <v>1303</v>
      </c>
      <c r="C140" s="2" t="s">
        <v>1304</v>
      </c>
      <c r="D140" s="2" t="s">
        <v>1305</v>
      </c>
      <c r="E140" s="2" t="s">
        <v>1306</v>
      </c>
      <c r="F140" s="2" t="s">
        <v>1307</v>
      </c>
      <c r="G140" s="2" t="s">
        <v>1308</v>
      </c>
      <c r="H140" s="2" t="s">
        <v>1309</v>
      </c>
      <c r="I140" s="2" t="s">
        <v>1310</v>
      </c>
      <c r="J140" s="2" t="s">
        <v>1311</v>
      </c>
      <c r="K140" s="2" t="s">
        <v>1312</v>
      </c>
      <c r="L140" s="2" t="s">
        <v>1313</v>
      </c>
      <c r="M140" s="2" t="s">
        <v>1314</v>
      </c>
      <c r="N140" s="2" t="s">
        <v>1315</v>
      </c>
      <c r="O140" s="2" t="s">
        <v>1316</v>
      </c>
      <c r="P140" s="2" t="s">
        <v>1303</v>
      </c>
    </row>
    <row r="141" spans="1:16">
      <c r="A141" s="1">
        <v>140</v>
      </c>
      <c r="B141" s="2" t="s">
        <v>1317</v>
      </c>
      <c r="C141" s="2" t="s">
        <v>1318</v>
      </c>
      <c r="D141" s="2" t="s">
        <v>1319</v>
      </c>
      <c r="E141" s="2" t="s">
        <v>1320</v>
      </c>
      <c r="F141" s="2" t="s">
        <v>1321</v>
      </c>
      <c r="G141" s="2" t="s">
        <v>1322</v>
      </c>
      <c r="H141" s="2" t="s">
        <v>1323</v>
      </c>
      <c r="I141" s="2" t="s">
        <v>1324</v>
      </c>
      <c r="J141" s="2" t="s">
        <v>1325</v>
      </c>
      <c r="K141" s="2" t="s">
        <v>1326</v>
      </c>
      <c r="L141" s="2" t="s">
        <v>1327</v>
      </c>
      <c r="M141" s="2" t="s">
        <v>1328</v>
      </c>
      <c r="N141" s="2" t="s">
        <v>1329</v>
      </c>
      <c r="O141" s="2" t="s">
        <v>1330</v>
      </c>
      <c r="P141" s="2" t="s">
        <v>1317</v>
      </c>
    </row>
    <row r="142" spans="1:16">
      <c r="A142" s="1">
        <v>141</v>
      </c>
      <c r="B142" s="2" t="s">
        <v>1331</v>
      </c>
      <c r="C142" s="2" t="s">
        <v>1332</v>
      </c>
      <c r="D142" s="2" t="s">
        <v>1333</v>
      </c>
      <c r="E142" s="2" t="s">
        <v>1334</v>
      </c>
      <c r="F142" s="2" t="s">
        <v>1335</v>
      </c>
      <c r="G142" s="2" t="s">
        <v>1336</v>
      </c>
      <c r="H142" s="2" t="s">
        <v>1337</v>
      </c>
      <c r="I142" s="2" t="s">
        <v>1338</v>
      </c>
      <c r="J142" s="2" t="s">
        <v>1339</v>
      </c>
      <c r="K142" s="2" t="s">
        <v>1340</v>
      </c>
      <c r="L142" s="2" t="s">
        <v>1341</v>
      </c>
      <c r="M142" s="2" t="s">
        <v>1342</v>
      </c>
      <c r="N142" s="2" t="s">
        <v>1343</v>
      </c>
      <c r="O142" s="2" t="s">
        <v>1344</v>
      </c>
      <c r="P142" s="2" t="s">
        <v>1331</v>
      </c>
    </row>
    <row r="143" spans="1:16">
      <c r="A143" s="1">
        <v>142</v>
      </c>
      <c r="B143" s="2" t="s">
        <v>22676</v>
      </c>
      <c r="C143" s="2" t="s">
        <v>1346</v>
      </c>
      <c r="D143" s="2" t="s">
        <v>1347</v>
      </c>
      <c r="E143" s="2" t="s">
        <v>1348</v>
      </c>
      <c r="F143" s="2" t="s">
        <v>1349</v>
      </c>
      <c r="G143" s="2" t="s">
        <v>1350</v>
      </c>
      <c r="H143" s="2" t="s">
        <v>1351</v>
      </c>
      <c r="I143" s="2" t="s">
        <v>1352</v>
      </c>
      <c r="J143" s="2" t="s">
        <v>1353</v>
      </c>
      <c r="K143" s="2" t="s">
        <v>1354</v>
      </c>
      <c r="L143" s="2" t="s">
        <v>1355</v>
      </c>
      <c r="M143" s="2" t="s">
        <v>1356</v>
      </c>
      <c r="N143" s="2" t="s">
        <v>1357</v>
      </c>
      <c r="O143" s="2" t="s">
        <v>1358</v>
      </c>
      <c r="P143" s="2" t="s">
        <v>1345</v>
      </c>
    </row>
    <row r="144" spans="1:16">
      <c r="A144" s="1">
        <v>143</v>
      </c>
      <c r="B144" s="2" t="s">
        <v>1359</v>
      </c>
      <c r="C144" s="2" t="s">
        <v>1360</v>
      </c>
      <c r="D144" s="2" t="s">
        <v>1361</v>
      </c>
      <c r="E144" s="2" t="s">
        <v>1362</v>
      </c>
      <c r="F144" s="2" t="s">
        <v>1363</v>
      </c>
      <c r="G144" s="2" t="s">
        <v>1364</v>
      </c>
      <c r="H144" s="2" t="s">
        <v>1365</v>
      </c>
      <c r="I144" s="2" t="s">
        <v>1366</v>
      </c>
      <c r="J144" s="2" t="s">
        <v>1367</v>
      </c>
      <c r="K144" s="2" t="s">
        <v>1368</v>
      </c>
      <c r="L144" s="2" t="s">
        <v>1369</v>
      </c>
      <c r="M144" s="2" t="s">
        <v>1370</v>
      </c>
      <c r="N144" s="2" t="s">
        <v>1371</v>
      </c>
      <c r="O144" s="2" t="s">
        <v>1372</v>
      </c>
      <c r="P144" s="2" t="s">
        <v>1359</v>
      </c>
    </row>
    <row r="145" spans="1:16">
      <c r="A145" s="1">
        <v>144</v>
      </c>
      <c r="B145" s="2" t="s">
        <v>1373</v>
      </c>
      <c r="C145" s="2" t="s">
        <v>1374</v>
      </c>
      <c r="D145" s="2" t="s">
        <v>1375</v>
      </c>
      <c r="E145" s="2" t="s">
        <v>1376</v>
      </c>
      <c r="F145" s="2" t="s">
        <v>1377</v>
      </c>
      <c r="G145" s="2" t="s">
        <v>1378</v>
      </c>
      <c r="H145" s="2" t="s">
        <v>1379</v>
      </c>
      <c r="I145" s="2" t="s">
        <v>1380</v>
      </c>
      <c r="J145" s="2" t="s">
        <v>1381</v>
      </c>
      <c r="K145" s="2" t="s">
        <v>1382</v>
      </c>
      <c r="L145" s="2" t="s">
        <v>1383</v>
      </c>
      <c r="M145" s="2" t="s">
        <v>1384</v>
      </c>
      <c r="N145" s="2" t="s">
        <v>1385</v>
      </c>
      <c r="O145" s="2" t="s">
        <v>1386</v>
      </c>
      <c r="P145" s="2" t="s">
        <v>1373</v>
      </c>
    </row>
    <row r="146" spans="1:16">
      <c r="A146" s="1">
        <v>145</v>
      </c>
      <c r="B146" s="2" t="s">
        <v>1387</v>
      </c>
      <c r="C146" s="2" t="s">
        <v>1388</v>
      </c>
      <c r="D146" s="2" t="s">
        <v>1389</v>
      </c>
      <c r="E146" s="2" t="s">
        <v>1390</v>
      </c>
      <c r="F146" s="2" t="s">
        <v>1391</v>
      </c>
      <c r="G146" s="2" t="s">
        <v>1392</v>
      </c>
      <c r="H146" s="2" t="s">
        <v>1393</v>
      </c>
      <c r="I146" s="2" t="s">
        <v>1394</v>
      </c>
      <c r="J146" s="2" t="s">
        <v>1395</v>
      </c>
      <c r="K146" s="2" t="s">
        <v>1396</v>
      </c>
      <c r="L146" s="2" t="s">
        <v>1397</v>
      </c>
      <c r="M146" s="2" t="s">
        <v>1398</v>
      </c>
      <c r="N146" s="2" t="s">
        <v>1399</v>
      </c>
      <c r="O146" s="2" t="s">
        <v>1400</v>
      </c>
      <c r="P146" s="2" t="s">
        <v>1387</v>
      </c>
    </row>
    <row r="147" spans="1:16">
      <c r="A147" s="1">
        <v>146</v>
      </c>
      <c r="B147" s="2" t="s">
        <v>1401</v>
      </c>
      <c r="C147" s="2" t="s">
        <v>1402</v>
      </c>
      <c r="D147" s="2" t="s">
        <v>1403</v>
      </c>
      <c r="E147" s="2" t="s">
        <v>1404</v>
      </c>
      <c r="F147" s="2" t="s">
        <v>1405</v>
      </c>
      <c r="G147" s="2" t="s">
        <v>1406</v>
      </c>
      <c r="H147" s="2" t="s">
        <v>1407</v>
      </c>
      <c r="I147" s="2" t="s">
        <v>1408</v>
      </c>
      <c r="J147" s="2" t="s">
        <v>1409</v>
      </c>
      <c r="K147" s="2" t="s">
        <v>1410</v>
      </c>
      <c r="L147" s="2" t="s">
        <v>1411</v>
      </c>
      <c r="M147" s="2" t="s">
        <v>1412</v>
      </c>
      <c r="N147" s="2" t="s">
        <v>1413</v>
      </c>
      <c r="O147" s="2" t="s">
        <v>1414</v>
      </c>
      <c r="P147" s="2" t="s">
        <v>1401</v>
      </c>
    </row>
    <row r="148" spans="1:16">
      <c r="A148" s="1">
        <v>147</v>
      </c>
      <c r="B148" s="2" t="s">
        <v>1415</v>
      </c>
      <c r="C148" s="2" t="s">
        <v>1416</v>
      </c>
      <c r="D148" s="2" t="s">
        <v>1417</v>
      </c>
      <c r="E148" s="2" t="s">
        <v>1418</v>
      </c>
      <c r="F148" s="2" t="s">
        <v>1419</v>
      </c>
      <c r="G148" s="2" t="s">
        <v>1420</v>
      </c>
      <c r="H148" s="2" t="s">
        <v>1421</v>
      </c>
      <c r="I148" s="2" t="s">
        <v>1422</v>
      </c>
      <c r="J148" s="2" t="s">
        <v>1423</v>
      </c>
      <c r="K148" s="2" t="s">
        <v>1424</v>
      </c>
      <c r="L148" s="2" t="s">
        <v>1425</v>
      </c>
      <c r="M148" s="2" t="s">
        <v>1426</v>
      </c>
      <c r="N148" s="2" t="s">
        <v>1427</v>
      </c>
      <c r="O148" s="2" t="s">
        <v>1428</v>
      </c>
      <c r="P148" s="2" t="s">
        <v>1415</v>
      </c>
    </row>
    <row r="149" spans="1:16">
      <c r="A149" s="1">
        <v>148</v>
      </c>
      <c r="B149" s="2" t="s">
        <v>1429</v>
      </c>
      <c r="C149" s="2" t="s">
        <v>1430</v>
      </c>
      <c r="D149" s="2" t="s">
        <v>1431</v>
      </c>
      <c r="E149" s="2" t="s">
        <v>1432</v>
      </c>
      <c r="F149" s="2" t="s">
        <v>1433</v>
      </c>
      <c r="G149" s="2" t="s">
        <v>1434</v>
      </c>
      <c r="H149" s="2" t="s">
        <v>1435</v>
      </c>
      <c r="I149" s="2" t="s">
        <v>22677</v>
      </c>
      <c r="J149" s="2" t="s">
        <v>1436</v>
      </c>
      <c r="K149" s="2" t="s">
        <v>1437</v>
      </c>
      <c r="L149" s="2" t="s">
        <v>1438</v>
      </c>
      <c r="M149" s="2" t="s">
        <v>1439</v>
      </c>
      <c r="N149" s="2" t="s">
        <v>1440</v>
      </c>
      <c r="O149" s="2" t="s">
        <v>1441</v>
      </c>
      <c r="P149" s="2" t="s">
        <v>1429</v>
      </c>
    </row>
    <row r="150" spans="1:16">
      <c r="A150" s="1">
        <v>149</v>
      </c>
      <c r="B150" s="2" t="s">
        <v>1442</v>
      </c>
      <c r="C150" s="2" t="s">
        <v>1443</v>
      </c>
      <c r="D150" s="2" t="s">
        <v>1444</v>
      </c>
      <c r="E150" s="2" t="s">
        <v>1445</v>
      </c>
      <c r="F150" s="2" t="s">
        <v>1446</v>
      </c>
      <c r="G150" s="2" t="s">
        <v>1447</v>
      </c>
      <c r="H150" s="2" t="s">
        <v>1448</v>
      </c>
      <c r="I150" s="2" t="s">
        <v>22678</v>
      </c>
      <c r="J150" s="2" t="s">
        <v>1449</v>
      </c>
      <c r="K150" s="2" t="s">
        <v>1450</v>
      </c>
      <c r="L150" s="2" t="s">
        <v>1451</v>
      </c>
      <c r="M150" s="2" t="s">
        <v>1452</v>
      </c>
      <c r="N150" s="2" t="s">
        <v>1453</v>
      </c>
      <c r="O150" s="2" t="s">
        <v>1454</v>
      </c>
      <c r="P150" s="2" t="s">
        <v>1442</v>
      </c>
    </row>
    <row r="151" spans="1:16">
      <c r="A151" s="1">
        <v>150</v>
      </c>
      <c r="B151" s="2" t="s">
        <v>1455</v>
      </c>
      <c r="C151" s="2" t="s">
        <v>1388</v>
      </c>
      <c r="D151" s="2" t="s">
        <v>1456</v>
      </c>
      <c r="E151" s="2" t="s">
        <v>1457</v>
      </c>
      <c r="F151" s="2" t="s">
        <v>1458</v>
      </c>
      <c r="G151" s="2" t="s">
        <v>1459</v>
      </c>
      <c r="H151" s="2" t="s">
        <v>1460</v>
      </c>
      <c r="I151" s="2" t="s">
        <v>1461</v>
      </c>
      <c r="J151" s="2" t="s">
        <v>1462</v>
      </c>
      <c r="K151" s="2" t="s">
        <v>1463</v>
      </c>
      <c r="L151" s="2" t="s">
        <v>1464</v>
      </c>
      <c r="M151" s="2" t="s">
        <v>1465</v>
      </c>
      <c r="N151" s="2" t="s">
        <v>1466</v>
      </c>
      <c r="O151" s="2" t="s">
        <v>1467</v>
      </c>
      <c r="P151" s="2" t="s">
        <v>1455</v>
      </c>
    </row>
    <row r="152" spans="1:16">
      <c r="A152" s="1">
        <v>151</v>
      </c>
      <c r="B152" s="2" t="s">
        <v>1468</v>
      </c>
      <c r="C152" s="2" t="s">
        <v>1469</v>
      </c>
      <c r="D152" s="2" t="s">
        <v>1470</v>
      </c>
      <c r="E152" s="2" t="s">
        <v>1471</v>
      </c>
      <c r="F152" s="2" t="s">
        <v>1472</v>
      </c>
      <c r="G152" s="2" t="s">
        <v>1473</v>
      </c>
      <c r="H152" s="2" t="s">
        <v>1474</v>
      </c>
      <c r="I152" s="2" t="s">
        <v>1475</v>
      </c>
      <c r="J152" s="2" t="s">
        <v>1476</v>
      </c>
      <c r="K152" s="2" t="s">
        <v>1477</v>
      </c>
      <c r="L152" s="2" t="s">
        <v>1478</v>
      </c>
      <c r="M152" s="2" t="s">
        <v>1479</v>
      </c>
      <c r="N152" s="2" t="s">
        <v>1480</v>
      </c>
      <c r="O152" s="2" t="s">
        <v>1481</v>
      </c>
      <c r="P152" s="2" t="s">
        <v>1468</v>
      </c>
    </row>
    <row r="153" spans="1:16">
      <c r="A153" s="1">
        <v>152</v>
      </c>
      <c r="B153" s="2" t="s">
        <v>1482</v>
      </c>
      <c r="C153" s="2" t="s">
        <v>1483</v>
      </c>
      <c r="D153" s="2" t="s">
        <v>1483</v>
      </c>
      <c r="E153" s="2" t="s">
        <v>1484</v>
      </c>
      <c r="F153" s="2" t="s">
        <v>1405</v>
      </c>
      <c r="G153" s="2" t="s">
        <v>1485</v>
      </c>
      <c r="H153" s="2" t="s">
        <v>1486</v>
      </c>
      <c r="I153" s="2" t="s">
        <v>1487</v>
      </c>
      <c r="J153" s="2" t="s">
        <v>1488</v>
      </c>
      <c r="K153" s="2" t="s">
        <v>1410</v>
      </c>
      <c r="L153" s="2" t="s">
        <v>1489</v>
      </c>
      <c r="M153" s="2" t="s">
        <v>1490</v>
      </c>
      <c r="N153" s="2" t="s">
        <v>1491</v>
      </c>
      <c r="O153" s="2" t="s">
        <v>1410</v>
      </c>
      <c r="P153" s="2" t="s">
        <v>1482</v>
      </c>
    </row>
    <row r="154" spans="1:16">
      <c r="A154" s="1">
        <v>153</v>
      </c>
      <c r="B154" s="2" t="s">
        <v>1492</v>
      </c>
      <c r="C154" s="2" t="s">
        <v>1493</v>
      </c>
      <c r="D154" s="2" t="s">
        <v>1494</v>
      </c>
      <c r="E154" s="2" t="s">
        <v>1495</v>
      </c>
      <c r="F154" s="2" t="s">
        <v>1496</v>
      </c>
      <c r="G154" s="2" t="s">
        <v>1497</v>
      </c>
      <c r="H154" s="2" t="s">
        <v>1498</v>
      </c>
      <c r="I154" s="2" t="s">
        <v>1499</v>
      </c>
      <c r="J154" s="2" t="s">
        <v>1500</v>
      </c>
      <c r="K154" s="2" t="s">
        <v>1501</v>
      </c>
      <c r="L154" s="2" t="s">
        <v>1502</v>
      </c>
      <c r="M154" s="2" t="s">
        <v>1503</v>
      </c>
      <c r="N154" s="2" t="s">
        <v>1504</v>
      </c>
      <c r="O154" s="2" t="s">
        <v>1505</v>
      </c>
      <c r="P154" s="2" t="s">
        <v>1492</v>
      </c>
    </row>
    <row r="155" spans="1:16">
      <c r="A155" s="1">
        <v>154</v>
      </c>
      <c r="B155" s="2" t="s">
        <v>1506</v>
      </c>
      <c r="C155" s="2" t="s">
        <v>24953</v>
      </c>
      <c r="D155" s="2" t="s">
        <v>1507</v>
      </c>
      <c r="E155" s="2" t="s">
        <v>1508</v>
      </c>
      <c r="F155" s="2" t="s">
        <v>1509</v>
      </c>
      <c r="G155" s="2" t="s">
        <v>1510</v>
      </c>
      <c r="H155" s="2" t="s">
        <v>1511</v>
      </c>
      <c r="I155" s="2" t="s">
        <v>1512</v>
      </c>
      <c r="J155" s="2" t="s">
        <v>1513</v>
      </c>
      <c r="K155" s="2" t="s">
        <v>1514</v>
      </c>
      <c r="L155" s="2" t="s">
        <v>1515</v>
      </c>
      <c r="M155" s="2" t="s">
        <v>1516</v>
      </c>
      <c r="N155" s="2" t="s">
        <v>1517</v>
      </c>
      <c r="O155" s="2" t="s">
        <v>1518</v>
      </c>
      <c r="P155" s="2" t="s">
        <v>1506</v>
      </c>
    </row>
    <row r="156" spans="1:16">
      <c r="A156" s="1">
        <v>155</v>
      </c>
      <c r="B156" s="2" t="s">
        <v>25476</v>
      </c>
      <c r="C156" s="2" t="s">
        <v>25477</v>
      </c>
      <c r="D156" s="2" t="s">
        <v>1519</v>
      </c>
      <c r="E156" s="2" t="s">
        <v>25478</v>
      </c>
      <c r="F156" s="2" t="s">
        <v>25479</v>
      </c>
      <c r="G156" s="2" t="s">
        <v>25480</v>
      </c>
      <c r="H156" s="2" t="s">
        <v>25481</v>
      </c>
      <c r="I156" s="2" t="s">
        <v>25482</v>
      </c>
      <c r="J156" s="2" t="s">
        <v>25483</v>
      </c>
      <c r="K156" s="2" t="s">
        <v>25484</v>
      </c>
      <c r="L156" s="2" t="s">
        <v>25485</v>
      </c>
      <c r="M156" s="2" t="s">
        <v>25486</v>
      </c>
      <c r="N156" s="2" t="s">
        <v>25487</v>
      </c>
      <c r="O156" s="2" t="s">
        <v>25488</v>
      </c>
      <c r="P156" s="2" t="s">
        <v>25476</v>
      </c>
    </row>
    <row r="157" spans="1:16">
      <c r="A157" s="1">
        <v>156</v>
      </c>
      <c r="B157" s="2" t="s">
        <v>1520</v>
      </c>
      <c r="C157" s="2" t="s">
        <v>1521</v>
      </c>
      <c r="D157" s="2" t="s">
        <v>1522</v>
      </c>
      <c r="E157" s="2" t="s">
        <v>1523</v>
      </c>
      <c r="F157" s="2" t="s">
        <v>1520</v>
      </c>
      <c r="G157" s="2" t="s">
        <v>1524</v>
      </c>
      <c r="H157" s="2" t="s">
        <v>1525</v>
      </c>
      <c r="I157" s="2" t="s">
        <v>1526</v>
      </c>
      <c r="J157" s="2" t="s">
        <v>1527</v>
      </c>
      <c r="K157" s="2" t="s">
        <v>1528</v>
      </c>
      <c r="L157" s="2" t="s">
        <v>1529</v>
      </c>
      <c r="M157" s="2" t="s">
        <v>1530</v>
      </c>
      <c r="N157" s="2" t="s">
        <v>1531</v>
      </c>
      <c r="O157" s="2" t="s">
        <v>1532</v>
      </c>
      <c r="P157" s="2" t="s">
        <v>1520</v>
      </c>
    </row>
    <row r="158" spans="1:16">
      <c r="A158" s="1">
        <v>157</v>
      </c>
      <c r="B158" s="2" t="s">
        <v>1533</v>
      </c>
      <c r="C158" s="2" t="s">
        <v>1534</v>
      </c>
      <c r="D158" s="2" t="s">
        <v>1535</v>
      </c>
      <c r="E158" s="2" t="s">
        <v>1536</v>
      </c>
      <c r="F158" s="2" t="s">
        <v>1537</v>
      </c>
      <c r="G158" s="2" t="s">
        <v>1538</v>
      </c>
      <c r="H158" s="2" t="s">
        <v>1539</v>
      </c>
      <c r="I158" s="2" t="s">
        <v>1540</v>
      </c>
      <c r="J158" s="2" t="s">
        <v>1541</v>
      </c>
      <c r="K158" s="2" t="s">
        <v>1542</v>
      </c>
      <c r="L158" s="2" t="s">
        <v>1543</v>
      </c>
      <c r="M158" s="2" t="s">
        <v>1544</v>
      </c>
      <c r="N158" s="2" t="s">
        <v>1545</v>
      </c>
      <c r="O158" s="2" t="s">
        <v>1546</v>
      </c>
      <c r="P158" s="2" t="s">
        <v>1533</v>
      </c>
    </row>
    <row r="159" spans="1:16">
      <c r="A159" s="1">
        <v>158</v>
      </c>
      <c r="B159" s="2" t="s">
        <v>1547</v>
      </c>
      <c r="C159" s="2" t="s">
        <v>1548</v>
      </c>
      <c r="D159" s="2" t="s">
        <v>1547</v>
      </c>
      <c r="E159" s="2" t="s">
        <v>1549</v>
      </c>
      <c r="F159" s="2" t="s">
        <v>1547</v>
      </c>
      <c r="G159" s="2" t="s">
        <v>1547</v>
      </c>
      <c r="H159" s="2" t="s">
        <v>1547</v>
      </c>
      <c r="I159" s="2" t="s">
        <v>1547</v>
      </c>
      <c r="J159" s="2" t="s">
        <v>1547</v>
      </c>
      <c r="K159" s="2" t="s">
        <v>1547</v>
      </c>
      <c r="L159" s="2" t="s">
        <v>1550</v>
      </c>
      <c r="M159" s="2" t="s">
        <v>1547</v>
      </c>
      <c r="N159" s="2" t="s">
        <v>1547</v>
      </c>
      <c r="O159" s="2" t="s">
        <v>1551</v>
      </c>
      <c r="P159" s="2" t="s">
        <v>1547</v>
      </c>
    </row>
    <row r="160" spans="1:16">
      <c r="A160" s="1">
        <v>159</v>
      </c>
      <c r="B160" s="2" t="s">
        <v>1552</v>
      </c>
      <c r="C160" s="2" t="s">
        <v>1553</v>
      </c>
      <c r="D160" s="2" t="s">
        <v>1554</v>
      </c>
      <c r="E160" s="2" t="s">
        <v>1555</v>
      </c>
      <c r="F160" s="2" t="s">
        <v>1556</v>
      </c>
      <c r="G160" s="2" t="s">
        <v>1557</v>
      </c>
      <c r="H160" s="2" t="s">
        <v>1558</v>
      </c>
      <c r="I160" s="2" t="s">
        <v>1559</v>
      </c>
      <c r="J160" s="2" t="s">
        <v>1560</v>
      </c>
      <c r="K160" s="2" t="s">
        <v>1561</v>
      </c>
      <c r="L160" s="2" t="s">
        <v>1562</v>
      </c>
      <c r="M160" s="2" t="s">
        <v>1563</v>
      </c>
      <c r="N160" s="2" t="s">
        <v>1563</v>
      </c>
      <c r="O160" s="2" t="s">
        <v>1564</v>
      </c>
      <c r="P160" s="2" t="s">
        <v>1552</v>
      </c>
    </row>
    <row r="161" spans="1:16">
      <c r="A161" s="1">
        <v>160</v>
      </c>
      <c r="B161" s="2" t="s">
        <v>1565</v>
      </c>
      <c r="C161" s="2" t="s">
        <v>1566</v>
      </c>
      <c r="D161" s="2" t="s">
        <v>1567</v>
      </c>
      <c r="E161" s="2" t="s">
        <v>1568</v>
      </c>
      <c r="F161" s="2" t="s">
        <v>1569</v>
      </c>
      <c r="G161" s="2" t="s">
        <v>1570</v>
      </c>
      <c r="H161" s="2" t="s">
        <v>1571</v>
      </c>
      <c r="I161" s="2" t="s">
        <v>1572</v>
      </c>
      <c r="J161" s="2" t="s">
        <v>1573</v>
      </c>
      <c r="K161" s="2" t="s">
        <v>1574</v>
      </c>
      <c r="L161" s="2" t="s">
        <v>1575</v>
      </c>
      <c r="M161" s="2" t="s">
        <v>1576</v>
      </c>
      <c r="N161" s="2" t="s">
        <v>1577</v>
      </c>
      <c r="O161" s="2" t="s">
        <v>1578</v>
      </c>
      <c r="P161" s="2" t="s">
        <v>1565</v>
      </c>
    </row>
    <row r="162" spans="1:16">
      <c r="A162" s="1">
        <v>161</v>
      </c>
      <c r="B162" s="2" t="s">
        <v>1579</v>
      </c>
      <c r="C162" s="2" t="s">
        <v>1580</v>
      </c>
      <c r="D162" s="2" t="s">
        <v>1581</v>
      </c>
      <c r="E162" s="2" t="s">
        <v>1582</v>
      </c>
      <c r="F162" s="2" t="s">
        <v>1583</v>
      </c>
      <c r="G162" s="2" t="s">
        <v>1584</v>
      </c>
      <c r="H162" s="2" t="s">
        <v>1585</v>
      </c>
      <c r="I162" s="2" t="s">
        <v>1586</v>
      </c>
      <c r="J162" s="2" t="s">
        <v>1587</v>
      </c>
      <c r="K162" s="2" t="s">
        <v>1588</v>
      </c>
      <c r="L162" s="2" t="s">
        <v>1589</v>
      </c>
      <c r="M162" s="2" t="s">
        <v>1590</v>
      </c>
      <c r="N162" s="2" t="s">
        <v>1591</v>
      </c>
      <c r="O162" s="2" t="s">
        <v>1592</v>
      </c>
      <c r="P162" s="2" t="s">
        <v>1579</v>
      </c>
    </row>
    <row r="163" spans="1:16">
      <c r="A163" s="1">
        <v>162</v>
      </c>
      <c r="B163" s="2" t="s">
        <v>1593</v>
      </c>
      <c r="C163" s="2" t="s">
        <v>1594</v>
      </c>
      <c r="D163" s="2" t="s">
        <v>1595</v>
      </c>
      <c r="E163" s="2" t="s">
        <v>1596</v>
      </c>
      <c r="F163" s="2" t="s">
        <v>1597</v>
      </c>
      <c r="G163" s="2" t="s">
        <v>1598</v>
      </c>
      <c r="H163" s="2" t="s">
        <v>1599</v>
      </c>
      <c r="I163" s="2" t="s">
        <v>22679</v>
      </c>
      <c r="J163" s="2" t="s">
        <v>1600</v>
      </c>
      <c r="K163" s="2" t="s">
        <v>1601</v>
      </c>
      <c r="L163" s="2" t="s">
        <v>1602</v>
      </c>
      <c r="M163" s="2" t="s">
        <v>1603</v>
      </c>
      <c r="N163" s="2" t="s">
        <v>1604</v>
      </c>
      <c r="O163" s="2" t="s">
        <v>1605</v>
      </c>
      <c r="P163" s="2" t="s">
        <v>1593</v>
      </c>
    </row>
    <row r="164" spans="1:16">
      <c r="A164" s="1">
        <v>163</v>
      </c>
      <c r="B164" s="2" t="s">
        <v>1606</v>
      </c>
      <c r="C164" s="2" t="s">
        <v>1607</v>
      </c>
      <c r="D164" s="2" t="s">
        <v>1608</v>
      </c>
      <c r="E164" s="2" t="s">
        <v>1609</v>
      </c>
      <c r="F164" s="2" t="s">
        <v>1610</v>
      </c>
      <c r="G164" s="2" t="s">
        <v>1611</v>
      </c>
      <c r="H164" s="2" t="s">
        <v>1612</v>
      </c>
      <c r="I164" s="2" t="s">
        <v>6185</v>
      </c>
      <c r="J164" s="2" t="s">
        <v>1613</v>
      </c>
      <c r="K164" s="2" t="s">
        <v>1614</v>
      </c>
      <c r="L164" s="2" t="s">
        <v>1615</v>
      </c>
      <c r="M164" s="2" t="s">
        <v>1616</v>
      </c>
      <c r="N164" s="2" t="s">
        <v>1617</v>
      </c>
      <c r="O164" s="2" t="s">
        <v>1618</v>
      </c>
      <c r="P164" s="2" t="s">
        <v>1606</v>
      </c>
    </row>
    <row r="165" spans="1:16">
      <c r="A165" s="1">
        <v>164</v>
      </c>
      <c r="B165" s="2" t="s">
        <v>1619</v>
      </c>
      <c r="C165" s="2" t="s">
        <v>1620</v>
      </c>
      <c r="D165" s="2" t="s">
        <v>1621</v>
      </c>
      <c r="E165" s="2" t="s">
        <v>1622</v>
      </c>
      <c r="F165" s="2" t="s">
        <v>1623</v>
      </c>
      <c r="G165" s="2" t="s">
        <v>1624</v>
      </c>
      <c r="H165" s="2" t="s">
        <v>1625</v>
      </c>
      <c r="I165" s="2" t="s">
        <v>1626</v>
      </c>
      <c r="J165" s="2" t="s">
        <v>1627</v>
      </c>
      <c r="K165" s="2" t="s">
        <v>1628</v>
      </c>
      <c r="L165" s="2" t="s">
        <v>1629</v>
      </c>
      <c r="M165" s="2" t="s">
        <v>1630</v>
      </c>
      <c r="N165" s="2" t="s">
        <v>1631</v>
      </c>
      <c r="O165" s="2" t="s">
        <v>1632</v>
      </c>
      <c r="P165" s="2" t="s">
        <v>1619</v>
      </c>
    </row>
    <row r="166" spans="1:16">
      <c r="A166" s="1">
        <v>165</v>
      </c>
      <c r="B166" s="2" t="s">
        <v>1633</v>
      </c>
      <c r="C166" s="2" t="s">
        <v>1634</v>
      </c>
      <c r="D166" s="2" t="s">
        <v>1635</v>
      </c>
      <c r="E166" s="2" t="s">
        <v>1636</v>
      </c>
      <c r="F166" s="2" t="s">
        <v>1637</v>
      </c>
      <c r="G166" s="2" t="s">
        <v>1638</v>
      </c>
      <c r="H166" s="2" t="s">
        <v>1639</v>
      </c>
      <c r="I166" s="2" t="s">
        <v>1640</v>
      </c>
      <c r="J166" s="2" t="s">
        <v>1641</v>
      </c>
      <c r="K166" s="2" t="s">
        <v>1642</v>
      </c>
      <c r="L166" s="2" t="s">
        <v>1643</v>
      </c>
      <c r="M166" s="2" t="s">
        <v>1644</v>
      </c>
      <c r="N166" s="2" t="s">
        <v>1645</v>
      </c>
      <c r="O166" s="2" t="s">
        <v>1646</v>
      </c>
      <c r="P166" s="2" t="s">
        <v>1633</v>
      </c>
    </row>
    <row r="167" spans="1:16">
      <c r="A167" s="1">
        <v>166</v>
      </c>
      <c r="B167" s="2" t="s">
        <v>1647</v>
      </c>
      <c r="C167" s="2" t="s">
        <v>1648</v>
      </c>
      <c r="D167" s="2" t="s">
        <v>1649</v>
      </c>
      <c r="E167" s="2" t="s">
        <v>1650</v>
      </c>
      <c r="F167" s="2" t="s">
        <v>1651</v>
      </c>
      <c r="G167" s="2" t="s">
        <v>1652</v>
      </c>
      <c r="H167" s="2" t="s">
        <v>1653</v>
      </c>
      <c r="I167" s="2" t="s">
        <v>22680</v>
      </c>
      <c r="J167" s="2" t="s">
        <v>1654</v>
      </c>
      <c r="K167" s="2" t="s">
        <v>1655</v>
      </c>
      <c r="L167" s="2" t="s">
        <v>1656</v>
      </c>
      <c r="M167" s="2" t="s">
        <v>1657</v>
      </c>
      <c r="N167" s="2" t="s">
        <v>1657</v>
      </c>
      <c r="O167" s="2" t="s">
        <v>1658</v>
      </c>
      <c r="P167" s="2" t="s">
        <v>1647</v>
      </c>
    </row>
    <row r="168" spans="1:16">
      <c r="A168" s="1">
        <v>167</v>
      </c>
      <c r="B168" s="2" t="s">
        <v>1659</v>
      </c>
      <c r="C168" s="2" t="s">
        <v>1660</v>
      </c>
      <c r="D168" s="2" t="s">
        <v>1661</v>
      </c>
      <c r="E168" s="2" t="s">
        <v>1662</v>
      </c>
      <c r="F168" s="2" t="s">
        <v>1663</v>
      </c>
      <c r="G168" s="2" t="s">
        <v>1664</v>
      </c>
      <c r="H168" s="2" t="s">
        <v>1665</v>
      </c>
      <c r="I168" s="2" t="s">
        <v>1666</v>
      </c>
      <c r="J168" s="2" t="s">
        <v>1667</v>
      </c>
      <c r="K168" s="2" t="s">
        <v>1668</v>
      </c>
      <c r="L168" s="2" t="s">
        <v>1669</v>
      </c>
      <c r="M168" s="2" t="s">
        <v>1670</v>
      </c>
      <c r="N168" s="2" t="s">
        <v>1671</v>
      </c>
      <c r="O168" s="2" t="s">
        <v>1672</v>
      </c>
      <c r="P168" s="2" t="s">
        <v>1659</v>
      </c>
    </row>
    <row r="169" spans="1:16">
      <c r="A169" s="1">
        <v>168</v>
      </c>
      <c r="B169" s="2" t="s">
        <v>1673</v>
      </c>
      <c r="C169" s="2" t="s">
        <v>1674</v>
      </c>
      <c r="D169" s="2" t="s">
        <v>1675</v>
      </c>
      <c r="E169" s="2" t="s">
        <v>1676</v>
      </c>
      <c r="F169" s="2" t="s">
        <v>1677</v>
      </c>
      <c r="G169" s="2" t="s">
        <v>1678</v>
      </c>
      <c r="H169" s="2" t="s">
        <v>1679</v>
      </c>
      <c r="I169" s="2" t="s">
        <v>1680</v>
      </c>
      <c r="J169" s="2" t="s">
        <v>1681</v>
      </c>
      <c r="K169" s="2" t="s">
        <v>1682</v>
      </c>
      <c r="L169" s="2" t="s">
        <v>1683</v>
      </c>
      <c r="M169" s="2" t="s">
        <v>1684</v>
      </c>
      <c r="N169" s="2" t="s">
        <v>1685</v>
      </c>
      <c r="O169" s="2" t="s">
        <v>1686</v>
      </c>
      <c r="P169" s="2" t="s">
        <v>1673</v>
      </c>
    </row>
    <row r="170" spans="1:16">
      <c r="A170" s="1">
        <v>169</v>
      </c>
      <c r="B170" s="2" t="s">
        <v>1687</v>
      </c>
      <c r="C170" s="2" t="s">
        <v>1688</v>
      </c>
      <c r="D170" s="2" t="s">
        <v>1689</v>
      </c>
      <c r="E170" s="2" t="s">
        <v>1690</v>
      </c>
      <c r="F170" s="2" t="s">
        <v>1691</v>
      </c>
      <c r="G170" s="2" t="s">
        <v>1692</v>
      </c>
      <c r="H170" s="2" t="s">
        <v>1693</v>
      </c>
      <c r="I170" s="2" t="s">
        <v>1694</v>
      </c>
      <c r="J170" s="2" t="s">
        <v>1695</v>
      </c>
      <c r="K170" s="2" t="s">
        <v>1696</v>
      </c>
      <c r="L170" s="2" t="s">
        <v>1697</v>
      </c>
      <c r="M170" s="2" t="s">
        <v>1698</v>
      </c>
      <c r="N170" s="2" t="s">
        <v>1699</v>
      </c>
      <c r="O170" s="2" t="s">
        <v>1700</v>
      </c>
      <c r="P170" s="2" t="s">
        <v>1687</v>
      </c>
    </row>
    <row r="171" spans="1:16">
      <c r="A171" s="1">
        <v>170</v>
      </c>
      <c r="B171" s="2" t="s">
        <v>1701</v>
      </c>
      <c r="C171" s="2" t="s">
        <v>1702</v>
      </c>
      <c r="D171" s="2" t="s">
        <v>1703</v>
      </c>
      <c r="E171" s="2" t="s">
        <v>1704</v>
      </c>
      <c r="F171" s="2" t="s">
        <v>1705</v>
      </c>
      <c r="G171" s="2" t="s">
        <v>1706</v>
      </c>
      <c r="H171" s="2" t="s">
        <v>1707</v>
      </c>
      <c r="I171" s="2" t="s">
        <v>22681</v>
      </c>
      <c r="J171" s="2" t="s">
        <v>1708</v>
      </c>
      <c r="K171" s="2" t="s">
        <v>1709</v>
      </c>
      <c r="L171" s="2" t="s">
        <v>1710</v>
      </c>
      <c r="M171" s="2" t="s">
        <v>1711</v>
      </c>
      <c r="N171" s="2" t="s">
        <v>1712</v>
      </c>
      <c r="O171" s="2" t="s">
        <v>1713</v>
      </c>
      <c r="P171" s="2" t="s">
        <v>1701</v>
      </c>
    </row>
    <row r="172" spans="1:16">
      <c r="A172" s="1">
        <v>171</v>
      </c>
      <c r="B172" s="2" t="s">
        <v>1714</v>
      </c>
      <c r="C172" s="2" t="s">
        <v>1715</v>
      </c>
      <c r="D172" s="2" t="s">
        <v>1716</v>
      </c>
      <c r="E172" s="2" t="s">
        <v>1717</v>
      </c>
      <c r="F172" s="2" t="s">
        <v>1718</v>
      </c>
      <c r="G172" s="2" t="s">
        <v>1719</v>
      </c>
      <c r="H172" s="2" t="s">
        <v>1720</v>
      </c>
      <c r="I172" s="2" t="s">
        <v>22682</v>
      </c>
      <c r="J172" s="2" t="s">
        <v>1721</v>
      </c>
      <c r="K172" s="2" t="s">
        <v>1722</v>
      </c>
      <c r="L172" s="2" t="s">
        <v>1723</v>
      </c>
      <c r="M172" s="2" t="s">
        <v>1724</v>
      </c>
      <c r="N172" s="2" t="s">
        <v>1725</v>
      </c>
      <c r="O172" s="2" t="s">
        <v>1726</v>
      </c>
      <c r="P172" s="2" t="s">
        <v>1714</v>
      </c>
    </row>
    <row r="173" spans="1:16">
      <c r="A173" s="1">
        <v>172</v>
      </c>
      <c r="B173" s="2" t="s">
        <v>1727</v>
      </c>
      <c r="C173" s="2" t="s">
        <v>1728</v>
      </c>
      <c r="D173" s="2" t="s">
        <v>1729</v>
      </c>
      <c r="E173" s="2" t="s">
        <v>1730</v>
      </c>
      <c r="F173" s="2" t="s">
        <v>1731</v>
      </c>
      <c r="G173" s="2" t="s">
        <v>1732</v>
      </c>
      <c r="H173" s="2" t="s">
        <v>1733</v>
      </c>
      <c r="I173" s="2" t="s">
        <v>22683</v>
      </c>
      <c r="J173" s="2" t="s">
        <v>1734</v>
      </c>
      <c r="K173" s="2" t="s">
        <v>1735</v>
      </c>
      <c r="L173" s="2" t="s">
        <v>1736</v>
      </c>
      <c r="M173" s="2" t="s">
        <v>1737</v>
      </c>
      <c r="N173" s="2" t="s">
        <v>1738</v>
      </c>
      <c r="O173" s="2" t="s">
        <v>1739</v>
      </c>
      <c r="P173" s="2" t="s">
        <v>1727</v>
      </c>
    </row>
    <row r="174" spans="1:16">
      <c r="A174" s="1">
        <v>173</v>
      </c>
      <c r="B174" s="2" t="s">
        <v>1740</v>
      </c>
      <c r="C174" s="2" t="s">
        <v>1741</v>
      </c>
      <c r="D174" s="2" t="s">
        <v>1742</v>
      </c>
      <c r="E174" s="2" t="s">
        <v>1743</v>
      </c>
      <c r="F174" s="2" t="s">
        <v>16729</v>
      </c>
      <c r="G174" s="2" t="s">
        <v>1744</v>
      </c>
      <c r="H174" s="2" t="s">
        <v>1745</v>
      </c>
      <c r="I174" s="2" t="s">
        <v>1744</v>
      </c>
      <c r="J174" s="2" t="s">
        <v>1746</v>
      </c>
      <c r="K174" s="2" t="s">
        <v>1747</v>
      </c>
      <c r="L174" s="2" t="s">
        <v>1748</v>
      </c>
      <c r="M174" s="2" t="s">
        <v>1748</v>
      </c>
      <c r="N174" s="2" t="s">
        <v>1748</v>
      </c>
      <c r="O174" s="2" t="s">
        <v>1749</v>
      </c>
      <c r="P174" s="2" t="s">
        <v>1740</v>
      </c>
    </row>
    <row r="175" spans="1:16">
      <c r="A175" s="1">
        <v>174</v>
      </c>
      <c r="B175" s="2" t="s">
        <v>1750</v>
      </c>
      <c r="C175" s="2" t="s">
        <v>1751</v>
      </c>
      <c r="D175" s="2" t="s">
        <v>1752</v>
      </c>
      <c r="E175" s="2" t="s">
        <v>25489</v>
      </c>
      <c r="F175" s="2" t="s">
        <v>22684</v>
      </c>
      <c r="G175" s="2" t="s">
        <v>1753</v>
      </c>
      <c r="H175" s="2" t="s">
        <v>1754</v>
      </c>
      <c r="I175" s="2" t="s">
        <v>1755</v>
      </c>
      <c r="J175" s="2" t="s">
        <v>1756</v>
      </c>
      <c r="K175" s="2" t="s">
        <v>1757</v>
      </c>
      <c r="L175" s="2" t="s">
        <v>1758</v>
      </c>
      <c r="M175" s="2" t="s">
        <v>1759</v>
      </c>
      <c r="N175" s="2" t="s">
        <v>1760</v>
      </c>
      <c r="O175" s="2" t="s">
        <v>1761</v>
      </c>
      <c r="P175" s="2" t="s">
        <v>1750</v>
      </c>
    </row>
    <row r="176" spans="1:16">
      <c r="A176" s="1">
        <v>175</v>
      </c>
      <c r="B176" s="2" t="s">
        <v>1750</v>
      </c>
      <c r="C176" s="2" t="s">
        <v>1763</v>
      </c>
      <c r="D176" s="2" t="s">
        <v>1764</v>
      </c>
      <c r="E176" s="2" t="s">
        <v>25489</v>
      </c>
      <c r="F176" s="2" t="s">
        <v>22684</v>
      </c>
      <c r="G176" s="2" t="s">
        <v>1765</v>
      </c>
      <c r="H176" s="2" t="s">
        <v>1766</v>
      </c>
      <c r="I176" s="2" t="s">
        <v>1767</v>
      </c>
      <c r="J176" s="2" t="s">
        <v>1768</v>
      </c>
      <c r="K176" s="2" t="s">
        <v>1769</v>
      </c>
      <c r="L176" s="2" t="s">
        <v>1770</v>
      </c>
      <c r="M176" s="2" t="s">
        <v>1771</v>
      </c>
      <c r="N176" s="2" t="s">
        <v>1772</v>
      </c>
      <c r="O176" s="2" t="s">
        <v>1773</v>
      </c>
      <c r="P176" s="2" t="s">
        <v>1762</v>
      </c>
    </row>
    <row r="177" spans="1:16">
      <c r="A177" s="1">
        <v>176</v>
      </c>
      <c r="B177" s="2" t="s">
        <v>1750</v>
      </c>
      <c r="C177" s="2" t="s">
        <v>1751</v>
      </c>
      <c r="D177" s="2" t="s">
        <v>1752</v>
      </c>
      <c r="E177" s="2" t="s">
        <v>25489</v>
      </c>
      <c r="F177" s="2" t="s">
        <v>22684</v>
      </c>
      <c r="G177" s="2" t="s">
        <v>1753</v>
      </c>
      <c r="H177" s="2" t="s">
        <v>1754</v>
      </c>
      <c r="I177" s="2" t="s">
        <v>1755</v>
      </c>
      <c r="J177" s="2" t="s">
        <v>1774</v>
      </c>
      <c r="K177" s="2" t="s">
        <v>1775</v>
      </c>
      <c r="L177" s="2" t="s">
        <v>1757</v>
      </c>
      <c r="M177" s="2" t="s">
        <v>1776</v>
      </c>
      <c r="N177" s="2" t="s">
        <v>1777</v>
      </c>
      <c r="O177" s="2" t="s">
        <v>1778</v>
      </c>
      <c r="P177" s="2" t="s">
        <v>1750</v>
      </c>
    </row>
    <row r="178" spans="1:16">
      <c r="A178" s="1">
        <v>177</v>
      </c>
      <c r="B178" s="2" t="s">
        <v>1779</v>
      </c>
      <c r="C178" s="2" t="s">
        <v>1780</v>
      </c>
      <c r="D178" s="2" t="s">
        <v>1781</v>
      </c>
      <c r="E178" s="2" t="s">
        <v>1782</v>
      </c>
      <c r="F178" s="2" t="s">
        <v>1783</v>
      </c>
      <c r="G178" s="2" t="s">
        <v>1784</v>
      </c>
      <c r="H178" s="2" t="s">
        <v>1785</v>
      </c>
      <c r="I178" s="2" t="s">
        <v>22685</v>
      </c>
      <c r="J178" s="2" t="s">
        <v>1786</v>
      </c>
      <c r="K178" s="2" t="s">
        <v>1787</v>
      </c>
      <c r="L178" s="2" t="s">
        <v>1788</v>
      </c>
      <c r="M178" s="2" t="s">
        <v>1786</v>
      </c>
      <c r="N178" s="2" t="s">
        <v>1789</v>
      </c>
      <c r="O178" s="2" t="s">
        <v>1790</v>
      </c>
      <c r="P178" s="2" t="s">
        <v>1779</v>
      </c>
    </row>
    <row r="179" spans="1:16">
      <c r="A179" s="1">
        <v>178</v>
      </c>
      <c r="B179" s="2" t="s">
        <v>1791</v>
      </c>
      <c r="C179" s="2" t="s">
        <v>1792</v>
      </c>
      <c r="D179" s="2" t="s">
        <v>1793</v>
      </c>
      <c r="E179" s="2" t="s">
        <v>1794</v>
      </c>
      <c r="F179" s="2" t="s">
        <v>1795</v>
      </c>
      <c r="G179" s="2" t="s">
        <v>1796</v>
      </c>
      <c r="H179" s="2" t="s">
        <v>1797</v>
      </c>
      <c r="I179" s="2" t="s">
        <v>1798</v>
      </c>
      <c r="J179" s="2" t="s">
        <v>1791</v>
      </c>
      <c r="K179" s="2" t="s">
        <v>1795</v>
      </c>
      <c r="L179" s="2" t="s">
        <v>1799</v>
      </c>
      <c r="M179" s="2" t="s">
        <v>1791</v>
      </c>
      <c r="N179" s="2" t="s">
        <v>1800</v>
      </c>
      <c r="O179" s="2" t="s">
        <v>1801</v>
      </c>
      <c r="P179" s="2" t="s">
        <v>1791</v>
      </c>
    </row>
    <row r="180" spans="1:16">
      <c r="A180" s="1">
        <v>179</v>
      </c>
      <c r="B180" s="2" t="s">
        <v>1802</v>
      </c>
      <c r="C180" s="2" t="s">
        <v>1803</v>
      </c>
      <c r="D180" s="2" t="s">
        <v>1804</v>
      </c>
      <c r="E180" s="2" t="s">
        <v>1805</v>
      </c>
      <c r="F180" s="2" t="s">
        <v>1806</v>
      </c>
      <c r="G180" s="2" t="s">
        <v>1807</v>
      </c>
      <c r="H180" s="2" t="s">
        <v>1808</v>
      </c>
      <c r="I180" s="2" t="s">
        <v>1809</v>
      </c>
      <c r="J180" s="2" t="s">
        <v>1810</v>
      </c>
      <c r="K180" s="2" t="s">
        <v>1811</v>
      </c>
      <c r="L180" s="2" t="s">
        <v>1812</v>
      </c>
      <c r="M180" s="2" t="s">
        <v>1813</v>
      </c>
      <c r="N180" s="2" t="s">
        <v>1814</v>
      </c>
      <c r="O180" s="2" t="s">
        <v>1815</v>
      </c>
      <c r="P180" s="2" t="s">
        <v>1802</v>
      </c>
    </row>
    <row r="181" spans="1:16">
      <c r="A181" s="1">
        <v>180</v>
      </c>
      <c r="B181" s="2" t="s">
        <v>1816</v>
      </c>
      <c r="C181" s="2" t="s">
        <v>1817</v>
      </c>
      <c r="D181" s="2" t="s">
        <v>1818</v>
      </c>
      <c r="E181" s="2" t="s">
        <v>1819</v>
      </c>
      <c r="F181" s="2" t="s">
        <v>1820</v>
      </c>
      <c r="G181" s="2" t="s">
        <v>1821</v>
      </c>
      <c r="H181" s="2" t="s">
        <v>1822</v>
      </c>
      <c r="I181" s="2" t="s">
        <v>1823</v>
      </c>
      <c r="J181" s="2" t="s">
        <v>1824</v>
      </c>
      <c r="K181" s="2" t="s">
        <v>1825</v>
      </c>
      <c r="L181" s="2" t="s">
        <v>1826</v>
      </c>
      <c r="M181" s="2" t="s">
        <v>1827</v>
      </c>
      <c r="N181" s="2" t="s">
        <v>1828</v>
      </c>
      <c r="O181" s="2" t="s">
        <v>1829</v>
      </c>
      <c r="P181" s="2" t="s">
        <v>1816</v>
      </c>
    </row>
    <row r="182" spans="1:16">
      <c r="A182" s="1">
        <v>181</v>
      </c>
      <c r="B182" s="2" t="s">
        <v>1830</v>
      </c>
      <c r="C182" s="2" t="s">
        <v>1831</v>
      </c>
      <c r="D182" s="2" t="s">
        <v>1832</v>
      </c>
      <c r="E182" s="2" t="s">
        <v>1833</v>
      </c>
      <c r="F182" s="2" t="s">
        <v>1834</v>
      </c>
      <c r="G182" s="2" t="s">
        <v>1835</v>
      </c>
      <c r="H182" s="2" t="s">
        <v>1836</v>
      </c>
      <c r="I182" s="2" t="s">
        <v>22686</v>
      </c>
      <c r="J182" s="2" t="s">
        <v>1837</v>
      </c>
      <c r="K182" s="2" t="s">
        <v>1838</v>
      </c>
      <c r="L182" s="2" t="s">
        <v>1839</v>
      </c>
      <c r="M182" s="2" t="s">
        <v>1840</v>
      </c>
      <c r="N182" s="2" t="s">
        <v>1841</v>
      </c>
      <c r="O182" s="2" t="s">
        <v>1842</v>
      </c>
      <c r="P182" s="2" t="s">
        <v>1830</v>
      </c>
    </row>
    <row r="183" spans="1:16">
      <c r="A183" s="1">
        <v>182</v>
      </c>
      <c r="B183" s="2" t="s">
        <v>1843</v>
      </c>
      <c r="C183" s="2" t="s">
        <v>1844</v>
      </c>
      <c r="D183" s="2" t="s">
        <v>1845</v>
      </c>
      <c r="E183" s="2" t="s">
        <v>1846</v>
      </c>
      <c r="F183" s="2" t="s">
        <v>1847</v>
      </c>
      <c r="G183" s="2" t="s">
        <v>1848</v>
      </c>
      <c r="H183" s="2" t="s">
        <v>1849</v>
      </c>
      <c r="I183" s="2" t="s">
        <v>1850</v>
      </c>
      <c r="J183" s="2" t="s">
        <v>1851</v>
      </c>
      <c r="K183" s="2" t="s">
        <v>1852</v>
      </c>
      <c r="L183" s="2" t="s">
        <v>1853</v>
      </c>
      <c r="M183" s="2" t="s">
        <v>1854</v>
      </c>
      <c r="N183" s="2" t="s">
        <v>1855</v>
      </c>
      <c r="O183" s="2" t="s">
        <v>1856</v>
      </c>
      <c r="P183" s="2" t="s">
        <v>1843</v>
      </c>
    </row>
    <row r="184" spans="1:16">
      <c r="A184" s="1">
        <v>183</v>
      </c>
      <c r="B184" s="2" t="s">
        <v>1857</v>
      </c>
      <c r="C184" s="2" t="s">
        <v>1858</v>
      </c>
      <c r="D184" s="2" t="s">
        <v>1859</v>
      </c>
      <c r="E184" s="2" t="s">
        <v>1860</v>
      </c>
      <c r="F184" s="2" t="s">
        <v>1861</v>
      </c>
      <c r="G184" s="2" t="s">
        <v>1862</v>
      </c>
      <c r="H184" s="2" t="s">
        <v>1863</v>
      </c>
      <c r="I184" s="2" t="s">
        <v>1864</v>
      </c>
      <c r="J184" s="2" t="s">
        <v>1865</v>
      </c>
      <c r="K184" s="2" t="s">
        <v>1866</v>
      </c>
      <c r="L184" s="2" t="s">
        <v>1867</v>
      </c>
      <c r="M184" s="2" t="s">
        <v>1868</v>
      </c>
      <c r="N184" s="2" t="s">
        <v>1869</v>
      </c>
      <c r="O184" s="2" t="s">
        <v>1870</v>
      </c>
      <c r="P184" s="2" t="s">
        <v>1857</v>
      </c>
    </row>
    <row r="185" spans="1:16">
      <c r="A185" s="1">
        <v>184</v>
      </c>
      <c r="B185" s="2" t="s">
        <v>1871</v>
      </c>
      <c r="C185" s="2" t="s">
        <v>1858</v>
      </c>
      <c r="D185" s="2" t="s">
        <v>1872</v>
      </c>
      <c r="E185" s="2" t="s">
        <v>1873</v>
      </c>
      <c r="F185" s="2" t="s">
        <v>1874</v>
      </c>
      <c r="G185" s="2" t="s">
        <v>1875</v>
      </c>
      <c r="H185" s="2" t="s">
        <v>1876</v>
      </c>
      <c r="I185" s="2" t="s">
        <v>1877</v>
      </c>
      <c r="J185" s="2" t="s">
        <v>1878</v>
      </c>
      <c r="K185" s="2" t="s">
        <v>1879</v>
      </c>
      <c r="L185" s="2" t="s">
        <v>1880</v>
      </c>
      <c r="M185" s="2" t="s">
        <v>1881</v>
      </c>
      <c r="N185" s="2" t="s">
        <v>1882</v>
      </c>
      <c r="O185" s="2" t="s">
        <v>1883</v>
      </c>
      <c r="P185" s="2" t="s">
        <v>1871</v>
      </c>
    </row>
    <row r="186" spans="1:16">
      <c r="A186" s="1">
        <v>185</v>
      </c>
      <c r="B186" s="2" t="s">
        <v>1884</v>
      </c>
      <c r="C186" s="2" t="s">
        <v>1885</v>
      </c>
      <c r="D186" s="2" t="s">
        <v>1884</v>
      </c>
      <c r="E186" s="2" t="s">
        <v>1886</v>
      </c>
      <c r="F186" s="2" t="s">
        <v>1887</v>
      </c>
      <c r="G186" s="2" t="s">
        <v>1888</v>
      </c>
      <c r="H186" s="2" t="s">
        <v>1889</v>
      </c>
      <c r="I186" s="2" t="s">
        <v>1890</v>
      </c>
      <c r="J186" s="2" t="s">
        <v>1891</v>
      </c>
      <c r="K186" s="2" t="s">
        <v>1892</v>
      </c>
      <c r="L186" s="2" t="s">
        <v>1893</v>
      </c>
      <c r="M186" s="2" t="s">
        <v>1894</v>
      </c>
      <c r="N186" s="2" t="s">
        <v>1895</v>
      </c>
      <c r="O186" s="2" t="s">
        <v>1896</v>
      </c>
      <c r="P186" s="2" t="s">
        <v>1884</v>
      </c>
    </row>
    <row r="187" spans="1:16">
      <c r="A187" s="1">
        <v>186</v>
      </c>
      <c r="B187" s="2" t="s">
        <v>1897</v>
      </c>
      <c r="C187" s="2" t="s">
        <v>1898</v>
      </c>
      <c r="D187" s="2" t="s">
        <v>1899</v>
      </c>
      <c r="E187" s="2" t="s">
        <v>1900</v>
      </c>
      <c r="F187" s="2" t="s">
        <v>1901</v>
      </c>
      <c r="G187" s="2" t="s">
        <v>1902</v>
      </c>
      <c r="H187" s="2" t="s">
        <v>1903</v>
      </c>
      <c r="I187" s="2" t="s">
        <v>1904</v>
      </c>
      <c r="J187" s="2" t="s">
        <v>1905</v>
      </c>
      <c r="K187" s="2" t="s">
        <v>1906</v>
      </c>
      <c r="L187" s="2" t="s">
        <v>1907</v>
      </c>
      <c r="M187" s="2" t="s">
        <v>1908</v>
      </c>
      <c r="N187" s="2" t="s">
        <v>1909</v>
      </c>
      <c r="O187" s="2" t="s">
        <v>1910</v>
      </c>
      <c r="P187" s="2" t="s">
        <v>1897</v>
      </c>
    </row>
    <row r="188" spans="1:16">
      <c r="A188" s="1">
        <v>187</v>
      </c>
      <c r="B188" s="2" t="s">
        <v>1911</v>
      </c>
      <c r="C188" s="2" t="s">
        <v>1912</v>
      </c>
      <c r="D188" s="2" t="s">
        <v>1913</v>
      </c>
      <c r="E188" s="2" t="s">
        <v>1914</v>
      </c>
      <c r="F188" s="2" t="s">
        <v>1915</v>
      </c>
      <c r="G188" s="2" t="s">
        <v>1916</v>
      </c>
      <c r="H188" s="2" t="s">
        <v>1917</v>
      </c>
      <c r="I188" s="2" t="s">
        <v>1918</v>
      </c>
      <c r="J188" s="2" t="s">
        <v>1919</v>
      </c>
      <c r="K188" s="2" t="s">
        <v>1920</v>
      </c>
      <c r="L188" s="2" t="s">
        <v>1921</v>
      </c>
      <c r="M188" s="2" t="s">
        <v>1922</v>
      </c>
      <c r="N188" s="2" t="s">
        <v>1923</v>
      </c>
      <c r="O188" s="2" t="s">
        <v>1924</v>
      </c>
      <c r="P188" s="2" t="s">
        <v>1911</v>
      </c>
    </row>
    <row r="189" spans="1:16">
      <c r="A189" s="1">
        <v>188</v>
      </c>
      <c r="B189" s="2" t="s">
        <v>1925</v>
      </c>
      <c r="C189" s="2" t="s">
        <v>1926</v>
      </c>
      <c r="D189" s="2" t="s">
        <v>1927</v>
      </c>
      <c r="E189" s="2" t="s">
        <v>1928</v>
      </c>
      <c r="F189" s="2" t="s">
        <v>1929</v>
      </c>
      <c r="G189" s="2" t="s">
        <v>1930</v>
      </c>
      <c r="H189" s="2" t="s">
        <v>1931</v>
      </c>
      <c r="I189" s="2" t="s">
        <v>1932</v>
      </c>
      <c r="J189" s="2" t="s">
        <v>1933</v>
      </c>
      <c r="K189" s="2" t="s">
        <v>1934</v>
      </c>
      <c r="L189" s="2" t="s">
        <v>1935</v>
      </c>
      <c r="M189" s="2" t="s">
        <v>1936</v>
      </c>
      <c r="N189" s="2" t="s">
        <v>1937</v>
      </c>
      <c r="O189" s="2" t="s">
        <v>1938</v>
      </c>
      <c r="P189" s="2" t="s">
        <v>1925</v>
      </c>
    </row>
    <row r="190" spans="1:16">
      <c r="A190" s="1">
        <v>189</v>
      </c>
      <c r="B190" s="2" t="s">
        <v>1939</v>
      </c>
      <c r="C190" s="2" t="s">
        <v>1940</v>
      </c>
      <c r="D190" s="2" t="s">
        <v>1941</v>
      </c>
      <c r="E190" s="2" t="s">
        <v>1942</v>
      </c>
      <c r="F190" s="2" t="s">
        <v>1943</v>
      </c>
      <c r="G190" s="2" t="s">
        <v>1944</v>
      </c>
      <c r="H190" s="2" t="s">
        <v>1945</v>
      </c>
      <c r="I190" s="2" t="s">
        <v>1946</v>
      </c>
      <c r="J190" s="2" t="s">
        <v>1947</v>
      </c>
      <c r="K190" s="2" t="s">
        <v>1948</v>
      </c>
      <c r="L190" s="2" t="s">
        <v>1949</v>
      </c>
      <c r="M190" s="2" t="s">
        <v>1950</v>
      </c>
      <c r="N190" s="2" t="s">
        <v>1951</v>
      </c>
      <c r="O190" s="2" t="s">
        <v>1952</v>
      </c>
      <c r="P190" s="2" t="s">
        <v>1939</v>
      </c>
    </row>
    <row r="191" spans="1:16">
      <c r="A191" s="1">
        <v>190</v>
      </c>
      <c r="B191" s="2" t="s">
        <v>1953</v>
      </c>
      <c r="C191" s="2" t="s">
        <v>24963</v>
      </c>
      <c r="D191" s="2" t="s">
        <v>1954</v>
      </c>
      <c r="E191" s="2" t="s">
        <v>1955</v>
      </c>
      <c r="F191" s="2" t="s">
        <v>1956</v>
      </c>
      <c r="G191" s="2" t="s">
        <v>1957</v>
      </c>
      <c r="H191" s="2" t="s">
        <v>1958</v>
      </c>
      <c r="I191" s="2" t="s">
        <v>22687</v>
      </c>
      <c r="J191" s="2" t="s">
        <v>1959</v>
      </c>
      <c r="K191" s="2" t="s">
        <v>1960</v>
      </c>
      <c r="L191" s="2" t="s">
        <v>1961</v>
      </c>
      <c r="M191" s="2" t="s">
        <v>1962</v>
      </c>
      <c r="N191" s="2" t="s">
        <v>1963</v>
      </c>
      <c r="O191" s="2" t="s">
        <v>1964</v>
      </c>
      <c r="P191" s="2" t="s">
        <v>1953</v>
      </c>
    </row>
    <row r="192" spans="1:16">
      <c r="A192" s="1">
        <v>191</v>
      </c>
      <c r="B192" s="2" t="s">
        <v>1965</v>
      </c>
      <c r="C192" s="2" t="s">
        <v>1966</v>
      </c>
      <c r="D192" s="2" t="s">
        <v>1967</v>
      </c>
      <c r="E192" s="2" t="s">
        <v>1968</v>
      </c>
      <c r="F192" s="2" t="s">
        <v>1969</v>
      </c>
      <c r="G192" s="2" t="s">
        <v>1970</v>
      </c>
      <c r="H192" s="2" t="s">
        <v>1971</v>
      </c>
      <c r="I192" s="2" t="s">
        <v>1972</v>
      </c>
      <c r="J192" s="2" t="s">
        <v>1973</v>
      </c>
      <c r="K192" s="2" t="s">
        <v>1974</v>
      </c>
      <c r="L192" s="2" t="s">
        <v>1975</v>
      </c>
      <c r="M192" s="2" t="s">
        <v>1976</v>
      </c>
      <c r="N192" s="2" t="s">
        <v>1977</v>
      </c>
      <c r="O192" s="2" t="s">
        <v>1978</v>
      </c>
      <c r="P192" s="2" t="s">
        <v>1965</v>
      </c>
    </row>
    <row r="193" spans="1:16">
      <c r="A193" s="1">
        <v>192</v>
      </c>
      <c r="B193" s="2" t="s">
        <v>1979</v>
      </c>
      <c r="C193" s="2" t="s">
        <v>1980</v>
      </c>
      <c r="D193" s="2" t="s">
        <v>1981</v>
      </c>
      <c r="E193" s="2" t="s">
        <v>1982</v>
      </c>
      <c r="F193" s="2" t="s">
        <v>1983</v>
      </c>
      <c r="G193" s="2" t="s">
        <v>1984</v>
      </c>
      <c r="H193" s="2" t="s">
        <v>1985</v>
      </c>
      <c r="I193" s="2" t="s">
        <v>1986</v>
      </c>
      <c r="J193" s="2" t="s">
        <v>1987</v>
      </c>
      <c r="K193" s="2" t="s">
        <v>1988</v>
      </c>
      <c r="L193" s="2" t="s">
        <v>1989</v>
      </c>
      <c r="M193" s="2" t="s">
        <v>1990</v>
      </c>
      <c r="N193" s="2" t="s">
        <v>1991</v>
      </c>
      <c r="O193" s="2" t="s">
        <v>1992</v>
      </c>
      <c r="P193" s="2" t="s">
        <v>1979</v>
      </c>
    </row>
    <row r="194" spans="1:16">
      <c r="A194" s="1">
        <v>193</v>
      </c>
      <c r="B194" s="2" t="s">
        <v>1993</v>
      </c>
      <c r="C194" s="2" t="s">
        <v>1994</v>
      </c>
      <c r="D194" s="2" t="s">
        <v>1995</v>
      </c>
      <c r="E194" s="2" t="s">
        <v>1996</v>
      </c>
      <c r="F194" s="2" t="s">
        <v>1997</v>
      </c>
      <c r="G194" s="2" t="s">
        <v>1998</v>
      </c>
      <c r="H194" s="2" t="s">
        <v>1999</v>
      </c>
      <c r="I194" s="2" t="s">
        <v>2000</v>
      </c>
      <c r="J194" s="2" t="s">
        <v>2001</v>
      </c>
      <c r="K194" s="2" t="s">
        <v>2002</v>
      </c>
      <c r="L194" s="2" t="s">
        <v>2003</v>
      </c>
      <c r="M194" s="2" t="s">
        <v>2004</v>
      </c>
      <c r="N194" s="2" t="s">
        <v>2005</v>
      </c>
      <c r="O194" s="2" t="s">
        <v>2006</v>
      </c>
      <c r="P194" s="2" t="s">
        <v>1993</v>
      </c>
    </row>
    <row r="195" spans="1:16">
      <c r="A195" s="1">
        <v>194</v>
      </c>
      <c r="B195" s="2" t="s">
        <v>2007</v>
      </c>
      <c r="C195" s="2" t="s">
        <v>2008</v>
      </c>
      <c r="D195" s="2" t="s">
        <v>2009</v>
      </c>
      <c r="E195" s="2" t="s">
        <v>2010</v>
      </c>
      <c r="F195" s="2" t="s">
        <v>2011</v>
      </c>
      <c r="G195" s="2" t="s">
        <v>2012</v>
      </c>
      <c r="H195" s="2" t="s">
        <v>2013</v>
      </c>
      <c r="I195" s="2" t="s">
        <v>2014</v>
      </c>
      <c r="J195" s="2" t="s">
        <v>2015</v>
      </c>
      <c r="K195" s="2" t="s">
        <v>2016</v>
      </c>
      <c r="L195" s="2" t="s">
        <v>2017</v>
      </c>
      <c r="M195" s="2" t="s">
        <v>2018</v>
      </c>
      <c r="N195" s="2" t="s">
        <v>2019</v>
      </c>
      <c r="O195" s="2" t="s">
        <v>2020</v>
      </c>
      <c r="P195" s="2" t="s">
        <v>2007</v>
      </c>
    </row>
    <row r="196" spans="1:16">
      <c r="A196" s="1">
        <v>195</v>
      </c>
      <c r="B196" s="2" t="s">
        <v>2021</v>
      </c>
      <c r="C196" s="2" t="s">
        <v>2022</v>
      </c>
      <c r="D196" s="2" t="s">
        <v>2023</v>
      </c>
      <c r="E196" s="2" t="s">
        <v>2024</v>
      </c>
      <c r="F196" s="2" t="s">
        <v>2025</v>
      </c>
      <c r="G196" s="2" t="s">
        <v>2026</v>
      </c>
      <c r="H196" s="2" t="s">
        <v>2027</v>
      </c>
      <c r="I196" s="2" t="s">
        <v>22688</v>
      </c>
      <c r="J196" s="2" t="s">
        <v>2028</v>
      </c>
      <c r="K196" s="2" t="s">
        <v>2029</v>
      </c>
      <c r="L196" s="2" t="s">
        <v>2030</v>
      </c>
      <c r="M196" s="2" t="s">
        <v>2031</v>
      </c>
      <c r="N196" s="2" t="s">
        <v>2032</v>
      </c>
      <c r="O196" s="2" t="s">
        <v>2033</v>
      </c>
      <c r="P196" s="2" t="s">
        <v>2021</v>
      </c>
    </row>
    <row r="197" spans="1:16">
      <c r="A197" s="1">
        <v>196</v>
      </c>
      <c r="B197" s="2" t="s">
        <v>2034</v>
      </c>
      <c r="C197" s="2" t="s">
        <v>2035</v>
      </c>
      <c r="D197" s="2" t="s">
        <v>2036</v>
      </c>
      <c r="E197" s="2" t="s">
        <v>2037</v>
      </c>
      <c r="F197" s="2" t="s">
        <v>2038</v>
      </c>
      <c r="G197" s="2" t="s">
        <v>2039</v>
      </c>
      <c r="H197" s="2" t="s">
        <v>2040</v>
      </c>
      <c r="I197" s="2" t="s">
        <v>22689</v>
      </c>
      <c r="J197" s="2" t="s">
        <v>2041</v>
      </c>
      <c r="K197" s="2" t="s">
        <v>2042</v>
      </c>
      <c r="L197" s="2" t="s">
        <v>2043</v>
      </c>
      <c r="M197" s="2" t="s">
        <v>2044</v>
      </c>
      <c r="N197" s="2" t="s">
        <v>2045</v>
      </c>
      <c r="O197" s="2" t="s">
        <v>2046</v>
      </c>
      <c r="P197" s="2" t="s">
        <v>2034</v>
      </c>
    </row>
    <row r="198" spans="1:16">
      <c r="A198" s="1">
        <v>197</v>
      </c>
      <c r="B198" s="2" t="s">
        <v>2047</v>
      </c>
      <c r="C198" s="2" t="s">
        <v>2048</v>
      </c>
      <c r="D198" s="2" t="s">
        <v>2049</v>
      </c>
      <c r="E198" s="2" t="s">
        <v>2050</v>
      </c>
      <c r="F198" s="2" t="s">
        <v>2051</v>
      </c>
      <c r="G198" s="2" t="s">
        <v>2052</v>
      </c>
      <c r="H198" s="2" t="s">
        <v>2053</v>
      </c>
      <c r="I198" s="2" t="s">
        <v>2054</v>
      </c>
      <c r="J198" s="2" t="s">
        <v>2055</v>
      </c>
      <c r="K198" s="2" t="s">
        <v>2056</v>
      </c>
      <c r="L198" s="2" t="s">
        <v>2057</v>
      </c>
      <c r="M198" s="2" t="s">
        <v>2058</v>
      </c>
      <c r="N198" s="2" t="s">
        <v>2059</v>
      </c>
      <c r="O198" s="2" t="s">
        <v>2060</v>
      </c>
      <c r="P198" s="2" t="s">
        <v>2047</v>
      </c>
    </row>
    <row r="199" spans="1:16">
      <c r="A199" s="1">
        <v>198</v>
      </c>
      <c r="B199" s="2" t="s">
        <v>2061</v>
      </c>
      <c r="C199" s="2" t="s">
        <v>2061</v>
      </c>
      <c r="D199" s="2" t="s">
        <v>2061</v>
      </c>
      <c r="E199" s="2" t="s">
        <v>2061</v>
      </c>
      <c r="F199" s="2" t="s">
        <v>2061</v>
      </c>
      <c r="G199" s="2" t="s">
        <v>2061</v>
      </c>
      <c r="H199" s="2" t="s">
        <v>2061</v>
      </c>
      <c r="I199" s="2" t="s">
        <v>2061</v>
      </c>
      <c r="J199" s="2" t="s">
        <v>2061</v>
      </c>
      <c r="K199" s="2" t="s">
        <v>2061</v>
      </c>
      <c r="L199" s="2" t="s">
        <v>2061</v>
      </c>
      <c r="M199" s="2" t="s">
        <v>2061</v>
      </c>
      <c r="N199" s="2" t="s">
        <v>2061</v>
      </c>
      <c r="O199" s="2" t="s">
        <v>2061</v>
      </c>
      <c r="P199" s="2" t="s">
        <v>2061</v>
      </c>
    </row>
    <row r="200" spans="1:16">
      <c r="A200" s="1">
        <v>199</v>
      </c>
      <c r="B200" s="2" t="s">
        <v>2062</v>
      </c>
      <c r="C200" s="2" t="s">
        <v>2063</v>
      </c>
      <c r="D200" s="2" t="s">
        <v>2064</v>
      </c>
      <c r="E200" s="2" t="s">
        <v>2065</v>
      </c>
      <c r="F200" s="2" t="s">
        <v>2066</v>
      </c>
      <c r="G200" s="2" t="s">
        <v>2067</v>
      </c>
      <c r="H200" s="2" t="s">
        <v>2068</v>
      </c>
      <c r="I200" s="2" t="s">
        <v>2069</v>
      </c>
      <c r="J200" s="2" t="s">
        <v>2070</v>
      </c>
      <c r="K200" s="2" t="s">
        <v>2071</v>
      </c>
      <c r="L200" s="2" t="s">
        <v>2072</v>
      </c>
      <c r="M200" s="2" t="s">
        <v>2073</v>
      </c>
      <c r="N200" s="2" t="s">
        <v>2074</v>
      </c>
      <c r="O200" s="2" t="s">
        <v>2075</v>
      </c>
      <c r="P200" s="2" t="s">
        <v>2062</v>
      </c>
    </row>
    <row r="201" spans="1:16">
      <c r="A201" s="1">
        <v>200</v>
      </c>
      <c r="B201" s="2" t="s">
        <v>2076</v>
      </c>
      <c r="C201" s="2" t="s">
        <v>2077</v>
      </c>
      <c r="D201" s="2" t="s">
        <v>2078</v>
      </c>
      <c r="E201" s="2" t="s">
        <v>2079</v>
      </c>
      <c r="F201" s="2" t="s">
        <v>2080</v>
      </c>
      <c r="G201" s="2" t="s">
        <v>2081</v>
      </c>
      <c r="H201" s="2" t="s">
        <v>2082</v>
      </c>
      <c r="I201" s="2" t="s">
        <v>2083</v>
      </c>
      <c r="J201" s="2" t="s">
        <v>2084</v>
      </c>
      <c r="K201" s="2" t="s">
        <v>2085</v>
      </c>
      <c r="L201" s="2" t="s">
        <v>2086</v>
      </c>
      <c r="M201" s="2" t="s">
        <v>2087</v>
      </c>
      <c r="N201" s="2" t="s">
        <v>2088</v>
      </c>
      <c r="O201" s="2" t="s">
        <v>2089</v>
      </c>
      <c r="P201" s="2" t="s">
        <v>2076</v>
      </c>
    </row>
    <row r="202" spans="1:16">
      <c r="A202" s="1">
        <v>201</v>
      </c>
      <c r="B202" s="2" t="s">
        <v>2090</v>
      </c>
      <c r="C202" s="2" t="s">
        <v>2091</v>
      </c>
      <c r="D202" s="2" t="s">
        <v>2092</v>
      </c>
      <c r="E202" s="2" t="s">
        <v>2093</v>
      </c>
      <c r="F202" s="2" t="s">
        <v>2094</v>
      </c>
      <c r="G202" s="2" t="s">
        <v>2095</v>
      </c>
      <c r="H202" s="2" t="s">
        <v>2096</v>
      </c>
      <c r="I202" s="2" t="s">
        <v>2097</v>
      </c>
      <c r="J202" s="2" t="s">
        <v>2098</v>
      </c>
      <c r="K202" s="2" t="s">
        <v>2099</v>
      </c>
      <c r="L202" s="2" t="s">
        <v>2100</v>
      </c>
      <c r="M202" s="2" t="s">
        <v>2101</v>
      </c>
      <c r="N202" s="2" t="s">
        <v>2102</v>
      </c>
      <c r="O202" s="2" t="s">
        <v>2103</v>
      </c>
      <c r="P202" s="2" t="s">
        <v>2090</v>
      </c>
    </row>
    <row r="203" spans="1:16">
      <c r="A203" s="1">
        <v>202</v>
      </c>
      <c r="B203" s="2" t="s">
        <v>2104</v>
      </c>
      <c r="C203" s="2" t="s">
        <v>2105</v>
      </c>
      <c r="D203" s="2" t="s">
        <v>2106</v>
      </c>
      <c r="E203" s="2" t="s">
        <v>2107</v>
      </c>
      <c r="F203" s="2" t="s">
        <v>2108</v>
      </c>
      <c r="G203" s="2" t="s">
        <v>2109</v>
      </c>
      <c r="H203" s="2" t="s">
        <v>2110</v>
      </c>
      <c r="I203" s="2" t="s">
        <v>2111</v>
      </c>
      <c r="J203" s="2" t="s">
        <v>2112</v>
      </c>
      <c r="K203" s="2" t="s">
        <v>2113</v>
      </c>
      <c r="L203" s="2" t="s">
        <v>2114</v>
      </c>
      <c r="M203" s="2" t="s">
        <v>2115</v>
      </c>
      <c r="N203" s="2" t="s">
        <v>2116</v>
      </c>
      <c r="O203" s="2" t="s">
        <v>2117</v>
      </c>
      <c r="P203" s="2" t="s">
        <v>2104</v>
      </c>
    </row>
    <row r="204" spans="1:16">
      <c r="A204" s="1">
        <v>203</v>
      </c>
      <c r="B204" s="2" t="s">
        <v>2118</v>
      </c>
      <c r="C204" s="2" t="s">
        <v>2119</v>
      </c>
      <c r="D204" s="2" t="s">
        <v>2120</v>
      </c>
      <c r="E204" s="2" t="s">
        <v>2121</v>
      </c>
      <c r="F204" s="2" t="s">
        <v>2122</v>
      </c>
      <c r="G204" s="2" t="s">
        <v>2123</v>
      </c>
      <c r="H204" s="2" t="s">
        <v>2124</v>
      </c>
      <c r="I204" s="2" t="s">
        <v>2130</v>
      </c>
      <c r="J204" s="2" t="s">
        <v>2125</v>
      </c>
      <c r="K204" s="2" t="s">
        <v>2126</v>
      </c>
      <c r="L204" s="2" t="s">
        <v>2127</v>
      </c>
      <c r="M204" s="2" t="s">
        <v>2128</v>
      </c>
      <c r="N204" s="2" t="s">
        <v>2129</v>
      </c>
      <c r="O204" s="2" t="s">
        <v>2130</v>
      </c>
      <c r="P204" s="2" t="s">
        <v>2118</v>
      </c>
    </row>
    <row r="205" spans="1:16">
      <c r="A205" s="1">
        <v>204</v>
      </c>
      <c r="B205" s="2" t="s">
        <v>2131</v>
      </c>
      <c r="C205" s="2" t="s">
        <v>2132</v>
      </c>
      <c r="D205" s="2" t="s">
        <v>2133</v>
      </c>
      <c r="E205" s="2" t="s">
        <v>2134</v>
      </c>
      <c r="F205" s="2" t="s">
        <v>2135</v>
      </c>
      <c r="G205" s="2" t="s">
        <v>2136</v>
      </c>
      <c r="H205" s="2" t="s">
        <v>2137</v>
      </c>
      <c r="I205" s="2" t="s">
        <v>2138</v>
      </c>
      <c r="J205" s="2" t="s">
        <v>2139</v>
      </c>
      <c r="K205" s="2" t="s">
        <v>2140</v>
      </c>
      <c r="L205" s="2" t="s">
        <v>2141</v>
      </c>
      <c r="M205" s="2" t="s">
        <v>2142</v>
      </c>
      <c r="N205" s="2" t="s">
        <v>2141</v>
      </c>
      <c r="O205" s="2" t="s">
        <v>2143</v>
      </c>
      <c r="P205" s="2" t="s">
        <v>2131</v>
      </c>
    </row>
    <row r="206" spans="1:16">
      <c r="A206" s="1">
        <v>205</v>
      </c>
      <c r="B206" s="2" t="s">
        <v>2144</v>
      </c>
      <c r="C206" s="2" t="s">
        <v>2145</v>
      </c>
      <c r="D206" s="2" t="s">
        <v>2146</v>
      </c>
      <c r="E206" s="2" t="s">
        <v>2147</v>
      </c>
      <c r="F206" s="2" t="s">
        <v>2148</v>
      </c>
      <c r="G206" s="2" t="s">
        <v>2149</v>
      </c>
      <c r="H206" s="2" t="s">
        <v>2150</v>
      </c>
      <c r="I206" s="2" t="s">
        <v>2148</v>
      </c>
      <c r="J206" s="2" t="s">
        <v>2151</v>
      </c>
      <c r="K206" s="2" t="s">
        <v>2152</v>
      </c>
      <c r="L206" s="2" t="s">
        <v>2153</v>
      </c>
      <c r="M206" s="2" t="s">
        <v>2154</v>
      </c>
      <c r="N206" s="2" t="s">
        <v>2155</v>
      </c>
      <c r="O206" s="2" t="s">
        <v>2156</v>
      </c>
      <c r="P206" s="2" t="s">
        <v>2144</v>
      </c>
    </row>
    <row r="207" spans="1:16">
      <c r="A207" s="1">
        <v>206</v>
      </c>
      <c r="B207" s="2" t="s">
        <v>2157</v>
      </c>
      <c r="C207" s="2" t="s">
        <v>2158</v>
      </c>
      <c r="D207" s="2" t="s">
        <v>2159</v>
      </c>
      <c r="E207" s="2" t="s">
        <v>2160</v>
      </c>
      <c r="F207" s="2" t="s">
        <v>2161</v>
      </c>
      <c r="G207" s="2" t="s">
        <v>2162</v>
      </c>
      <c r="H207" s="2" t="s">
        <v>2163</v>
      </c>
      <c r="I207" s="2" t="s">
        <v>2164</v>
      </c>
      <c r="J207" s="2" t="s">
        <v>2165</v>
      </c>
      <c r="K207" s="2" t="s">
        <v>2166</v>
      </c>
      <c r="L207" s="2" t="s">
        <v>2167</v>
      </c>
      <c r="M207" s="2" t="s">
        <v>2168</v>
      </c>
      <c r="N207" s="2" t="s">
        <v>2169</v>
      </c>
      <c r="O207" s="2" t="s">
        <v>2170</v>
      </c>
      <c r="P207" s="2" t="s">
        <v>2157</v>
      </c>
    </row>
    <row r="208" spans="1:16">
      <c r="A208" s="1">
        <v>207</v>
      </c>
      <c r="B208" s="2" t="s">
        <v>2171</v>
      </c>
      <c r="C208" s="2" t="s">
        <v>2172</v>
      </c>
      <c r="D208" s="2" t="s">
        <v>2173</v>
      </c>
      <c r="E208" s="2" t="s">
        <v>2174</v>
      </c>
      <c r="F208" s="2" t="s">
        <v>2175</v>
      </c>
      <c r="G208" s="2" t="s">
        <v>2176</v>
      </c>
      <c r="H208" s="2" t="s">
        <v>2177</v>
      </c>
      <c r="I208" s="2" t="s">
        <v>2178</v>
      </c>
      <c r="J208" s="2" t="s">
        <v>2179</v>
      </c>
      <c r="K208" s="2" t="s">
        <v>2180</v>
      </c>
      <c r="L208" s="2" t="s">
        <v>2181</v>
      </c>
      <c r="M208" s="2" t="s">
        <v>2182</v>
      </c>
      <c r="N208" s="2" t="s">
        <v>2183</v>
      </c>
      <c r="O208" s="2" t="s">
        <v>2184</v>
      </c>
      <c r="P208" s="2" t="s">
        <v>2171</v>
      </c>
    </row>
    <row r="209" spans="1:16">
      <c r="A209" s="1">
        <v>208</v>
      </c>
      <c r="B209" s="2" t="s">
        <v>2185</v>
      </c>
      <c r="C209" s="2" t="s">
        <v>2186</v>
      </c>
      <c r="D209" s="2" t="s">
        <v>2187</v>
      </c>
      <c r="E209" s="2" t="s">
        <v>25490</v>
      </c>
      <c r="F209" s="2" t="s">
        <v>2188</v>
      </c>
      <c r="G209" s="2" t="s">
        <v>2189</v>
      </c>
      <c r="H209" s="2" t="s">
        <v>2190</v>
      </c>
      <c r="I209" s="2" t="s">
        <v>2191</v>
      </c>
      <c r="J209" s="2" t="s">
        <v>2192</v>
      </c>
      <c r="K209" s="2" t="s">
        <v>2193</v>
      </c>
      <c r="L209" s="2" t="s">
        <v>2194</v>
      </c>
      <c r="M209" s="2" t="s">
        <v>2195</v>
      </c>
      <c r="N209" s="2" t="s">
        <v>2196</v>
      </c>
      <c r="O209" s="2" t="s">
        <v>2197</v>
      </c>
      <c r="P209" s="2" t="s">
        <v>2185</v>
      </c>
    </row>
    <row r="210" spans="1:16">
      <c r="A210" s="1">
        <v>209</v>
      </c>
      <c r="B210" s="2" t="s">
        <v>2198</v>
      </c>
      <c r="C210" s="2" t="s">
        <v>2199</v>
      </c>
      <c r="D210" s="2" t="s">
        <v>2200</v>
      </c>
      <c r="E210" s="2" t="s">
        <v>25491</v>
      </c>
      <c r="F210" s="2" t="s">
        <v>2201</v>
      </c>
      <c r="G210" s="2" t="s">
        <v>2202</v>
      </c>
      <c r="H210" s="2" t="s">
        <v>2203</v>
      </c>
      <c r="I210" s="2" t="s">
        <v>2204</v>
      </c>
      <c r="J210" s="2" t="s">
        <v>2205</v>
      </c>
      <c r="K210" s="2" t="s">
        <v>2206</v>
      </c>
      <c r="L210" s="2" t="s">
        <v>2207</v>
      </c>
      <c r="M210" s="2" t="s">
        <v>2208</v>
      </c>
      <c r="N210" s="2" t="s">
        <v>2209</v>
      </c>
      <c r="O210" s="2" t="s">
        <v>2210</v>
      </c>
      <c r="P210" s="2" t="s">
        <v>2198</v>
      </c>
    </row>
    <row r="211" spans="1:16">
      <c r="A211" s="1">
        <v>210</v>
      </c>
      <c r="B211" s="2" t="s">
        <v>2211</v>
      </c>
      <c r="C211" s="2" t="s">
        <v>2212</v>
      </c>
      <c r="D211" s="2" t="s">
        <v>2213</v>
      </c>
      <c r="E211" s="2" t="s">
        <v>2214</v>
      </c>
      <c r="F211" s="2" t="s">
        <v>2215</v>
      </c>
      <c r="G211" s="2" t="s">
        <v>2216</v>
      </c>
      <c r="H211" s="2" t="s">
        <v>2217</v>
      </c>
      <c r="I211" s="2" t="s">
        <v>2218</v>
      </c>
      <c r="J211" s="2" t="s">
        <v>2219</v>
      </c>
      <c r="K211" s="2" t="s">
        <v>2220</v>
      </c>
      <c r="L211" s="2" t="s">
        <v>2221</v>
      </c>
      <c r="M211" s="2" t="s">
        <v>2222</v>
      </c>
      <c r="N211" s="2" t="s">
        <v>2223</v>
      </c>
      <c r="O211" s="2" t="s">
        <v>2224</v>
      </c>
      <c r="P211" s="2" t="s">
        <v>2211</v>
      </c>
    </row>
    <row r="212" spans="1:16">
      <c r="A212" s="1">
        <v>211</v>
      </c>
      <c r="B212" s="2" t="s">
        <v>2225</v>
      </c>
      <c r="C212" s="2" t="s">
        <v>2226</v>
      </c>
      <c r="D212" s="2" t="s">
        <v>2227</v>
      </c>
      <c r="E212" s="2" t="s">
        <v>2228</v>
      </c>
      <c r="F212" s="2" t="s">
        <v>2229</v>
      </c>
      <c r="G212" s="2" t="s">
        <v>2230</v>
      </c>
      <c r="H212" s="2" t="s">
        <v>2231</v>
      </c>
      <c r="I212" s="2" t="s">
        <v>2232</v>
      </c>
      <c r="J212" s="2" t="s">
        <v>2233</v>
      </c>
      <c r="K212" s="2" t="s">
        <v>2234</v>
      </c>
      <c r="L212" s="2" t="s">
        <v>2235</v>
      </c>
      <c r="M212" s="2" t="s">
        <v>2236</v>
      </c>
      <c r="N212" s="2" t="s">
        <v>2237</v>
      </c>
      <c r="O212" s="2" t="s">
        <v>2238</v>
      </c>
      <c r="P212" s="2" t="s">
        <v>2225</v>
      </c>
    </row>
    <row r="213" spans="1:16">
      <c r="A213" s="1">
        <v>212</v>
      </c>
      <c r="B213" s="2" t="s">
        <v>2239</v>
      </c>
      <c r="C213" s="2" t="s">
        <v>2240</v>
      </c>
      <c r="D213" s="2" t="s">
        <v>2241</v>
      </c>
      <c r="E213" s="2" t="s">
        <v>2242</v>
      </c>
      <c r="F213" s="2" t="s">
        <v>2243</v>
      </c>
      <c r="G213" s="2" t="s">
        <v>2244</v>
      </c>
      <c r="H213" s="2" t="s">
        <v>2245</v>
      </c>
      <c r="I213" s="2" t="s">
        <v>2246</v>
      </c>
      <c r="J213" s="2" t="s">
        <v>2247</v>
      </c>
      <c r="K213" s="2" t="s">
        <v>2248</v>
      </c>
      <c r="L213" s="2" t="s">
        <v>2249</v>
      </c>
      <c r="M213" s="2" t="s">
        <v>2250</v>
      </c>
      <c r="N213" s="2" t="s">
        <v>2251</v>
      </c>
      <c r="O213" s="2" t="s">
        <v>2252</v>
      </c>
      <c r="P213" s="2" t="s">
        <v>2239</v>
      </c>
    </row>
    <row r="214" spans="1:16">
      <c r="A214" s="1">
        <v>213</v>
      </c>
      <c r="B214" s="2" t="s">
        <v>2253</v>
      </c>
      <c r="C214" s="2" t="s">
        <v>2254</v>
      </c>
      <c r="D214" s="2" t="s">
        <v>2255</v>
      </c>
      <c r="E214" s="2" t="s">
        <v>2256</v>
      </c>
      <c r="F214" s="2" t="s">
        <v>2257</v>
      </c>
      <c r="G214" s="2" t="s">
        <v>2258</v>
      </c>
      <c r="H214" s="2" t="s">
        <v>2259</v>
      </c>
      <c r="I214" s="2" t="s">
        <v>2260</v>
      </c>
      <c r="J214" s="2" t="s">
        <v>2261</v>
      </c>
      <c r="K214" s="2" t="s">
        <v>2262</v>
      </c>
      <c r="L214" s="2" t="s">
        <v>2263</v>
      </c>
      <c r="M214" s="2" t="s">
        <v>2264</v>
      </c>
      <c r="N214" s="2" t="s">
        <v>2265</v>
      </c>
      <c r="O214" s="2" t="s">
        <v>2266</v>
      </c>
      <c r="P214" s="2" t="s">
        <v>2253</v>
      </c>
    </row>
    <row r="215" spans="1:16">
      <c r="A215" s="1">
        <v>214</v>
      </c>
      <c r="B215" s="2" t="s">
        <v>2267</v>
      </c>
      <c r="C215" s="2" t="s">
        <v>2268</v>
      </c>
      <c r="D215" s="2" t="s">
        <v>2269</v>
      </c>
      <c r="E215" s="2" t="s">
        <v>2270</v>
      </c>
      <c r="F215" s="2" t="s">
        <v>2271</v>
      </c>
      <c r="G215" s="2" t="s">
        <v>2272</v>
      </c>
      <c r="H215" s="2" t="s">
        <v>2273</v>
      </c>
      <c r="I215" s="2" t="s">
        <v>2274</v>
      </c>
      <c r="J215" s="2" t="s">
        <v>2275</v>
      </c>
      <c r="K215" s="2" t="s">
        <v>2276</v>
      </c>
      <c r="L215" s="2" t="s">
        <v>2277</v>
      </c>
      <c r="M215" s="2" t="s">
        <v>2278</v>
      </c>
      <c r="N215" s="2" t="s">
        <v>2279</v>
      </c>
      <c r="O215" s="2" t="s">
        <v>2280</v>
      </c>
      <c r="P215" s="2" t="s">
        <v>2267</v>
      </c>
    </row>
    <row r="216" spans="1:16">
      <c r="A216" s="1">
        <v>215</v>
      </c>
      <c r="B216" s="2" t="s">
        <v>2281</v>
      </c>
      <c r="C216" s="2" t="s">
        <v>2282</v>
      </c>
      <c r="D216" s="2" t="s">
        <v>2283</v>
      </c>
      <c r="E216" s="2" t="s">
        <v>2284</v>
      </c>
      <c r="F216" s="2" t="s">
        <v>2285</v>
      </c>
      <c r="G216" s="2" t="s">
        <v>2286</v>
      </c>
      <c r="H216" s="2" t="s">
        <v>2287</v>
      </c>
      <c r="I216" s="2" t="s">
        <v>2288</v>
      </c>
      <c r="J216" s="2" t="s">
        <v>2289</v>
      </c>
      <c r="K216" s="2" t="s">
        <v>2290</v>
      </c>
      <c r="L216" s="2" t="s">
        <v>2291</v>
      </c>
      <c r="M216" s="2" t="s">
        <v>2292</v>
      </c>
      <c r="N216" s="2" t="s">
        <v>2293</v>
      </c>
      <c r="O216" s="2" t="s">
        <v>2294</v>
      </c>
      <c r="P216" s="2" t="s">
        <v>2281</v>
      </c>
    </row>
    <row r="217" spans="1:16">
      <c r="A217" s="1">
        <v>216</v>
      </c>
      <c r="B217" s="2" t="s">
        <v>2295</v>
      </c>
      <c r="C217" s="2" t="s">
        <v>2296</v>
      </c>
      <c r="D217" s="2" t="s">
        <v>2297</v>
      </c>
      <c r="E217" s="2" t="s">
        <v>2298</v>
      </c>
      <c r="F217" s="2" t="s">
        <v>2299</v>
      </c>
      <c r="G217" s="2" t="s">
        <v>2300</v>
      </c>
      <c r="H217" s="2" t="s">
        <v>2301</v>
      </c>
      <c r="I217" s="2" t="s">
        <v>2302</v>
      </c>
      <c r="J217" s="2" t="s">
        <v>2303</v>
      </c>
      <c r="K217" s="2" t="s">
        <v>2304</v>
      </c>
      <c r="L217" s="2" t="s">
        <v>2305</v>
      </c>
      <c r="M217" s="2" t="s">
        <v>2306</v>
      </c>
      <c r="N217" s="2" t="s">
        <v>2307</v>
      </c>
      <c r="O217" s="2" t="s">
        <v>2308</v>
      </c>
      <c r="P217" s="2" t="s">
        <v>2295</v>
      </c>
    </row>
    <row r="218" spans="1:16">
      <c r="A218" s="1">
        <v>217</v>
      </c>
      <c r="B218" s="2" t="s">
        <v>2309</v>
      </c>
      <c r="C218" s="2" t="s">
        <v>2310</v>
      </c>
      <c r="D218" s="2" t="s">
        <v>2311</v>
      </c>
      <c r="E218" s="2" t="s">
        <v>2312</v>
      </c>
      <c r="F218" s="2" t="s">
        <v>2313</v>
      </c>
      <c r="G218" s="2" t="s">
        <v>2314</v>
      </c>
      <c r="H218" s="2" t="s">
        <v>2315</v>
      </c>
      <c r="I218" s="2" t="s">
        <v>2316</v>
      </c>
      <c r="J218" s="2" t="s">
        <v>2317</v>
      </c>
      <c r="K218" s="2" t="s">
        <v>2318</v>
      </c>
      <c r="L218" s="2" t="s">
        <v>2319</v>
      </c>
      <c r="M218" s="2" t="s">
        <v>2320</v>
      </c>
      <c r="N218" s="2" t="s">
        <v>2321</v>
      </c>
      <c r="O218" s="2" t="s">
        <v>2322</v>
      </c>
      <c r="P218" s="2" t="s">
        <v>2309</v>
      </c>
    </row>
    <row r="219" spans="1:16">
      <c r="A219" s="1">
        <v>218</v>
      </c>
      <c r="B219" s="2" t="s">
        <v>2323</v>
      </c>
      <c r="C219" s="2" t="s">
        <v>2324</v>
      </c>
      <c r="D219" s="2" t="s">
        <v>2325</v>
      </c>
      <c r="E219" s="2" t="s">
        <v>2326</v>
      </c>
      <c r="F219" s="2" t="s">
        <v>2327</v>
      </c>
      <c r="G219" s="2" t="s">
        <v>2328</v>
      </c>
      <c r="H219" s="2" t="s">
        <v>2329</v>
      </c>
      <c r="I219" s="2" t="s">
        <v>2330</v>
      </c>
      <c r="J219" s="2" t="s">
        <v>2331</v>
      </c>
      <c r="K219" s="2" t="s">
        <v>2332</v>
      </c>
      <c r="L219" s="2" t="s">
        <v>2333</v>
      </c>
      <c r="M219" s="2" t="s">
        <v>2334</v>
      </c>
      <c r="N219" s="2" t="s">
        <v>2335</v>
      </c>
      <c r="O219" s="2" t="s">
        <v>2336</v>
      </c>
      <c r="P219" s="2" t="s">
        <v>2323</v>
      </c>
    </row>
    <row r="220" spans="1:16">
      <c r="A220" s="1">
        <v>219</v>
      </c>
      <c r="B220" s="2" t="s">
        <v>2337</v>
      </c>
      <c r="C220" s="2" t="s">
        <v>2338</v>
      </c>
      <c r="D220" s="2" t="s">
        <v>2339</v>
      </c>
      <c r="E220" s="2" t="s">
        <v>2340</v>
      </c>
      <c r="F220" s="2" t="s">
        <v>2341</v>
      </c>
      <c r="G220" s="2" t="s">
        <v>2342</v>
      </c>
      <c r="H220" s="2" t="s">
        <v>2343</v>
      </c>
      <c r="I220" s="2" t="s">
        <v>2344</v>
      </c>
      <c r="J220" s="2" t="s">
        <v>2345</v>
      </c>
      <c r="K220" s="2" t="s">
        <v>2346</v>
      </c>
      <c r="L220" s="2" t="s">
        <v>2347</v>
      </c>
      <c r="M220" s="2" t="s">
        <v>2348</v>
      </c>
      <c r="N220" s="2" t="s">
        <v>2349</v>
      </c>
      <c r="O220" s="2" t="s">
        <v>2350</v>
      </c>
      <c r="P220" s="2" t="s">
        <v>2337</v>
      </c>
    </row>
    <row r="221" spans="1:16">
      <c r="A221" s="1">
        <v>220</v>
      </c>
      <c r="B221" s="2" t="s">
        <v>2351</v>
      </c>
      <c r="C221" s="2" t="s">
        <v>2352</v>
      </c>
      <c r="D221" s="2" t="s">
        <v>2353</v>
      </c>
      <c r="E221" s="2" t="s">
        <v>2354</v>
      </c>
      <c r="F221" s="2" t="s">
        <v>2355</v>
      </c>
      <c r="G221" s="2" t="s">
        <v>2356</v>
      </c>
      <c r="H221" s="2" t="s">
        <v>2357</v>
      </c>
      <c r="I221" s="2" t="s">
        <v>2358</v>
      </c>
      <c r="J221" s="2" t="s">
        <v>2359</v>
      </c>
      <c r="K221" s="2" t="s">
        <v>2360</v>
      </c>
      <c r="L221" s="2" t="s">
        <v>2361</v>
      </c>
      <c r="M221" s="2" t="s">
        <v>2362</v>
      </c>
      <c r="N221" s="2" t="s">
        <v>2363</v>
      </c>
      <c r="O221" s="2" t="s">
        <v>2364</v>
      </c>
      <c r="P221" s="2" t="s">
        <v>2351</v>
      </c>
    </row>
    <row r="222" spans="1:16">
      <c r="A222" s="1">
        <v>221</v>
      </c>
      <c r="B222" s="2" t="s">
        <v>2365</v>
      </c>
      <c r="C222" s="2" t="s">
        <v>2366</v>
      </c>
      <c r="D222" s="2" t="s">
        <v>2367</v>
      </c>
      <c r="E222" s="2" t="s">
        <v>2368</v>
      </c>
      <c r="F222" s="2" t="s">
        <v>2369</v>
      </c>
      <c r="G222" s="2" t="s">
        <v>2370</v>
      </c>
      <c r="H222" s="2" t="s">
        <v>2371</v>
      </c>
      <c r="I222" s="2" t="s">
        <v>2372</v>
      </c>
      <c r="J222" s="2" t="s">
        <v>2373</v>
      </c>
      <c r="K222" s="2" t="s">
        <v>2374</v>
      </c>
      <c r="L222" s="2" t="s">
        <v>2375</v>
      </c>
      <c r="M222" s="2" t="s">
        <v>2376</v>
      </c>
      <c r="N222" s="2" t="s">
        <v>2377</v>
      </c>
      <c r="O222" s="2" t="s">
        <v>2378</v>
      </c>
      <c r="P222" s="2" t="s">
        <v>2365</v>
      </c>
    </row>
    <row r="223" spans="1:16">
      <c r="A223" s="1">
        <v>222</v>
      </c>
      <c r="B223" s="2" t="s">
        <v>2379</v>
      </c>
      <c r="C223" s="2" t="s">
        <v>2380</v>
      </c>
      <c r="D223" s="2" t="s">
        <v>2381</v>
      </c>
      <c r="E223" s="2" t="s">
        <v>2382</v>
      </c>
      <c r="F223" s="2" t="s">
        <v>2383</v>
      </c>
      <c r="G223" s="2" t="s">
        <v>2384</v>
      </c>
      <c r="H223" s="2" t="s">
        <v>2385</v>
      </c>
      <c r="I223" s="2" t="s">
        <v>2386</v>
      </c>
      <c r="J223" s="2" t="s">
        <v>2387</v>
      </c>
      <c r="K223" s="2" t="s">
        <v>2388</v>
      </c>
      <c r="L223" s="2" t="s">
        <v>2389</v>
      </c>
      <c r="M223" s="2" t="s">
        <v>2390</v>
      </c>
      <c r="N223" s="2" t="s">
        <v>2391</v>
      </c>
      <c r="O223" s="2" t="s">
        <v>2392</v>
      </c>
      <c r="P223" s="2" t="s">
        <v>2379</v>
      </c>
    </row>
    <row r="224" spans="1:16">
      <c r="A224" s="1">
        <v>223</v>
      </c>
      <c r="B224" s="2" t="s">
        <v>2393</v>
      </c>
      <c r="C224" s="2" t="s">
        <v>2394</v>
      </c>
      <c r="D224" s="2" t="s">
        <v>2395</v>
      </c>
      <c r="E224" s="2" t="s">
        <v>2396</v>
      </c>
      <c r="F224" s="2" t="s">
        <v>2397</v>
      </c>
      <c r="G224" s="2" t="s">
        <v>2398</v>
      </c>
      <c r="H224" s="2" t="s">
        <v>2399</v>
      </c>
      <c r="I224" s="2" t="s">
        <v>2400</v>
      </c>
      <c r="J224" s="2" t="s">
        <v>2401</v>
      </c>
      <c r="K224" s="2" t="s">
        <v>2402</v>
      </c>
      <c r="L224" s="2" t="s">
        <v>2403</v>
      </c>
      <c r="M224" s="2" t="s">
        <v>2404</v>
      </c>
      <c r="N224" s="2" t="s">
        <v>2405</v>
      </c>
      <c r="O224" s="2" t="s">
        <v>2406</v>
      </c>
      <c r="P224" s="2" t="s">
        <v>2393</v>
      </c>
    </row>
    <row r="225" spans="1:16">
      <c r="A225" s="1">
        <v>224</v>
      </c>
      <c r="B225" s="2" t="s">
        <v>2407</v>
      </c>
      <c r="C225" s="2" t="s">
        <v>2408</v>
      </c>
      <c r="D225" s="2" t="s">
        <v>2409</v>
      </c>
      <c r="E225" s="2" t="s">
        <v>2410</v>
      </c>
      <c r="F225" s="2" t="s">
        <v>2411</v>
      </c>
      <c r="G225" s="2" t="s">
        <v>2412</v>
      </c>
      <c r="H225" s="2" t="s">
        <v>2413</v>
      </c>
      <c r="I225" s="2" t="s">
        <v>2414</v>
      </c>
      <c r="J225" s="2" t="s">
        <v>2415</v>
      </c>
      <c r="K225" s="2" t="s">
        <v>2416</v>
      </c>
      <c r="L225" s="2" t="s">
        <v>2417</v>
      </c>
      <c r="M225" s="2" t="s">
        <v>2418</v>
      </c>
      <c r="N225" s="2" t="s">
        <v>2419</v>
      </c>
      <c r="O225" s="2" t="s">
        <v>2420</v>
      </c>
      <c r="P225" s="2" t="s">
        <v>2407</v>
      </c>
    </row>
    <row r="226" spans="1:16">
      <c r="A226" s="1">
        <v>225</v>
      </c>
      <c r="B226" s="2" t="s">
        <v>2421</v>
      </c>
      <c r="C226" s="2" t="s">
        <v>2422</v>
      </c>
      <c r="D226" s="2" t="s">
        <v>2423</v>
      </c>
      <c r="E226" s="2" t="s">
        <v>2424</v>
      </c>
      <c r="F226" s="2" t="s">
        <v>2425</v>
      </c>
      <c r="G226" s="2" t="s">
        <v>2426</v>
      </c>
      <c r="H226" s="2" t="s">
        <v>2427</v>
      </c>
      <c r="I226" s="2" t="s">
        <v>2428</v>
      </c>
      <c r="J226" s="2" t="s">
        <v>2429</v>
      </c>
      <c r="K226" s="2" t="s">
        <v>2430</v>
      </c>
      <c r="L226" s="2" t="s">
        <v>2431</v>
      </c>
      <c r="M226" s="2" t="s">
        <v>2432</v>
      </c>
      <c r="N226" s="2" t="s">
        <v>2433</v>
      </c>
      <c r="O226" s="2" t="s">
        <v>2434</v>
      </c>
      <c r="P226" s="2" t="s">
        <v>2421</v>
      </c>
    </row>
    <row r="227" spans="1:16">
      <c r="A227" s="1">
        <v>226</v>
      </c>
      <c r="B227" s="2" t="s">
        <v>2435</v>
      </c>
      <c r="C227" s="2" t="s">
        <v>2436</v>
      </c>
      <c r="D227" s="2" t="s">
        <v>2437</v>
      </c>
      <c r="E227" s="2" t="s">
        <v>2438</v>
      </c>
      <c r="F227" s="2" t="s">
        <v>2439</v>
      </c>
      <c r="G227" s="2" t="s">
        <v>2440</v>
      </c>
      <c r="H227" s="2" t="s">
        <v>2441</v>
      </c>
      <c r="I227" s="2" t="s">
        <v>2442</v>
      </c>
      <c r="J227" s="2" t="s">
        <v>2443</v>
      </c>
      <c r="K227" s="2" t="s">
        <v>2444</v>
      </c>
      <c r="L227" s="2" t="s">
        <v>2445</v>
      </c>
      <c r="M227" s="2" t="s">
        <v>2446</v>
      </c>
      <c r="N227" s="2" t="s">
        <v>2447</v>
      </c>
      <c r="O227" s="2" t="s">
        <v>2448</v>
      </c>
      <c r="P227" s="2" t="s">
        <v>2435</v>
      </c>
    </row>
    <row r="228" spans="1:16">
      <c r="A228" s="1">
        <v>227</v>
      </c>
      <c r="B228" s="2" t="s">
        <v>2449</v>
      </c>
      <c r="C228" s="2" t="s">
        <v>2450</v>
      </c>
      <c r="D228" s="2" t="s">
        <v>2451</v>
      </c>
      <c r="E228" s="2" t="s">
        <v>2452</v>
      </c>
      <c r="F228" s="2" t="s">
        <v>2453</v>
      </c>
      <c r="G228" s="2" t="s">
        <v>2454</v>
      </c>
      <c r="H228" s="2" t="s">
        <v>2455</v>
      </c>
      <c r="I228" s="2" t="s">
        <v>2456</v>
      </c>
      <c r="J228" s="2" t="s">
        <v>2457</v>
      </c>
      <c r="K228" s="2" t="s">
        <v>2458</v>
      </c>
      <c r="L228" s="2" t="s">
        <v>2459</v>
      </c>
      <c r="M228" s="2" t="s">
        <v>2460</v>
      </c>
      <c r="N228" s="2" t="s">
        <v>2461</v>
      </c>
      <c r="O228" s="2" t="s">
        <v>2462</v>
      </c>
      <c r="P228" s="2" t="s">
        <v>2449</v>
      </c>
    </row>
    <row r="229" spans="1:16">
      <c r="A229" s="1">
        <v>228</v>
      </c>
      <c r="B229" s="2" t="s">
        <v>2463</v>
      </c>
      <c r="C229" s="2" t="s">
        <v>2464</v>
      </c>
      <c r="D229" s="2" t="s">
        <v>2465</v>
      </c>
      <c r="E229" s="2" t="s">
        <v>2466</v>
      </c>
      <c r="F229" s="2" t="s">
        <v>2467</v>
      </c>
      <c r="G229" s="2" t="s">
        <v>2468</v>
      </c>
      <c r="H229" s="2" t="s">
        <v>2469</v>
      </c>
      <c r="I229" s="2" t="s">
        <v>2470</v>
      </c>
      <c r="J229" s="2" t="s">
        <v>2471</v>
      </c>
      <c r="K229" s="2" t="s">
        <v>2472</v>
      </c>
      <c r="L229" s="2" t="s">
        <v>2473</v>
      </c>
      <c r="M229" s="2" t="s">
        <v>2474</v>
      </c>
      <c r="N229" s="2" t="s">
        <v>2475</v>
      </c>
      <c r="O229" s="2" t="s">
        <v>2476</v>
      </c>
      <c r="P229" s="2" t="s">
        <v>2463</v>
      </c>
    </row>
    <row r="230" spans="1:16">
      <c r="A230" s="1">
        <v>229</v>
      </c>
      <c r="B230" s="2" t="s">
        <v>2477</v>
      </c>
      <c r="C230" s="2" t="s">
        <v>2478</v>
      </c>
      <c r="D230" s="2" t="s">
        <v>2479</v>
      </c>
      <c r="E230" s="2" t="s">
        <v>2480</v>
      </c>
      <c r="F230" s="2" t="s">
        <v>2481</v>
      </c>
      <c r="G230" s="2" t="s">
        <v>2482</v>
      </c>
      <c r="H230" s="2" t="s">
        <v>2483</v>
      </c>
      <c r="I230" s="2" t="s">
        <v>2484</v>
      </c>
      <c r="J230" s="2" t="s">
        <v>2485</v>
      </c>
      <c r="K230" s="2" t="s">
        <v>2486</v>
      </c>
      <c r="L230" s="2" t="s">
        <v>2487</v>
      </c>
      <c r="M230" s="2" t="s">
        <v>2488</v>
      </c>
      <c r="N230" s="2" t="s">
        <v>2489</v>
      </c>
      <c r="O230" s="2" t="s">
        <v>2490</v>
      </c>
      <c r="P230" s="2" t="s">
        <v>2477</v>
      </c>
    </row>
    <row r="231" spans="1:16">
      <c r="A231" s="1">
        <v>230</v>
      </c>
      <c r="B231" s="2" t="s">
        <v>2491</v>
      </c>
      <c r="C231" s="2" t="s">
        <v>2492</v>
      </c>
      <c r="D231" s="2" t="s">
        <v>2493</v>
      </c>
      <c r="E231" s="2" t="s">
        <v>2494</v>
      </c>
      <c r="F231" s="2" t="s">
        <v>2495</v>
      </c>
      <c r="G231" s="2" t="s">
        <v>2496</v>
      </c>
      <c r="H231" s="2" t="s">
        <v>2497</v>
      </c>
      <c r="I231" s="2" t="s">
        <v>2498</v>
      </c>
      <c r="J231" s="2" t="s">
        <v>2499</v>
      </c>
      <c r="K231" s="2" t="s">
        <v>2500</v>
      </c>
      <c r="L231" s="2" t="s">
        <v>2501</v>
      </c>
      <c r="M231" s="2" t="s">
        <v>2502</v>
      </c>
      <c r="N231" s="2" t="s">
        <v>2503</v>
      </c>
      <c r="O231" s="2" t="s">
        <v>2504</v>
      </c>
      <c r="P231" s="2" t="s">
        <v>2491</v>
      </c>
    </row>
    <row r="232" spans="1:16">
      <c r="A232" s="1">
        <v>231</v>
      </c>
      <c r="B232" s="2" t="s">
        <v>2505</v>
      </c>
      <c r="C232" s="2" t="s">
        <v>2506</v>
      </c>
      <c r="D232" s="2" t="s">
        <v>2507</v>
      </c>
      <c r="E232" s="2" t="s">
        <v>2508</v>
      </c>
      <c r="F232" s="2" t="s">
        <v>2509</v>
      </c>
      <c r="G232" s="2" t="s">
        <v>2510</v>
      </c>
      <c r="H232" s="2" t="s">
        <v>2511</v>
      </c>
      <c r="I232" s="2" t="s">
        <v>2512</v>
      </c>
      <c r="J232" s="2" t="s">
        <v>2513</v>
      </c>
      <c r="K232" s="2" t="s">
        <v>2514</v>
      </c>
      <c r="L232" s="2" t="s">
        <v>2515</v>
      </c>
      <c r="M232" s="2" t="s">
        <v>2516</v>
      </c>
      <c r="N232" s="2" t="s">
        <v>2517</v>
      </c>
      <c r="O232" s="2" t="s">
        <v>2518</v>
      </c>
      <c r="P232" s="2" t="s">
        <v>2505</v>
      </c>
    </row>
    <row r="233" spans="1:16">
      <c r="A233" s="1">
        <v>232</v>
      </c>
      <c r="B233" s="2" t="s">
        <v>22690</v>
      </c>
      <c r="C233" s="2" t="s">
        <v>2520</v>
      </c>
      <c r="D233" s="2" t="s">
        <v>2521</v>
      </c>
      <c r="E233" s="2" t="s">
        <v>25492</v>
      </c>
      <c r="F233" s="2" t="s">
        <v>2522</v>
      </c>
      <c r="G233" s="2" t="s">
        <v>2523</v>
      </c>
      <c r="H233" s="2" t="s">
        <v>2524</v>
      </c>
      <c r="I233" s="2" t="s">
        <v>2525</v>
      </c>
      <c r="J233" s="2" t="s">
        <v>2526</v>
      </c>
      <c r="K233" s="2" t="s">
        <v>2527</v>
      </c>
      <c r="L233" s="2" t="s">
        <v>2528</v>
      </c>
      <c r="M233" s="2" t="s">
        <v>2529</v>
      </c>
      <c r="N233" s="2" t="s">
        <v>2530</v>
      </c>
      <c r="O233" s="2" t="s">
        <v>2531</v>
      </c>
      <c r="P233" s="2" t="s">
        <v>2519</v>
      </c>
    </row>
    <row r="234" spans="1:16">
      <c r="A234" s="1">
        <v>233</v>
      </c>
      <c r="B234" s="2" t="s">
        <v>2532</v>
      </c>
      <c r="C234" s="2" t="s">
        <v>2533</v>
      </c>
      <c r="D234" s="2" t="s">
        <v>2534</v>
      </c>
      <c r="E234" s="2" t="s">
        <v>2535</v>
      </c>
      <c r="F234" s="2" t="s">
        <v>2536</v>
      </c>
      <c r="G234" s="2" t="s">
        <v>2537</v>
      </c>
      <c r="H234" s="2" t="s">
        <v>2538</v>
      </c>
      <c r="I234" s="2" t="s">
        <v>2536</v>
      </c>
      <c r="J234" s="2" t="s">
        <v>2539</v>
      </c>
      <c r="K234" s="2" t="s">
        <v>2540</v>
      </c>
      <c r="L234" s="2" t="s">
        <v>2541</v>
      </c>
      <c r="M234" s="2" t="s">
        <v>2542</v>
      </c>
      <c r="N234" s="2" t="s">
        <v>2542</v>
      </c>
      <c r="O234" s="2" t="s">
        <v>2543</v>
      </c>
      <c r="P234" s="2" t="s">
        <v>2532</v>
      </c>
    </row>
    <row r="235" spans="1:16">
      <c r="A235" s="1">
        <v>234</v>
      </c>
      <c r="B235" s="2" t="s">
        <v>2544</v>
      </c>
      <c r="C235" s="2" t="s">
        <v>2545</v>
      </c>
      <c r="D235" s="2" t="s">
        <v>2546</v>
      </c>
      <c r="E235" s="2" t="s">
        <v>2547</v>
      </c>
      <c r="F235" s="2" t="s">
        <v>2548</v>
      </c>
      <c r="G235" s="2" t="s">
        <v>2549</v>
      </c>
      <c r="H235" s="2" t="s">
        <v>2550</v>
      </c>
      <c r="I235" s="2" t="s">
        <v>2551</v>
      </c>
      <c r="J235" s="2" t="s">
        <v>2552</v>
      </c>
      <c r="K235" s="2" t="s">
        <v>2553</v>
      </c>
      <c r="L235" s="2" t="s">
        <v>2554</v>
      </c>
      <c r="M235" s="2" t="s">
        <v>2555</v>
      </c>
      <c r="N235" s="2" t="s">
        <v>2555</v>
      </c>
      <c r="O235" s="2" t="s">
        <v>2556</v>
      </c>
      <c r="P235" s="2" t="s">
        <v>2544</v>
      </c>
    </row>
    <row r="236" spans="1:16">
      <c r="A236" s="1">
        <v>235</v>
      </c>
      <c r="B236" s="2" t="s">
        <v>2557</v>
      </c>
      <c r="C236" s="2" t="s">
        <v>2558</v>
      </c>
      <c r="D236" s="2" t="s">
        <v>2559</v>
      </c>
      <c r="E236" s="2" t="s">
        <v>2560</v>
      </c>
      <c r="F236" s="2" t="s">
        <v>2561</v>
      </c>
      <c r="G236" s="2" t="s">
        <v>2562</v>
      </c>
      <c r="H236" s="2" t="s">
        <v>2563</v>
      </c>
      <c r="I236" s="2" t="s">
        <v>2564</v>
      </c>
      <c r="J236" s="2" t="s">
        <v>2565</v>
      </c>
      <c r="K236" s="2" t="s">
        <v>2566</v>
      </c>
      <c r="L236" s="2" t="s">
        <v>2567</v>
      </c>
      <c r="M236" s="2" t="s">
        <v>2568</v>
      </c>
      <c r="N236" s="2" t="s">
        <v>2569</v>
      </c>
      <c r="O236" s="2" t="s">
        <v>2570</v>
      </c>
      <c r="P236" s="2" t="s">
        <v>2557</v>
      </c>
    </row>
    <row r="237" spans="1:16">
      <c r="A237" s="1">
        <v>236</v>
      </c>
      <c r="B237" s="2" t="s">
        <v>2571</v>
      </c>
      <c r="C237" s="2" t="s">
        <v>2572</v>
      </c>
      <c r="D237" s="2" t="s">
        <v>2573</v>
      </c>
      <c r="E237" s="2" t="s">
        <v>25493</v>
      </c>
      <c r="F237" s="2" t="s">
        <v>2574</v>
      </c>
      <c r="G237" s="2" t="s">
        <v>2575</v>
      </c>
      <c r="H237" s="2" t="s">
        <v>2576</v>
      </c>
      <c r="I237" s="2" t="s">
        <v>2577</v>
      </c>
      <c r="J237" s="2" t="s">
        <v>2578</v>
      </c>
      <c r="K237" s="2" t="s">
        <v>2579</v>
      </c>
      <c r="L237" s="2" t="s">
        <v>2580</v>
      </c>
      <c r="M237" s="2" t="s">
        <v>2581</v>
      </c>
      <c r="N237" s="2" t="s">
        <v>2582</v>
      </c>
      <c r="O237" s="2" t="s">
        <v>2583</v>
      </c>
      <c r="P237" s="2" t="s">
        <v>2571</v>
      </c>
    </row>
    <row r="238" spans="1:16">
      <c r="A238" s="1">
        <v>237</v>
      </c>
      <c r="B238" s="2" t="s">
        <v>2584</v>
      </c>
      <c r="C238" s="2" t="s">
        <v>2585</v>
      </c>
      <c r="D238" s="2" t="s">
        <v>2586</v>
      </c>
      <c r="E238" s="2" t="s">
        <v>2587</v>
      </c>
      <c r="F238" s="2" t="s">
        <v>2588</v>
      </c>
      <c r="G238" s="2" t="s">
        <v>2589</v>
      </c>
      <c r="H238" s="2" t="s">
        <v>2590</v>
      </c>
      <c r="I238" s="2" t="s">
        <v>2591</v>
      </c>
      <c r="J238" s="2" t="s">
        <v>2592</v>
      </c>
      <c r="K238" s="2" t="s">
        <v>2593</v>
      </c>
      <c r="L238" s="2" t="s">
        <v>2594</v>
      </c>
      <c r="M238" s="2" t="s">
        <v>2595</v>
      </c>
      <c r="N238" s="2" t="s">
        <v>2596</v>
      </c>
      <c r="O238" s="2" t="s">
        <v>2597</v>
      </c>
      <c r="P238" s="2" t="s">
        <v>2584</v>
      </c>
    </row>
    <row r="239" spans="1:16">
      <c r="A239" s="1">
        <v>238</v>
      </c>
      <c r="B239" s="2" t="s">
        <v>2598</v>
      </c>
      <c r="C239" s="2" t="s">
        <v>2599</v>
      </c>
      <c r="D239" s="2" t="s">
        <v>2600</v>
      </c>
      <c r="E239" s="2" t="s">
        <v>2601</v>
      </c>
      <c r="F239" s="2" t="s">
        <v>2602</v>
      </c>
      <c r="G239" s="2" t="s">
        <v>2603</v>
      </c>
      <c r="H239" s="2" t="s">
        <v>2604</v>
      </c>
      <c r="I239" s="2" t="s">
        <v>2602</v>
      </c>
      <c r="J239" s="2" t="s">
        <v>2605</v>
      </c>
      <c r="K239" s="2" t="s">
        <v>2606</v>
      </c>
      <c r="L239" s="2" t="s">
        <v>2607</v>
      </c>
      <c r="M239" s="2" t="s">
        <v>2608</v>
      </c>
      <c r="N239" s="2" t="s">
        <v>2609</v>
      </c>
      <c r="O239" s="2" t="s">
        <v>2610</v>
      </c>
      <c r="P239" s="2" t="s">
        <v>2598</v>
      </c>
    </row>
    <row r="240" spans="1:16">
      <c r="A240" s="1">
        <v>239</v>
      </c>
      <c r="B240" s="2" t="s">
        <v>2611</v>
      </c>
      <c r="C240" s="2" t="s">
        <v>2612</v>
      </c>
      <c r="D240" s="2" t="s">
        <v>2613</v>
      </c>
      <c r="E240" s="2" t="s">
        <v>2614</v>
      </c>
      <c r="F240" s="2" t="s">
        <v>2615</v>
      </c>
      <c r="G240" s="2" t="s">
        <v>2616</v>
      </c>
      <c r="H240" s="2" t="s">
        <v>2617</v>
      </c>
      <c r="I240" s="2" t="s">
        <v>2618</v>
      </c>
      <c r="J240" s="2" t="s">
        <v>2619</v>
      </c>
      <c r="K240" s="2" t="s">
        <v>2620</v>
      </c>
      <c r="L240" s="2" t="s">
        <v>2621</v>
      </c>
      <c r="M240" s="2" t="s">
        <v>2622</v>
      </c>
      <c r="N240" s="2" t="s">
        <v>2623</v>
      </c>
      <c r="O240" s="2" t="s">
        <v>2624</v>
      </c>
      <c r="P240" s="2" t="s">
        <v>2611</v>
      </c>
    </row>
    <row r="241" spans="1:16">
      <c r="A241" s="1">
        <v>240</v>
      </c>
      <c r="B241" s="2" t="s">
        <v>2625</v>
      </c>
      <c r="C241" s="2" t="s">
        <v>2626</v>
      </c>
      <c r="D241" s="2" t="s">
        <v>2627</v>
      </c>
      <c r="E241" s="2" t="s">
        <v>2628</v>
      </c>
      <c r="F241" s="2" t="s">
        <v>2629</v>
      </c>
      <c r="G241" s="2" t="s">
        <v>2630</v>
      </c>
      <c r="H241" s="2" t="s">
        <v>2631</v>
      </c>
      <c r="I241" s="2" t="s">
        <v>22691</v>
      </c>
      <c r="J241" s="2" t="s">
        <v>2632</v>
      </c>
      <c r="K241" s="2" t="s">
        <v>2633</v>
      </c>
      <c r="L241" s="2" t="s">
        <v>2634</v>
      </c>
      <c r="M241" s="2" t="s">
        <v>2635</v>
      </c>
      <c r="N241" s="2" t="s">
        <v>2636</v>
      </c>
      <c r="O241" s="2" t="s">
        <v>2637</v>
      </c>
      <c r="P241" s="2" t="s">
        <v>2625</v>
      </c>
    </row>
    <row r="242" spans="1:16">
      <c r="A242" s="1">
        <v>241</v>
      </c>
      <c r="B242" s="2" t="s">
        <v>2638</v>
      </c>
      <c r="C242" s="2" t="s">
        <v>2639</v>
      </c>
      <c r="D242" s="2" t="s">
        <v>2640</v>
      </c>
      <c r="E242" s="2" t="s">
        <v>2641</v>
      </c>
      <c r="F242" s="2" t="s">
        <v>2642</v>
      </c>
      <c r="G242" s="2" t="s">
        <v>2643</v>
      </c>
      <c r="H242" s="2" t="s">
        <v>2644</v>
      </c>
      <c r="I242" s="2" t="s">
        <v>2645</v>
      </c>
      <c r="J242" s="2" t="s">
        <v>2646</v>
      </c>
      <c r="K242" s="2" t="s">
        <v>2647</v>
      </c>
      <c r="L242" s="2" t="s">
        <v>2648</v>
      </c>
      <c r="M242" s="2" t="s">
        <v>2649</v>
      </c>
      <c r="N242" s="2" t="s">
        <v>2650</v>
      </c>
      <c r="O242" s="2" t="s">
        <v>2651</v>
      </c>
      <c r="P242" s="2" t="s">
        <v>2638</v>
      </c>
    </row>
    <row r="243" spans="1:16">
      <c r="A243" s="1">
        <v>242</v>
      </c>
      <c r="B243" s="2" t="s">
        <v>2652</v>
      </c>
      <c r="C243" s="2" t="s">
        <v>2653</v>
      </c>
      <c r="D243" s="2" t="s">
        <v>2654</v>
      </c>
      <c r="E243" s="2" t="s">
        <v>2655</v>
      </c>
      <c r="F243" s="2" t="s">
        <v>2656</v>
      </c>
      <c r="G243" s="2" t="s">
        <v>2657</v>
      </c>
      <c r="H243" s="2" t="s">
        <v>2658</v>
      </c>
      <c r="I243" s="2" t="s">
        <v>2659</v>
      </c>
      <c r="J243" s="2" t="s">
        <v>2660</v>
      </c>
      <c r="K243" s="2" t="s">
        <v>2661</v>
      </c>
      <c r="L243" s="2" t="s">
        <v>2662</v>
      </c>
      <c r="M243" s="2" t="s">
        <v>2663</v>
      </c>
      <c r="N243" s="2" t="s">
        <v>2664</v>
      </c>
      <c r="O243" s="2" t="s">
        <v>2665</v>
      </c>
      <c r="P243" s="2" t="s">
        <v>2652</v>
      </c>
    </row>
    <row r="244" spans="1:16">
      <c r="A244" s="1">
        <v>243</v>
      </c>
      <c r="B244" s="2" t="s">
        <v>2666</v>
      </c>
      <c r="C244" s="2" t="s">
        <v>2667</v>
      </c>
      <c r="D244" s="2" t="s">
        <v>2668</v>
      </c>
      <c r="E244" s="2" t="s">
        <v>2669</v>
      </c>
      <c r="F244" s="2" t="s">
        <v>2670</v>
      </c>
      <c r="G244" s="2" t="s">
        <v>2671</v>
      </c>
      <c r="H244" s="2" t="s">
        <v>2672</v>
      </c>
      <c r="I244" s="2" t="s">
        <v>2673</v>
      </c>
      <c r="J244" s="2" t="s">
        <v>2674</v>
      </c>
      <c r="K244" s="2" t="s">
        <v>2675</v>
      </c>
      <c r="L244" s="2" t="s">
        <v>2676</v>
      </c>
      <c r="M244" s="2" t="s">
        <v>2677</v>
      </c>
      <c r="N244" s="2" t="s">
        <v>2678</v>
      </c>
      <c r="O244" s="2" t="s">
        <v>2679</v>
      </c>
      <c r="P244" s="2" t="s">
        <v>2666</v>
      </c>
    </row>
    <row r="245" spans="1:16">
      <c r="A245" s="1">
        <v>244</v>
      </c>
      <c r="B245" s="2" t="s">
        <v>22692</v>
      </c>
      <c r="C245" s="2" t="s">
        <v>2681</v>
      </c>
      <c r="D245" s="2" t="s">
        <v>2682</v>
      </c>
      <c r="E245" s="2" t="s">
        <v>2683</v>
      </c>
      <c r="F245" s="2" t="s">
        <v>2684</v>
      </c>
      <c r="G245" s="2" t="s">
        <v>2685</v>
      </c>
      <c r="H245" s="2" t="s">
        <v>2686</v>
      </c>
      <c r="I245" s="2" t="s">
        <v>2687</v>
      </c>
      <c r="J245" s="2" t="s">
        <v>2680</v>
      </c>
      <c r="K245" s="2" t="s">
        <v>2688</v>
      </c>
      <c r="L245" s="2" t="s">
        <v>2689</v>
      </c>
      <c r="M245" s="2" t="s">
        <v>2680</v>
      </c>
      <c r="N245" s="2" t="s">
        <v>2680</v>
      </c>
      <c r="O245" s="2" t="s">
        <v>2690</v>
      </c>
      <c r="P245" s="2" t="s">
        <v>2680</v>
      </c>
    </row>
    <row r="246" spans="1:16">
      <c r="A246" s="1">
        <v>245</v>
      </c>
      <c r="B246" s="2" t="s">
        <v>2691</v>
      </c>
      <c r="C246" s="2" t="s">
        <v>2692</v>
      </c>
      <c r="D246" s="2" t="s">
        <v>2693</v>
      </c>
      <c r="E246" s="2" t="s">
        <v>25494</v>
      </c>
      <c r="F246" s="2" t="s">
        <v>2694</v>
      </c>
      <c r="G246" s="2" t="s">
        <v>2695</v>
      </c>
      <c r="H246" s="2" t="s">
        <v>2696</v>
      </c>
      <c r="I246" s="2" t="s">
        <v>2697</v>
      </c>
      <c r="J246" s="2" t="s">
        <v>2698</v>
      </c>
      <c r="K246" s="2" t="s">
        <v>2699</v>
      </c>
      <c r="L246" s="2" t="s">
        <v>2700</v>
      </c>
      <c r="M246" s="2" t="s">
        <v>2701</v>
      </c>
      <c r="N246" s="2" t="s">
        <v>2701</v>
      </c>
      <c r="O246" s="2" t="s">
        <v>2702</v>
      </c>
      <c r="P246" s="2" t="s">
        <v>2691</v>
      </c>
    </row>
    <row r="247" spans="1:16">
      <c r="A247" s="1">
        <v>246</v>
      </c>
      <c r="B247" s="2" t="s">
        <v>2703</v>
      </c>
      <c r="C247" s="2" t="s">
        <v>2704</v>
      </c>
      <c r="D247" s="2" t="s">
        <v>2705</v>
      </c>
      <c r="E247" s="2" t="s">
        <v>2706</v>
      </c>
      <c r="F247" s="2" t="s">
        <v>2707</v>
      </c>
      <c r="G247" s="2" t="s">
        <v>2708</v>
      </c>
      <c r="H247" s="2" t="s">
        <v>2709</v>
      </c>
      <c r="I247" s="2" t="s">
        <v>2710</v>
      </c>
      <c r="J247" s="2" t="s">
        <v>2711</v>
      </c>
      <c r="K247" s="2" t="s">
        <v>2712</v>
      </c>
      <c r="L247" s="2" t="s">
        <v>2713</v>
      </c>
      <c r="M247" s="2" t="s">
        <v>2714</v>
      </c>
      <c r="N247" s="2" t="s">
        <v>2715</v>
      </c>
      <c r="O247" s="2" t="s">
        <v>2716</v>
      </c>
      <c r="P247" s="2" t="s">
        <v>2703</v>
      </c>
    </row>
    <row r="248" spans="1:16">
      <c r="A248" s="1">
        <v>247</v>
      </c>
      <c r="B248" s="2" t="s">
        <v>22693</v>
      </c>
      <c r="C248" s="2" t="s">
        <v>2718</v>
      </c>
      <c r="D248" s="2" t="s">
        <v>2719</v>
      </c>
      <c r="E248" s="2" t="s">
        <v>2720</v>
      </c>
      <c r="F248" s="2" t="s">
        <v>2721</v>
      </c>
      <c r="G248" s="2" t="s">
        <v>2722</v>
      </c>
      <c r="H248" s="2" t="s">
        <v>2723</v>
      </c>
      <c r="I248" s="2" t="s">
        <v>2724</v>
      </c>
      <c r="J248" s="2" t="s">
        <v>2725</v>
      </c>
      <c r="K248" s="2" t="s">
        <v>2726</v>
      </c>
      <c r="L248" s="2" t="s">
        <v>2727</v>
      </c>
      <c r="M248" s="2" t="s">
        <v>2728</v>
      </c>
      <c r="N248" s="2" t="s">
        <v>2729</v>
      </c>
      <c r="O248" s="2" t="s">
        <v>2730</v>
      </c>
      <c r="P248" s="2" t="s">
        <v>2717</v>
      </c>
    </row>
    <row r="249" spans="1:16">
      <c r="A249" s="1">
        <v>248</v>
      </c>
      <c r="B249" s="2" t="s">
        <v>22694</v>
      </c>
      <c r="C249" s="2" t="s">
        <v>2732</v>
      </c>
      <c r="D249" s="2" t="s">
        <v>2733</v>
      </c>
      <c r="E249" s="2" t="s">
        <v>2734</v>
      </c>
      <c r="F249" s="2" t="s">
        <v>2735</v>
      </c>
      <c r="G249" s="2" t="s">
        <v>2736</v>
      </c>
      <c r="H249" s="2" t="s">
        <v>2737</v>
      </c>
      <c r="I249" s="2" t="s">
        <v>2738</v>
      </c>
      <c r="J249" s="2" t="s">
        <v>2739</v>
      </c>
      <c r="K249" s="2" t="s">
        <v>2740</v>
      </c>
      <c r="L249" s="2" t="s">
        <v>2741</v>
      </c>
      <c r="M249" s="2" t="s">
        <v>2742</v>
      </c>
      <c r="N249" s="2" t="s">
        <v>2743</v>
      </c>
      <c r="O249" s="2" t="s">
        <v>2744</v>
      </c>
      <c r="P249" s="2" t="s">
        <v>2731</v>
      </c>
    </row>
    <row r="250" spans="1:16">
      <c r="A250" s="1">
        <v>249</v>
      </c>
      <c r="B250" s="2" t="s">
        <v>2745</v>
      </c>
      <c r="C250" s="2" t="s">
        <v>2746</v>
      </c>
      <c r="D250" s="2" t="s">
        <v>2747</v>
      </c>
      <c r="E250" s="2" t="s">
        <v>2748</v>
      </c>
      <c r="F250" s="2" t="s">
        <v>2749</v>
      </c>
      <c r="G250" s="2" t="s">
        <v>2750</v>
      </c>
      <c r="H250" s="2" t="s">
        <v>2751</v>
      </c>
      <c r="I250" s="2" t="s">
        <v>22695</v>
      </c>
      <c r="J250" s="2" t="s">
        <v>2753</v>
      </c>
      <c r="K250" s="2" t="s">
        <v>2754</v>
      </c>
      <c r="L250" s="2" t="s">
        <v>2755</v>
      </c>
      <c r="M250" s="2" t="s">
        <v>2756</v>
      </c>
      <c r="N250" s="2" t="s">
        <v>2757</v>
      </c>
      <c r="O250" s="2" t="s">
        <v>2758</v>
      </c>
      <c r="P250" s="2" t="s">
        <v>2745</v>
      </c>
    </row>
    <row r="251" spans="1:16">
      <c r="A251" s="1">
        <v>250</v>
      </c>
      <c r="B251" s="2" t="s">
        <v>22696</v>
      </c>
      <c r="C251" s="2" t="s">
        <v>22697</v>
      </c>
      <c r="D251" s="2" t="s">
        <v>22698</v>
      </c>
      <c r="E251" s="2" t="s">
        <v>22699</v>
      </c>
      <c r="F251" s="2" t="s">
        <v>22700</v>
      </c>
      <c r="G251" s="2" t="s">
        <v>22701</v>
      </c>
      <c r="H251" s="2" t="s">
        <v>22702</v>
      </c>
      <c r="I251" s="2" t="s">
        <v>22703</v>
      </c>
      <c r="J251" s="2" t="s">
        <v>22704</v>
      </c>
      <c r="K251" s="2" t="s">
        <v>22705</v>
      </c>
      <c r="L251" s="2" t="s">
        <v>22706</v>
      </c>
      <c r="M251" s="2" t="s">
        <v>22707</v>
      </c>
      <c r="N251" s="2" t="s">
        <v>22708</v>
      </c>
      <c r="O251" s="2" t="s">
        <v>22709</v>
      </c>
      <c r="P251" s="2" t="s">
        <v>22696</v>
      </c>
    </row>
    <row r="252" spans="1:16">
      <c r="A252" s="1">
        <v>251</v>
      </c>
      <c r="B252" s="2" t="s">
        <v>2759</v>
      </c>
      <c r="C252" s="2" t="s">
        <v>2760</v>
      </c>
      <c r="D252" s="2" t="s">
        <v>2761</v>
      </c>
      <c r="E252" s="2" t="s">
        <v>2762</v>
      </c>
      <c r="F252" s="2" t="s">
        <v>2763</v>
      </c>
      <c r="G252" s="2" t="s">
        <v>2764</v>
      </c>
      <c r="H252" s="2" t="s">
        <v>2765</v>
      </c>
      <c r="I252" s="2" t="s">
        <v>22710</v>
      </c>
      <c r="J252" s="2" t="s">
        <v>2766</v>
      </c>
      <c r="K252" s="2" t="s">
        <v>2767</v>
      </c>
      <c r="L252" s="2" t="s">
        <v>2768</v>
      </c>
      <c r="M252" s="2" t="s">
        <v>2769</v>
      </c>
      <c r="N252" s="2" t="s">
        <v>2770</v>
      </c>
      <c r="O252" s="2" t="s">
        <v>2771</v>
      </c>
      <c r="P252" s="2" t="s">
        <v>2759</v>
      </c>
    </row>
    <row r="253" spans="1:16">
      <c r="A253" s="1">
        <v>252</v>
      </c>
      <c r="B253" s="2" t="s">
        <v>22711</v>
      </c>
      <c r="C253" s="2" t="s">
        <v>2773</v>
      </c>
      <c r="D253" s="2" t="s">
        <v>2774</v>
      </c>
      <c r="E253" s="2" t="s">
        <v>2775</v>
      </c>
      <c r="F253" s="2" t="s">
        <v>2776</v>
      </c>
      <c r="G253" s="2" t="s">
        <v>2777</v>
      </c>
      <c r="H253" s="2" t="s">
        <v>2778</v>
      </c>
      <c r="I253" s="2" t="s">
        <v>2779</v>
      </c>
      <c r="J253" s="2" t="s">
        <v>2780</v>
      </c>
      <c r="K253" s="2" t="s">
        <v>2781</v>
      </c>
      <c r="L253" s="2" t="s">
        <v>2782</v>
      </c>
      <c r="M253" s="2" t="s">
        <v>2783</v>
      </c>
      <c r="N253" s="2" t="s">
        <v>2784</v>
      </c>
      <c r="O253" s="2" t="s">
        <v>2785</v>
      </c>
      <c r="P253" s="2" t="s">
        <v>2772</v>
      </c>
    </row>
    <row r="254" spans="1:16">
      <c r="A254" s="1">
        <v>253</v>
      </c>
      <c r="B254" s="2" t="s">
        <v>2786</v>
      </c>
      <c r="C254" s="2" t="s">
        <v>2787</v>
      </c>
      <c r="D254" s="2" t="s">
        <v>2788</v>
      </c>
      <c r="E254" s="2" t="s">
        <v>2789</v>
      </c>
      <c r="F254" s="2" t="s">
        <v>2790</v>
      </c>
      <c r="G254" s="2" t="s">
        <v>2791</v>
      </c>
      <c r="H254" s="2" t="s">
        <v>2792</v>
      </c>
      <c r="I254" s="2" t="s">
        <v>2793</v>
      </c>
      <c r="J254" s="2" t="s">
        <v>2794</v>
      </c>
      <c r="K254" s="2" t="s">
        <v>2795</v>
      </c>
      <c r="L254" s="2" t="s">
        <v>2796</v>
      </c>
      <c r="M254" s="2" t="s">
        <v>2797</v>
      </c>
      <c r="N254" s="2" t="s">
        <v>2798</v>
      </c>
      <c r="O254" s="2" t="s">
        <v>2799</v>
      </c>
      <c r="P254" s="2" t="s">
        <v>2786</v>
      </c>
    </row>
    <row r="255" spans="1:16">
      <c r="A255" s="1">
        <v>254</v>
      </c>
      <c r="B255" s="2" t="s">
        <v>22712</v>
      </c>
      <c r="C255" s="2" t="s">
        <v>22713</v>
      </c>
      <c r="D255" s="2" t="s">
        <v>22714</v>
      </c>
      <c r="E255" s="2" t="s">
        <v>22715</v>
      </c>
      <c r="F255" s="2" t="s">
        <v>22716</v>
      </c>
      <c r="G255" s="2" t="s">
        <v>22717</v>
      </c>
      <c r="H255" s="2" t="s">
        <v>22718</v>
      </c>
      <c r="I255" s="2" t="s">
        <v>22719</v>
      </c>
      <c r="J255" s="2" t="s">
        <v>22720</v>
      </c>
      <c r="K255" s="2" t="s">
        <v>22721</v>
      </c>
      <c r="L255" s="2" t="s">
        <v>22722</v>
      </c>
      <c r="M255" s="2" t="s">
        <v>22723</v>
      </c>
      <c r="N255" s="2" t="s">
        <v>22724</v>
      </c>
      <c r="O255" s="2" t="s">
        <v>22725</v>
      </c>
      <c r="P255" s="2" t="s">
        <v>22712</v>
      </c>
    </row>
    <row r="256" spans="1:16">
      <c r="A256" s="1">
        <v>255</v>
      </c>
      <c r="B256" s="2" t="s">
        <v>2800</v>
      </c>
      <c r="C256" s="2" t="s">
        <v>2801</v>
      </c>
      <c r="D256" s="2" t="s">
        <v>2802</v>
      </c>
      <c r="E256" s="2" t="s">
        <v>2803</v>
      </c>
      <c r="F256" s="2" t="s">
        <v>2804</v>
      </c>
      <c r="G256" s="2" t="s">
        <v>2805</v>
      </c>
      <c r="H256" s="2" t="s">
        <v>2806</v>
      </c>
      <c r="I256" s="2" t="s">
        <v>2807</v>
      </c>
      <c r="J256" s="2" t="s">
        <v>2808</v>
      </c>
      <c r="K256" s="2" t="s">
        <v>2809</v>
      </c>
      <c r="L256" s="2" t="s">
        <v>2810</v>
      </c>
      <c r="M256" s="2" t="s">
        <v>2811</v>
      </c>
      <c r="N256" s="2" t="s">
        <v>2812</v>
      </c>
      <c r="O256" s="2" t="s">
        <v>2813</v>
      </c>
      <c r="P256" s="2" t="s">
        <v>2800</v>
      </c>
    </row>
    <row r="257" spans="1:16">
      <c r="A257" s="1">
        <v>256</v>
      </c>
      <c r="B257" s="2" t="s">
        <v>2814</v>
      </c>
      <c r="C257" s="2" t="s">
        <v>2815</v>
      </c>
      <c r="D257" s="2" t="s">
        <v>2816</v>
      </c>
      <c r="E257" s="2" t="s">
        <v>2817</v>
      </c>
      <c r="F257" s="2" t="s">
        <v>2818</v>
      </c>
      <c r="G257" s="2" t="s">
        <v>2819</v>
      </c>
      <c r="H257" s="2" t="s">
        <v>2820</v>
      </c>
      <c r="I257" s="2" t="s">
        <v>2821</v>
      </c>
      <c r="J257" s="2" t="s">
        <v>2822</v>
      </c>
      <c r="K257" s="2" t="s">
        <v>2823</v>
      </c>
      <c r="L257" s="2" t="s">
        <v>2824</v>
      </c>
      <c r="M257" s="2" t="s">
        <v>2825</v>
      </c>
      <c r="N257" s="2" t="s">
        <v>2826</v>
      </c>
      <c r="O257" s="2" t="s">
        <v>2827</v>
      </c>
      <c r="P257" s="2" t="s">
        <v>2814</v>
      </c>
    </row>
    <row r="258" spans="1:16">
      <c r="A258" s="1">
        <v>257</v>
      </c>
      <c r="B258" s="2" t="s">
        <v>2828</v>
      </c>
      <c r="C258" s="2" t="s">
        <v>2829</v>
      </c>
      <c r="D258" s="2" t="s">
        <v>2830</v>
      </c>
      <c r="E258" s="2" t="s">
        <v>2831</v>
      </c>
      <c r="F258" s="2" t="s">
        <v>2832</v>
      </c>
      <c r="G258" s="2" t="s">
        <v>2833</v>
      </c>
      <c r="H258" s="2" t="s">
        <v>2834</v>
      </c>
      <c r="I258" s="2" t="s">
        <v>2835</v>
      </c>
      <c r="J258" s="2" t="s">
        <v>2836</v>
      </c>
      <c r="K258" s="2" t="s">
        <v>2837</v>
      </c>
      <c r="L258" s="2" t="s">
        <v>2838</v>
      </c>
      <c r="M258" s="2" t="s">
        <v>2839</v>
      </c>
      <c r="N258" s="2" t="s">
        <v>2840</v>
      </c>
      <c r="O258" s="2" t="s">
        <v>2841</v>
      </c>
      <c r="P258" s="2" t="s">
        <v>2828</v>
      </c>
    </row>
    <row r="259" spans="1:16">
      <c r="A259" s="1">
        <v>258</v>
      </c>
      <c r="B259" s="2" t="s">
        <v>2842</v>
      </c>
      <c r="C259" s="2" t="s">
        <v>2843</v>
      </c>
      <c r="D259" s="2" t="s">
        <v>2844</v>
      </c>
      <c r="E259" s="2" t="s">
        <v>2845</v>
      </c>
      <c r="F259" s="2" t="s">
        <v>2846</v>
      </c>
      <c r="G259" s="2" t="s">
        <v>2847</v>
      </c>
      <c r="H259" s="2" t="s">
        <v>2848</v>
      </c>
      <c r="I259" s="2" t="s">
        <v>2849</v>
      </c>
      <c r="J259" s="2" t="s">
        <v>2850</v>
      </c>
      <c r="K259" s="2" t="s">
        <v>2851</v>
      </c>
      <c r="L259" s="2" t="s">
        <v>2852</v>
      </c>
      <c r="M259" s="2" t="s">
        <v>2853</v>
      </c>
      <c r="N259" s="2" t="s">
        <v>2854</v>
      </c>
      <c r="O259" s="2" t="s">
        <v>2855</v>
      </c>
      <c r="P259" s="2" t="s">
        <v>2842</v>
      </c>
    </row>
    <row r="260" spans="1:16">
      <c r="A260" s="1">
        <v>259</v>
      </c>
      <c r="B260" s="2" t="s">
        <v>2856</v>
      </c>
      <c r="C260" s="2" t="s">
        <v>2857</v>
      </c>
      <c r="D260" s="2" t="s">
        <v>2858</v>
      </c>
      <c r="E260" s="2" t="s">
        <v>2859</v>
      </c>
      <c r="F260" s="2" t="s">
        <v>2860</v>
      </c>
      <c r="G260" s="2" t="s">
        <v>2861</v>
      </c>
      <c r="H260" s="2" t="s">
        <v>2862</v>
      </c>
      <c r="I260" s="2" t="s">
        <v>2863</v>
      </c>
      <c r="J260" s="2" t="s">
        <v>2864</v>
      </c>
      <c r="K260" s="2" t="s">
        <v>2865</v>
      </c>
      <c r="L260" s="2" t="s">
        <v>2866</v>
      </c>
      <c r="M260" s="2" t="s">
        <v>2867</v>
      </c>
      <c r="N260" s="2" t="s">
        <v>2868</v>
      </c>
      <c r="O260" s="2" t="s">
        <v>2869</v>
      </c>
      <c r="P260" s="2" t="s">
        <v>2856</v>
      </c>
    </row>
    <row r="261" spans="1:16">
      <c r="A261" s="1">
        <v>260</v>
      </c>
      <c r="B261" s="2" t="s">
        <v>22726</v>
      </c>
      <c r="C261" s="2" t="s">
        <v>2871</v>
      </c>
      <c r="D261" s="2" t="s">
        <v>2872</v>
      </c>
      <c r="E261" s="2" t="s">
        <v>2873</v>
      </c>
      <c r="F261" s="2" t="s">
        <v>2874</v>
      </c>
      <c r="G261" s="2" t="s">
        <v>2875</v>
      </c>
      <c r="H261" s="2" t="s">
        <v>2876</v>
      </c>
      <c r="I261" s="2" t="s">
        <v>2877</v>
      </c>
      <c r="J261" s="2" t="s">
        <v>2878</v>
      </c>
      <c r="K261" s="2" t="s">
        <v>2879</v>
      </c>
      <c r="L261" s="2" t="s">
        <v>2880</v>
      </c>
      <c r="M261" s="2" t="s">
        <v>2881</v>
      </c>
      <c r="N261" s="2" t="s">
        <v>2880</v>
      </c>
      <c r="O261" s="2" t="s">
        <v>2882</v>
      </c>
      <c r="P261" s="2" t="s">
        <v>2870</v>
      </c>
    </row>
    <row r="262" spans="1:16">
      <c r="A262" s="1">
        <v>261</v>
      </c>
      <c r="B262" s="2" t="s">
        <v>22727</v>
      </c>
      <c r="C262" s="2" t="s">
        <v>2884</v>
      </c>
      <c r="D262" s="2" t="s">
        <v>2885</v>
      </c>
      <c r="E262" s="2" t="s">
        <v>2886</v>
      </c>
      <c r="F262" s="2" t="s">
        <v>2887</v>
      </c>
      <c r="G262" s="2" t="s">
        <v>2888</v>
      </c>
      <c r="H262" s="2" t="s">
        <v>2889</v>
      </c>
      <c r="I262" s="2" t="s">
        <v>22728</v>
      </c>
      <c r="J262" s="2" t="s">
        <v>2890</v>
      </c>
      <c r="K262" s="2" t="s">
        <v>2891</v>
      </c>
      <c r="L262" s="2" t="s">
        <v>2892</v>
      </c>
      <c r="M262" s="2" t="s">
        <v>2893</v>
      </c>
      <c r="N262" s="2" t="s">
        <v>2894</v>
      </c>
      <c r="O262" s="2" t="s">
        <v>2895</v>
      </c>
      <c r="P262" s="2" t="s">
        <v>2883</v>
      </c>
    </row>
    <row r="263" spans="1:16">
      <c r="A263" s="1">
        <v>262</v>
      </c>
      <c r="B263" s="2" t="s">
        <v>2896</v>
      </c>
      <c r="C263" s="2" t="s">
        <v>2897</v>
      </c>
      <c r="D263" s="2" t="s">
        <v>2898</v>
      </c>
      <c r="E263" s="2" t="s">
        <v>2899</v>
      </c>
      <c r="F263" s="2" t="s">
        <v>2900</v>
      </c>
      <c r="G263" s="2" t="s">
        <v>2901</v>
      </c>
      <c r="H263" s="2" t="s">
        <v>2902</v>
      </c>
      <c r="I263" s="2" t="s">
        <v>2903</v>
      </c>
      <c r="J263" s="2" t="s">
        <v>2904</v>
      </c>
      <c r="K263" s="2" t="s">
        <v>2905</v>
      </c>
      <c r="L263" s="2" t="s">
        <v>2906</v>
      </c>
      <c r="M263" s="2" t="s">
        <v>2907</v>
      </c>
      <c r="N263" s="2" t="s">
        <v>2908</v>
      </c>
      <c r="O263" s="2" t="s">
        <v>2909</v>
      </c>
      <c r="P263" s="2" t="s">
        <v>2896</v>
      </c>
    </row>
    <row r="264" spans="1:16">
      <c r="A264" s="1">
        <v>263</v>
      </c>
      <c r="B264" s="2" t="s">
        <v>22729</v>
      </c>
      <c r="C264" s="2" t="s">
        <v>2911</v>
      </c>
      <c r="D264" s="2" t="s">
        <v>2912</v>
      </c>
      <c r="E264" s="2" t="s">
        <v>2913</v>
      </c>
      <c r="F264" s="2" t="s">
        <v>2914</v>
      </c>
      <c r="G264" s="2" t="s">
        <v>2915</v>
      </c>
      <c r="H264" s="2" t="s">
        <v>2916</v>
      </c>
      <c r="I264" s="2" t="s">
        <v>22730</v>
      </c>
      <c r="J264" s="2" t="s">
        <v>2917</v>
      </c>
      <c r="K264" s="2" t="s">
        <v>2918</v>
      </c>
      <c r="L264" s="2" t="s">
        <v>2919</v>
      </c>
      <c r="M264" s="2" t="s">
        <v>2920</v>
      </c>
      <c r="N264" s="2" t="s">
        <v>2921</v>
      </c>
      <c r="O264" s="2" t="s">
        <v>2922</v>
      </c>
      <c r="P264" s="2" t="s">
        <v>2910</v>
      </c>
    </row>
    <row r="265" spans="1:16">
      <c r="A265" s="1">
        <v>264</v>
      </c>
      <c r="B265" s="2" t="s">
        <v>2923</v>
      </c>
      <c r="C265" s="2" t="s">
        <v>2924</v>
      </c>
      <c r="D265" s="2" t="s">
        <v>2925</v>
      </c>
      <c r="E265" s="2" t="s">
        <v>2926</v>
      </c>
      <c r="F265" s="2" t="s">
        <v>2927</v>
      </c>
      <c r="G265" s="2" t="s">
        <v>2928</v>
      </c>
      <c r="H265" s="2" t="s">
        <v>2929</v>
      </c>
      <c r="I265" s="2" t="s">
        <v>22731</v>
      </c>
      <c r="J265" s="2" t="s">
        <v>2930</v>
      </c>
      <c r="K265" s="2" t="s">
        <v>2931</v>
      </c>
      <c r="L265" s="2" t="s">
        <v>2932</v>
      </c>
      <c r="M265" s="2" t="s">
        <v>2933</v>
      </c>
      <c r="N265" s="2" t="s">
        <v>2934</v>
      </c>
      <c r="O265" s="2" t="s">
        <v>2935</v>
      </c>
      <c r="P265" s="2" t="s">
        <v>2923</v>
      </c>
    </row>
    <row r="266" spans="1:16">
      <c r="A266" s="1">
        <v>265</v>
      </c>
      <c r="B266" s="2" t="s">
        <v>2936</v>
      </c>
      <c r="C266" s="2" t="s">
        <v>2937</v>
      </c>
      <c r="D266" s="2" t="s">
        <v>2938</v>
      </c>
      <c r="E266" s="2" t="s">
        <v>2939</v>
      </c>
      <c r="F266" s="2" t="s">
        <v>2940</v>
      </c>
      <c r="G266" s="2" t="s">
        <v>2941</v>
      </c>
      <c r="H266" s="2" t="s">
        <v>2942</v>
      </c>
      <c r="I266" s="2" t="s">
        <v>22732</v>
      </c>
      <c r="J266" s="2" t="s">
        <v>2943</v>
      </c>
      <c r="K266" s="2" t="s">
        <v>2944</v>
      </c>
      <c r="L266" s="2" t="s">
        <v>2945</v>
      </c>
      <c r="M266" s="2" t="s">
        <v>2946</v>
      </c>
      <c r="N266" s="2" t="s">
        <v>2947</v>
      </c>
      <c r="O266" s="2" t="s">
        <v>2948</v>
      </c>
      <c r="P266" s="2" t="s">
        <v>2936</v>
      </c>
    </row>
    <row r="267" spans="1:16">
      <c r="A267" s="1">
        <v>266</v>
      </c>
      <c r="B267" s="2" t="s">
        <v>2949</v>
      </c>
      <c r="C267" s="2" t="s">
        <v>2950</v>
      </c>
      <c r="D267" s="2" t="s">
        <v>2951</v>
      </c>
      <c r="E267" s="2" t="s">
        <v>2952</v>
      </c>
      <c r="F267" s="2" t="s">
        <v>2953</v>
      </c>
      <c r="G267" s="2" t="s">
        <v>2954</v>
      </c>
      <c r="H267" s="2" t="s">
        <v>2955</v>
      </c>
      <c r="I267" s="2" t="s">
        <v>2956</v>
      </c>
      <c r="J267" s="2" t="s">
        <v>2957</v>
      </c>
      <c r="K267" s="2" t="s">
        <v>2958</v>
      </c>
      <c r="L267" s="2" t="s">
        <v>2959</v>
      </c>
      <c r="M267" s="2" t="s">
        <v>2960</v>
      </c>
      <c r="N267" s="2" t="s">
        <v>2961</v>
      </c>
      <c r="O267" s="2" t="s">
        <v>2962</v>
      </c>
      <c r="P267" s="2" t="s">
        <v>2949</v>
      </c>
    </row>
    <row r="268" spans="1:16">
      <c r="A268" s="1">
        <v>267</v>
      </c>
      <c r="B268" s="2" t="s">
        <v>22733</v>
      </c>
      <c r="C268" s="2" t="s">
        <v>2964</v>
      </c>
      <c r="D268" s="2" t="s">
        <v>2965</v>
      </c>
      <c r="E268" s="2" t="s">
        <v>2966</v>
      </c>
      <c r="F268" s="2" t="s">
        <v>2967</v>
      </c>
      <c r="G268" s="2" t="s">
        <v>2968</v>
      </c>
      <c r="H268" s="2" t="s">
        <v>2969</v>
      </c>
      <c r="I268" s="2" t="s">
        <v>22734</v>
      </c>
      <c r="J268" s="2" t="s">
        <v>2970</v>
      </c>
      <c r="K268" s="2" t="s">
        <v>2971</v>
      </c>
      <c r="L268" s="2" t="s">
        <v>2972</v>
      </c>
      <c r="M268" s="2" t="s">
        <v>2973</v>
      </c>
      <c r="N268" s="2" t="s">
        <v>2974</v>
      </c>
      <c r="O268" s="2" t="s">
        <v>2975</v>
      </c>
      <c r="P268" s="2" t="s">
        <v>2963</v>
      </c>
    </row>
    <row r="269" spans="1:16">
      <c r="A269" s="1">
        <v>268</v>
      </c>
      <c r="B269" s="2" t="s">
        <v>22735</v>
      </c>
      <c r="C269" s="2" t="s">
        <v>2977</v>
      </c>
      <c r="D269" s="2" t="s">
        <v>2978</v>
      </c>
      <c r="E269" s="2" t="s">
        <v>2979</v>
      </c>
      <c r="F269" s="2" t="s">
        <v>2980</v>
      </c>
      <c r="G269" s="2" t="s">
        <v>2981</v>
      </c>
      <c r="H269" s="2" t="s">
        <v>2982</v>
      </c>
      <c r="I269" s="2" t="s">
        <v>22736</v>
      </c>
      <c r="J269" s="2" t="s">
        <v>2983</v>
      </c>
      <c r="K269" s="2" t="s">
        <v>2984</v>
      </c>
      <c r="L269" s="2" t="s">
        <v>2985</v>
      </c>
      <c r="M269" s="2" t="s">
        <v>2986</v>
      </c>
      <c r="N269" s="2" t="s">
        <v>2987</v>
      </c>
      <c r="O269" s="2" t="s">
        <v>2988</v>
      </c>
      <c r="P269" s="2" t="s">
        <v>2976</v>
      </c>
    </row>
    <row r="270" spans="1:16">
      <c r="A270" s="1">
        <v>269</v>
      </c>
      <c r="B270" s="2" t="s">
        <v>2989</v>
      </c>
      <c r="C270" s="2" t="s">
        <v>2990</v>
      </c>
      <c r="D270" s="2" t="s">
        <v>2991</v>
      </c>
      <c r="E270" s="2" t="s">
        <v>2992</v>
      </c>
      <c r="F270" s="2" t="s">
        <v>2993</v>
      </c>
      <c r="G270" s="2" t="s">
        <v>2994</v>
      </c>
      <c r="H270" s="2" t="s">
        <v>2995</v>
      </c>
      <c r="I270" s="2" t="s">
        <v>2996</v>
      </c>
      <c r="J270" s="2" t="s">
        <v>2997</v>
      </c>
      <c r="K270" s="2" t="s">
        <v>2998</v>
      </c>
      <c r="L270" s="2" t="s">
        <v>2999</v>
      </c>
      <c r="M270" s="2" t="s">
        <v>3000</v>
      </c>
      <c r="N270" s="2" t="s">
        <v>3001</v>
      </c>
      <c r="O270" s="2" t="s">
        <v>3002</v>
      </c>
      <c r="P270" s="2" t="s">
        <v>2989</v>
      </c>
    </row>
    <row r="271" spans="1:16">
      <c r="A271" s="1">
        <v>270</v>
      </c>
      <c r="B271" s="2" t="s">
        <v>3003</v>
      </c>
      <c r="C271" s="2" t="s">
        <v>3004</v>
      </c>
      <c r="D271" s="2" t="s">
        <v>3005</v>
      </c>
      <c r="E271" s="2" t="s">
        <v>3006</v>
      </c>
      <c r="F271" s="2" t="s">
        <v>3007</v>
      </c>
      <c r="G271" s="2" t="s">
        <v>3008</v>
      </c>
      <c r="H271" s="2" t="s">
        <v>3009</v>
      </c>
      <c r="I271" s="2" t="s">
        <v>3010</v>
      </c>
      <c r="J271" s="2" t="s">
        <v>3011</v>
      </c>
      <c r="K271" s="2" t="s">
        <v>3012</v>
      </c>
      <c r="L271" s="2" t="s">
        <v>3013</v>
      </c>
      <c r="M271" s="2" t="s">
        <v>3014</v>
      </c>
      <c r="N271" s="2" t="s">
        <v>3015</v>
      </c>
      <c r="O271" s="2" t="s">
        <v>3016</v>
      </c>
      <c r="P271" s="2" t="s">
        <v>3003</v>
      </c>
    </row>
    <row r="272" spans="1:16">
      <c r="A272" s="1">
        <v>271</v>
      </c>
      <c r="B272" s="2" t="s">
        <v>3017</v>
      </c>
      <c r="C272" s="2" t="s">
        <v>3018</v>
      </c>
      <c r="D272" s="2" t="s">
        <v>3019</v>
      </c>
      <c r="E272" s="2" t="s">
        <v>3020</v>
      </c>
      <c r="F272" s="2" t="s">
        <v>3021</v>
      </c>
      <c r="G272" s="2" t="s">
        <v>3022</v>
      </c>
      <c r="H272" s="2" t="s">
        <v>3023</v>
      </c>
      <c r="I272" s="2" t="s">
        <v>3024</v>
      </c>
      <c r="J272" s="2" t="s">
        <v>3025</v>
      </c>
      <c r="K272" s="2" t="s">
        <v>3026</v>
      </c>
      <c r="L272" s="2" t="s">
        <v>3027</v>
      </c>
      <c r="M272" s="2" t="s">
        <v>3028</v>
      </c>
      <c r="N272" s="2" t="s">
        <v>3029</v>
      </c>
      <c r="O272" s="2" t="s">
        <v>3030</v>
      </c>
      <c r="P272" s="2" t="s">
        <v>3017</v>
      </c>
    </row>
    <row r="273" spans="1:16">
      <c r="A273" s="1">
        <v>272</v>
      </c>
      <c r="B273" s="2" t="s">
        <v>22737</v>
      </c>
      <c r="C273" s="2" t="s">
        <v>3032</v>
      </c>
      <c r="D273" s="2" t="s">
        <v>3033</v>
      </c>
      <c r="E273" s="2" t="s">
        <v>3034</v>
      </c>
      <c r="F273" s="2" t="s">
        <v>3035</v>
      </c>
      <c r="G273" s="2" t="s">
        <v>3036</v>
      </c>
      <c r="H273" s="2" t="s">
        <v>3037</v>
      </c>
      <c r="I273" s="2" t="s">
        <v>3038</v>
      </c>
      <c r="J273" s="2" t="s">
        <v>3039</v>
      </c>
      <c r="K273" s="2" t="s">
        <v>3040</v>
      </c>
      <c r="L273" s="2" t="s">
        <v>3041</v>
      </c>
      <c r="M273" s="2" t="s">
        <v>3042</v>
      </c>
      <c r="N273" s="2" t="s">
        <v>3043</v>
      </c>
      <c r="O273" s="2" t="s">
        <v>3044</v>
      </c>
      <c r="P273" s="2" t="s">
        <v>3031</v>
      </c>
    </row>
    <row r="274" spans="1:16">
      <c r="A274" s="1">
        <v>273</v>
      </c>
      <c r="B274" s="2" t="s">
        <v>22738</v>
      </c>
      <c r="C274" s="2" t="s">
        <v>3046</v>
      </c>
      <c r="D274" s="2" t="s">
        <v>3047</v>
      </c>
      <c r="E274" s="2" t="s">
        <v>3048</v>
      </c>
      <c r="F274" s="2" t="s">
        <v>3049</v>
      </c>
      <c r="G274" s="2" t="s">
        <v>3050</v>
      </c>
      <c r="H274" s="2" t="s">
        <v>3051</v>
      </c>
      <c r="I274" s="2" t="s">
        <v>3052</v>
      </c>
      <c r="J274" s="2" t="s">
        <v>3053</v>
      </c>
      <c r="K274" s="2" t="s">
        <v>3054</v>
      </c>
      <c r="L274" s="2" t="s">
        <v>3055</v>
      </c>
      <c r="M274" s="2" t="s">
        <v>3056</v>
      </c>
      <c r="N274" s="2" t="s">
        <v>3055</v>
      </c>
      <c r="O274" s="2" t="s">
        <v>3057</v>
      </c>
      <c r="P274" s="2" t="s">
        <v>3045</v>
      </c>
    </row>
    <row r="275" spans="1:16">
      <c r="A275" s="1">
        <v>274</v>
      </c>
      <c r="B275" s="2" t="s">
        <v>3058</v>
      </c>
      <c r="C275" s="2" t="s">
        <v>3059</v>
      </c>
      <c r="D275" s="2" t="s">
        <v>3060</v>
      </c>
      <c r="E275" s="2" t="s">
        <v>3061</v>
      </c>
      <c r="F275" s="2" t="s">
        <v>3062</v>
      </c>
      <c r="G275" s="2" t="s">
        <v>3063</v>
      </c>
      <c r="H275" s="2" t="s">
        <v>3064</v>
      </c>
      <c r="I275" s="2" t="s">
        <v>3065</v>
      </c>
      <c r="J275" s="2" t="s">
        <v>3066</v>
      </c>
      <c r="K275" s="2" t="s">
        <v>3067</v>
      </c>
      <c r="L275" s="2" t="s">
        <v>3068</v>
      </c>
      <c r="M275" s="2" t="s">
        <v>3069</v>
      </c>
      <c r="N275" s="2" t="s">
        <v>3070</v>
      </c>
      <c r="O275" s="2" t="s">
        <v>3071</v>
      </c>
      <c r="P275" s="2" t="s">
        <v>3058</v>
      </c>
    </row>
    <row r="276" spans="1:16">
      <c r="A276" s="1">
        <v>275</v>
      </c>
      <c r="B276" s="2" t="s">
        <v>3072</v>
      </c>
      <c r="C276" s="2" t="s">
        <v>3073</v>
      </c>
      <c r="D276" s="2" t="s">
        <v>3074</v>
      </c>
      <c r="E276" s="2" t="s">
        <v>3075</v>
      </c>
      <c r="F276" s="2" t="s">
        <v>3076</v>
      </c>
      <c r="G276" s="2" t="s">
        <v>3077</v>
      </c>
      <c r="H276" s="2" t="s">
        <v>3078</v>
      </c>
      <c r="I276" s="2" t="s">
        <v>3079</v>
      </c>
      <c r="J276" s="2" t="s">
        <v>3080</v>
      </c>
      <c r="K276" s="2" t="s">
        <v>3081</v>
      </c>
      <c r="L276" s="2" t="s">
        <v>3082</v>
      </c>
      <c r="M276" s="2" t="s">
        <v>3083</v>
      </c>
      <c r="N276" s="2" t="s">
        <v>3084</v>
      </c>
      <c r="O276" s="2" t="s">
        <v>3085</v>
      </c>
      <c r="P276" s="2" t="s">
        <v>3072</v>
      </c>
    </row>
    <row r="277" spans="1:16">
      <c r="A277" s="1">
        <v>276</v>
      </c>
      <c r="B277" s="2" t="s">
        <v>22739</v>
      </c>
      <c r="C277" s="2" t="s">
        <v>3087</v>
      </c>
      <c r="D277" s="2" t="s">
        <v>3088</v>
      </c>
      <c r="E277" s="2" t="s">
        <v>3089</v>
      </c>
      <c r="F277" s="2" t="s">
        <v>3090</v>
      </c>
      <c r="G277" s="2" t="s">
        <v>3091</v>
      </c>
      <c r="H277" s="2" t="s">
        <v>3092</v>
      </c>
      <c r="I277" s="2" t="s">
        <v>3093</v>
      </c>
      <c r="J277" s="2" t="s">
        <v>3094</v>
      </c>
      <c r="K277" s="2" t="s">
        <v>3095</v>
      </c>
      <c r="L277" s="2" t="s">
        <v>3096</v>
      </c>
      <c r="M277" s="2" t="s">
        <v>3097</v>
      </c>
      <c r="N277" s="2" t="s">
        <v>3098</v>
      </c>
      <c r="O277" s="2" t="s">
        <v>3099</v>
      </c>
      <c r="P277" s="2" t="s">
        <v>3086</v>
      </c>
    </row>
    <row r="278" spans="1:16">
      <c r="A278" s="1">
        <v>277</v>
      </c>
      <c r="B278" s="2" t="s">
        <v>3100</v>
      </c>
      <c r="C278" s="2" t="s">
        <v>3101</v>
      </c>
      <c r="D278" s="2" t="s">
        <v>3102</v>
      </c>
      <c r="E278" s="2" t="s">
        <v>3103</v>
      </c>
      <c r="F278" s="2" t="s">
        <v>3104</v>
      </c>
      <c r="G278" s="2" t="s">
        <v>3105</v>
      </c>
      <c r="H278" s="2" t="s">
        <v>3106</v>
      </c>
      <c r="I278" s="2" t="s">
        <v>3107</v>
      </c>
      <c r="J278" s="2" t="s">
        <v>3108</v>
      </c>
      <c r="K278" s="2" t="s">
        <v>3109</v>
      </c>
      <c r="L278" s="2" t="s">
        <v>3110</v>
      </c>
      <c r="M278" s="2" t="s">
        <v>3111</v>
      </c>
      <c r="N278" s="2" t="s">
        <v>3112</v>
      </c>
      <c r="O278" s="2" t="s">
        <v>3113</v>
      </c>
      <c r="P278" s="2" t="s">
        <v>3100</v>
      </c>
    </row>
    <row r="279" spans="1:16">
      <c r="A279" s="1">
        <v>278</v>
      </c>
      <c r="B279" s="2" t="s">
        <v>3114</v>
      </c>
      <c r="C279" s="2" t="s">
        <v>3115</v>
      </c>
      <c r="D279" s="2" t="s">
        <v>3116</v>
      </c>
      <c r="E279" s="2" t="s">
        <v>3117</v>
      </c>
      <c r="F279" s="2" t="s">
        <v>3118</v>
      </c>
      <c r="G279" s="2" t="s">
        <v>3119</v>
      </c>
      <c r="H279" s="2" t="s">
        <v>3120</v>
      </c>
      <c r="I279" s="2" t="s">
        <v>3121</v>
      </c>
      <c r="J279" s="2" t="s">
        <v>3122</v>
      </c>
      <c r="K279" s="2" t="s">
        <v>3123</v>
      </c>
      <c r="L279" s="2" t="s">
        <v>3124</v>
      </c>
      <c r="M279" s="2" t="s">
        <v>3125</v>
      </c>
      <c r="N279" s="2" t="s">
        <v>3126</v>
      </c>
      <c r="O279" s="2" t="s">
        <v>3127</v>
      </c>
      <c r="P279" s="2" t="s">
        <v>3114</v>
      </c>
    </row>
    <row r="280" spans="1:16">
      <c r="A280" s="1">
        <v>279</v>
      </c>
      <c r="B280" s="2" t="s">
        <v>22740</v>
      </c>
      <c r="C280" s="2" t="s">
        <v>3129</v>
      </c>
      <c r="D280" s="2" t="s">
        <v>3130</v>
      </c>
      <c r="E280" s="2" t="s">
        <v>3131</v>
      </c>
      <c r="F280" s="2" t="s">
        <v>3132</v>
      </c>
      <c r="G280" s="2" t="s">
        <v>3133</v>
      </c>
      <c r="H280" s="2" t="s">
        <v>3134</v>
      </c>
      <c r="I280" s="2" t="s">
        <v>3135</v>
      </c>
      <c r="J280" s="2" t="s">
        <v>3136</v>
      </c>
      <c r="K280" s="2" t="s">
        <v>3137</v>
      </c>
      <c r="L280" s="2" t="s">
        <v>3138</v>
      </c>
      <c r="M280" s="2" t="s">
        <v>3139</v>
      </c>
      <c r="N280" s="2" t="s">
        <v>3140</v>
      </c>
      <c r="O280" s="2" t="s">
        <v>3141</v>
      </c>
      <c r="P280" s="2" t="s">
        <v>3128</v>
      </c>
    </row>
    <row r="281" spans="1:16">
      <c r="A281" s="1">
        <v>280</v>
      </c>
      <c r="B281" s="2" t="s">
        <v>22741</v>
      </c>
      <c r="C281" s="2" t="s">
        <v>3143</v>
      </c>
      <c r="D281" s="2" t="s">
        <v>3144</v>
      </c>
      <c r="E281" s="2" t="s">
        <v>3145</v>
      </c>
      <c r="F281" s="2" t="s">
        <v>3146</v>
      </c>
      <c r="G281" s="2" t="s">
        <v>3147</v>
      </c>
      <c r="H281" s="2" t="s">
        <v>3148</v>
      </c>
      <c r="I281" s="2" t="s">
        <v>3149</v>
      </c>
      <c r="J281" s="2" t="s">
        <v>3150</v>
      </c>
      <c r="K281" s="2" t="s">
        <v>3151</v>
      </c>
      <c r="L281" s="2" t="s">
        <v>3152</v>
      </c>
      <c r="M281" s="2" t="s">
        <v>3153</v>
      </c>
      <c r="N281" s="2" t="s">
        <v>3154</v>
      </c>
      <c r="O281" s="2" t="s">
        <v>3155</v>
      </c>
      <c r="P281" s="2" t="s">
        <v>3142</v>
      </c>
    </row>
    <row r="282" spans="1:16">
      <c r="A282" s="1">
        <v>281</v>
      </c>
      <c r="B282" s="2" t="s">
        <v>22742</v>
      </c>
      <c r="C282" s="2" t="s">
        <v>3157</v>
      </c>
      <c r="D282" s="2" t="s">
        <v>3158</v>
      </c>
      <c r="E282" s="2" t="s">
        <v>3159</v>
      </c>
      <c r="F282" s="2" t="s">
        <v>3160</v>
      </c>
      <c r="G282" s="2" t="s">
        <v>3161</v>
      </c>
      <c r="H282" s="2" t="s">
        <v>3162</v>
      </c>
      <c r="I282" s="2" t="s">
        <v>3163</v>
      </c>
      <c r="J282" s="2" t="s">
        <v>3164</v>
      </c>
      <c r="K282" s="2" t="s">
        <v>3165</v>
      </c>
      <c r="L282" s="2" t="s">
        <v>3166</v>
      </c>
      <c r="M282" s="2" t="s">
        <v>3167</v>
      </c>
      <c r="N282" s="2" t="s">
        <v>3168</v>
      </c>
      <c r="O282" s="2" t="s">
        <v>3169</v>
      </c>
      <c r="P282" s="2" t="s">
        <v>3156</v>
      </c>
    </row>
    <row r="283" spans="1:16">
      <c r="A283" s="1">
        <v>282</v>
      </c>
      <c r="B283" s="2" t="s">
        <v>22743</v>
      </c>
      <c r="C283" s="2" t="s">
        <v>3171</v>
      </c>
      <c r="D283" s="2" t="s">
        <v>3172</v>
      </c>
      <c r="E283" s="2" t="s">
        <v>3173</v>
      </c>
      <c r="F283" s="2" t="s">
        <v>3174</v>
      </c>
      <c r="G283" s="2" t="s">
        <v>3175</v>
      </c>
      <c r="H283" s="2" t="s">
        <v>3176</v>
      </c>
      <c r="I283" s="2" t="s">
        <v>3177</v>
      </c>
      <c r="J283" s="2" t="s">
        <v>3178</v>
      </c>
      <c r="K283" s="2" t="s">
        <v>3179</v>
      </c>
      <c r="L283" s="2" t="s">
        <v>3180</v>
      </c>
      <c r="M283" s="2" t="s">
        <v>3181</v>
      </c>
      <c r="N283" s="2" t="s">
        <v>3182</v>
      </c>
      <c r="O283" s="2" t="s">
        <v>3183</v>
      </c>
      <c r="P283" s="2" t="s">
        <v>3170</v>
      </c>
    </row>
    <row r="284" spans="1:16">
      <c r="A284" s="1">
        <v>283</v>
      </c>
      <c r="B284" s="2" t="s">
        <v>22744</v>
      </c>
      <c r="C284" s="2" t="s">
        <v>3185</v>
      </c>
      <c r="D284" s="2" t="s">
        <v>3186</v>
      </c>
      <c r="E284" s="2" t="s">
        <v>3187</v>
      </c>
      <c r="F284" s="2" t="s">
        <v>3188</v>
      </c>
      <c r="G284" s="2" t="s">
        <v>3189</v>
      </c>
      <c r="H284" s="2" t="s">
        <v>3190</v>
      </c>
      <c r="I284" s="2" t="s">
        <v>3191</v>
      </c>
      <c r="J284" s="2" t="s">
        <v>3192</v>
      </c>
      <c r="K284" s="2" t="s">
        <v>3193</v>
      </c>
      <c r="L284" s="2" t="s">
        <v>3194</v>
      </c>
      <c r="M284" s="2" t="s">
        <v>3195</v>
      </c>
      <c r="N284" s="2" t="s">
        <v>3196</v>
      </c>
      <c r="O284" s="2" t="s">
        <v>3197</v>
      </c>
      <c r="P284" s="2" t="s">
        <v>3184</v>
      </c>
    </row>
    <row r="285" spans="1:16">
      <c r="A285" s="1">
        <v>284</v>
      </c>
      <c r="B285" s="2" t="s">
        <v>3198</v>
      </c>
      <c r="C285" s="2" t="s">
        <v>3199</v>
      </c>
      <c r="D285" s="2" t="s">
        <v>3200</v>
      </c>
      <c r="E285" s="2" t="s">
        <v>3201</v>
      </c>
      <c r="F285" s="2" t="s">
        <v>3202</v>
      </c>
      <c r="G285" s="2" t="s">
        <v>3203</v>
      </c>
      <c r="H285" s="2" t="s">
        <v>3204</v>
      </c>
      <c r="I285" s="2" t="s">
        <v>3205</v>
      </c>
      <c r="J285" s="2" t="s">
        <v>3206</v>
      </c>
      <c r="K285" s="2" t="s">
        <v>3207</v>
      </c>
      <c r="L285" s="2" t="s">
        <v>3208</v>
      </c>
      <c r="M285" s="2" t="s">
        <v>3209</v>
      </c>
      <c r="N285" s="2" t="s">
        <v>3210</v>
      </c>
      <c r="O285" s="2" t="s">
        <v>3211</v>
      </c>
      <c r="P285" s="2" t="s">
        <v>3198</v>
      </c>
    </row>
    <row r="286" spans="1:16">
      <c r="A286" s="1">
        <v>285</v>
      </c>
      <c r="B286" s="2" t="s">
        <v>3212</v>
      </c>
      <c r="C286" s="2" t="s">
        <v>3213</v>
      </c>
      <c r="D286" s="2" t="s">
        <v>3214</v>
      </c>
      <c r="E286" s="2" t="s">
        <v>3215</v>
      </c>
      <c r="F286" s="2" t="s">
        <v>3216</v>
      </c>
      <c r="G286" s="2" t="s">
        <v>3217</v>
      </c>
      <c r="H286" s="2" t="s">
        <v>3218</v>
      </c>
      <c r="I286" s="2" t="s">
        <v>3219</v>
      </c>
      <c r="J286" s="2" t="s">
        <v>3220</v>
      </c>
      <c r="K286" s="2" t="s">
        <v>3221</v>
      </c>
      <c r="L286" s="2" t="s">
        <v>3222</v>
      </c>
      <c r="M286" s="2" t="s">
        <v>3223</v>
      </c>
      <c r="N286" s="2" t="s">
        <v>3224</v>
      </c>
      <c r="O286" s="2" t="s">
        <v>3221</v>
      </c>
      <c r="P286" s="2" t="s">
        <v>3212</v>
      </c>
    </row>
    <row r="287" spans="1:16">
      <c r="A287" s="1">
        <v>286</v>
      </c>
      <c r="B287" s="2" t="s">
        <v>3225</v>
      </c>
      <c r="C287" s="2" t="s">
        <v>3226</v>
      </c>
      <c r="D287" s="2" t="s">
        <v>3227</v>
      </c>
      <c r="E287" s="2" t="s">
        <v>3228</v>
      </c>
      <c r="F287" s="2" t="s">
        <v>3225</v>
      </c>
      <c r="G287" s="2" t="s">
        <v>3228</v>
      </c>
      <c r="H287" s="2" t="s">
        <v>3229</v>
      </c>
      <c r="I287" s="2" t="s">
        <v>3229</v>
      </c>
      <c r="J287" s="2" t="s">
        <v>3225</v>
      </c>
      <c r="K287" s="2" t="s">
        <v>3230</v>
      </c>
      <c r="L287" s="2" t="s">
        <v>3225</v>
      </c>
      <c r="M287" s="2" t="s">
        <v>3231</v>
      </c>
      <c r="N287" s="2" t="s">
        <v>3231</v>
      </c>
      <c r="O287" s="2" t="s">
        <v>3225</v>
      </c>
      <c r="P287" s="2" t="s">
        <v>3225</v>
      </c>
    </row>
    <row r="288" spans="1:16">
      <c r="A288" s="1">
        <v>287</v>
      </c>
      <c r="B288" s="2" t="s">
        <v>3232</v>
      </c>
      <c r="C288" s="2" t="s">
        <v>3233</v>
      </c>
      <c r="D288" s="2" t="s">
        <v>3234</v>
      </c>
      <c r="E288" s="2" t="s">
        <v>3235</v>
      </c>
      <c r="F288" s="2" t="s">
        <v>3236</v>
      </c>
      <c r="G288" s="2" t="s">
        <v>3237</v>
      </c>
      <c r="H288" s="2" t="s">
        <v>3238</v>
      </c>
      <c r="I288" s="2" t="s">
        <v>3239</v>
      </c>
      <c r="J288" s="2" t="s">
        <v>3240</v>
      </c>
      <c r="K288" s="2" t="s">
        <v>3241</v>
      </c>
      <c r="L288" s="2" t="s">
        <v>3242</v>
      </c>
      <c r="M288" s="2" t="s">
        <v>3243</v>
      </c>
      <c r="N288" s="2" t="s">
        <v>3243</v>
      </c>
      <c r="O288" s="2" t="s">
        <v>3244</v>
      </c>
      <c r="P288" s="2" t="s">
        <v>3232</v>
      </c>
    </row>
    <row r="289" spans="1:16">
      <c r="A289" s="1">
        <v>288</v>
      </c>
      <c r="B289" s="2" t="s">
        <v>3245</v>
      </c>
      <c r="C289" s="2" t="s">
        <v>3246</v>
      </c>
      <c r="D289" s="2" t="s">
        <v>3247</v>
      </c>
      <c r="E289" s="2" t="s">
        <v>3248</v>
      </c>
      <c r="F289" s="2" t="s">
        <v>3249</v>
      </c>
      <c r="G289" s="2" t="s">
        <v>3250</v>
      </c>
      <c r="H289" s="2" t="s">
        <v>3251</v>
      </c>
      <c r="I289" s="2" t="s">
        <v>3252</v>
      </c>
      <c r="J289" s="2" t="s">
        <v>3253</v>
      </c>
      <c r="K289" s="2" t="s">
        <v>3254</v>
      </c>
      <c r="L289" s="2" t="s">
        <v>3255</v>
      </c>
      <c r="M289" s="2" t="s">
        <v>3256</v>
      </c>
      <c r="N289" s="2" t="s">
        <v>3257</v>
      </c>
      <c r="O289" s="2" t="s">
        <v>3258</v>
      </c>
      <c r="P289" s="2" t="s">
        <v>3245</v>
      </c>
    </row>
    <row r="290" spans="1:16">
      <c r="A290" s="1">
        <v>289</v>
      </c>
      <c r="B290" s="2" t="s">
        <v>3259</v>
      </c>
      <c r="C290" s="2" t="s">
        <v>3260</v>
      </c>
      <c r="D290" s="2" t="s">
        <v>3261</v>
      </c>
      <c r="E290" s="2" t="s">
        <v>3262</v>
      </c>
      <c r="F290" s="2" t="s">
        <v>3263</v>
      </c>
      <c r="G290" s="2" t="s">
        <v>3264</v>
      </c>
      <c r="H290" s="2" t="s">
        <v>3265</v>
      </c>
      <c r="I290" s="2" t="s">
        <v>3266</v>
      </c>
      <c r="J290" s="2" t="s">
        <v>3267</v>
      </c>
      <c r="K290" s="2" t="s">
        <v>3268</v>
      </c>
      <c r="L290" s="2" t="s">
        <v>3269</v>
      </c>
      <c r="M290" s="2" t="s">
        <v>3270</v>
      </c>
      <c r="N290" s="2" t="s">
        <v>3271</v>
      </c>
      <c r="O290" s="2" t="s">
        <v>3272</v>
      </c>
      <c r="P290" s="2" t="s">
        <v>3259</v>
      </c>
    </row>
    <row r="291" spans="1:16">
      <c r="A291" s="1">
        <v>290</v>
      </c>
      <c r="B291" s="2" t="s">
        <v>3273</v>
      </c>
      <c r="C291" s="2" t="s">
        <v>3274</v>
      </c>
      <c r="D291" s="2" t="s">
        <v>3275</v>
      </c>
      <c r="E291" s="2" t="s">
        <v>3276</v>
      </c>
      <c r="F291" s="2" t="s">
        <v>3277</v>
      </c>
      <c r="G291" s="2" t="s">
        <v>3278</v>
      </c>
      <c r="H291" s="2" t="s">
        <v>3279</v>
      </c>
      <c r="I291" s="2" t="s">
        <v>3280</v>
      </c>
      <c r="J291" s="2" t="s">
        <v>3281</v>
      </c>
      <c r="K291" s="2" t="s">
        <v>3282</v>
      </c>
      <c r="L291" s="2" t="s">
        <v>3283</v>
      </c>
      <c r="M291" s="2" t="s">
        <v>3284</v>
      </c>
      <c r="N291" s="2" t="s">
        <v>3285</v>
      </c>
      <c r="O291" s="2" t="s">
        <v>3286</v>
      </c>
      <c r="P291" s="2" t="s">
        <v>3273</v>
      </c>
    </row>
    <row r="292" spans="1:16">
      <c r="A292" s="1">
        <v>291</v>
      </c>
      <c r="B292" s="2" t="s">
        <v>3287</v>
      </c>
      <c r="C292" s="2" t="s">
        <v>3288</v>
      </c>
      <c r="D292" s="2" t="s">
        <v>3275</v>
      </c>
      <c r="E292" s="2" t="s">
        <v>3289</v>
      </c>
      <c r="F292" s="2" t="s">
        <v>3290</v>
      </c>
      <c r="G292" s="2" t="s">
        <v>3291</v>
      </c>
      <c r="H292" s="2" t="s">
        <v>3292</v>
      </c>
      <c r="I292" s="2" t="s">
        <v>22745</v>
      </c>
      <c r="J292" s="2" t="s">
        <v>3293</v>
      </c>
      <c r="K292" s="2" t="s">
        <v>3294</v>
      </c>
      <c r="L292" s="2" t="s">
        <v>3295</v>
      </c>
      <c r="M292" s="2" t="s">
        <v>3296</v>
      </c>
      <c r="N292" s="2" t="s">
        <v>3297</v>
      </c>
      <c r="O292" s="2" t="s">
        <v>3298</v>
      </c>
      <c r="P292" s="2" t="s">
        <v>3287</v>
      </c>
    </row>
    <row r="293" spans="1:16">
      <c r="A293" s="1">
        <v>292</v>
      </c>
      <c r="B293" s="2" t="s">
        <v>3299</v>
      </c>
      <c r="C293" s="2" t="s">
        <v>3300</v>
      </c>
      <c r="D293" s="2" t="s">
        <v>3301</v>
      </c>
      <c r="E293" s="2" t="s">
        <v>3302</v>
      </c>
      <c r="F293" s="2" t="s">
        <v>3303</v>
      </c>
      <c r="G293" s="2" t="s">
        <v>3304</v>
      </c>
      <c r="H293" s="2" t="s">
        <v>3305</v>
      </c>
      <c r="I293" s="2" t="s">
        <v>3306</v>
      </c>
      <c r="J293" s="2" t="s">
        <v>3307</v>
      </c>
      <c r="K293" s="2" t="s">
        <v>3308</v>
      </c>
      <c r="L293" s="2" t="s">
        <v>3309</v>
      </c>
      <c r="M293" s="2" t="s">
        <v>3310</v>
      </c>
      <c r="N293" s="2" t="s">
        <v>3311</v>
      </c>
      <c r="O293" s="2" t="s">
        <v>3312</v>
      </c>
      <c r="P293" s="2" t="s">
        <v>3299</v>
      </c>
    </row>
    <row r="294" spans="1:16">
      <c r="A294" s="1">
        <v>293</v>
      </c>
      <c r="B294" s="2" t="s">
        <v>3313</v>
      </c>
      <c r="C294" s="2" t="s">
        <v>3314</v>
      </c>
      <c r="D294" s="2" t="s">
        <v>3315</v>
      </c>
      <c r="E294" s="2" t="s">
        <v>3316</v>
      </c>
      <c r="F294" s="2" t="s">
        <v>3317</v>
      </c>
      <c r="G294" s="2" t="s">
        <v>3318</v>
      </c>
      <c r="H294" s="2" t="s">
        <v>3319</v>
      </c>
      <c r="I294" s="2" t="s">
        <v>3320</v>
      </c>
      <c r="J294" s="2" t="s">
        <v>3321</v>
      </c>
      <c r="K294" s="2" t="s">
        <v>3322</v>
      </c>
      <c r="L294" s="2" t="s">
        <v>3323</v>
      </c>
      <c r="M294" s="2" t="s">
        <v>3324</v>
      </c>
      <c r="N294" s="2" t="s">
        <v>3325</v>
      </c>
      <c r="O294" s="2" t="s">
        <v>3326</v>
      </c>
      <c r="P294" s="2" t="s">
        <v>3313</v>
      </c>
    </row>
    <row r="295" spans="1:16">
      <c r="A295" s="1">
        <v>294</v>
      </c>
      <c r="B295" s="2" t="s">
        <v>3327</v>
      </c>
      <c r="C295" s="2" t="s">
        <v>3328</v>
      </c>
      <c r="D295" s="2" t="s">
        <v>3329</v>
      </c>
      <c r="E295" s="2" t="s">
        <v>3330</v>
      </c>
      <c r="F295" s="2" t="s">
        <v>3413</v>
      </c>
      <c r="G295" s="2" t="s">
        <v>3331</v>
      </c>
      <c r="H295" s="2" t="s">
        <v>3332</v>
      </c>
      <c r="I295" s="2" t="s">
        <v>3333</v>
      </c>
      <c r="J295" s="2" t="s">
        <v>3334</v>
      </c>
      <c r="K295" s="2" t="s">
        <v>3335</v>
      </c>
      <c r="L295" s="2" t="s">
        <v>3336</v>
      </c>
      <c r="M295" s="2" t="s">
        <v>3337</v>
      </c>
      <c r="N295" s="2" t="s">
        <v>3338</v>
      </c>
      <c r="O295" s="2" t="s">
        <v>3339</v>
      </c>
      <c r="P295" s="2" t="s">
        <v>3327</v>
      </c>
    </row>
    <row r="296" spans="1:16">
      <c r="A296" s="1">
        <v>295</v>
      </c>
      <c r="B296" s="2" t="s">
        <v>3340</v>
      </c>
      <c r="C296" s="2" t="s">
        <v>3341</v>
      </c>
      <c r="D296" s="2" t="s">
        <v>3342</v>
      </c>
      <c r="E296" s="2" t="s">
        <v>3343</v>
      </c>
      <c r="F296" s="2" t="s">
        <v>3427</v>
      </c>
      <c r="G296" s="2" t="s">
        <v>3345</v>
      </c>
      <c r="H296" s="2" t="s">
        <v>3346</v>
      </c>
      <c r="I296" s="2" t="s">
        <v>3347</v>
      </c>
      <c r="J296" s="2" t="s">
        <v>3348</v>
      </c>
      <c r="K296" s="2" t="s">
        <v>3349</v>
      </c>
      <c r="L296" s="2" t="s">
        <v>3350</v>
      </c>
      <c r="M296" s="2" t="s">
        <v>3351</v>
      </c>
      <c r="N296" s="2" t="s">
        <v>3352</v>
      </c>
      <c r="O296" s="2" t="s">
        <v>3353</v>
      </c>
      <c r="P296" s="2" t="s">
        <v>3340</v>
      </c>
    </row>
    <row r="297" spans="1:16">
      <c r="A297" s="1">
        <v>296</v>
      </c>
      <c r="B297" s="2" t="s">
        <v>3354</v>
      </c>
      <c r="C297" s="2" t="s">
        <v>3355</v>
      </c>
      <c r="D297" s="2" t="s">
        <v>3356</v>
      </c>
      <c r="E297" s="2" t="s">
        <v>3357</v>
      </c>
      <c r="F297" s="2" t="s">
        <v>3454</v>
      </c>
      <c r="G297" s="2" t="s">
        <v>3359</v>
      </c>
      <c r="H297" s="2" t="s">
        <v>3360</v>
      </c>
      <c r="I297" s="2" t="s">
        <v>3361</v>
      </c>
      <c r="J297" s="2" t="s">
        <v>3362</v>
      </c>
      <c r="K297" s="2" t="s">
        <v>3363</v>
      </c>
      <c r="L297" s="2" t="s">
        <v>3364</v>
      </c>
      <c r="M297" s="2" t="s">
        <v>3365</v>
      </c>
      <c r="N297" s="2" t="s">
        <v>3366</v>
      </c>
      <c r="O297" s="2" t="s">
        <v>3367</v>
      </c>
      <c r="P297" s="2" t="s">
        <v>3354</v>
      </c>
    </row>
    <row r="298" spans="1:16">
      <c r="A298" s="1">
        <v>297</v>
      </c>
      <c r="B298" s="2" t="s">
        <v>3368</v>
      </c>
      <c r="C298" s="2" t="s">
        <v>3369</v>
      </c>
      <c r="D298" s="2" t="s">
        <v>3370</v>
      </c>
      <c r="E298" s="2" t="s">
        <v>3371</v>
      </c>
      <c r="F298" s="2" t="s">
        <v>22746</v>
      </c>
      <c r="G298" s="2" t="s">
        <v>3372</v>
      </c>
      <c r="H298" s="2" t="s">
        <v>3373</v>
      </c>
      <c r="I298" s="2" t="s">
        <v>3374</v>
      </c>
      <c r="J298" s="2" t="s">
        <v>3375</v>
      </c>
      <c r="K298" s="2" t="s">
        <v>3376</v>
      </c>
      <c r="L298" s="2" t="s">
        <v>3377</v>
      </c>
      <c r="M298" s="2" t="s">
        <v>3378</v>
      </c>
      <c r="N298" s="2" t="s">
        <v>3379</v>
      </c>
      <c r="O298" s="2" t="s">
        <v>3380</v>
      </c>
      <c r="P298" s="2" t="s">
        <v>3368</v>
      </c>
    </row>
    <row r="299" spans="1:16">
      <c r="A299" s="1">
        <v>298</v>
      </c>
      <c r="B299" s="2" t="s">
        <v>3381</v>
      </c>
      <c r="C299" s="2" t="s">
        <v>3382</v>
      </c>
      <c r="D299" s="2" t="s">
        <v>3383</v>
      </c>
      <c r="E299" s="2" t="s">
        <v>3384</v>
      </c>
      <c r="F299" s="2" t="s">
        <v>3344</v>
      </c>
      <c r="G299" s="2" t="s">
        <v>3386</v>
      </c>
      <c r="H299" s="2" t="s">
        <v>3387</v>
      </c>
      <c r="I299" s="2" t="s">
        <v>3388</v>
      </c>
      <c r="J299" s="2" t="s">
        <v>3389</v>
      </c>
      <c r="K299" s="2" t="s">
        <v>3390</v>
      </c>
      <c r="L299" s="2" t="s">
        <v>3391</v>
      </c>
      <c r="M299" s="2" t="s">
        <v>3392</v>
      </c>
      <c r="N299" s="2" t="s">
        <v>3393</v>
      </c>
      <c r="O299" s="2" t="s">
        <v>3394</v>
      </c>
      <c r="P299" s="2" t="s">
        <v>3381</v>
      </c>
    </row>
    <row r="300" spans="1:16">
      <c r="A300" s="1">
        <v>299</v>
      </c>
      <c r="B300" s="2" t="s">
        <v>3395</v>
      </c>
      <c r="C300" s="2" t="s">
        <v>3396</v>
      </c>
      <c r="D300" s="2" t="s">
        <v>3397</v>
      </c>
      <c r="E300" s="2" t="s">
        <v>3398</v>
      </c>
      <c r="F300" s="2" t="s">
        <v>3358</v>
      </c>
      <c r="G300" s="2" t="s">
        <v>3400</v>
      </c>
      <c r="H300" s="2" t="s">
        <v>3401</v>
      </c>
      <c r="I300" s="2" t="s">
        <v>3402</v>
      </c>
      <c r="J300" s="2" t="s">
        <v>3403</v>
      </c>
      <c r="K300" s="2" t="s">
        <v>3404</v>
      </c>
      <c r="L300" s="2" t="s">
        <v>3405</v>
      </c>
      <c r="M300" s="2" t="s">
        <v>3406</v>
      </c>
      <c r="N300" s="2" t="s">
        <v>3407</v>
      </c>
      <c r="O300" s="2" t="s">
        <v>3408</v>
      </c>
      <c r="P300" s="2" t="s">
        <v>3395</v>
      </c>
    </row>
    <row r="301" spans="1:16">
      <c r="A301" s="1">
        <v>300</v>
      </c>
      <c r="B301" s="2" t="s">
        <v>3409</v>
      </c>
      <c r="C301" s="2" t="s">
        <v>3410</v>
      </c>
      <c r="D301" s="2" t="s">
        <v>3411</v>
      </c>
      <c r="E301" s="2" t="s">
        <v>3412</v>
      </c>
      <c r="F301" s="2" t="s">
        <v>22747</v>
      </c>
      <c r="G301" s="2" t="s">
        <v>3414</v>
      </c>
      <c r="H301" s="2" t="s">
        <v>3415</v>
      </c>
      <c r="I301" s="2" t="s">
        <v>3416</v>
      </c>
      <c r="J301" s="2" t="s">
        <v>3417</v>
      </c>
      <c r="K301" s="2" t="s">
        <v>3418</v>
      </c>
      <c r="L301" s="2" t="s">
        <v>3419</v>
      </c>
      <c r="M301" s="2" t="s">
        <v>3420</v>
      </c>
      <c r="N301" s="2" t="s">
        <v>3421</v>
      </c>
      <c r="O301" s="2" t="s">
        <v>3422</v>
      </c>
      <c r="P301" s="2" t="s">
        <v>3409</v>
      </c>
    </row>
    <row r="302" spans="1:16">
      <c r="A302" s="1">
        <v>301</v>
      </c>
      <c r="B302" s="2" t="s">
        <v>3423</v>
      </c>
      <c r="C302" s="2" t="s">
        <v>3424</v>
      </c>
      <c r="D302" s="2" t="s">
        <v>3425</v>
      </c>
      <c r="E302" s="2" t="s">
        <v>3426</v>
      </c>
      <c r="F302" s="2" t="s">
        <v>3385</v>
      </c>
      <c r="G302" s="2" t="s">
        <v>3428</v>
      </c>
      <c r="H302" s="2" t="s">
        <v>3429</v>
      </c>
      <c r="I302" s="2" t="s">
        <v>3430</v>
      </c>
      <c r="J302" s="2" t="s">
        <v>3431</v>
      </c>
      <c r="K302" s="2" t="s">
        <v>3432</v>
      </c>
      <c r="L302" s="2" t="s">
        <v>3433</v>
      </c>
      <c r="M302" s="2" t="s">
        <v>3434</v>
      </c>
      <c r="N302" s="2" t="s">
        <v>3435</v>
      </c>
      <c r="O302" s="2" t="s">
        <v>3436</v>
      </c>
      <c r="P302" s="2" t="s">
        <v>3423</v>
      </c>
    </row>
    <row r="303" spans="1:16">
      <c r="A303" s="1">
        <v>302</v>
      </c>
      <c r="B303" s="2" t="s">
        <v>3437</v>
      </c>
      <c r="C303" s="2" t="s">
        <v>3438</v>
      </c>
      <c r="D303" s="2" t="s">
        <v>3437</v>
      </c>
      <c r="E303" s="2" t="s">
        <v>3439</v>
      </c>
      <c r="F303" s="2" t="s">
        <v>3440</v>
      </c>
      <c r="G303" s="2" t="s">
        <v>3441</v>
      </c>
      <c r="H303" s="2" t="s">
        <v>3442</v>
      </c>
      <c r="I303" s="2" t="s">
        <v>3443</v>
      </c>
      <c r="J303" s="2" t="s">
        <v>3444</v>
      </c>
      <c r="K303" s="2" t="s">
        <v>3445</v>
      </c>
      <c r="L303" s="2" t="s">
        <v>3446</v>
      </c>
      <c r="M303" s="2" t="s">
        <v>3447</v>
      </c>
      <c r="N303" s="2" t="s">
        <v>3448</v>
      </c>
      <c r="O303" s="2" t="s">
        <v>3449</v>
      </c>
      <c r="P303" s="2" t="s">
        <v>3437</v>
      </c>
    </row>
    <row r="304" spans="1:16">
      <c r="A304" s="1">
        <v>303</v>
      </c>
      <c r="B304" s="2" t="s">
        <v>3450</v>
      </c>
      <c r="C304" s="2" t="s">
        <v>3451</v>
      </c>
      <c r="D304" s="2" t="s">
        <v>3452</v>
      </c>
      <c r="E304" s="2" t="s">
        <v>3453</v>
      </c>
      <c r="F304" s="2" t="s">
        <v>3399</v>
      </c>
      <c r="G304" s="2" t="s">
        <v>3455</v>
      </c>
      <c r="H304" s="2" t="s">
        <v>3456</v>
      </c>
      <c r="I304" s="2" t="s">
        <v>3457</v>
      </c>
      <c r="J304" s="2" t="s">
        <v>3458</v>
      </c>
      <c r="K304" s="2" t="s">
        <v>3459</v>
      </c>
      <c r="L304" s="2" t="s">
        <v>3460</v>
      </c>
      <c r="M304" s="2" t="s">
        <v>3461</v>
      </c>
      <c r="N304" s="2" t="s">
        <v>3462</v>
      </c>
      <c r="O304" s="2" t="s">
        <v>3463</v>
      </c>
      <c r="P304" s="2" t="s">
        <v>3450</v>
      </c>
    </row>
    <row r="305" spans="1:16">
      <c r="A305" s="1">
        <v>304</v>
      </c>
      <c r="B305" s="2" t="s">
        <v>3464</v>
      </c>
      <c r="C305" s="2" t="s">
        <v>3465</v>
      </c>
      <c r="D305" s="2" t="s">
        <v>3466</v>
      </c>
      <c r="E305" s="2" t="s">
        <v>3467</v>
      </c>
      <c r="F305" s="2" t="s">
        <v>3468</v>
      </c>
      <c r="G305" s="2" t="s">
        <v>3469</v>
      </c>
      <c r="H305" s="2" t="s">
        <v>3470</v>
      </c>
      <c r="I305" s="2" t="s">
        <v>3471</v>
      </c>
      <c r="J305" s="2" t="s">
        <v>3464</v>
      </c>
      <c r="K305" s="2" t="s">
        <v>3472</v>
      </c>
      <c r="L305" s="2" t="s">
        <v>3473</v>
      </c>
      <c r="M305" s="2" t="s">
        <v>3474</v>
      </c>
      <c r="N305" s="2" t="s">
        <v>3475</v>
      </c>
      <c r="O305" s="2" t="s">
        <v>3476</v>
      </c>
      <c r="P305" s="2" t="s">
        <v>3464</v>
      </c>
    </row>
    <row r="306" spans="1:16">
      <c r="A306" s="1">
        <v>305</v>
      </c>
      <c r="B306" s="2" t="s">
        <v>3477</v>
      </c>
      <c r="C306" s="2" t="s">
        <v>3478</v>
      </c>
      <c r="D306" s="2" t="s">
        <v>3479</v>
      </c>
      <c r="E306" s="2" t="s">
        <v>3480</v>
      </c>
      <c r="F306" s="2" t="s">
        <v>3481</v>
      </c>
      <c r="G306" s="2" t="s">
        <v>3482</v>
      </c>
      <c r="H306" s="2" t="s">
        <v>3483</v>
      </c>
      <c r="I306" s="2" t="s">
        <v>3484</v>
      </c>
      <c r="J306" s="2" t="s">
        <v>3485</v>
      </c>
      <c r="K306" s="2" t="s">
        <v>3486</v>
      </c>
      <c r="L306" s="2" t="s">
        <v>3487</v>
      </c>
      <c r="M306" s="2" t="s">
        <v>3488</v>
      </c>
      <c r="N306" s="2" t="s">
        <v>3489</v>
      </c>
      <c r="O306" s="2" t="s">
        <v>3490</v>
      </c>
      <c r="P306" s="2" t="s">
        <v>3477</v>
      </c>
    </row>
    <row r="307" spans="1:16">
      <c r="A307" s="1">
        <v>306</v>
      </c>
      <c r="B307" s="2" t="s">
        <v>3491</v>
      </c>
      <c r="C307" s="2" t="s">
        <v>3492</v>
      </c>
      <c r="D307" s="2" t="s">
        <v>3493</v>
      </c>
      <c r="E307" s="2" t="s">
        <v>3494</v>
      </c>
      <c r="F307" s="2" t="s">
        <v>3495</v>
      </c>
      <c r="G307" s="2" t="s">
        <v>3496</v>
      </c>
      <c r="H307" s="2" t="s">
        <v>3497</v>
      </c>
      <c r="I307" s="2" t="s">
        <v>3498</v>
      </c>
      <c r="J307" s="2" t="s">
        <v>3499</v>
      </c>
      <c r="K307" s="2" t="s">
        <v>3500</v>
      </c>
      <c r="L307" s="2" t="s">
        <v>3501</v>
      </c>
      <c r="M307" s="2" t="s">
        <v>3502</v>
      </c>
      <c r="N307" s="2" t="s">
        <v>3503</v>
      </c>
      <c r="O307" s="2" t="s">
        <v>3504</v>
      </c>
      <c r="P307" s="2" t="s">
        <v>3491</v>
      </c>
    </row>
    <row r="308" spans="1:16">
      <c r="A308" s="1">
        <v>307</v>
      </c>
      <c r="B308" s="2" t="s">
        <v>3505</v>
      </c>
      <c r="C308" s="2" t="s">
        <v>3505</v>
      </c>
      <c r="D308" s="2" t="s">
        <v>3506</v>
      </c>
      <c r="E308" s="2" t="s">
        <v>3507</v>
      </c>
      <c r="F308" s="2" t="s">
        <v>3508</v>
      </c>
      <c r="G308" s="2" t="s">
        <v>3509</v>
      </c>
      <c r="H308" s="2" t="s">
        <v>3510</v>
      </c>
      <c r="I308" s="2" t="s">
        <v>22748</v>
      </c>
      <c r="J308" s="2" t="s">
        <v>3511</v>
      </c>
      <c r="K308" s="2" t="s">
        <v>3512</v>
      </c>
      <c r="L308" s="2" t="s">
        <v>3513</v>
      </c>
      <c r="M308" s="2" t="s">
        <v>3505</v>
      </c>
      <c r="N308" s="2" t="s">
        <v>3514</v>
      </c>
      <c r="O308" s="2" t="s">
        <v>3512</v>
      </c>
      <c r="P308" s="2" t="s">
        <v>3505</v>
      </c>
    </row>
    <row r="309" spans="1:16">
      <c r="A309" s="1">
        <v>308</v>
      </c>
      <c r="B309" s="2" t="s">
        <v>3515</v>
      </c>
      <c r="C309" s="2" t="s">
        <v>3516</v>
      </c>
      <c r="D309" s="2" t="s">
        <v>22749</v>
      </c>
      <c r="E309" s="2" t="s">
        <v>3517</v>
      </c>
      <c r="F309" s="2" t="s">
        <v>3518</v>
      </c>
      <c r="G309" s="2" t="s">
        <v>3519</v>
      </c>
      <c r="H309" s="2" t="s">
        <v>3520</v>
      </c>
      <c r="I309" s="2" t="s">
        <v>3521</v>
      </c>
      <c r="J309" s="2" t="s">
        <v>3522</v>
      </c>
      <c r="K309" s="2" t="s">
        <v>3523</v>
      </c>
      <c r="L309" s="2" t="s">
        <v>3524</v>
      </c>
      <c r="M309" s="2" t="s">
        <v>3525</v>
      </c>
      <c r="N309" s="2" t="s">
        <v>3526</v>
      </c>
      <c r="O309" s="2" t="s">
        <v>3527</v>
      </c>
      <c r="P309" s="2" t="s">
        <v>3515</v>
      </c>
    </row>
    <row r="310" spans="1:16">
      <c r="A310" s="1">
        <v>309</v>
      </c>
      <c r="B310" s="2" t="s">
        <v>3528</v>
      </c>
      <c r="C310" s="2" t="s">
        <v>3529</v>
      </c>
      <c r="D310" s="2" t="s">
        <v>3530</v>
      </c>
      <c r="E310" s="2" t="s">
        <v>3531</v>
      </c>
      <c r="F310" s="2" t="s">
        <v>3532</v>
      </c>
      <c r="G310" s="2" t="s">
        <v>3533</v>
      </c>
      <c r="H310" s="2" t="s">
        <v>3534</v>
      </c>
      <c r="I310" s="2" t="s">
        <v>3535</v>
      </c>
      <c r="J310" s="2" t="s">
        <v>3536</v>
      </c>
      <c r="K310" s="2" t="s">
        <v>3537</v>
      </c>
      <c r="L310" s="2" t="s">
        <v>3538</v>
      </c>
      <c r="M310" s="2" t="s">
        <v>3539</v>
      </c>
      <c r="N310" s="2" t="s">
        <v>3540</v>
      </c>
      <c r="O310" s="2" t="s">
        <v>3541</v>
      </c>
      <c r="P310" s="2" t="s">
        <v>3528</v>
      </c>
    </row>
    <row r="311" spans="1:16">
      <c r="A311" s="1">
        <v>310</v>
      </c>
      <c r="B311" s="2" t="s">
        <v>22750</v>
      </c>
      <c r="C311" s="2" t="s">
        <v>3543</v>
      </c>
      <c r="D311" s="2" t="s">
        <v>3544</v>
      </c>
      <c r="E311" s="2" t="s">
        <v>3545</v>
      </c>
      <c r="F311" s="2" t="s">
        <v>3546</v>
      </c>
      <c r="G311" s="2" t="s">
        <v>3547</v>
      </c>
      <c r="H311" s="2" t="s">
        <v>3548</v>
      </c>
      <c r="I311" s="2" t="s">
        <v>3549</v>
      </c>
      <c r="J311" s="2" t="s">
        <v>3550</v>
      </c>
      <c r="K311" s="2" t="s">
        <v>3551</v>
      </c>
      <c r="L311" s="2" t="s">
        <v>3552</v>
      </c>
      <c r="M311" s="2" t="s">
        <v>3553</v>
      </c>
      <c r="N311" s="2" t="s">
        <v>3554</v>
      </c>
      <c r="O311" s="2" t="s">
        <v>3555</v>
      </c>
      <c r="P311" s="2" t="s">
        <v>3542</v>
      </c>
    </row>
    <row r="312" spans="1:16">
      <c r="A312" s="1">
        <v>311</v>
      </c>
      <c r="B312" s="2" t="s">
        <v>3556</v>
      </c>
      <c r="C312" s="2" t="s">
        <v>3557</v>
      </c>
      <c r="D312" s="2" t="s">
        <v>3558</v>
      </c>
      <c r="E312" s="2" t="s">
        <v>25495</v>
      </c>
      <c r="F312" s="2" t="s">
        <v>3559</v>
      </c>
      <c r="G312" s="2" t="s">
        <v>3560</v>
      </c>
      <c r="H312" s="2" t="s">
        <v>3561</v>
      </c>
      <c r="I312" s="2" t="s">
        <v>3562</v>
      </c>
      <c r="J312" s="2" t="s">
        <v>3563</v>
      </c>
      <c r="K312" s="2" t="s">
        <v>3564</v>
      </c>
      <c r="L312" s="2" t="s">
        <v>3565</v>
      </c>
      <c r="M312" s="2" t="s">
        <v>3566</v>
      </c>
      <c r="N312" s="2" t="s">
        <v>3567</v>
      </c>
      <c r="O312" s="2" t="s">
        <v>3568</v>
      </c>
      <c r="P312" s="2" t="s">
        <v>3556</v>
      </c>
    </row>
    <row r="313" spans="1:16">
      <c r="A313" s="1">
        <v>312</v>
      </c>
      <c r="B313" s="2" t="s">
        <v>3569</v>
      </c>
      <c r="C313" s="2" t="s">
        <v>3570</v>
      </c>
      <c r="D313" s="2" t="s">
        <v>3571</v>
      </c>
      <c r="E313" s="2" t="s">
        <v>25496</v>
      </c>
      <c r="F313" s="2" t="s">
        <v>3572</v>
      </c>
      <c r="G313" s="2" t="s">
        <v>3573</v>
      </c>
      <c r="H313" s="2" t="s">
        <v>3574</v>
      </c>
      <c r="I313" s="2" t="s">
        <v>22751</v>
      </c>
      <c r="J313" s="2" t="s">
        <v>3575</v>
      </c>
      <c r="K313" s="2" t="s">
        <v>3576</v>
      </c>
      <c r="L313" s="2" t="s">
        <v>3577</v>
      </c>
      <c r="M313" s="2" t="s">
        <v>3578</v>
      </c>
      <c r="N313" s="2" t="s">
        <v>3579</v>
      </c>
      <c r="O313" s="2" t="s">
        <v>3580</v>
      </c>
      <c r="P313" s="2" t="s">
        <v>3569</v>
      </c>
    </row>
    <row r="314" spans="1:16">
      <c r="A314" s="1">
        <v>313</v>
      </c>
      <c r="B314" s="2" t="s">
        <v>3581</v>
      </c>
      <c r="C314" s="2" t="s">
        <v>3582</v>
      </c>
      <c r="D314" s="2" t="s">
        <v>3583</v>
      </c>
      <c r="E314" s="2" t="s">
        <v>3584</v>
      </c>
      <c r="F314" s="2" t="s">
        <v>3585</v>
      </c>
      <c r="G314" s="2" t="s">
        <v>3586</v>
      </c>
      <c r="H314" s="2" t="s">
        <v>3587</v>
      </c>
      <c r="I314" s="2" t="s">
        <v>3588</v>
      </c>
      <c r="J314" s="2" t="s">
        <v>3589</v>
      </c>
      <c r="K314" s="2" t="s">
        <v>3590</v>
      </c>
      <c r="L314" s="2" t="s">
        <v>3591</v>
      </c>
      <c r="M314" s="2" t="s">
        <v>3592</v>
      </c>
      <c r="N314" s="2" t="s">
        <v>3593</v>
      </c>
      <c r="O314" s="2" t="s">
        <v>3594</v>
      </c>
      <c r="P314" s="2" t="s">
        <v>3581</v>
      </c>
    </row>
    <row r="315" spans="1:16" ht="13.9" customHeight="1">
      <c r="A315" s="1">
        <v>314</v>
      </c>
      <c r="B315" s="2" t="s">
        <v>3595</v>
      </c>
      <c r="C315" s="2" t="s">
        <v>3596</v>
      </c>
      <c r="D315" s="2" t="s">
        <v>3597</v>
      </c>
      <c r="E315" s="2" t="s">
        <v>3598</v>
      </c>
      <c r="F315" s="2" t="s">
        <v>3599</v>
      </c>
      <c r="G315" s="2" t="s">
        <v>3600</v>
      </c>
      <c r="H315" s="2" t="s">
        <v>3601</v>
      </c>
      <c r="I315" s="2" t="s">
        <v>3602</v>
      </c>
      <c r="J315" s="2" t="s">
        <v>3603</v>
      </c>
      <c r="K315" s="2" t="s">
        <v>3604</v>
      </c>
      <c r="L315" s="2" t="s">
        <v>3605</v>
      </c>
      <c r="M315" s="2" t="s">
        <v>3606</v>
      </c>
      <c r="N315" s="2" t="s">
        <v>3607</v>
      </c>
      <c r="O315" s="2" t="s">
        <v>3608</v>
      </c>
      <c r="P315" s="2" t="s">
        <v>3595</v>
      </c>
    </row>
    <row r="316" spans="1:16" ht="13.9" customHeight="1">
      <c r="A316" s="1">
        <v>315</v>
      </c>
      <c r="B316" s="2" t="s">
        <v>3609</v>
      </c>
      <c r="C316" s="2" t="s">
        <v>1940</v>
      </c>
      <c r="D316" s="2" t="s">
        <v>3610</v>
      </c>
      <c r="E316" s="2" t="s">
        <v>3611</v>
      </c>
      <c r="F316" s="2" t="s">
        <v>3612</v>
      </c>
      <c r="G316" s="2" t="s">
        <v>3613</v>
      </c>
      <c r="H316" s="2" t="s">
        <v>3614</v>
      </c>
      <c r="I316" s="2" t="s">
        <v>3615</v>
      </c>
      <c r="J316" s="2" t="s">
        <v>3616</v>
      </c>
      <c r="K316" s="2" t="s">
        <v>3617</v>
      </c>
      <c r="L316" s="2" t="s">
        <v>3618</v>
      </c>
      <c r="M316" s="2" t="s">
        <v>3619</v>
      </c>
      <c r="N316" s="2" t="s">
        <v>3620</v>
      </c>
      <c r="O316" s="2" t="s">
        <v>3621</v>
      </c>
      <c r="P316" s="2" t="s">
        <v>3609</v>
      </c>
    </row>
    <row r="317" spans="1:16">
      <c r="A317" s="1">
        <v>316</v>
      </c>
      <c r="B317" s="2" t="s">
        <v>25497</v>
      </c>
      <c r="C317" s="2" t="s">
        <v>25498</v>
      </c>
      <c r="D317" s="2" t="s">
        <v>3622</v>
      </c>
      <c r="E317" s="2" t="s">
        <v>25499</v>
      </c>
      <c r="F317" s="2" t="s">
        <v>25500</v>
      </c>
      <c r="G317" s="2" t="s">
        <v>25501</v>
      </c>
      <c r="H317" s="2" t="s">
        <v>25502</v>
      </c>
      <c r="I317" s="2" t="s">
        <v>25503</v>
      </c>
      <c r="J317" s="2" t="s">
        <v>25504</v>
      </c>
      <c r="K317" s="2" t="s">
        <v>25505</v>
      </c>
      <c r="L317" s="2" t="s">
        <v>25506</v>
      </c>
      <c r="M317" s="2" t="s">
        <v>25507</v>
      </c>
      <c r="N317" s="2" t="s">
        <v>25508</v>
      </c>
      <c r="O317" s="2" t="s">
        <v>25509</v>
      </c>
      <c r="P317" s="2" t="s">
        <v>25497</v>
      </c>
    </row>
    <row r="318" spans="1:16">
      <c r="A318" s="1">
        <v>317</v>
      </c>
      <c r="B318" s="2" t="s">
        <v>3623</v>
      </c>
      <c r="C318" s="2" t="s">
        <v>3624</v>
      </c>
      <c r="D318" s="2" t="s">
        <v>3625</v>
      </c>
      <c r="E318" s="2" t="s">
        <v>3626</v>
      </c>
      <c r="F318" s="2" t="s">
        <v>3627</v>
      </c>
      <c r="G318" s="2" t="s">
        <v>3628</v>
      </c>
      <c r="H318" s="2" t="s">
        <v>3629</v>
      </c>
      <c r="I318" s="2" t="s">
        <v>3630</v>
      </c>
      <c r="J318" s="2" t="s">
        <v>3631</v>
      </c>
      <c r="K318" s="2" t="s">
        <v>3632</v>
      </c>
      <c r="L318" s="2" t="s">
        <v>3633</v>
      </c>
      <c r="M318" s="2" t="s">
        <v>3634</v>
      </c>
      <c r="N318" s="2" t="s">
        <v>3635</v>
      </c>
      <c r="O318" s="2" t="s">
        <v>3636</v>
      </c>
      <c r="P318" s="2" t="s">
        <v>3623</v>
      </c>
    </row>
    <row r="319" spans="1:16">
      <c r="A319" s="1">
        <v>318</v>
      </c>
      <c r="B319" s="2" t="s">
        <v>3637</v>
      </c>
      <c r="C319" s="2" t="s">
        <v>3638</v>
      </c>
      <c r="D319" s="2" t="s">
        <v>3639</v>
      </c>
      <c r="E319" s="2" t="s">
        <v>25510</v>
      </c>
      <c r="F319" s="2" t="s">
        <v>3640</v>
      </c>
      <c r="G319" s="2" t="s">
        <v>3641</v>
      </c>
      <c r="H319" s="2" t="s">
        <v>3642</v>
      </c>
      <c r="I319" s="2" t="s">
        <v>3643</v>
      </c>
      <c r="J319" s="2" t="s">
        <v>3644</v>
      </c>
      <c r="K319" s="2" t="s">
        <v>3645</v>
      </c>
      <c r="L319" s="2" t="s">
        <v>3646</v>
      </c>
      <c r="M319" s="2" t="s">
        <v>3647</v>
      </c>
      <c r="N319" s="2" t="s">
        <v>3648</v>
      </c>
      <c r="O319" s="2" t="s">
        <v>3649</v>
      </c>
      <c r="P319" s="2" t="s">
        <v>3637</v>
      </c>
    </row>
    <row r="320" spans="1:16">
      <c r="A320" s="1">
        <v>319</v>
      </c>
      <c r="B320" s="2" t="s">
        <v>3650</v>
      </c>
      <c r="C320" s="2" t="s">
        <v>3651</v>
      </c>
      <c r="D320" s="2" t="s">
        <v>3652</v>
      </c>
      <c r="E320" s="2" t="s">
        <v>3653</v>
      </c>
      <c r="F320" s="2" t="s">
        <v>3654</v>
      </c>
      <c r="G320" s="2" t="s">
        <v>3655</v>
      </c>
      <c r="H320" s="2" t="s">
        <v>3656</v>
      </c>
      <c r="I320" s="2" t="s">
        <v>3657</v>
      </c>
      <c r="J320" s="2" t="s">
        <v>3658</v>
      </c>
      <c r="K320" s="2" t="s">
        <v>3659</v>
      </c>
      <c r="L320" s="2" t="s">
        <v>3660</v>
      </c>
      <c r="M320" s="2" t="s">
        <v>3661</v>
      </c>
      <c r="N320" s="2" t="s">
        <v>3662</v>
      </c>
      <c r="O320" s="2" t="s">
        <v>3663</v>
      </c>
      <c r="P320" s="2" t="s">
        <v>3650</v>
      </c>
    </row>
    <row r="321" spans="1:16">
      <c r="A321" s="1">
        <v>320</v>
      </c>
      <c r="B321" s="2" t="s">
        <v>3664</v>
      </c>
      <c r="C321" s="2" t="s">
        <v>3665</v>
      </c>
      <c r="D321" s="2" t="s">
        <v>3666</v>
      </c>
      <c r="E321" s="2" t="s">
        <v>3667</v>
      </c>
      <c r="F321" s="2" t="s">
        <v>3668</v>
      </c>
      <c r="G321" s="2" t="s">
        <v>3669</v>
      </c>
      <c r="H321" s="2" t="s">
        <v>3670</v>
      </c>
      <c r="I321" s="2" t="s">
        <v>22752</v>
      </c>
      <c r="J321" s="2" t="s">
        <v>3671</v>
      </c>
      <c r="K321" s="2" t="s">
        <v>3672</v>
      </c>
      <c r="L321" s="2" t="s">
        <v>3673</v>
      </c>
      <c r="M321" s="2" t="s">
        <v>3674</v>
      </c>
      <c r="N321" s="2" t="s">
        <v>3675</v>
      </c>
      <c r="O321" s="2" t="s">
        <v>3676</v>
      </c>
      <c r="P321" s="2" t="s">
        <v>3664</v>
      </c>
    </row>
    <row r="322" spans="1:16" ht="13.9" customHeight="1">
      <c r="A322" s="1">
        <v>321</v>
      </c>
      <c r="B322" s="2" t="s">
        <v>3677</v>
      </c>
      <c r="C322" s="2" t="s">
        <v>3665</v>
      </c>
      <c r="D322" s="2" t="s">
        <v>3678</v>
      </c>
      <c r="E322" s="2" t="s">
        <v>3667</v>
      </c>
      <c r="F322" s="2" t="s">
        <v>3668</v>
      </c>
      <c r="G322" s="2" t="s">
        <v>3669</v>
      </c>
      <c r="H322" s="2" t="s">
        <v>3670</v>
      </c>
      <c r="I322" s="2" t="s">
        <v>22753</v>
      </c>
      <c r="J322" s="2" t="s">
        <v>3679</v>
      </c>
      <c r="K322" s="2" t="s">
        <v>3680</v>
      </c>
      <c r="L322" s="2" t="s">
        <v>3672</v>
      </c>
      <c r="M322" s="2" t="s">
        <v>3681</v>
      </c>
      <c r="N322" s="2" t="s">
        <v>3682</v>
      </c>
      <c r="O322" s="2" t="s">
        <v>3683</v>
      </c>
      <c r="P322" s="2" t="s">
        <v>3677</v>
      </c>
    </row>
    <row r="323" spans="1:16">
      <c r="A323" s="1">
        <v>322</v>
      </c>
      <c r="B323" s="2" t="s">
        <v>3684</v>
      </c>
      <c r="C323" s="2" t="s">
        <v>3685</v>
      </c>
      <c r="D323" s="2" t="s">
        <v>3686</v>
      </c>
      <c r="E323" s="2" t="s">
        <v>3687</v>
      </c>
      <c r="F323" s="2" t="s">
        <v>3688</v>
      </c>
      <c r="G323" s="2" t="s">
        <v>3689</v>
      </c>
      <c r="H323" s="2" t="s">
        <v>3690</v>
      </c>
      <c r="I323" s="2" t="s">
        <v>3691</v>
      </c>
      <c r="J323" s="2" t="s">
        <v>3692</v>
      </c>
      <c r="K323" s="2" t="s">
        <v>3693</v>
      </c>
      <c r="L323" s="2" t="s">
        <v>3694</v>
      </c>
      <c r="M323" s="2" t="s">
        <v>3695</v>
      </c>
      <c r="N323" s="2" t="s">
        <v>3696</v>
      </c>
      <c r="O323" s="2" t="s">
        <v>3697</v>
      </c>
      <c r="P323" s="2" t="s">
        <v>3684</v>
      </c>
    </row>
    <row r="324" spans="1:16">
      <c r="A324" s="1">
        <v>323</v>
      </c>
      <c r="B324" s="2" t="s">
        <v>3698</v>
      </c>
      <c r="C324" s="2" t="s">
        <v>3699</v>
      </c>
      <c r="D324" s="2" t="s">
        <v>3700</v>
      </c>
      <c r="E324" s="2" t="s">
        <v>3701</v>
      </c>
      <c r="F324" s="2" t="s">
        <v>3702</v>
      </c>
      <c r="G324" s="2" t="s">
        <v>3703</v>
      </c>
      <c r="H324" s="2" t="s">
        <v>3704</v>
      </c>
      <c r="I324" s="2" t="s">
        <v>22754</v>
      </c>
      <c r="J324" s="2" t="s">
        <v>3705</v>
      </c>
      <c r="K324" s="2" t="s">
        <v>3706</v>
      </c>
      <c r="L324" s="2" t="s">
        <v>3707</v>
      </c>
      <c r="M324" s="2" t="s">
        <v>3708</v>
      </c>
      <c r="N324" s="2" t="s">
        <v>3709</v>
      </c>
      <c r="O324" s="2" t="s">
        <v>3710</v>
      </c>
      <c r="P324" s="2" t="s">
        <v>3698</v>
      </c>
    </row>
    <row r="325" spans="1:16" ht="13.9" customHeight="1">
      <c r="A325" s="1">
        <v>324</v>
      </c>
      <c r="B325" s="2" t="s">
        <v>3711</v>
      </c>
      <c r="C325" s="2" t="s">
        <v>3699</v>
      </c>
      <c r="D325" s="2" t="s">
        <v>3712</v>
      </c>
      <c r="E325" s="2" t="s">
        <v>3701</v>
      </c>
      <c r="F325" s="2" t="s">
        <v>3702</v>
      </c>
      <c r="G325" s="2" t="s">
        <v>3703</v>
      </c>
      <c r="H325" s="2" t="s">
        <v>3704</v>
      </c>
      <c r="I325" s="2" t="s">
        <v>22755</v>
      </c>
      <c r="J325" s="2" t="s">
        <v>3713</v>
      </c>
      <c r="K325" s="2" t="s">
        <v>3714</v>
      </c>
      <c r="L325" s="2" t="s">
        <v>3706</v>
      </c>
      <c r="M325" s="2" t="s">
        <v>3715</v>
      </c>
      <c r="N325" s="2" t="s">
        <v>3716</v>
      </c>
      <c r="O325" s="2" t="s">
        <v>3717</v>
      </c>
      <c r="P325" s="2" t="s">
        <v>3711</v>
      </c>
    </row>
    <row r="326" spans="1:16" ht="13.9" customHeight="1">
      <c r="A326" s="1">
        <v>325</v>
      </c>
      <c r="B326" s="2" t="s">
        <v>3718</v>
      </c>
      <c r="C326" s="2" t="s">
        <v>3719</v>
      </c>
      <c r="D326" s="2" t="s">
        <v>3720</v>
      </c>
      <c r="E326" s="2" t="s">
        <v>3721</v>
      </c>
      <c r="F326" s="2" t="s">
        <v>3722</v>
      </c>
      <c r="G326" s="2" t="s">
        <v>3723</v>
      </c>
      <c r="H326" s="2" t="s">
        <v>3724</v>
      </c>
      <c r="I326" s="2" t="s">
        <v>22756</v>
      </c>
      <c r="J326" s="2" t="s">
        <v>3725</v>
      </c>
      <c r="K326" s="2" t="s">
        <v>3726</v>
      </c>
      <c r="L326" s="2" t="s">
        <v>3727</v>
      </c>
      <c r="M326" s="2" t="s">
        <v>3728</v>
      </c>
      <c r="N326" s="2" t="s">
        <v>3729</v>
      </c>
      <c r="O326" s="2" t="s">
        <v>3730</v>
      </c>
      <c r="P326" s="2" t="s">
        <v>3718</v>
      </c>
    </row>
    <row r="327" spans="1:16" ht="13.9" customHeight="1">
      <c r="A327" s="1">
        <v>326</v>
      </c>
      <c r="B327" s="2" t="s">
        <v>3731</v>
      </c>
      <c r="C327" s="2" t="s">
        <v>3732</v>
      </c>
      <c r="D327" s="2" t="s">
        <v>3733</v>
      </c>
      <c r="E327" s="2" t="s">
        <v>3734</v>
      </c>
      <c r="F327" s="2" t="s">
        <v>3735</v>
      </c>
      <c r="G327" s="2" t="s">
        <v>3736</v>
      </c>
      <c r="H327" s="2" t="s">
        <v>3737</v>
      </c>
      <c r="I327" s="2" t="s">
        <v>22757</v>
      </c>
      <c r="J327" s="2" t="s">
        <v>3738</v>
      </c>
      <c r="K327" s="2" t="s">
        <v>3739</v>
      </c>
      <c r="L327" s="2" t="s">
        <v>3740</v>
      </c>
      <c r="M327" s="2" t="s">
        <v>3741</v>
      </c>
      <c r="N327" s="2" t="s">
        <v>3742</v>
      </c>
      <c r="O327" s="2" t="s">
        <v>3743</v>
      </c>
      <c r="P327" s="2" t="s">
        <v>3731</v>
      </c>
    </row>
    <row r="328" spans="1:16" ht="13.9" customHeight="1">
      <c r="A328" s="1">
        <v>327</v>
      </c>
      <c r="B328" s="2" t="s">
        <v>3744</v>
      </c>
      <c r="C328" s="2" t="s">
        <v>3745</v>
      </c>
      <c r="D328" s="2" t="s">
        <v>3746</v>
      </c>
      <c r="E328" s="2" t="s">
        <v>3747</v>
      </c>
      <c r="F328" s="2" t="s">
        <v>3748</v>
      </c>
      <c r="G328" s="2" t="s">
        <v>3749</v>
      </c>
      <c r="H328" s="2" t="s">
        <v>3750</v>
      </c>
      <c r="I328" s="2" t="s">
        <v>3751</v>
      </c>
      <c r="J328" s="2" t="s">
        <v>3752</v>
      </c>
      <c r="K328" s="2" t="s">
        <v>3753</v>
      </c>
      <c r="L328" s="2" t="s">
        <v>3754</v>
      </c>
      <c r="M328" s="2" t="s">
        <v>3755</v>
      </c>
      <c r="N328" s="2" t="s">
        <v>3756</v>
      </c>
      <c r="O328" s="2" t="s">
        <v>3757</v>
      </c>
      <c r="P328" s="2" t="s">
        <v>3744</v>
      </c>
    </row>
    <row r="329" spans="1:16" ht="13.9" customHeight="1">
      <c r="A329" s="1">
        <v>328</v>
      </c>
      <c r="B329" s="2" t="s">
        <v>3758</v>
      </c>
      <c r="C329" s="2" t="s">
        <v>3759</v>
      </c>
      <c r="D329" s="2" t="s">
        <v>3760</v>
      </c>
      <c r="E329" s="2" t="s">
        <v>3761</v>
      </c>
      <c r="F329" s="2" t="s">
        <v>3762</v>
      </c>
      <c r="G329" s="2" t="s">
        <v>3763</v>
      </c>
      <c r="H329" s="2" t="s">
        <v>3764</v>
      </c>
      <c r="I329" s="2" t="s">
        <v>3765</v>
      </c>
      <c r="J329" s="2" t="s">
        <v>3766</v>
      </c>
      <c r="K329" s="2" t="s">
        <v>3767</v>
      </c>
      <c r="L329" s="2" t="s">
        <v>3768</v>
      </c>
      <c r="M329" s="2" t="s">
        <v>3769</v>
      </c>
      <c r="N329" s="2" t="s">
        <v>3770</v>
      </c>
      <c r="O329" s="2" t="s">
        <v>3771</v>
      </c>
      <c r="P329" s="2" t="s">
        <v>3758</v>
      </c>
    </row>
    <row r="330" spans="1:16" ht="13.9" customHeight="1">
      <c r="A330" s="1">
        <v>329</v>
      </c>
      <c r="B330" s="2" t="s">
        <v>3772</v>
      </c>
      <c r="C330" s="2" t="s">
        <v>3773</v>
      </c>
      <c r="D330" s="2" t="s">
        <v>3774</v>
      </c>
      <c r="E330" s="2" t="s">
        <v>3775</v>
      </c>
      <c r="F330" s="2" t="s">
        <v>3776</v>
      </c>
      <c r="G330" s="2" t="s">
        <v>3777</v>
      </c>
      <c r="H330" s="2" t="s">
        <v>3778</v>
      </c>
      <c r="I330" s="2" t="s">
        <v>3779</v>
      </c>
      <c r="J330" s="2" t="s">
        <v>3780</v>
      </c>
      <c r="K330" s="2" t="s">
        <v>3781</v>
      </c>
      <c r="L330" s="2" t="s">
        <v>3782</v>
      </c>
      <c r="M330" s="2" t="s">
        <v>3783</v>
      </c>
      <c r="N330" s="2" t="s">
        <v>3784</v>
      </c>
      <c r="O330" s="2" t="s">
        <v>3785</v>
      </c>
      <c r="P330" s="2" t="s">
        <v>3772</v>
      </c>
    </row>
    <row r="331" spans="1:16" ht="13.9" customHeight="1">
      <c r="A331" s="1">
        <v>330</v>
      </c>
      <c r="B331" s="2" t="s">
        <v>3786</v>
      </c>
      <c r="C331" s="2" t="s">
        <v>3787</v>
      </c>
      <c r="D331" s="2" t="s">
        <v>3788</v>
      </c>
      <c r="E331" s="2" t="s">
        <v>3789</v>
      </c>
      <c r="F331" s="2" t="s">
        <v>3790</v>
      </c>
      <c r="G331" s="2" t="s">
        <v>3791</v>
      </c>
      <c r="H331" s="2" t="s">
        <v>3792</v>
      </c>
      <c r="I331" s="2" t="s">
        <v>3793</v>
      </c>
      <c r="J331" s="2" t="s">
        <v>3794</v>
      </c>
      <c r="K331" s="2" t="s">
        <v>3795</v>
      </c>
      <c r="L331" s="2" t="s">
        <v>3796</v>
      </c>
      <c r="M331" s="2" t="s">
        <v>3797</v>
      </c>
      <c r="N331" s="2" t="s">
        <v>3798</v>
      </c>
      <c r="O331" s="2" t="s">
        <v>3799</v>
      </c>
      <c r="P331" s="2" t="s">
        <v>3786</v>
      </c>
    </row>
    <row r="332" spans="1:16" ht="13.9" customHeight="1">
      <c r="A332" s="1">
        <v>331</v>
      </c>
      <c r="B332" s="2" t="s">
        <v>3800</v>
      </c>
      <c r="C332" s="2" t="s">
        <v>3801</v>
      </c>
      <c r="D332" s="2" t="s">
        <v>3802</v>
      </c>
      <c r="E332" s="2" t="s">
        <v>3803</v>
      </c>
      <c r="F332" s="2" t="s">
        <v>3804</v>
      </c>
      <c r="G332" s="2" t="s">
        <v>3805</v>
      </c>
      <c r="H332" s="2" t="s">
        <v>3806</v>
      </c>
      <c r="I332" s="2" t="s">
        <v>22758</v>
      </c>
      <c r="J332" s="2" t="s">
        <v>3807</v>
      </c>
      <c r="K332" s="2" t="s">
        <v>3808</v>
      </c>
      <c r="L332" s="2" t="s">
        <v>3809</v>
      </c>
      <c r="M332" s="2" t="s">
        <v>3810</v>
      </c>
      <c r="N332" s="2" t="s">
        <v>3811</v>
      </c>
      <c r="O332" s="2" t="s">
        <v>3812</v>
      </c>
      <c r="P332" s="2" t="s">
        <v>3800</v>
      </c>
    </row>
    <row r="333" spans="1:16" ht="13.9" customHeight="1">
      <c r="A333" s="1">
        <v>332</v>
      </c>
      <c r="B333" s="2" t="s">
        <v>3813</v>
      </c>
      <c r="C333" s="2" t="s">
        <v>3814</v>
      </c>
      <c r="D333" s="2" t="s">
        <v>3815</v>
      </c>
      <c r="E333" s="2" t="s">
        <v>3816</v>
      </c>
      <c r="F333" s="2" t="s">
        <v>3817</v>
      </c>
      <c r="G333" s="2" t="s">
        <v>3814</v>
      </c>
      <c r="H333" s="2" t="s">
        <v>3818</v>
      </c>
      <c r="I333" s="2" t="s">
        <v>3817</v>
      </c>
      <c r="J333" s="2" t="s">
        <v>3819</v>
      </c>
      <c r="K333" s="2" t="s">
        <v>3820</v>
      </c>
      <c r="L333" s="2" t="s">
        <v>3821</v>
      </c>
      <c r="M333" s="2" t="s">
        <v>3822</v>
      </c>
      <c r="N333" s="2" t="s">
        <v>3821</v>
      </c>
      <c r="O333" s="2" t="s">
        <v>3823</v>
      </c>
      <c r="P333" s="2" t="s">
        <v>3813</v>
      </c>
    </row>
    <row r="334" spans="1:16" ht="13.9" customHeight="1">
      <c r="A334" s="1">
        <v>333</v>
      </c>
      <c r="B334" s="2" t="s">
        <v>3824</v>
      </c>
      <c r="C334" s="2" t="s">
        <v>3825</v>
      </c>
      <c r="D334" s="2" t="s">
        <v>3826</v>
      </c>
      <c r="E334" s="2" t="s">
        <v>3827</v>
      </c>
      <c r="F334" s="2" t="s">
        <v>3828</v>
      </c>
      <c r="G334" s="2" t="s">
        <v>3829</v>
      </c>
      <c r="H334" s="2" t="s">
        <v>3830</v>
      </c>
      <c r="I334" s="2" t="s">
        <v>3831</v>
      </c>
      <c r="J334" s="2" t="s">
        <v>3832</v>
      </c>
      <c r="K334" s="2" t="s">
        <v>3833</v>
      </c>
      <c r="L334" s="2" t="s">
        <v>3834</v>
      </c>
      <c r="M334" s="2" t="s">
        <v>3835</v>
      </c>
      <c r="N334" s="2" t="s">
        <v>3836</v>
      </c>
      <c r="O334" s="2" t="s">
        <v>3837</v>
      </c>
      <c r="P334" s="2" t="s">
        <v>3824</v>
      </c>
    </row>
    <row r="335" spans="1:16">
      <c r="A335" s="1">
        <v>334</v>
      </c>
      <c r="B335" s="2" t="s">
        <v>3838</v>
      </c>
      <c r="C335" s="2" t="s">
        <v>3839</v>
      </c>
      <c r="D335" s="2" t="s">
        <v>3840</v>
      </c>
      <c r="E335" s="2" t="s">
        <v>3841</v>
      </c>
      <c r="F335" s="2" t="s">
        <v>3842</v>
      </c>
      <c r="G335" s="2" t="s">
        <v>3843</v>
      </c>
      <c r="H335" s="2" t="s">
        <v>3844</v>
      </c>
      <c r="I335" s="2" t="s">
        <v>22759</v>
      </c>
      <c r="J335" s="2" t="s">
        <v>3845</v>
      </c>
      <c r="K335" s="2" t="s">
        <v>3846</v>
      </c>
      <c r="L335" s="2" t="s">
        <v>3847</v>
      </c>
      <c r="M335" s="2" t="s">
        <v>3848</v>
      </c>
      <c r="N335" s="2" t="s">
        <v>3849</v>
      </c>
      <c r="O335" s="2" t="s">
        <v>3850</v>
      </c>
      <c r="P335" s="2" t="s">
        <v>3838</v>
      </c>
    </row>
    <row r="336" spans="1:16">
      <c r="A336" s="1">
        <v>335</v>
      </c>
      <c r="B336" s="2" t="s">
        <v>3851</v>
      </c>
      <c r="C336" s="2" t="s">
        <v>3852</v>
      </c>
      <c r="D336" s="2" t="s">
        <v>3853</v>
      </c>
      <c r="E336" s="2" t="s">
        <v>3854</v>
      </c>
      <c r="F336" s="2" t="s">
        <v>3855</v>
      </c>
      <c r="G336" s="2" t="s">
        <v>3856</v>
      </c>
      <c r="H336" s="2" t="s">
        <v>3857</v>
      </c>
      <c r="I336" s="2" t="s">
        <v>22760</v>
      </c>
      <c r="J336" s="2" t="s">
        <v>3858</v>
      </c>
      <c r="K336" s="2" t="s">
        <v>3859</v>
      </c>
      <c r="L336" s="2" t="s">
        <v>3860</v>
      </c>
      <c r="M336" s="2" t="s">
        <v>3861</v>
      </c>
      <c r="N336" s="2" t="s">
        <v>3862</v>
      </c>
      <c r="O336" s="2" t="s">
        <v>3863</v>
      </c>
      <c r="P336" s="2" t="s">
        <v>3851</v>
      </c>
    </row>
    <row r="337" spans="1:16">
      <c r="A337" s="1">
        <v>336</v>
      </c>
      <c r="B337" s="2" t="s">
        <v>3864</v>
      </c>
      <c r="C337" s="2" t="s">
        <v>3865</v>
      </c>
      <c r="D337" s="2" t="s">
        <v>3866</v>
      </c>
      <c r="E337" s="2" t="s">
        <v>3867</v>
      </c>
      <c r="F337" s="2" t="s">
        <v>3868</v>
      </c>
      <c r="G337" s="2" t="s">
        <v>3869</v>
      </c>
      <c r="H337" s="2" t="s">
        <v>3870</v>
      </c>
      <c r="I337" s="2" t="s">
        <v>22761</v>
      </c>
      <c r="J337" s="2" t="s">
        <v>3871</v>
      </c>
      <c r="K337" s="2" t="s">
        <v>3859</v>
      </c>
      <c r="L337" s="2" t="s">
        <v>3872</v>
      </c>
      <c r="M337" s="2" t="s">
        <v>3873</v>
      </c>
      <c r="N337" s="2" t="s">
        <v>3874</v>
      </c>
      <c r="O337" s="2" t="s">
        <v>3875</v>
      </c>
      <c r="P337" s="2" t="s">
        <v>3864</v>
      </c>
    </row>
    <row r="338" spans="1:16">
      <c r="A338" s="1">
        <v>337</v>
      </c>
      <c r="B338" s="2" t="s">
        <v>3876</v>
      </c>
      <c r="C338" s="2" t="s">
        <v>3877</v>
      </c>
      <c r="D338" s="2" t="s">
        <v>3878</v>
      </c>
      <c r="E338" s="2" t="s">
        <v>3879</v>
      </c>
      <c r="F338" s="2" t="s">
        <v>3880</v>
      </c>
      <c r="G338" s="2" t="s">
        <v>3881</v>
      </c>
      <c r="H338" s="2" t="s">
        <v>3882</v>
      </c>
      <c r="I338" s="2" t="s">
        <v>3883</v>
      </c>
      <c r="J338" s="2" t="s">
        <v>3884</v>
      </c>
      <c r="K338" s="2" t="s">
        <v>3885</v>
      </c>
      <c r="L338" s="2" t="s">
        <v>3886</v>
      </c>
      <c r="M338" s="2" t="s">
        <v>3887</v>
      </c>
      <c r="N338" s="2" t="s">
        <v>3888</v>
      </c>
      <c r="O338" s="2" t="s">
        <v>3889</v>
      </c>
      <c r="P338" s="2" t="s">
        <v>3876</v>
      </c>
    </row>
    <row r="339" spans="1:16">
      <c r="A339" s="1">
        <v>338</v>
      </c>
      <c r="B339" s="2" t="s">
        <v>3890</v>
      </c>
      <c r="C339" s="2" t="s">
        <v>3891</v>
      </c>
      <c r="D339" s="2" t="s">
        <v>3892</v>
      </c>
      <c r="E339" s="2" t="s">
        <v>3893</v>
      </c>
      <c r="F339" s="2" t="s">
        <v>3894</v>
      </c>
      <c r="G339" s="2" t="s">
        <v>3895</v>
      </c>
      <c r="H339" s="2" t="s">
        <v>3896</v>
      </c>
      <c r="I339" s="2" t="s">
        <v>3897</v>
      </c>
      <c r="J339" s="2" t="s">
        <v>3898</v>
      </c>
      <c r="K339" s="2" t="s">
        <v>3899</v>
      </c>
      <c r="L339" s="2" t="s">
        <v>3900</v>
      </c>
      <c r="M339" s="2" t="s">
        <v>3901</v>
      </c>
      <c r="N339" s="2" t="s">
        <v>3902</v>
      </c>
      <c r="O339" s="2" t="s">
        <v>3903</v>
      </c>
      <c r="P339" s="2" t="s">
        <v>3890</v>
      </c>
    </row>
    <row r="340" spans="1:16">
      <c r="A340" s="1">
        <v>339</v>
      </c>
      <c r="B340" s="2" t="s">
        <v>3904</v>
      </c>
      <c r="C340" s="2" t="s">
        <v>3905</v>
      </c>
      <c r="D340" s="2" t="s">
        <v>3906</v>
      </c>
      <c r="E340" s="2" t="s">
        <v>3907</v>
      </c>
      <c r="F340" s="2" t="s">
        <v>3922</v>
      </c>
      <c r="G340" s="2" t="s">
        <v>3909</v>
      </c>
      <c r="H340" s="2" t="s">
        <v>3910</v>
      </c>
      <c r="I340" s="2" t="s">
        <v>3911</v>
      </c>
      <c r="J340" s="2" t="s">
        <v>3912</v>
      </c>
      <c r="K340" s="2" t="s">
        <v>3913</v>
      </c>
      <c r="L340" s="2" t="s">
        <v>3914</v>
      </c>
      <c r="M340" s="2" t="s">
        <v>3915</v>
      </c>
      <c r="N340" s="2" t="s">
        <v>3916</v>
      </c>
      <c r="O340" s="2" t="s">
        <v>3917</v>
      </c>
      <c r="P340" s="2" t="s">
        <v>3904</v>
      </c>
    </row>
    <row r="341" spans="1:16">
      <c r="A341" s="1">
        <v>340</v>
      </c>
      <c r="B341" s="2" t="s">
        <v>3918</v>
      </c>
      <c r="C341" s="2" t="s">
        <v>3919</v>
      </c>
      <c r="D341" s="2" t="s">
        <v>3920</v>
      </c>
      <c r="E341" s="2" t="s">
        <v>3921</v>
      </c>
      <c r="F341" s="2" t="s">
        <v>3908</v>
      </c>
      <c r="G341" s="2" t="s">
        <v>3923</v>
      </c>
      <c r="H341" s="2" t="s">
        <v>3924</v>
      </c>
      <c r="I341" s="2" t="s">
        <v>22686</v>
      </c>
      <c r="J341" s="2" t="s">
        <v>3925</v>
      </c>
      <c r="K341" s="2" t="s">
        <v>3926</v>
      </c>
      <c r="L341" s="2" t="s">
        <v>3927</v>
      </c>
      <c r="M341" s="2" t="s">
        <v>3928</v>
      </c>
      <c r="N341" s="2" t="s">
        <v>3929</v>
      </c>
      <c r="O341" s="2" t="s">
        <v>3930</v>
      </c>
      <c r="P341" s="2" t="s">
        <v>3918</v>
      </c>
    </row>
    <row r="342" spans="1:16">
      <c r="A342" s="1">
        <v>341</v>
      </c>
      <c r="B342" s="2" t="s">
        <v>3931</v>
      </c>
      <c r="C342" s="2" t="s">
        <v>3932</v>
      </c>
      <c r="D342" s="2" t="s">
        <v>3933</v>
      </c>
      <c r="E342" s="2" t="s">
        <v>3934</v>
      </c>
      <c r="F342" s="2" t="s">
        <v>1834</v>
      </c>
      <c r="G342" s="2" t="s">
        <v>3935</v>
      </c>
      <c r="H342" s="2" t="s">
        <v>3936</v>
      </c>
      <c r="I342" s="2" t="s">
        <v>3937</v>
      </c>
      <c r="J342" s="2" t="s">
        <v>3938</v>
      </c>
      <c r="K342" s="2" t="s">
        <v>3939</v>
      </c>
      <c r="L342" s="2" t="s">
        <v>3940</v>
      </c>
      <c r="M342" s="2" t="s">
        <v>3941</v>
      </c>
      <c r="N342" s="2" t="s">
        <v>3942</v>
      </c>
      <c r="O342" s="2" t="s">
        <v>3943</v>
      </c>
      <c r="P342" s="2" t="s">
        <v>3931</v>
      </c>
    </row>
    <row r="343" spans="1:16">
      <c r="A343" s="1">
        <v>342</v>
      </c>
      <c r="B343" s="2" t="s">
        <v>3944</v>
      </c>
      <c r="C343" s="2" t="s">
        <v>3945</v>
      </c>
      <c r="D343" s="2" t="s">
        <v>3946</v>
      </c>
      <c r="E343" s="2" t="s">
        <v>3947</v>
      </c>
      <c r="F343" s="2" t="s">
        <v>3948</v>
      </c>
      <c r="G343" s="2" t="s">
        <v>3949</v>
      </c>
      <c r="H343" s="2" t="s">
        <v>3950</v>
      </c>
      <c r="I343" s="2" t="s">
        <v>22762</v>
      </c>
      <c r="J343" s="2" t="s">
        <v>3951</v>
      </c>
      <c r="K343" s="2" t="s">
        <v>3952</v>
      </c>
      <c r="L343" s="2" t="s">
        <v>3953</v>
      </c>
      <c r="M343" s="2" t="s">
        <v>3954</v>
      </c>
      <c r="N343" s="2" t="s">
        <v>3955</v>
      </c>
      <c r="O343" s="2" t="s">
        <v>3956</v>
      </c>
      <c r="P343" s="2" t="s">
        <v>3944</v>
      </c>
    </row>
    <row r="344" spans="1:16">
      <c r="A344" s="1">
        <v>343</v>
      </c>
      <c r="B344" s="2" t="s">
        <v>3957</v>
      </c>
      <c r="C344" s="2" t="s">
        <v>3958</v>
      </c>
      <c r="D344" s="2" t="s">
        <v>3959</v>
      </c>
      <c r="E344" s="2" t="s">
        <v>3960</v>
      </c>
      <c r="F344" s="2" t="s">
        <v>3961</v>
      </c>
      <c r="G344" s="2" t="s">
        <v>3962</v>
      </c>
      <c r="H344" s="2" t="s">
        <v>3963</v>
      </c>
      <c r="I344" s="2" t="s">
        <v>22763</v>
      </c>
      <c r="J344" s="2" t="s">
        <v>3964</v>
      </c>
      <c r="K344" s="2" t="s">
        <v>3965</v>
      </c>
      <c r="L344" s="2" t="s">
        <v>3966</v>
      </c>
      <c r="M344" s="2" t="s">
        <v>3967</v>
      </c>
      <c r="N344" s="2" t="s">
        <v>3968</v>
      </c>
      <c r="O344" s="2" t="s">
        <v>3969</v>
      </c>
      <c r="P344" s="2" t="s">
        <v>3957</v>
      </c>
    </row>
    <row r="345" spans="1:16">
      <c r="A345" s="1">
        <v>344</v>
      </c>
      <c r="B345" s="2" t="s">
        <v>3970</v>
      </c>
      <c r="C345" s="2" t="s">
        <v>3971</v>
      </c>
      <c r="D345" s="2" t="s">
        <v>3972</v>
      </c>
      <c r="E345" s="2" t="s">
        <v>3973</v>
      </c>
      <c r="F345" s="2" t="s">
        <v>3974</v>
      </c>
      <c r="G345" s="2" t="s">
        <v>3975</v>
      </c>
      <c r="H345" s="2" t="s">
        <v>3976</v>
      </c>
      <c r="I345" s="2" t="s">
        <v>3977</v>
      </c>
      <c r="J345" s="2" t="s">
        <v>3978</v>
      </c>
      <c r="K345" s="2" t="s">
        <v>3979</v>
      </c>
      <c r="L345" s="2" t="s">
        <v>3980</v>
      </c>
      <c r="M345" s="2" t="s">
        <v>3981</v>
      </c>
      <c r="N345" s="2" t="s">
        <v>3982</v>
      </c>
      <c r="O345" s="2" t="s">
        <v>3983</v>
      </c>
      <c r="P345" s="2" t="s">
        <v>3970</v>
      </c>
    </row>
    <row r="346" spans="1:16">
      <c r="A346" s="1">
        <v>345</v>
      </c>
      <c r="B346" s="2" t="s">
        <v>3984</v>
      </c>
      <c r="C346" s="2" t="s">
        <v>3985</v>
      </c>
      <c r="D346" s="2" t="s">
        <v>3986</v>
      </c>
      <c r="E346" s="2" t="s">
        <v>3987</v>
      </c>
      <c r="F346" s="2" t="s">
        <v>3988</v>
      </c>
      <c r="G346" s="2" t="s">
        <v>3989</v>
      </c>
      <c r="H346" s="2" t="s">
        <v>3990</v>
      </c>
      <c r="I346" s="2" t="s">
        <v>3977</v>
      </c>
      <c r="J346" s="2" t="s">
        <v>3991</v>
      </c>
      <c r="K346" s="2" t="s">
        <v>3992</v>
      </c>
      <c r="L346" s="2" t="s">
        <v>3993</v>
      </c>
      <c r="M346" s="2" t="s">
        <v>3994</v>
      </c>
      <c r="N346" s="2" t="s">
        <v>3995</v>
      </c>
      <c r="O346" s="2" t="s">
        <v>3996</v>
      </c>
      <c r="P346" s="2" t="s">
        <v>3984</v>
      </c>
    </row>
    <row r="347" spans="1:16">
      <c r="A347" s="1">
        <v>346</v>
      </c>
      <c r="B347" s="2" t="s">
        <v>3997</v>
      </c>
      <c r="C347" s="2" t="s">
        <v>3998</v>
      </c>
      <c r="D347" s="2" t="s">
        <v>3999</v>
      </c>
      <c r="E347" s="2" t="s">
        <v>4000</v>
      </c>
      <c r="F347" s="2" t="s">
        <v>4001</v>
      </c>
      <c r="G347" s="2" t="s">
        <v>4002</v>
      </c>
      <c r="H347" s="2" t="s">
        <v>4003</v>
      </c>
      <c r="I347" s="2" t="s">
        <v>4004</v>
      </c>
      <c r="J347" s="2" t="s">
        <v>4005</v>
      </c>
      <c r="K347" s="2" t="s">
        <v>4006</v>
      </c>
      <c r="L347" s="2" t="s">
        <v>4007</v>
      </c>
      <c r="M347" s="2" t="s">
        <v>4008</v>
      </c>
      <c r="N347" s="2" t="s">
        <v>4008</v>
      </c>
      <c r="O347" s="2" t="s">
        <v>4009</v>
      </c>
      <c r="P347" s="2" t="s">
        <v>3997</v>
      </c>
    </row>
    <row r="348" spans="1:16">
      <c r="A348" s="1">
        <v>347</v>
      </c>
      <c r="B348" s="2" t="s">
        <v>4010</v>
      </c>
      <c r="C348" s="2" t="s">
        <v>3852</v>
      </c>
      <c r="D348" s="2" t="s">
        <v>3826</v>
      </c>
      <c r="E348" s="2" t="s">
        <v>4011</v>
      </c>
      <c r="F348" s="2" t="s">
        <v>3828</v>
      </c>
      <c r="G348" s="2" t="s">
        <v>4012</v>
      </c>
      <c r="H348" s="2" t="s">
        <v>4013</v>
      </c>
      <c r="I348" s="2" t="s">
        <v>4014</v>
      </c>
      <c r="J348" s="2" t="s">
        <v>4015</v>
      </c>
      <c r="K348" s="2" t="s">
        <v>4016</v>
      </c>
      <c r="L348" s="2" t="s">
        <v>4017</v>
      </c>
      <c r="M348" s="2" t="s">
        <v>4018</v>
      </c>
      <c r="N348" s="2" t="s">
        <v>4019</v>
      </c>
      <c r="O348" s="2" t="s">
        <v>4020</v>
      </c>
      <c r="P348" s="2" t="s">
        <v>4010</v>
      </c>
    </row>
    <row r="349" spans="1:16">
      <c r="A349" s="1">
        <v>348</v>
      </c>
      <c r="B349" s="2" t="s">
        <v>4021</v>
      </c>
      <c r="C349" s="2" t="s">
        <v>4022</v>
      </c>
      <c r="D349" s="2" t="s">
        <v>4023</v>
      </c>
      <c r="E349" s="2" t="s">
        <v>4024</v>
      </c>
      <c r="F349" s="2" t="s">
        <v>4025</v>
      </c>
      <c r="G349" s="2" t="s">
        <v>4026</v>
      </c>
      <c r="H349" s="2" t="s">
        <v>4027</v>
      </c>
      <c r="I349" s="2" t="s">
        <v>4028</v>
      </c>
      <c r="J349" s="2" t="s">
        <v>4029</v>
      </c>
      <c r="K349" s="2" t="s">
        <v>4030</v>
      </c>
      <c r="L349" s="2" t="s">
        <v>4031</v>
      </c>
      <c r="M349" s="2" t="s">
        <v>4032</v>
      </c>
      <c r="N349" s="2" t="s">
        <v>4033</v>
      </c>
      <c r="O349" s="2" t="s">
        <v>4034</v>
      </c>
      <c r="P349" s="2" t="s">
        <v>4021</v>
      </c>
    </row>
    <row r="350" spans="1:16">
      <c r="A350" s="1">
        <v>349</v>
      </c>
      <c r="B350" s="2" t="s">
        <v>4035</v>
      </c>
      <c r="C350" s="2" t="s">
        <v>4036</v>
      </c>
      <c r="D350" s="2" t="s">
        <v>4037</v>
      </c>
      <c r="E350" s="2" t="s">
        <v>4038</v>
      </c>
      <c r="F350" s="2" t="s">
        <v>4039</v>
      </c>
      <c r="G350" s="2" t="s">
        <v>4036</v>
      </c>
      <c r="H350" s="2" t="s">
        <v>4036</v>
      </c>
      <c r="I350" s="2" t="s">
        <v>4039</v>
      </c>
      <c r="J350" s="2" t="s">
        <v>4040</v>
      </c>
      <c r="K350" s="2" t="s">
        <v>4041</v>
      </c>
      <c r="L350" s="2" t="s">
        <v>4042</v>
      </c>
      <c r="M350" s="2" t="s">
        <v>4040</v>
      </c>
      <c r="N350" s="2" t="s">
        <v>4042</v>
      </c>
      <c r="O350" s="2" t="s">
        <v>4043</v>
      </c>
      <c r="P350" s="2" t="s">
        <v>4035</v>
      </c>
    </row>
    <row r="351" spans="1:16">
      <c r="A351" s="1">
        <v>350</v>
      </c>
      <c r="B351" s="2" t="s">
        <v>4044</v>
      </c>
      <c r="C351" s="2" t="s">
        <v>4045</v>
      </c>
      <c r="D351" s="2" t="s">
        <v>4046</v>
      </c>
      <c r="E351" s="2" t="s">
        <v>4047</v>
      </c>
      <c r="F351" s="2" t="s">
        <v>4048</v>
      </c>
      <c r="G351" s="2" t="s">
        <v>4049</v>
      </c>
      <c r="H351" s="2" t="s">
        <v>4050</v>
      </c>
      <c r="I351" s="2" t="s">
        <v>4051</v>
      </c>
      <c r="J351" s="2" t="s">
        <v>4052</v>
      </c>
      <c r="K351" s="2" t="s">
        <v>4053</v>
      </c>
      <c r="L351" s="2" t="s">
        <v>4054</v>
      </c>
      <c r="M351" s="2" t="s">
        <v>4055</v>
      </c>
      <c r="N351" s="2" t="s">
        <v>4055</v>
      </c>
      <c r="O351" s="2" t="s">
        <v>4056</v>
      </c>
      <c r="P351" s="2" t="s">
        <v>4044</v>
      </c>
    </row>
    <row r="352" spans="1:16">
      <c r="A352" s="1">
        <v>351</v>
      </c>
      <c r="B352" s="2" t="s">
        <v>4057</v>
      </c>
      <c r="C352" s="2" t="s">
        <v>4058</v>
      </c>
      <c r="D352" s="2" t="s">
        <v>4059</v>
      </c>
      <c r="E352" s="2" t="s">
        <v>4060</v>
      </c>
      <c r="F352" s="2" t="s">
        <v>4061</v>
      </c>
      <c r="G352" s="2" t="s">
        <v>4062</v>
      </c>
      <c r="H352" s="2" t="s">
        <v>4063</v>
      </c>
      <c r="I352" s="2" t="s">
        <v>4064</v>
      </c>
      <c r="J352" s="2" t="s">
        <v>4065</v>
      </c>
      <c r="K352" s="2" t="s">
        <v>4066</v>
      </c>
      <c r="L352" s="2" t="s">
        <v>4067</v>
      </c>
      <c r="M352" s="2" t="s">
        <v>4068</v>
      </c>
      <c r="N352" s="2" t="s">
        <v>4069</v>
      </c>
      <c r="O352" s="2" t="s">
        <v>4070</v>
      </c>
      <c r="P352" s="2" t="s">
        <v>4057</v>
      </c>
    </row>
    <row r="353" spans="1:16">
      <c r="A353" s="1">
        <v>352</v>
      </c>
      <c r="B353" s="2" t="s">
        <v>4071</v>
      </c>
      <c r="C353" s="2" t="s">
        <v>4072</v>
      </c>
      <c r="D353" s="2" t="s">
        <v>4073</v>
      </c>
      <c r="E353" s="2" t="s">
        <v>4074</v>
      </c>
      <c r="F353" s="2" t="s">
        <v>4075</v>
      </c>
      <c r="G353" s="2" t="s">
        <v>4076</v>
      </c>
      <c r="H353" s="2" t="s">
        <v>4077</v>
      </c>
      <c r="I353" s="2" t="s">
        <v>4078</v>
      </c>
      <c r="J353" s="2" t="s">
        <v>4079</v>
      </c>
      <c r="K353" s="2" t="s">
        <v>4080</v>
      </c>
      <c r="L353" s="2" t="s">
        <v>4081</v>
      </c>
      <c r="M353" s="2" t="s">
        <v>4082</v>
      </c>
      <c r="N353" s="2" t="s">
        <v>4083</v>
      </c>
      <c r="O353" s="2" t="s">
        <v>4084</v>
      </c>
      <c r="P353" s="2" t="s">
        <v>4071</v>
      </c>
    </row>
    <row r="354" spans="1:16">
      <c r="A354" s="1">
        <v>353</v>
      </c>
      <c r="B354" s="2" t="s">
        <v>4085</v>
      </c>
      <c r="C354" s="2" t="s">
        <v>4086</v>
      </c>
      <c r="D354" s="2" t="s">
        <v>4087</v>
      </c>
      <c r="E354" s="2" t="s">
        <v>4088</v>
      </c>
      <c r="F354" s="2" t="s">
        <v>4089</v>
      </c>
      <c r="G354" s="2" t="s">
        <v>4090</v>
      </c>
      <c r="H354" s="2" t="s">
        <v>4091</v>
      </c>
      <c r="I354" s="2" t="s">
        <v>4092</v>
      </c>
      <c r="J354" s="2" t="s">
        <v>4093</v>
      </c>
      <c r="K354" s="2" t="s">
        <v>4094</v>
      </c>
      <c r="L354" s="2" t="s">
        <v>4095</v>
      </c>
      <c r="M354" s="2" t="s">
        <v>4096</v>
      </c>
      <c r="N354" s="2" t="s">
        <v>4097</v>
      </c>
      <c r="O354" s="2" t="s">
        <v>4098</v>
      </c>
      <c r="P354" s="2" t="s">
        <v>4085</v>
      </c>
    </row>
    <row r="355" spans="1:16">
      <c r="A355" s="1">
        <v>354</v>
      </c>
      <c r="B355" s="2" t="s">
        <v>4099</v>
      </c>
      <c r="C355" s="2" t="s">
        <v>4100</v>
      </c>
      <c r="D355" s="2" t="s">
        <v>4101</v>
      </c>
      <c r="E355" s="2" t="s">
        <v>4102</v>
      </c>
      <c r="F355" s="2" t="s">
        <v>4103</v>
      </c>
      <c r="G355" s="2" t="s">
        <v>4104</v>
      </c>
      <c r="H355" s="2" t="s">
        <v>4105</v>
      </c>
      <c r="I355" s="2" t="s">
        <v>4106</v>
      </c>
      <c r="J355" s="2" t="s">
        <v>4107</v>
      </c>
      <c r="K355" s="2" t="s">
        <v>4108</v>
      </c>
      <c r="L355" s="2" t="s">
        <v>4109</v>
      </c>
      <c r="M355" s="2" t="s">
        <v>4110</v>
      </c>
      <c r="N355" s="2" t="s">
        <v>4111</v>
      </c>
      <c r="O355" s="2" t="s">
        <v>4112</v>
      </c>
      <c r="P355" s="2" t="s">
        <v>4099</v>
      </c>
    </row>
    <row r="356" spans="1:16">
      <c r="A356" s="1">
        <v>355</v>
      </c>
      <c r="B356" s="2" t="s">
        <v>4113</v>
      </c>
      <c r="C356" s="2" t="s">
        <v>4114</v>
      </c>
      <c r="D356" s="2" t="s">
        <v>4115</v>
      </c>
      <c r="E356" s="2" t="s">
        <v>25511</v>
      </c>
      <c r="F356" s="2" t="s">
        <v>4048</v>
      </c>
      <c r="G356" s="2" t="s">
        <v>4116</v>
      </c>
      <c r="H356" s="2" t="s">
        <v>4117</v>
      </c>
      <c r="I356" s="2" t="s">
        <v>4118</v>
      </c>
      <c r="J356" s="2" t="s">
        <v>4119</v>
      </c>
      <c r="K356" s="2" t="s">
        <v>4120</v>
      </c>
      <c r="L356" s="2" t="s">
        <v>4121</v>
      </c>
      <c r="M356" s="2" t="s">
        <v>4122</v>
      </c>
      <c r="N356" s="2" t="s">
        <v>4123</v>
      </c>
      <c r="O356" s="2" t="s">
        <v>4124</v>
      </c>
      <c r="P356" s="2" t="s">
        <v>4113</v>
      </c>
    </row>
    <row r="357" spans="1:16">
      <c r="A357" s="1">
        <v>356</v>
      </c>
      <c r="B357" s="2" t="s">
        <v>4125</v>
      </c>
      <c r="C357" s="2" t="s">
        <v>4126</v>
      </c>
      <c r="D357" s="2" t="s">
        <v>4127</v>
      </c>
      <c r="E357" s="2" t="s">
        <v>25512</v>
      </c>
      <c r="F357" s="2" t="s">
        <v>4128</v>
      </c>
      <c r="G357" s="2" t="s">
        <v>4129</v>
      </c>
      <c r="H357" s="2" t="s">
        <v>4130</v>
      </c>
      <c r="I357" s="2" t="s">
        <v>4131</v>
      </c>
      <c r="J357" s="2" t="s">
        <v>4132</v>
      </c>
      <c r="K357" s="2" t="s">
        <v>4133</v>
      </c>
      <c r="L357" s="2" t="s">
        <v>4134</v>
      </c>
      <c r="M357" s="2" t="s">
        <v>4135</v>
      </c>
      <c r="N357" s="2" t="s">
        <v>4136</v>
      </c>
      <c r="O357" s="2" t="s">
        <v>4137</v>
      </c>
      <c r="P357" s="2" t="s">
        <v>4125</v>
      </c>
    </row>
    <row r="358" spans="1:16">
      <c r="A358" s="1">
        <v>357</v>
      </c>
      <c r="B358" s="2" t="s">
        <v>4138</v>
      </c>
      <c r="C358" s="2" t="s">
        <v>4139</v>
      </c>
      <c r="D358" s="2" t="s">
        <v>4140</v>
      </c>
      <c r="E358" s="2" t="s">
        <v>25513</v>
      </c>
      <c r="F358" s="2" t="s">
        <v>4141</v>
      </c>
      <c r="G358" s="2" t="s">
        <v>4142</v>
      </c>
      <c r="H358" s="2" t="s">
        <v>4143</v>
      </c>
      <c r="I358" s="2" t="s">
        <v>4144</v>
      </c>
      <c r="J358" s="2" t="s">
        <v>4145</v>
      </c>
      <c r="K358" s="2" t="s">
        <v>4146</v>
      </c>
      <c r="L358" s="2" t="s">
        <v>4147</v>
      </c>
      <c r="M358" s="2" t="s">
        <v>4148</v>
      </c>
      <c r="N358" s="2" t="s">
        <v>4149</v>
      </c>
      <c r="O358" s="2" t="s">
        <v>4150</v>
      </c>
      <c r="P358" s="2" t="s">
        <v>4138</v>
      </c>
    </row>
    <row r="359" spans="1:16">
      <c r="A359" s="1">
        <v>358</v>
      </c>
      <c r="B359" s="2" t="s">
        <v>4151</v>
      </c>
      <c r="C359" s="2" t="s">
        <v>4152</v>
      </c>
      <c r="D359" s="2" t="s">
        <v>4152</v>
      </c>
      <c r="E359" s="2" t="s">
        <v>4153</v>
      </c>
      <c r="F359" s="2" t="s">
        <v>1472</v>
      </c>
      <c r="G359" s="2" t="s">
        <v>4154</v>
      </c>
      <c r="H359" s="2" t="s">
        <v>4155</v>
      </c>
      <c r="I359" s="2" t="s">
        <v>4156</v>
      </c>
      <c r="J359" s="2" t="s">
        <v>4157</v>
      </c>
      <c r="K359" s="2" t="s">
        <v>4158</v>
      </c>
      <c r="L359" s="2" t="s">
        <v>4152</v>
      </c>
      <c r="M359" s="2" t="s">
        <v>4159</v>
      </c>
      <c r="N359" s="2" t="s">
        <v>4160</v>
      </c>
      <c r="O359" s="2" t="s">
        <v>4161</v>
      </c>
      <c r="P359" s="2" t="s">
        <v>4151</v>
      </c>
    </row>
    <row r="360" spans="1:16">
      <c r="A360" s="1">
        <v>359</v>
      </c>
      <c r="B360" s="2" t="s">
        <v>4162</v>
      </c>
      <c r="C360" s="2" t="s">
        <v>4163</v>
      </c>
      <c r="D360" s="2" t="s">
        <v>4164</v>
      </c>
      <c r="E360" s="2" t="s">
        <v>4165</v>
      </c>
      <c r="F360" s="2" t="s">
        <v>4166</v>
      </c>
      <c r="G360" s="2" t="s">
        <v>4167</v>
      </c>
      <c r="H360" s="2" t="s">
        <v>4168</v>
      </c>
      <c r="I360" s="2" t="s">
        <v>4169</v>
      </c>
      <c r="J360" s="2" t="s">
        <v>4170</v>
      </c>
      <c r="K360" s="2" t="s">
        <v>4171</v>
      </c>
      <c r="L360" s="2" t="s">
        <v>4172</v>
      </c>
      <c r="M360" s="2" t="s">
        <v>4173</v>
      </c>
      <c r="N360" s="2" t="s">
        <v>4174</v>
      </c>
      <c r="O360" s="2" t="s">
        <v>4175</v>
      </c>
      <c r="P360" s="2" t="s">
        <v>4162</v>
      </c>
    </row>
    <row r="361" spans="1:16">
      <c r="A361" s="1">
        <v>360</v>
      </c>
      <c r="B361" s="2" t="s">
        <v>4176</v>
      </c>
      <c r="C361" s="2" t="s">
        <v>4177</v>
      </c>
      <c r="D361" s="2" t="s">
        <v>4178</v>
      </c>
      <c r="E361" s="2" t="s">
        <v>4179</v>
      </c>
      <c r="F361" s="2" t="s">
        <v>4180</v>
      </c>
      <c r="G361" s="2" t="s">
        <v>4181</v>
      </c>
      <c r="H361" s="2" t="s">
        <v>4182</v>
      </c>
      <c r="I361" s="2" t="s">
        <v>4183</v>
      </c>
      <c r="J361" s="2" t="s">
        <v>4184</v>
      </c>
      <c r="K361" s="2" t="s">
        <v>4185</v>
      </c>
      <c r="L361" s="2" t="s">
        <v>4186</v>
      </c>
      <c r="M361" s="2" t="s">
        <v>4187</v>
      </c>
      <c r="N361" s="2" t="s">
        <v>4188</v>
      </c>
      <c r="O361" s="2" t="s">
        <v>4189</v>
      </c>
      <c r="P361" s="2" t="s">
        <v>4176</v>
      </c>
    </row>
    <row r="362" spans="1:16">
      <c r="A362" s="1">
        <v>361</v>
      </c>
      <c r="B362" s="2" t="s">
        <v>4190</v>
      </c>
      <c r="C362" s="2" t="s">
        <v>4191</v>
      </c>
      <c r="D362" s="2" t="s">
        <v>4192</v>
      </c>
      <c r="E362" s="2" t="s">
        <v>4193</v>
      </c>
      <c r="F362" s="2" t="s">
        <v>4194</v>
      </c>
      <c r="G362" s="2" t="s">
        <v>4195</v>
      </c>
      <c r="H362" s="2" t="s">
        <v>4196</v>
      </c>
      <c r="I362" s="2" t="s">
        <v>4197</v>
      </c>
      <c r="J362" s="2" t="s">
        <v>4198</v>
      </c>
      <c r="K362" s="2" t="s">
        <v>4199</v>
      </c>
      <c r="L362" s="2" t="s">
        <v>4200</v>
      </c>
      <c r="M362" s="2" t="s">
        <v>4201</v>
      </c>
      <c r="N362" s="2" t="s">
        <v>4202</v>
      </c>
      <c r="O362" s="2" t="s">
        <v>4203</v>
      </c>
      <c r="P362" s="2" t="s">
        <v>4190</v>
      </c>
    </row>
    <row r="363" spans="1:16">
      <c r="A363" s="1">
        <v>362</v>
      </c>
      <c r="B363" s="2" t="s">
        <v>4204</v>
      </c>
      <c r="C363" s="2" t="s">
        <v>4205</v>
      </c>
      <c r="D363" s="2" t="s">
        <v>4206</v>
      </c>
      <c r="E363" s="2" t="s">
        <v>4207</v>
      </c>
      <c r="F363" s="2" t="s">
        <v>4208</v>
      </c>
      <c r="G363" s="2" t="s">
        <v>4209</v>
      </c>
      <c r="H363" s="2" t="s">
        <v>4210</v>
      </c>
      <c r="I363" s="2" t="s">
        <v>4211</v>
      </c>
      <c r="J363" s="2" t="s">
        <v>4212</v>
      </c>
      <c r="K363" s="2" t="s">
        <v>4213</v>
      </c>
      <c r="L363" s="2" t="s">
        <v>4214</v>
      </c>
      <c r="M363" s="2" t="s">
        <v>4215</v>
      </c>
      <c r="N363" s="2" t="s">
        <v>4216</v>
      </c>
      <c r="O363" s="2" t="s">
        <v>4217</v>
      </c>
      <c r="P363" s="2" t="s">
        <v>4204</v>
      </c>
    </row>
    <row r="364" spans="1:16">
      <c r="A364" s="1">
        <v>363</v>
      </c>
      <c r="B364" s="2" t="s">
        <v>4218</v>
      </c>
      <c r="C364" s="2" t="s">
        <v>4219</v>
      </c>
      <c r="D364" s="2" t="s">
        <v>4220</v>
      </c>
      <c r="E364" s="2" t="s">
        <v>4221</v>
      </c>
      <c r="F364" s="2" t="s">
        <v>4222</v>
      </c>
      <c r="G364" s="2" t="s">
        <v>4223</v>
      </c>
      <c r="H364" s="2" t="s">
        <v>4224</v>
      </c>
      <c r="I364" s="2" t="s">
        <v>4225</v>
      </c>
      <c r="J364" s="2" t="s">
        <v>4226</v>
      </c>
      <c r="K364" s="2" t="s">
        <v>4227</v>
      </c>
      <c r="L364" s="2" t="s">
        <v>4228</v>
      </c>
      <c r="M364" s="2" t="s">
        <v>4229</v>
      </c>
      <c r="N364" s="2" t="s">
        <v>4230</v>
      </c>
      <c r="O364" s="2" t="s">
        <v>4231</v>
      </c>
      <c r="P364" s="2" t="s">
        <v>4218</v>
      </c>
    </row>
    <row r="365" spans="1:16">
      <c r="A365" s="1">
        <v>364</v>
      </c>
      <c r="B365" s="2" t="s">
        <v>4232</v>
      </c>
      <c r="C365" s="2" t="s">
        <v>4233</v>
      </c>
      <c r="D365" s="2" t="s">
        <v>4234</v>
      </c>
      <c r="E365" s="2" t="s">
        <v>4235</v>
      </c>
      <c r="F365" s="2" t="s">
        <v>4236</v>
      </c>
      <c r="G365" s="2" t="s">
        <v>4237</v>
      </c>
      <c r="H365" s="2" t="s">
        <v>4238</v>
      </c>
      <c r="I365" s="2" t="s">
        <v>4239</v>
      </c>
      <c r="J365" s="2" t="s">
        <v>4240</v>
      </c>
      <c r="K365" s="2" t="s">
        <v>4241</v>
      </c>
      <c r="L365" s="2" t="s">
        <v>4242</v>
      </c>
      <c r="M365" s="2" t="s">
        <v>4243</v>
      </c>
      <c r="N365" s="2" t="s">
        <v>4244</v>
      </c>
      <c r="O365" s="2" t="s">
        <v>4245</v>
      </c>
      <c r="P365" s="2" t="s">
        <v>4232</v>
      </c>
    </row>
    <row r="366" spans="1:16">
      <c r="A366" s="1">
        <v>365</v>
      </c>
      <c r="B366" s="2" t="s">
        <v>4246</v>
      </c>
      <c r="C366" s="2" t="s">
        <v>4247</v>
      </c>
      <c r="D366" s="2" t="s">
        <v>4248</v>
      </c>
      <c r="E366" s="2" t="s">
        <v>4249</v>
      </c>
      <c r="F366" s="2" t="s">
        <v>4250</v>
      </c>
      <c r="G366" s="2" t="s">
        <v>4251</v>
      </c>
      <c r="H366" s="2" t="s">
        <v>4252</v>
      </c>
      <c r="I366" s="2" t="s">
        <v>4253</v>
      </c>
      <c r="J366" s="2" t="s">
        <v>4254</v>
      </c>
      <c r="K366" s="2" t="s">
        <v>4255</v>
      </c>
      <c r="L366" s="2" t="s">
        <v>4256</v>
      </c>
      <c r="M366" s="2" t="s">
        <v>4257</v>
      </c>
      <c r="N366" s="2" t="s">
        <v>4258</v>
      </c>
      <c r="O366" s="2" t="s">
        <v>4259</v>
      </c>
      <c r="P366" s="2" t="s">
        <v>4246</v>
      </c>
    </row>
    <row r="367" spans="1:16">
      <c r="A367" s="1">
        <v>366</v>
      </c>
      <c r="B367" s="2" t="s">
        <v>4260</v>
      </c>
      <c r="C367" s="2" t="s">
        <v>4261</v>
      </c>
      <c r="D367" s="2" t="s">
        <v>4262</v>
      </c>
      <c r="E367" s="2" t="s">
        <v>4263</v>
      </c>
      <c r="F367" s="2" t="s">
        <v>4264</v>
      </c>
      <c r="G367" s="2" t="s">
        <v>4265</v>
      </c>
      <c r="H367" s="2" t="s">
        <v>4266</v>
      </c>
      <c r="I367" s="2" t="s">
        <v>4267</v>
      </c>
      <c r="J367" s="2" t="s">
        <v>4268</v>
      </c>
      <c r="K367" s="2" t="s">
        <v>4269</v>
      </c>
      <c r="L367" s="2" t="s">
        <v>4270</v>
      </c>
      <c r="M367" s="2" t="s">
        <v>4271</v>
      </c>
      <c r="N367" s="2" t="s">
        <v>4272</v>
      </c>
      <c r="O367" s="2" t="s">
        <v>4273</v>
      </c>
      <c r="P367" s="2" t="s">
        <v>4260</v>
      </c>
    </row>
    <row r="368" spans="1:16">
      <c r="A368" s="1">
        <v>367</v>
      </c>
      <c r="B368" s="2" t="s">
        <v>4274</v>
      </c>
      <c r="C368" s="2" t="s">
        <v>4275</v>
      </c>
      <c r="D368" s="2" t="s">
        <v>4276</v>
      </c>
      <c r="E368" s="2" t="s">
        <v>4277</v>
      </c>
      <c r="F368" s="2" t="s">
        <v>4278</v>
      </c>
      <c r="G368" s="2" t="s">
        <v>4279</v>
      </c>
      <c r="H368" s="2" t="s">
        <v>4280</v>
      </c>
      <c r="I368" s="2" t="s">
        <v>4281</v>
      </c>
      <c r="J368" s="2" t="s">
        <v>4282</v>
      </c>
      <c r="K368" s="2" t="s">
        <v>4283</v>
      </c>
      <c r="L368" s="2" t="s">
        <v>4284</v>
      </c>
      <c r="M368" s="2" t="s">
        <v>4285</v>
      </c>
      <c r="N368" s="2" t="s">
        <v>4286</v>
      </c>
      <c r="O368" s="2" t="s">
        <v>4287</v>
      </c>
      <c r="P368" s="2" t="s">
        <v>4274</v>
      </c>
    </row>
    <row r="369" spans="1:16">
      <c r="A369" s="1">
        <v>368</v>
      </c>
      <c r="B369" s="2" t="s">
        <v>4288</v>
      </c>
      <c r="C369" s="2" t="s">
        <v>4289</v>
      </c>
      <c r="D369" s="2" t="s">
        <v>4290</v>
      </c>
      <c r="E369" s="2" t="s">
        <v>4291</v>
      </c>
      <c r="F369" s="2" t="s">
        <v>4292</v>
      </c>
      <c r="G369" s="2" t="s">
        <v>4293</v>
      </c>
      <c r="H369" s="2" t="s">
        <v>4294</v>
      </c>
      <c r="I369" s="2" t="s">
        <v>4295</v>
      </c>
      <c r="J369" s="2" t="s">
        <v>4296</v>
      </c>
      <c r="K369" s="2" t="s">
        <v>4297</v>
      </c>
      <c r="L369" s="2" t="s">
        <v>4298</v>
      </c>
      <c r="M369" s="2" t="s">
        <v>4299</v>
      </c>
      <c r="N369" s="2" t="s">
        <v>4300</v>
      </c>
      <c r="O369" s="2" t="s">
        <v>4301</v>
      </c>
      <c r="P369" s="2" t="s">
        <v>4288</v>
      </c>
    </row>
    <row r="370" spans="1:16">
      <c r="A370" s="1">
        <v>369</v>
      </c>
      <c r="B370" s="2" t="s">
        <v>4302</v>
      </c>
      <c r="C370" s="2" t="s">
        <v>4303</v>
      </c>
      <c r="D370" s="2" t="s">
        <v>4304</v>
      </c>
      <c r="E370" s="2" t="s">
        <v>4305</v>
      </c>
      <c r="F370" s="2" t="s">
        <v>4306</v>
      </c>
      <c r="G370" s="2" t="s">
        <v>4307</v>
      </c>
      <c r="H370" s="2" t="s">
        <v>4308</v>
      </c>
      <c r="I370" s="2" t="s">
        <v>4309</v>
      </c>
      <c r="J370" s="2" t="s">
        <v>4310</v>
      </c>
      <c r="K370" s="2" t="s">
        <v>4311</v>
      </c>
      <c r="L370" s="2" t="s">
        <v>4312</v>
      </c>
      <c r="M370" s="2" t="s">
        <v>4313</v>
      </c>
      <c r="N370" s="2" t="s">
        <v>4313</v>
      </c>
      <c r="O370" s="2" t="s">
        <v>4314</v>
      </c>
      <c r="P370" s="2" t="s">
        <v>4302</v>
      </c>
    </row>
    <row r="371" spans="1:16">
      <c r="A371" s="1">
        <v>370</v>
      </c>
      <c r="B371" s="2" t="s">
        <v>4315</v>
      </c>
      <c r="C371" s="2" t="s">
        <v>4316</v>
      </c>
      <c r="D371" s="2" t="s">
        <v>4317</v>
      </c>
      <c r="E371" s="2" t="s">
        <v>4318</v>
      </c>
      <c r="F371" s="2" t="s">
        <v>4319</v>
      </c>
      <c r="G371" s="2" t="s">
        <v>4320</v>
      </c>
      <c r="H371" s="2" t="s">
        <v>4321</v>
      </c>
      <c r="I371" s="2" t="s">
        <v>4322</v>
      </c>
      <c r="J371" s="2" t="s">
        <v>4323</v>
      </c>
      <c r="K371" s="2" t="s">
        <v>4324</v>
      </c>
      <c r="L371" s="2" t="s">
        <v>4325</v>
      </c>
      <c r="M371" s="2" t="s">
        <v>4326</v>
      </c>
      <c r="N371" s="2" t="s">
        <v>4326</v>
      </c>
      <c r="O371" s="2" t="s">
        <v>4327</v>
      </c>
      <c r="P371" s="2" t="s">
        <v>4315</v>
      </c>
    </row>
    <row r="372" spans="1:16">
      <c r="A372" s="1">
        <v>371</v>
      </c>
      <c r="B372" s="2" t="s">
        <v>4328</v>
      </c>
      <c r="C372" s="2" t="s">
        <v>4329</v>
      </c>
      <c r="D372" s="2" t="s">
        <v>4330</v>
      </c>
      <c r="E372" s="2" t="s">
        <v>4331</v>
      </c>
      <c r="F372" s="2" t="s">
        <v>4332</v>
      </c>
      <c r="G372" s="2" t="s">
        <v>4333</v>
      </c>
      <c r="H372" s="2" t="s">
        <v>4334</v>
      </c>
      <c r="I372" s="2" t="s">
        <v>4335</v>
      </c>
      <c r="J372" s="2" t="s">
        <v>4336</v>
      </c>
      <c r="K372" s="2" t="s">
        <v>4337</v>
      </c>
      <c r="L372" s="2" t="s">
        <v>4338</v>
      </c>
      <c r="M372" s="2" t="s">
        <v>4339</v>
      </c>
      <c r="N372" s="2" t="s">
        <v>4340</v>
      </c>
      <c r="O372" s="2" t="s">
        <v>4341</v>
      </c>
      <c r="P372" s="2" t="s">
        <v>4328</v>
      </c>
    </row>
    <row r="373" spans="1:16">
      <c r="A373" s="1">
        <v>372</v>
      </c>
      <c r="B373" s="2" t="s">
        <v>22764</v>
      </c>
      <c r="C373" s="2" t="s">
        <v>4343</v>
      </c>
      <c r="D373" s="2" t="s">
        <v>4344</v>
      </c>
      <c r="E373" s="2" t="s">
        <v>25514</v>
      </c>
      <c r="F373" s="2" t="s">
        <v>4345</v>
      </c>
      <c r="G373" s="2" t="s">
        <v>4346</v>
      </c>
      <c r="H373" s="2" t="s">
        <v>4347</v>
      </c>
      <c r="I373" s="2" t="s">
        <v>4348</v>
      </c>
      <c r="J373" s="2" t="s">
        <v>4349</v>
      </c>
      <c r="K373" s="2" t="s">
        <v>4350</v>
      </c>
      <c r="L373" s="2" t="s">
        <v>4351</v>
      </c>
      <c r="M373" s="2" t="s">
        <v>4352</v>
      </c>
      <c r="N373" s="2" t="s">
        <v>4353</v>
      </c>
      <c r="O373" s="2" t="s">
        <v>4354</v>
      </c>
      <c r="P373" s="2" t="s">
        <v>4342</v>
      </c>
    </row>
    <row r="374" spans="1:16">
      <c r="A374" s="1">
        <v>373</v>
      </c>
      <c r="B374" s="2" t="s">
        <v>4355</v>
      </c>
      <c r="C374" s="2" t="s">
        <v>4356</v>
      </c>
      <c r="D374" s="2" t="s">
        <v>4357</v>
      </c>
      <c r="E374" s="2" t="s">
        <v>4358</v>
      </c>
      <c r="F374" s="2" t="s">
        <v>4359</v>
      </c>
      <c r="G374" s="2" t="s">
        <v>4360</v>
      </c>
      <c r="H374" s="2" t="s">
        <v>4361</v>
      </c>
      <c r="I374" s="2" t="s">
        <v>4362</v>
      </c>
      <c r="J374" s="2" t="s">
        <v>4363</v>
      </c>
      <c r="K374" s="2" t="s">
        <v>4364</v>
      </c>
      <c r="L374" s="2" t="s">
        <v>4365</v>
      </c>
      <c r="M374" s="2" t="s">
        <v>4366</v>
      </c>
      <c r="N374" s="2" t="s">
        <v>4367</v>
      </c>
      <c r="O374" s="2" t="s">
        <v>4368</v>
      </c>
      <c r="P374" s="2" t="s">
        <v>4355</v>
      </c>
    </row>
    <row r="375" spans="1:16">
      <c r="A375" s="1">
        <v>374</v>
      </c>
      <c r="B375" s="2" t="s">
        <v>4369</v>
      </c>
      <c r="C375" s="2" t="s">
        <v>4370</v>
      </c>
      <c r="D375" s="2" t="s">
        <v>4371</v>
      </c>
      <c r="E375" s="2" t="s">
        <v>25515</v>
      </c>
      <c r="F375" s="2" t="s">
        <v>4372</v>
      </c>
      <c r="G375" s="2" t="s">
        <v>4373</v>
      </c>
      <c r="H375" s="2" t="s">
        <v>4374</v>
      </c>
      <c r="I375" s="2" t="s">
        <v>4375</v>
      </c>
      <c r="J375" s="2" t="s">
        <v>4369</v>
      </c>
      <c r="K375" s="2" t="s">
        <v>4376</v>
      </c>
      <c r="L375" s="2" t="s">
        <v>4377</v>
      </c>
      <c r="M375" s="2" t="s">
        <v>4378</v>
      </c>
      <c r="N375" s="2" t="s">
        <v>4379</v>
      </c>
      <c r="O375" s="2" t="s">
        <v>4380</v>
      </c>
      <c r="P375" s="2" t="s">
        <v>4369</v>
      </c>
    </row>
    <row r="376" spans="1:16">
      <c r="A376" s="1">
        <v>375</v>
      </c>
      <c r="B376" s="2" t="s">
        <v>4381</v>
      </c>
      <c r="C376" s="2" t="s">
        <v>4382</v>
      </c>
      <c r="D376" s="2" t="s">
        <v>4383</v>
      </c>
      <c r="E376" s="2" t="s">
        <v>25516</v>
      </c>
      <c r="F376" s="2" t="s">
        <v>4384</v>
      </c>
      <c r="G376" s="2" t="s">
        <v>4385</v>
      </c>
      <c r="H376" s="2" t="s">
        <v>4386</v>
      </c>
      <c r="I376" s="2" t="s">
        <v>4387</v>
      </c>
      <c r="J376" s="2" t="s">
        <v>4388</v>
      </c>
      <c r="K376" s="2" t="s">
        <v>4389</v>
      </c>
      <c r="L376" s="2" t="s">
        <v>4390</v>
      </c>
      <c r="M376" s="2" t="s">
        <v>4391</v>
      </c>
      <c r="N376" s="2" t="s">
        <v>4392</v>
      </c>
      <c r="O376" s="2" t="s">
        <v>4393</v>
      </c>
      <c r="P376" s="2" t="s">
        <v>4381</v>
      </c>
    </row>
    <row r="377" spans="1:16">
      <c r="A377" s="1">
        <v>376</v>
      </c>
      <c r="B377" s="2" t="s">
        <v>4394</v>
      </c>
      <c r="C377" s="2" t="s">
        <v>4395</v>
      </c>
      <c r="D377" s="2" t="s">
        <v>4396</v>
      </c>
      <c r="E377" s="2" t="s">
        <v>25517</v>
      </c>
      <c r="F377" s="2" t="s">
        <v>4397</v>
      </c>
      <c r="G377" s="2" t="s">
        <v>4398</v>
      </c>
      <c r="H377" s="2" t="s">
        <v>4399</v>
      </c>
      <c r="I377" s="2" t="s">
        <v>4400</v>
      </c>
      <c r="J377" s="2" t="s">
        <v>4401</v>
      </c>
      <c r="K377" s="2" t="s">
        <v>4402</v>
      </c>
      <c r="L377" s="2" t="s">
        <v>4403</v>
      </c>
      <c r="M377" s="2" t="s">
        <v>4404</v>
      </c>
      <c r="N377" s="2" t="s">
        <v>4405</v>
      </c>
      <c r="O377" s="2" t="s">
        <v>4406</v>
      </c>
      <c r="P377" s="2" t="s">
        <v>4394</v>
      </c>
    </row>
    <row r="378" spans="1:16">
      <c r="A378" s="1">
        <v>377</v>
      </c>
      <c r="B378" s="2" t="s">
        <v>4407</v>
      </c>
      <c r="C378" s="2" t="s">
        <v>4408</v>
      </c>
      <c r="D378" s="2" t="s">
        <v>4409</v>
      </c>
      <c r="E378" s="2" t="s">
        <v>4410</v>
      </c>
      <c r="F378" s="2" t="s">
        <v>4411</v>
      </c>
      <c r="G378" s="2" t="s">
        <v>4412</v>
      </c>
      <c r="H378" s="2" t="s">
        <v>4413</v>
      </c>
      <c r="I378" s="2" t="s">
        <v>4414</v>
      </c>
      <c r="J378" s="2" t="s">
        <v>4415</v>
      </c>
      <c r="K378" s="2" t="s">
        <v>4416</v>
      </c>
      <c r="L378" s="2" t="s">
        <v>4417</v>
      </c>
      <c r="M378" s="2" t="s">
        <v>4407</v>
      </c>
      <c r="N378" s="2" t="s">
        <v>4418</v>
      </c>
      <c r="O378" s="2" t="s">
        <v>4419</v>
      </c>
      <c r="P378" s="2" t="s">
        <v>4407</v>
      </c>
    </row>
    <row r="379" spans="1:16">
      <c r="A379" s="1">
        <v>378</v>
      </c>
      <c r="B379" s="2" t="s">
        <v>4420</v>
      </c>
      <c r="C379" s="2" t="s">
        <v>4421</v>
      </c>
      <c r="D379" s="2" t="s">
        <v>1389</v>
      </c>
      <c r="E379" s="2" t="s">
        <v>4422</v>
      </c>
      <c r="F379" s="2" t="s">
        <v>4423</v>
      </c>
      <c r="G379" s="2" t="s">
        <v>4424</v>
      </c>
      <c r="H379" s="2" t="s">
        <v>4425</v>
      </c>
      <c r="I379" s="2" t="s">
        <v>4426</v>
      </c>
      <c r="J379" s="2" t="s">
        <v>4427</v>
      </c>
      <c r="K379" s="2" t="s">
        <v>4428</v>
      </c>
      <c r="L379" s="2" t="s">
        <v>4429</v>
      </c>
      <c r="M379" s="2" t="s">
        <v>4430</v>
      </c>
      <c r="N379" s="2" t="s">
        <v>4431</v>
      </c>
      <c r="O379" s="2" t="s">
        <v>4432</v>
      </c>
      <c r="P379" s="2" t="s">
        <v>4420</v>
      </c>
    </row>
    <row r="380" spans="1:16">
      <c r="A380" s="1">
        <v>379</v>
      </c>
      <c r="B380" s="2" t="s">
        <v>4433</v>
      </c>
      <c r="C380" s="2" t="s">
        <v>4434</v>
      </c>
      <c r="D380" s="2" t="s">
        <v>4435</v>
      </c>
      <c r="E380" s="2" t="s">
        <v>4436</v>
      </c>
      <c r="F380" s="2" t="s">
        <v>4437</v>
      </c>
      <c r="G380" s="2" t="s">
        <v>4438</v>
      </c>
      <c r="H380" s="2" t="s">
        <v>4439</v>
      </c>
      <c r="I380" s="2" t="s">
        <v>4440</v>
      </c>
      <c r="J380" s="2" t="s">
        <v>4441</v>
      </c>
      <c r="K380" s="2" t="s">
        <v>4442</v>
      </c>
      <c r="L380" s="2" t="s">
        <v>4443</v>
      </c>
      <c r="M380" s="2" t="s">
        <v>4444</v>
      </c>
      <c r="N380" s="2" t="s">
        <v>4445</v>
      </c>
      <c r="O380" s="2" t="s">
        <v>4446</v>
      </c>
      <c r="P380" s="2" t="s">
        <v>4433</v>
      </c>
    </row>
    <row r="381" spans="1:16">
      <c r="A381" s="1">
        <v>380</v>
      </c>
      <c r="B381" s="2" t="s">
        <v>4447</v>
      </c>
      <c r="C381" s="2" t="s">
        <v>4448</v>
      </c>
      <c r="D381" s="2" t="s">
        <v>4449</v>
      </c>
      <c r="E381" s="2" t="s">
        <v>4450</v>
      </c>
      <c r="F381" s="2" t="s">
        <v>4451</v>
      </c>
      <c r="G381" s="2" t="s">
        <v>4452</v>
      </c>
      <c r="H381" s="2" t="s">
        <v>4453</v>
      </c>
      <c r="I381" s="2" t="s">
        <v>4454</v>
      </c>
      <c r="J381" s="2" t="s">
        <v>4455</v>
      </c>
      <c r="K381" s="2" t="s">
        <v>4456</v>
      </c>
      <c r="L381" s="2" t="s">
        <v>4457</v>
      </c>
      <c r="M381" s="2" t="s">
        <v>4458</v>
      </c>
      <c r="N381" s="2" t="s">
        <v>4459</v>
      </c>
      <c r="O381" s="2" t="s">
        <v>4460</v>
      </c>
      <c r="P381" s="2" t="s">
        <v>4447</v>
      </c>
    </row>
    <row r="382" spans="1:16">
      <c r="A382" s="1">
        <v>381</v>
      </c>
      <c r="B382" s="2" t="s">
        <v>22765</v>
      </c>
      <c r="C382" s="2" t="s">
        <v>4462</v>
      </c>
      <c r="D382" s="2" t="s">
        <v>4463</v>
      </c>
      <c r="E382" s="2" t="s">
        <v>4461</v>
      </c>
      <c r="F382" s="2" t="s">
        <v>4461</v>
      </c>
      <c r="G382" s="2" t="s">
        <v>4464</v>
      </c>
      <c r="H382" s="2" t="s">
        <v>4465</v>
      </c>
      <c r="I382" s="2" t="s">
        <v>4466</v>
      </c>
      <c r="J382" s="2" t="s">
        <v>4467</v>
      </c>
      <c r="K382" s="2" t="s">
        <v>4468</v>
      </c>
      <c r="L382" s="2" t="s">
        <v>4469</v>
      </c>
      <c r="M382" s="2" t="s">
        <v>4469</v>
      </c>
      <c r="N382" s="2" t="s">
        <v>4470</v>
      </c>
      <c r="O382" s="2" t="s">
        <v>4471</v>
      </c>
      <c r="P382" s="2" t="s">
        <v>22765</v>
      </c>
    </row>
    <row r="383" spans="1:16">
      <c r="A383" s="1">
        <v>382</v>
      </c>
      <c r="B383" s="2" t="s">
        <v>22766</v>
      </c>
      <c r="C383" s="2" t="s">
        <v>4473</v>
      </c>
      <c r="D383" s="2" t="s">
        <v>4474</v>
      </c>
      <c r="E383" s="2" t="s">
        <v>25518</v>
      </c>
      <c r="F383" s="2" t="s">
        <v>4475</v>
      </c>
      <c r="G383" s="2" t="s">
        <v>4476</v>
      </c>
      <c r="H383" s="2" t="s">
        <v>4477</v>
      </c>
      <c r="I383" s="2" t="s">
        <v>4478</v>
      </c>
      <c r="J383" s="2" t="s">
        <v>4479</v>
      </c>
      <c r="K383" s="2" t="s">
        <v>4480</v>
      </c>
      <c r="L383" s="2" t="s">
        <v>4481</v>
      </c>
      <c r="M383" s="2" t="s">
        <v>4482</v>
      </c>
      <c r="N383" s="2" t="s">
        <v>4483</v>
      </c>
      <c r="O383" s="2" t="s">
        <v>4484</v>
      </c>
      <c r="P383" s="2" t="s">
        <v>4472</v>
      </c>
    </row>
    <row r="384" spans="1:16">
      <c r="A384" s="1">
        <v>383</v>
      </c>
      <c r="B384" s="2" t="s">
        <v>4485</v>
      </c>
      <c r="C384" s="2" t="s">
        <v>4486</v>
      </c>
      <c r="D384" s="2" t="s">
        <v>22767</v>
      </c>
      <c r="E384" s="2" t="s">
        <v>4487</v>
      </c>
      <c r="F384" s="2" t="s">
        <v>4488</v>
      </c>
      <c r="G384" s="2" t="s">
        <v>4489</v>
      </c>
      <c r="H384" s="2" t="s">
        <v>4490</v>
      </c>
      <c r="I384" s="2" t="s">
        <v>4491</v>
      </c>
      <c r="J384" s="2" t="s">
        <v>4492</v>
      </c>
      <c r="K384" s="2" t="s">
        <v>4493</v>
      </c>
      <c r="L384" s="2" t="s">
        <v>4494</v>
      </c>
      <c r="M384" s="2" t="s">
        <v>4495</v>
      </c>
      <c r="N384" s="2" t="s">
        <v>4496</v>
      </c>
      <c r="O384" s="2" t="s">
        <v>4497</v>
      </c>
      <c r="P384" s="2" t="s">
        <v>4485</v>
      </c>
    </row>
    <row r="385" spans="1:16">
      <c r="A385" s="1">
        <v>384</v>
      </c>
      <c r="B385" s="2" t="s">
        <v>4498</v>
      </c>
      <c r="C385" s="2" t="s">
        <v>4499</v>
      </c>
      <c r="D385" s="2" t="s">
        <v>4500</v>
      </c>
      <c r="E385" s="2" t="s">
        <v>4501</v>
      </c>
      <c r="F385" s="2" t="s">
        <v>4502</v>
      </c>
      <c r="G385" s="2" t="s">
        <v>4503</v>
      </c>
      <c r="H385" s="2" t="s">
        <v>4504</v>
      </c>
      <c r="I385" s="2" t="s">
        <v>4505</v>
      </c>
      <c r="J385" s="2" t="s">
        <v>4506</v>
      </c>
      <c r="K385" s="2" t="s">
        <v>4507</v>
      </c>
      <c r="L385" s="2" t="s">
        <v>4508</v>
      </c>
      <c r="M385" s="2" t="s">
        <v>4509</v>
      </c>
      <c r="N385" s="2" t="s">
        <v>4510</v>
      </c>
      <c r="O385" s="2" t="s">
        <v>4511</v>
      </c>
      <c r="P385" s="2" t="s">
        <v>4498</v>
      </c>
    </row>
    <row r="386" spans="1:16">
      <c r="A386" s="1">
        <v>385</v>
      </c>
      <c r="B386" s="2" t="s">
        <v>4512</v>
      </c>
      <c r="C386" s="2" t="s">
        <v>4513</v>
      </c>
      <c r="D386" s="2" t="s">
        <v>4514</v>
      </c>
      <c r="E386" s="2" t="s">
        <v>4515</v>
      </c>
      <c r="F386" s="2" t="s">
        <v>4488</v>
      </c>
      <c r="G386" s="2" t="s">
        <v>4516</v>
      </c>
      <c r="H386" s="2" t="s">
        <v>4490</v>
      </c>
      <c r="I386" s="2" t="s">
        <v>4517</v>
      </c>
      <c r="J386" s="2" t="s">
        <v>4518</v>
      </c>
      <c r="K386" s="2" t="s">
        <v>4493</v>
      </c>
      <c r="L386" s="2" t="s">
        <v>4519</v>
      </c>
      <c r="M386" s="2" t="s">
        <v>4520</v>
      </c>
      <c r="N386" s="2" t="s">
        <v>4521</v>
      </c>
      <c r="O386" s="2" t="s">
        <v>4522</v>
      </c>
      <c r="P386" s="2" t="s">
        <v>4512</v>
      </c>
    </row>
    <row r="387" spans="1:16">
      <c r="A387" s="1">
        <v>386</v>
      </c>
      <c r="B387" s="2" t="s">
        <v>4523</v>
      </c>
      <c r="C387" s="2" t="s">
        <v>4524</v>
      </c>
      <c r="D387" s="2" t="s">
        <v>4525</v>
      </c>
      <c r="E387" s="2" t="s">
        <v>4526</v>
      </c>
      <c r="F387" s="2" t="s">
        <v>4527</v>
      </c>
      <c r="G387" s="2" t="s">
        <v>4528</v>
      </c>
      <c r="H387" s="2" t="s">
        <v>4529</v>
      </c>
      <c r="I387" s="2" t="s">
        <v>4530</v>
      </c>
      <c r="J387" s="2" t="s">
        <v>4531</v>
      </c>
      <c r="K387" s="2" t="s">
        <v>4532</v>
      </c>
      <c r="L387" s="2" t="s">
        <v>4533</v>
      </c>
      <c r="M387" s="2" t="s">
        <v>4534</v>
      </c>
      <c r="N387" s="2" t="s">
        <v>4535</v>
      </c>
      <c r="O387" s="2" t="s">
        <v>4536</v>
      </c>
      <c r="P387" s="2" t="s">
        <v>4523</v>
      </c>
    </row>
    <row r="388" spans="1:16">
      <c r="A388" s="1">
        <v>387</v>
      </c>
      <c r="B388" s="2" t="s">
        <v>4537</v>
      </c>
      <c r="C388" s="2" t="s">
        <v>4538</v>
      </c>
      <c r="D388" s="2" t="s">
        <v>4539</v>
      </c>
      <c r="E388" s="2" t="s">
        <v>4540</v>
      </c>
      <c r="F388" s="2" t="s">
        <v>4541</v>
      </c>
      <c r="G388" s="2" t="s">
        <v>4542</v>
      </c>
      <c r="H388" s="2" t="s">
        <v>4543</v>
      </c>
      <c r="I388" s="2" t="s">
        <v>4544</v>
      </c>
      <c r="J388" s="2" t="s">
        <v>4545</v>
      </c>
      <c r="K388" s="2" t="s">
        <v>4546</v>
      </c>
      <c r="L388" s="2" t="s">
        <v>4547</v>
      </c>
      <c r="M388" s="2" t="s">
        <v>4548</v>
      </c>
      <c r="N388" s="2" t="s">
        <v>4549</v>
      </c>
      <c r="O388" s="2" t="s">
        <v>4550</v>
      </c>
      <c r="P388" s="2" t="s">
        <v>4537</v>
      </c>
    </row>
    <row r="389" spans="1:16">
      <c r="A389" s="1">
        <v>388</v>
      </c>
      <c r="B389" s="2" t="s">
        <v>4551</v>
      </c>
      <c r="C389" s="2" t="s">
        <v>4552</v>
      </c>
      <c r="D389" s="2" t="s">
        <v>4553</v>
      </c>
      <c r="E389" s="2" t="s">
        <v>4554</v>
      </c>
      <c r="F389" s="2" t="s">
        <v>4555</v>
      </c>
      <c r="G389" s="2" t="s">
        <v>4556</v>
      </c>
      <c r="H389" s="2" t="s">
        <v>4557</v>
      </c>
      <c r="I389" s="2" t="s">
        <v>4558</v>
      </c>
      <c r="J389" s="2" t="s">
        <v>4559</v>
      </c>
      <c r="K389" s="2" t="s">
        <v>4560</v>
      </c>
      <c r="L389" s="2" t="s">
        <v>4561</v>
      </c>
      <c r="M389" s="2" t="s">
        <v>4562</v>
      </c>
      <c r="N389" s="2" t="s">
        <v>4563</v>
      </c>
      <c r="O389" s="2" t="s">
        <v>4560</v>
      </c>
      <c r="P389" s="2" t="s">
        <v>4551</v>
      </c>
    </row>
    <row r="390" spans="1:16">
      <c r="A390" s="1">
        <v>389</v>
      </c>
      <c r="B390" s="2" t="s">
        <v>4564</v>
      </c>
      <c r="C390" s="2" t="s">
        <v>4565</v>
      </c>
      <c r="D390" s="2" t="s">
        <v>4566</v>
      </c>
      <c r="E390" s="2" t="s">
        <v>4567</v>
      </c>
      <c r="F390" s="2" t="s">
        <v>4568</v>
      </c>
      <c r="G390" s="2" t="s">
        <v>4569</v>
      </c>
      <c r="H390" s="2" t="s">
        <v>4570</v>
      </c>
      <c r="I390" s="2" t="s">
        <v>4571</v>
      </c>
      <c r="J390" s="2" t="s">
        <v>4572</v>
      </c>
      <c r="K390" s="2" t="s">
        <v>4573</v>
      </c>
      <c r="L390" s="2" t="s">
        <v>4574</v>
      </c>
      <c r="M390" s="2" t="s">
        <v>4575</v>
      </c>
      <c r="N390" s="2" t="s">
        <v>4576</v>
      </c>
      <c r="O390" s="2" t="s">
        <v>4573</v>
      </c>
      <c r="P390" s="2" t="s">
        <v>4564</v>
      </c>
    </row>
    <row r="391" spans="1:16">
      <c r="A391" s="1">
        <v>390</v>
      </c>
      <c r="B391" s="2" t="s">
        <v>22768</v>
      </c>
      <c r="C391" s="2" t="s">
        <v>4578</v>
      </c>
      <c r="D391" s="2" t="s">
        <v>4579</v>
      </c>
      <c r="E391" s="2" t="s">
        <v>4580</v>
      </c>
      <c r="F391" s="2" t="s">
        <v>4581</v>
      </c>
      <c r="G391" s="2" t="s">
        <v>4582</v>
      </c>
      <c r="H391" s="2" t="s">
        <v>4583</v>
      </c>
      <c r="I391" s="2" t="s">
        <v>4584</v>
      </c>
      <c r="J391" s="2" t="s">
        <v>4585</v>
      </c>
      <c r="K391" s="2" t="s">
        <v>4586</v>
      </c>
      <c r="L391" s="2" t="s">
        <v>4587</v>
      </c>
      <c r="M391" s="2" t="s">
        <v>4588</v>
      </c>
      <c r="N391" s="2" t="s">
        <v>4589</v>
      </c>
      <c r="O391" s="2" t="s">
        <v>4586</v>
      </c>
      <c r="P391" s="2" t="s">
        <v>4577</v>
      </c>
    </row>
    <row r="392" spans="1:16">
      <c r="A392" s="1">
        <v>391</v>
      </c>
      <c r="B392" s="2" t="s">
        <v>4590</v>
      </c>
      <c r="C392" s="2" t="s">
        <v>4591</v>
      </c>
      <c r="D392" s="2" t="s">
        <v>4592</v>
      </c>
      <c r="E392" s="2" t="s">
        <v>4593</v>
      </c>
      <c r="F392" s="2" t="s">
        <v>4594</v>
      </c>
      <c r="G392" s="2" t="s">
        <v>4595</v>
      </c>
      <c r="H392" s="2" t="s">
        <v>4596</v>
      </c>
      <c r="I392" s="2" t="s">
        <v>1799</v>
      </c>
      <c r="J392" s="2" t="s">
        <v>4597</v>
      </c>
      <c r="K392" s="2" t="s">
        <v>4598</v>
      </c>
      <c r="L392" s="2" t="s">
        <v>4599</v>
      </c>
      <c r="M392" s="2" t="s">
        <v>4600</v>
      </c>
      <c r="N392" s="2" t="s">
        <v>4601</v>
      </c>
      <c r="O392" s="2" t="s">
        <v>4602</v>
      </c>
      <c r="P392" s="2" t="s">
        <v>4590</v>
      </c>
    </row>
    <row r="393" spans="1:16">
      <c r="A393" s="1">
        <v>392</v>
      </c>
      <c r="B393" s="2" t="s">
        <v>4603</v>
      </c>
      <c r="C393" s="2" t="s">
        <v>4603</v>
      </c>
      <c r="D393" s="2" t="s">
        <v>4604</v>
      </c>
      <c r="E393" s="2" t="s">
        <v>4605</v>
      </c>
      <c r="F393" s="2" t="s">
        <v>4606</v>
      </c>
      <c r="G393" s="2" t="s">
        <v>4606</v>
      </c>
      <c r="H393" s="2" t="s">
        <v>4607</v>
      </c>
      <c r="I393" s="2" t="s">
        <v>4603</v>
      </c>
      <c r="J393" s="2" t="s">
        <v>4603</v>
      </c>
      <c r="K393" s="2" t="s">
        <v>4608</v>
      </c>
      <c r="L393" s="2" t="s">
        <v>4603</v>
      </c>
      <c r="M393" s="2" t="s">
        <v>4603</v>
      </c>
      <c r="N393" s="2" t="s">
        <v>4603</v>
      </c>
      <c r="O393" s="2" t="s">
        <v>4609</v>
      </c>
      <c r="P393" s="2" t="s">
        <v>4603</v>
      </c>
    </row>
    <row r="394" spans="1:16">
      <c r="A394" s="1">
        <v>393</v>
      </c>
      <c r="B394" s="2" t="s">
        <v>4610</v>
      </c>
      <c r="C394" s="2" t="s">
        <v>4611</v>
      </c>
      <c r="D394" s="2" t="s">
        <v>4612</v>
      </c>
      <c r="E394" s="2" t="s">
        <v>4613</v>
      </c>
      <c r="F394" s="2" t="s">
        <v>22769</v>
      </c>
      <c r="G394" s="2" t="s">
        <v>4614</v>
      </c>
      <c r="H394" s="2" t="s">
        <v>4615</v>
      </c>
      <c r="I394" s="2" t="s">
        <v>4616</v>
      </c>
      <c r="J394" s="2" t="s">
        <v>4617</v>
      </c>
      <c r="K394" s="2" t="s">
        <v>4618</v>
      </c>
      <c r="L394" s="2" t="s">
        <v>4619</v>
      </c>
      <c r="M394" s="2" t="s">
        <v>4620</v>
      </c>
      <c r="N394" s="2" t="s">
        <v>4621</v>
      </c>
      <c r="O394" s="2" t="s">
        <v>4622</v>
      </c>
      <c r="P394" s="2" t="s">
        <v>4610</v>
      </c>
    </row>
    <row r="395" spans="1:16">
      <c r="A395" s="1">
        <v>394</v>
      </c>
      <c r="B395" s="2" t="s">
        <v>22770</v>
      </c>
      <c r="C395" s="2" t="s">
        <v>4624</v>
      </c>
      <c r="D395" s="2" t="s">
        <v>4625</v>
      </c>
      <c r="E395" s="2" t="s">
        <v>25519</v>
      </c>
      <c r="F395" s="2" t="s">
        <v>4626</v>
      </c>
      <c r="G395" s="2" t="s">
        <v>4627</v>
      </c>
      <c r="H395" s="2" t="s">
        <v>4628</v>
      </c>
      <c r="I395" s="2" t="s">
        <v>4629</v>
      </c>
      <c r="J395" s="2" t="s">
        <v>4630</v>
      </c>
      <c r="K395" s="2" t="s">
        <v>4631</v>
      </c>
      <c r="L395" s="2" t="s">
        <v>4632</v>
      </c>
      <c r="M395" s="2" t="s">
        <v>4633</v>
      </c>
      <c r="N395" s="2" t="s">
        <v>4634</v>
      </c>
      <c r="O395" s="2" t="s">
        <v>4635</v>
      </c>
      <c r="P395" s="2" t="s">
        <v>4623</v>
      </c>
    </row>
    <row r="396" spans="1:16">
      <c r="A396" s="1">
        <v>395</v>
      </c>
      <c r="B396" s="2" t="s">
        <v>4636</v>
      </c>
      <c r="C396" s="2" t="s">
        <v>4637</v>
      </c>
      <c r="D396" s="2" t="s">
        <v>4638</v>
      </c>
      <c r="E396" s="2" t="s">
        <v>25520</v>
      </c>
      <c r="F396" s="2" t="s">
        <v>4639</v>
      </c>
      <c r="G396" s="2" t="s">
        <v>4640</v>
      </c>
      <c r="H396" s="2" t="s">
        <v>4641</v>
      </c>
      <c r="I396" s="2" t="s">
        <v>4642</v>
      </c>
      <c r="J396" s="2" t="s">
        <v>4643</v>
      </c>
      <c r="K396" s="2" t="s">
        <v>4644</v>
      </c>
      <c r="L396" s="2" t="s">
        <v>4645</v>
      </c>
      <c r="M396" s="2" t="s">
        <v>4646</v>
      </c>
      <c r="N396" s="2" t="s">
        <v>4647</v>
      </c>
      <c r="O396" s="2" t="s">
        <v>4648</v>
      </c>
      <c r="P396" s="2" t="s">
        <v>4636</v>
      </c>
    </row>
    <row r="397" spans="1:16">
      <c r="A397" s="1">
        <v>396</v>
      </c>
      <c r="B397" s="2" t="s">
        <v>4649</v>
      </c>
      <c r="C397" s="2" t="s">
        <v>4650</v>
      </c>
      <c r="D397" s="2" t="s">
        <v>4651</v>
      </c>
      <c r="E397" s="2" t="s">
        <v>25521</v>
      </c>
      <c r="F397" s="2" t="s">
        <v>4652</v>
      </c>
      <c r="G397" s="2" t="s">
        <v>4653</v>
      </c>
      <c r="H397" s="2" t="s">
        <v>4654</v>
      </c>
      <c r="I397" s="2" t="s">
        <v>4655</v>
      </c>
      <c r="J397" s="2" t="s">
        <v>4656</v>
      </c>
      <c r="K397" s="2" t="s">
        <v>4657</v>
      </c>
      <c r="L397" s="2" t="s">
        <v>4658</v>
      </c>
      <c r="M397" s="2" t="s">
        <v>4659</v>
      </c>
      <c r="N397" s="2" t="s">
        <v>4660</v>
      </c>
      <c r="O397" s="2" t="s">
        <v>4661</v>
      </c>
      <c r="P397" s="2" t="s">
        <v>4649</v>
      </c>
    </row>
    <row r="398" spans="1:16">
      <c r="A398" s="1">
        <v>397</v>
      </c>
      <c r="B398" s="2" t="s">
        <v>4662</v>
      </c>
      <c r="C398" s="2" t="s">
        <v>4663</v>
      </c>
      <c r="D398" s="2" t="s">
        <v>4664</v>
      </c>
      <c r="E398" s="2" t="s">
        <v>4665</v>
      </c>
      <c r="F398" s="2" t="s">
        <v>4666</v>
      </c>
      <c r="G398" s="2" t="s">
        <v>4667</v>
      </c>
      <c r="H398" s="2" t="s">
        <v>4668</v>
      </c>
      <c r="I398" s="2" t="s">
        <v>4669</v>
      </c>
      <c r="J398" s="2" t="s">
        <v>4670</v>
      </c>
      <c r="K398" s="2" t="s">
        <v>4671</v>
      </c>
      <c r="L398" s="2" t="s">
        <v>4672</v>
      </c>
      <c r="M398" s="2" t="s">
        <v>4673</v>
      </c>
      <c r="N398" s="2" t="s">
        <v>4674</v>
      </c>
      <c r="O398" s="2" t="s">
        <v>4675</v>
      </c>
      <c r="P398" s="2" t="s">
        <v>4662</v>
      </c>
    </row>
    <row r="399" spans="1:16">
      <c r="A399" s="1">
        <v>398</v>
      </c>
      <c r="B399" s="2" t="s">
        <v>4676</v>
      </c>
      <c r="C399" s="2" t="s">
        <v>4677</v>
      </c>
      <c r="D399" s="2" t="s">
        <v>4678</v>
      </c>
      <c r="E399" s="2" t="s">
        <v>4679</v>
      </c>
      <c r="F399" s="2" t="s">
        <v>4680</v>
      </c>
      <c r="G399" s="2" t="s">
        <v>4681</v>
      </c>
      <c r="H399" s="2" t="s">
        <v>4682</v>
      </c>
      <c r="I399" s="2" t="s">
        <v>4683</v>
      </c>
      <c r="J399" s="2" t="s">
        <v>4684</v>
      </c>
      <c r="K399" s="2" t="s">
        <v>4685</v>
      </c>
      <c r="L399" s="2" t="s">
        <v>4686</v>
      </c>
      <c r="M399" s="2" t="s">
        <v>4687</v>
      </c>
      <c r="N399" s="2" t="s">
        <v>4688</v>
      </c>
      <c r="O399" s="2" t="s">
        <v>4689</v>
      </c>
      <c r="P399" s="2" t="s">
        <v>4676</v>
      </c>
    </row>
    <row r="400" spans="1:16">
      <c r="A400" s="1">
        <v>399</v>
      </c>
      <c r="B400" s="2" t="s">
        <v>4690</v>
      </c>
      <c r="C400" s="2" t="s">
        <v>4691</v>
      </c>
      <c r="D400" s="2" t="s">
        <v>4692</v>
      </c>
      <c r="E400" s="2" t="s">
        <v>4693</v>
      </c>
      <c r="F400" s="2" t="s">
        <v>4694</v>
      </c>
      <c r="G400" s="2" t="s">
        <v>4695</v>
      </c>
      <c r="H400" s="2" t="s">
        <v>4696</v>
      </c>
      <c r="I400" s="2" t="s">
        <v>4697</v>
      </c>
      <c r="J400" s="2" t="s">
        <v>4698</v>
      </c>
      <c r="K400" s="2" t="s">
        <v>4699</v>
      </c>
      <c r="L400" s="2" t="s">
        <v>4700</v>
      </c>
      <c r="M400" s="2" t="s">
        <v>4701</v>
      </c>
      <c r="N400" s="2" t="s">
        <v>4702</v>
      </c>
      <c r="O400" s="2" t="s">
        <v>4703</v>
      </c>
      <c r="P400" s="2" t="s">
        <v>4690</v>
      </c>
    </row>
    <row r="401" spans="1:16">
      <c r="A401" s="1">
        <v>400</v>
      </c>
      <c r="B401" s="2" t="s">
        <v>4704</v>
      </c>
      <c r="C401" s="2" t="s">
        <v>4705</v>
      </c>
      <c r="D401" s="2" t="s">
        <v>4706</v>
      </c>
      <c r="E401" s="2" t="s">
        <v>4707</v>
      </c>
      <c r="F401" s="2" t="s">
        <v>4708</v>
      </c>
      <c r="G401" s="2" t="s">
        <v>4709</v>
      </c>
      <c r="H401" s="2" t="s">
        <v>4710</v>
      </c>
      <c r="I401" s="2" t="s">
        <v>4711</v>
      </c>
      <c r="J401" s="2" t="s">
        <v>4712</v>
      </c>
      <c r="K401" s="2" t="s">
        <v>4713</v>
      </c>
      <c r="L401" s="2" t="s">
        <v>4714</v>
      </c>
      <c r="M401" s="2" t="s">
        <v>4704</v>
      </c>
      <c r="N401" s="2" t="s">
        <v>4715</v>
      </c>
      <c r="O401" s="2" t="s">
        <v>4713</v>
      </c>
      <c r="P401" s="2" t="s">
        <v>4704</v>
      </c>
    </row>
    <row r="402" spans="1:16">
      <c r="A402" s="1">
        <v>401</v>
      </c>
      <c r="B402" s="2" t="s">
        <v>4716</v>
      </c>
      <c r="C402" s="2" t="s">
        <v>4717</v>
      </c>
      <c r="D402" s="2" t="s">
        <v>4718</v>
      </c>
      <c r="E402" s="2" t="s">
        <v>4719</v>
      </c>
      <c r="F402" s="2" t="s">
        <v>4720</v>
      </c>
      <c r="G402" s="2" t="s">
        <v>4721</v>
      </c>
      <c r="H402" s="2" t="s">
        <v>4722</v>
      </c>
      <c r="I402" s="2" t="s">
        <v>4723</v>
      </c>
      <c r="J402" s="2" t="s">
        <v>4724</v>
      </c>
      <c r="K402" s="2" t="s">
        <v>4725</v>
      </c>
      <c r="L402" s="2" t="s">
        <v>4726</v>
      </c>
      <c r="M402" s="2" t="s">
        <v>4727</v>
      </c>
      <c r="N402" s="2" t="s">
        <v>4728</v>
      </c>
      <c r="O402" s="2" t="s">
        <v>4729</v>
      </c>
      <c r="P402" s="2" t="s">
        <v>4716</v>
      </c>
    </row>
    <row r="403" spans="1:16">
      <c r="A403" s="1">
        <v>402</v>
      </c>
      <c r="B403" s="2" t="s">
        <v>4730</v>
      </c>
      <c r="C403" s="2" t="s">
        <v>4731</v>
      </c>
      <c r="D403" s="2" t="s">
        <v>4732</v>
      </c>
      <c r="E403" s="2" t="s">
        <v>4733</v>
      </c>
      <c r="F403" s="2" t="s">
        <v>4734</v>
      </c>
      <c r="G403" s="2" t="s">
        <v>4735</v>
      </c>
      <c r="H403" s="2" t="s">
        <v>4736</v>
      </c>
      <c r="I403" s="2" t="s">
        <v>4737</v>
      </c>
      <c r="J403" s="2" t="s">
        <v>4738</v>
      </c>
      <c r="K403" s="2" t="s">
        <v>4739</v>
      </c>
      <c r="L403" s="2" t="s">
        <v>4740</v>
      </c>
      <c r="M403" s="2" t="s">
        <v>4741</v>
      </c>
      <c r="N403" s="2" t="s">
        <v>4742</v>
      </c>
      <c r="O403" s="2" t="s">
        <v>4743</v>
      </c>
      <c r="P403" s="2" t="s">
        <v>4730</v>
      </c>
    </row>
    <row r="404" spans="1:16">
      <c r="A404" s="1">
        <v>403</v>
      </c>
      <c r="B404" s="2" t="s">
        <v>4744</v>
      </c>
      <c r="C404" s="2" t="s">
        <v>4745</v>
      </c>
      <c r="D404" s="2" t="s">
        <v>4746</v>
      </c>
      <c r="E404" s="2" t="s">
        <v>4747</v>
      </c>
      <c r="F404" s="2" t="s">
        <v>4744</v>
      </c>
      <c r="G404" s="2" t="s">
        <v>4748</v>
      </c>
      <c r="H404" s="2" t="s">
        <v>4749</v>
      </c>
      <c r="I404" s="2" t="s">
        <v>4750</v>
      </c>
      <c r="J404" s="2" t="s">
        <v>4744</v>
      </c>
      <c r="K404" s="2" t="s">
        <v>4751</v>
      </c>
      <c r="L404" s="2" t="s">
        <v>4744</v>
      </c>
      <c r="M404" s="2" t="s">
        <v>4744</v>
      </c>
      <c r="N404" s="2" t="s">
        <v>4744</v>
      </c>
      <c r="O404" s="2" t="s">
        <v>4751</v>
      </c>
      <c r="P404" s="2" t="s">
        <v>4744</v>
      </c>
    </row>
    <row r="405" spans="1:16">
      <c r="A405" s="1">
        <v>404</v>
      </c>
      <c r="B405" s="2" t="s">
        <v>4752</v>
      </c>
      <c r="C405" s="2" t="s">
        <v>4705</v>
      </c>
      <c r="D405" s="2" t="s">
        <v>4753</v>
      </c>
      <c r="E405" s="2" t="s">
        <v>4754</v>
      </c>
      <c r="F405" s="2" t="s">
        <v>4755</v>
      </c>
      <c r="G405" s="2" t="s">
        <v>4756</v>
      </c>
      <c r="H405" s="2" t="s">
        <v>4757</v>
      </c>
      <c r="I405" s="2" t="s">
        <v>4755</v>
      </c>
      <c r="J405" s="2" t="s">
        <v>4758</v>
      </c>
      <c r="K405" s="2" t="s">
        <v>4759</v>
      </c>
      <c r="L405" s="2" t="s">
        <v>4760</v>
      </c>
      <c r="M405" s="2" t="s">
        <v>4752</v>
      </c>
      <c r="N405" s="2" t="s">
        <v>4761</v>
      </c>
      <c r="O405" s="2" t="s">
        <v>4762</v>
      </c>
      <c r="P405" s="2" t="s">
        <v>4752</v>
      </c>
    </row>
    <row r="406" spans="1:16">
      <c r="A406" s="1">
        <v>405</v>
      </c>
      <c r="B406" s="2" t="s">
        <v>4763</v>
      </c>
      <c r="C406" s="2" t="s">
        <v>4764</v>
      </c>
      <c r="D406" s="2" t="s">
        <v>4765</v>
      </c>
      <c r="E406" s="2" t="s">
        <v>4766</v>
      </c>
      <c r="F406" s="2" t="s">
        <v>4767</v>
      </c>
      <c r="G406" s="2" t="s">
        <v>4768</v>
      </c>
      <c r="H406" s="2" t="s">
        <v>4769</v>
      </c>
      <c r="I406" s="2" t="s">
        <v>4770</v>
      </c>
      <c r="J406" s="2" t="s">
        <v>4771</v>
      </c>
      <c r="K406" s="2" t="s">
        <v>4772</v>
      </c>
      <c r="L406" s="2" t="s">
        <v>4773</v>
      </c>
      <c r="M406" s="2" t="s">
        <v>4774</v>
      </c>
      <c r="N406" s="2" t="s">
        <v>4775</v>
      </c>
      <c r="O406" s="2" t="s">
        <v>4776</v>
      </c>
      <c r="P406" s="2" t="s">
        <v>4763</v>
      </c>
    </row>
    <row r="407" spans="1:16">
      <c r="A407" s="1">
        <v>406</v>
      </c>
      <c r="B407" s="2" t="s">
        <v>4777</v>
      </c>
      <c r="C407" s="2" t="s">
        <v>4778</v>
      </c>
      <c r="D407" s="2" t="s">
        <v>4779</v>
      </c>
      <c r="E407" s="2" t="s">
        <v>4780</v>
      </c>
      <c r="F407" s="2" t="s">
        <v>4781</v>
      </c>
      <c r="G407" s="2" t="s">
        <v>4782</v>
      </c>
      <c r="H407" s="2" t="s">
        <v>4783</v>
      </c>
      <c r="I407" s="2" t="s">
        <v>4784</v>
      </c>
      <c r="J407" s="2" t="s">
        <v>4785</v>
      </c>
      <c r="K407" s="2" t="s">
        <v>4786</v>
      </c>
      <c r="L407" s="2" t="s">
        <v>4787</v>
      </c>
      <c r="M407" s="2" t="s">
        <v>4788</v>
      </c>
      <c r="N407" s="2" t="s">
        <v>4789</v>
      </c>
      <c r="O407" s="2" t="s">
        <v>4790</v>
      </c>
      <c r="P407" s="2" t="s">
        <v>4777</v>
      </c>
    </row>
    <row r="408" spans="1:16">
      <c r="A408" s="1">
        <v>407</v>
      </c>
      <c r="B408" s="2" t="s">
        <v>22771</v>
      </c>
      <c r="C408" s="2" t="s">
        <v>4792</v>
      </c>
      <c r="D408" s="2" t="s">
        <v>4793</v>
      </c>
      <c r="E408" s="2" t="s">
        <v>4794</v>
      </c>
      <c r="F408" s="2" t="s">
        <v>4795</v>
      </c>
      <c r="G408" s="2" t="s">
        <v>4796</v>
      </c>
      <c r="H408" s="2" t="s">
        <v>4797</v>
      </c>
      <c r="I408" s="2" t="s">
        <v>4798</v>
      </c>
      <c r="J408" s="2" t="s">
        <v>4799</v>
      </c>
      <c r="K408" s="2" t="s">
        <v>4800</v>
      </c>
      <c r="L408" s="2" t="s">
        <v>4801</v>
      </c>
      <c r="M408" s="2" t="s">
        <v>4802</v>
      </c>
      <c r="N408" s="2" t="s">
        <v>4803</v>
      </c>
      <c r="O408" s="2" t="s">
        <v>4804</v>
      </c>
      <c r="P408" s="2" t="s">
        <v>4791</v>
      </c>
    </row>
    <row r="409" spans="1:16">
      <c r="A409" s="1">
        <v>408</v>
      </c>
      <c r="B409" s="2" t="s">
        <v>22772</v>
      </c>
      <c r="C409" s="2" t="s">
        <v>4806</v>
      </c>
      <c r="D409" s="2" t="s">
        <v>4807</v>
      </c>
      <c r="E409" s="2" t="s">
        <v>4808</v>
      </c>
      <c r="F409" s="2" t="s">
        <v>4809</v>
      </c>
      <c r="G409" s="2" t="s">
        <v>4810</v>
      </c>
      <c r="H409" s="2" t="s">
        <v>4811</v>
      </c>
      <c r="I409" s="2" t="s">
        <v>4812</v>
      </c>
      <c r="J409" s="2" t="s">
        <v>4813</v>
      </c>
      <c r="K409" s="2" t="s">
        <v>4814</v>
      </c>
      <c r="L409" s="2" t="s">
        <v>4815</v>
      </c>
      <c r="M409" s="2" t="s">
        <v>4816</v>
      </c>
      <c r="N409" s="2" t="s">
        <v>4817</v>
      </c>
      <c r="O409" s="2" t="s">
        <v>4818</v>
      </c>
      <c r="P409" s="2" t="s">
        <v>4805</v>
      </c>
    </row>
    <row r="410" spans="1:16">
      <c r="A410" s="1">
        <v>409</v>
      </c>
      <c r="B410" s="2" t="s">
        <v>4819</v>
      </c>
      <c r="C410" s="2" t="s">
        <v>4820</v>
      </c>
      <c r="D410" s="2" t="s">
        <v>4821</v>
      </c>
      <c r="E410" s="2" t="s">
        <v>4780</v>
      </c>
      <c r="F410" s="2" t="s">
        <v>4822</v>
      </c>
      <c r="G410" s="2" t="s">
        <v>4823</v>
      </c>
      <c r="H410" s="2" t="s">
        <v>4824</v>
      </c>
      <c r="I410" s="2" t="s">
        <v>4825</v>
      </c>
      <c r="J410" s="2" t="s">
        <v>4826</v>
      </c>
      <c r="K410" s="2" t="s">
        <v>4827</v>
      </c>
      <c r="L410" s="2" t="s">
        <v>4828</v>
      </c>
      <c r="M410" s="2" t="s">
        <v>4829</v>
      </c>
      <c r="N410" s="2" t="s">
        <v>4830</v>
      </c>
      <c r="O410" s="2" t="s">
        <v>4831</v>
      </c>
      <c r="P410" s="2" t="s">
        <v>4819</v>
      </c>
    </row>
    <row r="411" spans="1:16">
      <c r="A411" s="1">
        <v>410</v>
      </c>
      <c r="B411" s="2" t="s">
        <v>4832</v>
      </c>
      <c r="C411" s="2" t="s">
        <v>4833</v>
      </c>
      <c r="D411" s="2" t="s">
        <v>4834</v>
      </c>
      <c r="E411" s="2" t="s">
        <v>4835</v>
      </c>
      <c r="F411" s="2" t="s">
        <v>4836</v>
      </c>
      <c r="G411" s="2" t="s">
        <v>4837</v>
      </c>
      <c r="H411" s="2" t="s">
        <v>4838</v>
      </c>
      <c r="I411" s="2" t="s">
        <v>4839</v>
      </c>
      <c r="J411" s="2" t="s">
        <v>4840</v>
      </c>
      <c r="K411" s="2" t="s">
        <v>4841</v>
      </c>
      <c r="L411" s="2" t="s">
        <v>4842</v>
      </c>
      <c r="M411" s="2" t="s">
        <v>4843</v>
      </c>
      <c r="N411" s="2" t="s">
        <v>4844</v>
      </c>
      <c r="O411" s="2" t="s">
        <v>4845</v>
      </c>
      <c r="P411" s="2" t="s">
        <v>4832</v>
      </c>
    </row>
    <row r="412" spans="1:16">
      <c r="A412" s="1">
        <v>411</v>
      </c>
      <c r="B412" s="2" t="s">
        <v>4846</v>
      </c>
      <c r="C412" s="2" t="s">
        <v>4847</v>
      </c>
      <c r="D412" s="2" t="s">
        <v>4848</v>
      </c>
      <c r="E412" s="2" t="s">
        <v>4849</v>
      </c>
      <c r="F412" s="2" t="s">
        <v>4850</v>
      </c>
      <c r="G412" s="2" t="s">
        <v>4851</v>
      </c>
      <c r="H412" s="2" t="s">
        <v>4852</v>
      </c>
      <c r="I412" s="2" t="s">
        <v>4853</v>
      </c>
      <c r="J412" s="2" t="s">
        <v>4854</v>
      </c>
      <c r="K412" s="2" t="s">
        <v>4855</v>
      </c>
      <c r="L412" s="2" t="s">
        <v>4856</v>
      </c>
      <c r="M412" s="2" t="s">
        <v>4857</v>
      </c>
      <c r="N412" s="2" t="s">
        <v>4858</v>
      </c>
      <c r="O412" s="2" t="s">
        <v>4859</v>
      </c>
      <c r="P412" s="2" t="s">
        <v>4846</v>
      </c>
    </row>
    <row r="413" spans="1:16">
      <c r="A413" s="1">
        <v>412</v>
      </c>
      <c r="B413" s="2" t="s">
        <v>4860</v>
      </c>
      <c r="C413" s="2" t="s">
        <v>4861</v>
      </c>
      <c r="D413" s="2" t="s">
        <v>4861</v>
      </c>
      <c r="E413" s="2" t="s">
        <v>4862</v>
      </c>
      <c r="F413" s="2" t="s">
        <v>4863</v>
      </c>
      <c r="G413" s="2" t="s">
        <v>4864</v>
      </c>
      <c r="H413" s="2" t="s">
        <v>4862</v>
      </c>
      <c r="I413" s="2" t="s">
        <v>4865</v>
      </c>
      <c r="J413" s="2" t="s">
        <v>4866</v>
      </c>
      <c r="K413" s="2" t="s">
        <v>4864</v>
      </c>
      <c r="L413" s="2" t="s">
        <v>4867</v>
      </c>
      <c r="M413" s="2" t="s">
        <v>4860</v>
      </c>
      <c r="N413" s="2" t="s">
        <v>4860</v>
      </c>
      <c r="O413" s="2" t="s">
        <v>4864</v>
      </c>
      <c r="P413" s="2" t="s">
        <v>4860</v>
      </c>
    </row>
    <row r="414" spans="1:16">
      <c r="A414" s="1">
        <v>413</v>
      </c>
      <c r="B414" s="2" t="s">
        <v>4868</v>
      </c>
      <c r="C414" s="2" t="s">
        <v>4869</v>
      </c>
      <c r="D414" s="2" t="s">
        <v>4869</v>
      </c>
      <c r="E414" s="2" t="s">
        <v>4870</v>
      </c>
      <c r="F414" s="2" t="s">
        <v>4871</v>
      </c>
      <c r="G414" s="2" t="s">
        <v>4872</v>
      </c>
      <c r="H414" s="2" t="s">
        <v>4870</v>
      </c>
      <c r="I414" s="2" t="s">
        <v>4873</v>
      </c>
      <c r="J414" s="2" t="s">
        <v>4874</v>
      </c>
      <c r="K414" s="2" t="s">
        <v>4872</v>
      </c>
      <c r="L414" s="2" t="s">
        <v>4875</v>
      </c>
      <c r="M414" s="2" t="s">
        <v>4868</v>
      </c>
      <c r="N414" s="2" t="s">
        <v>4868</v>
      </c>
      <c r="O414" s="2" t="s">
        <v>4872</v>
      </c>
      <c r="P414" s="2" t="s">
        <v>4868</v>
      </c>
    </row>
    <row r="415" spans="1:16">
      <c r="A415" s="1">
        <v>414</v>
      </c>
      <c r="B415" s="2" t="s">
        <v>4876</v>
      </c>
      <c r="C415" s="2" t="s">
        <v>4877</v>
      </c>
      <c r="D415" s="2" t="s">
        <v>4877</v>
      </c>
      <c r="E415" s="2" t="s">
        <v>4878</v>
      </c>
      <c r="F415" s="2" t="s">
        <v>4879</v>
      </c>
      <c r="G415" s="2" t="s">
        <v>4880</v>
      </c>
      <c r="H415" s="2" t="s">
        <v>4878</v>
      </c>
      <c r="I415" s="2" t="s">
        <v>4881</v>
      </c>
      <c r="J415" s="2" t="s">
        <v>4882</v>
      </c>
      <c r="K415" s="2" t="s">
        <v>4880</v>
      </c>
      <c r="L415" s="2" t="s">
        <v>4883</v>
      </c>
      <c r="M415" s="2" t="s">
        <v>4876</v>
      </c>
      <c r="N415" s="2" t="s">
        <v>4876</v>
      </c>
      <c r="O415" s="2" t="s">
        <v>4880</v>
      </c>
      <c r="P415" s="2" t="s">
        <v>4876</v>
      </c>
    </row>
    <row r="416" spans="1:16">
      <c r="A416" s="1">
        <v>415</v>
      </c>
      <c r="B416" s="2" t="s">
        <v>4884</v>
      </c>
      <c r="C416" s="2" t="s">
        <v>4885</v>
      </c>
      <c r="D416" s="2" t="s">
        <v>4885</v>
      </c>
      <c r="E416" s="2" t="s">
        <v>4886</v>
      </c>
      <c r="F416" s="2" t="s">
        <v>4887</v>
      </c>
      <c r="G416" s="2" t="s">
        <v>4888</v>
      </c>
      <c r="H416" s="2" t="s">
        <v>4886</v>
      </c>
      <c r="I416" s="2" t="s">
        <v>4889</v>
      </c>
      <c r="J416" s="2" t="s">
        <v>4890</v>
      </c>
      <c r="K416" s="2" t="s">
        <v>4888</v>
      </c>
      <c r="L416" s="2" t="s">
        <v>4891</v>
      </c>
      <c r="M416" s="2" t="s">
        <v>4884</v>
      </c>
      <c r="N416" s="2" t="s">
        <v>4884</v>
      </c>
      <c r="O416" s="2" t="s">
        <v>4888</v>
      </c>
      <c r="P416" s="2" t="s">
        <v>4884</v>
      </c>
    </row>
    <row r="417" spans="1:16">
      <c r="A417" s="1">
        <v>416</v>
      </c>
      <c r="B417" s="2" t="s">
        <v>4892</v>
      </c>
      <c r="C417" s="2" t="s">
        <v>4893</v>
      </c>
      <c r="D417" s="2" t="s">
        <v>25522</v>
      </c>
      <c r="E417" s="2" t="s">
        <v>4894</v>
      </c>
      <c r="F417" s="2" t="s">
        <v>4895</v>
      </c>
      <c r="G417" s="2" t="s">
        <v>4896</v>
      </c>
      <c r="H417" s="2" t="s">
        <v>4897</v>
      </c>
      <c r="I417" s="2" t="s">
        <v>4898</v>
      </c>
      <c r="J417" s="2" t="s">
        <v>4899</v>
      </c>
      <c r="K417" s="2" t="s">
        <v>4894</v>
      </c>
      <c r="L417" s="2" t="s">
        <v>4900</v>
      </c>
      <c r="M417" s="2" t="s">
        <v>4892</v>
      </c>
      <c r="N417" s="2" t="s">
        <v>4892</v>
      </c>
      <c r="O417" s="2" t="s">
        <v>4892</v>
      </c>
      <c r="P417" s="2" t="s">
        <v>4892</v>
      </c>
    </row>
    <row r="418" spans="1:16">
      <c r="A418" s="1">
        <v>417</v>
      </c>
      <c r="B418" s="2" t="s">
        <v>4901</v>
      </c>
      <c r="C418" s="2" t="s">
        <v>4902</v>
      </c>
      <c r="D418" s="2" t="s">
        <v>4903</v>
      </c>
      <c r="E418" s="2" t="s">
        <v>4904</v>
      </c>
      <c r="F418" s="2" t="s">
        <v>4905</v>
      </c>
      <c r="G418" s="2" t="s">
        <v>4906</v>
      </c>
      <c r="H418" s="2" t="s">
        <v>4907</v>
      </c>
      <c r="I418" s="2" t="s">
        <v>4908</v>
      </c>
      <c r="J418" s="2" t="s">
        <v>4909</v>
      </c>
      <c r="K418" s="2" t="s">
        <v>4910</v>
      </c>
      <c r="L418" s="2" t="s">
        <v>4911</v>
      </c>
      <c r="M418" s="2" t="s">
        <v>4912</v>
      </c>
      <c r="N418" s="2" t="s">
        <v>4913</v>
      </c>
      <c r="O418" s="2" t="s">
        <v>4914</v>
      </c>
      <c r="P418" s="2" t="s">
        <v>4901</v>
      </c>
    </row>
    <row r="419" spans="1:16">
      <c r="A419" s="1">
        <v>418</v>
      </c>
      <c r="B419" s="2" t="s">
        <v>4915</v>
      </c>
      <c r="C419" s="2" t="s">
        <v>4916</v>
      </c>
      <c r="D419" s="2" t="s">
        <v>4917</v>
      </c>
      <c r="E419" s="2" t="s">
        <v>4918</v>
      </c>
      <c r="F419" s="2" t="s">
        <v>4919</v>
      </c>
      <c r="G419" s="2" t="s">
        <v>4920</v>
      </c>
      <c r="H419" s="2" t="s">
        <v>4921</v>
      </c>
      <c r="I419" s="2" t="s">
        <v>4922</v>
      </c>
      <c r="J419" s="2" t="s">
        <v>4923</v>
      </c>
      <c r="K419" s="2" t="s">
        <v>4924</v>
      </c>
      <c r="L419" s="2" t="s">
        <v>4925</v>
      </c>
      <c r="M419" s="2" t="s">
        <v>4926</v>
      </c>
      <c r="N419" s="2" t="s">
        <v>4927</v>
      </c>
      <c r="O419" s="2" t="s">
        <v>4928</v>
      </c>
      <c r="P419" s="2" t="s">
        <v>4915</v>
      </c>
    </row>
    <row r="420" spans="1:16">
      <c r="A420" s="1">
        <v>419</v>
      </c>
      <c r="B420" s="2" t="s">
        <v>4929</v>
      </c>
      <c r="C420" s="2" t="s">
        <v>4930</v>
      </c>
      <c r="D420" s="2" t="s">
        <v>4931</v>
      </c>
      <c r="E420" s="2" t="s">
        <v>4932</v>
      </c>
      <c r="F420" s="2" t="s">
        <v>4933</v>
      </c>
      <c r="G420" s="2" t="s">
        <v>4934</v>
      </c>
      <c r="H420" s="2" t="s">
        <v>4935</v>
      </c>
      <c r="I420" s="2" t="s">
        <v>4936</v>
      </c>
      <c r="J420" s="2" t="s">
        <v>4937</v>
      </c>
      <c r="K420" s="2" t="s">
        <v>4938</v>
      </c>
      <c r="L420" s="2" t="s">
        <v>4939</v>
      </c>
      <c r="M420" s="2" t="s">
        <v>4940</v>
      </c>
      <c r="N420" s="2" t="s">
        <v>4941</v>
      </c>
      <c r="O420" s="2" t="s">
        <v>4942</v>
      </c>
      <c r="P420" s="2" t="s">
        <v>4929</v>
      </c>
    </row>
    <row r="421" spans="1:16">
      <c r="A421" s="1">
        <v>420</v>
      </c>
      <c r="B421" s="2" t="s">
        <v>4943</v>
      </c>
      <c r="C421" s="2" t="s">
        <v>4944</v>
      </c>
      <c r="D421" s="2" t="s">
        <v>4945</v>
      </c>
      <c r="E421" s="2" t="s">
        <v>4946</v>
      </c>
      <c r="F421" s="2" t="s">
        <v>4947</v>
      </c>
      <c r="G421" s="2" t="s">
        <v>4948</v>
      </c>
      <c r="H421" s="2" t="s">
        <v>4949</v>
      </c>
      <c r="I421" s="2" t="s">
        <v>4950</v>
      </c>
      <c r="J421" s="2" t="s">
        <v>4951</v>
      </c>
      <c r="K421" s="2" t="s">
        <v>4952</v>
      </c>
      <c r="L421" s="2" t="s">
        <v>4953</v>
      </c>
      <c r="M421" s="2" t="s">
        <v>4954</v>
      </c>
      <c r="N421" s="2" t="s">
        <v>4955</v>
      </c>
      <c r="O421" s="2" t="s">
        <v>4956</v>
      </c>
      <c r="P421" s="2" t="s">
        <v>4943</v>
      </c>
    </row>
    <row r="422" spans="1:16">
      <c r="A422" s="1">
        <v>421</v>
      </c>
      <c r="B422" s="2" t="s">
        <v>4957</v>
      </c>
      <c r="C422" s="2" t="s">
        <v>4916</v>
      </c>
      <c r="D422" s="2" t="s">
        <v>4958</v>
      </c>
      <c r="E422" s="2" t="s">
        <v>4959</v>
      </c>
      <c r="F422" s="2" t="s">
        <v>4960</v>
      </c>
      <c r="G422" s="2" t="s">
        <v>4961</v>
      </c>
      <c r="H422" s="2" t="s">
        <v>4962</v>
      </c>
      <c r="I422" s="2" t="s">
        <v>4963</v>
      </c>
      <c r="J422" s="2" t="s">
        <v>4964</v>
      </c>
      <c r="K422" s="2" t="s">
        <v>4965</v>
      </c>
      <c r="L422" s="2" t="s">
        <v>4966</v>
      </c>
      <c r="M422" s="2" t="s">
        <v>4967</v>
      </c>
      <c r="N422" s="2" t="s">
        <v>4968</v>
      </c>
      <c r="O422" s="2" t="s">
        <v>4969</v>
      </c>
      <c r="P422" s="2" t="s">
        <v>4957</v>
      </c>
    </row>
    <row r="423" spans="1:16">
      <c r="A423" s="1">
        <v>422</v>
      </c>
      <c r="B423" s="2" t="s">
        <v>22773</v>
      </c>
      <c r="C423" s="2" t="s">
        <v>4970</v>
      </c>
      <c r="D423" s="2" t="s">
        <v>4971</v>
      </c>
      <c r="E423" s="2" t="s">
        <v>4972</v>
      </c>
      <c r="F423" s="2" t="s">
        <v>4973</v>
      </c>
      <c r="G423" s="2" t="s">
        <v>4974</v>
      </c>
      <c r="H423" s="2" t="s">
        <v>4975</v>
      </c>
      <c r="I423" s="2" t="s">
        <v>4976</v>
      </c>
      <c r="J423" s="2" t="s">
        <v>4977</v>
      </c>
      <c r="K423" s="2" t="s">
        <v>4978</v>
      </c>
      <c r="L423" s="2" t="s">
        <v>4979</v>
      </c>
      <c r="M423" s="2" t="s">
        <v>4980</v>
      </c>
      <c r="N423" s="2" t="s">
        <v>4981</v>
      </c>
      <c r="O423" s="2" t="s">
        <v>4982</v>
      </c>
      <c r="P423" s="2" t="s">
        <v>22773</v>
      </c>
    </row>
    <row r="424" spans="1:16">
      <c r="A424" s="1">
        <v>423</v>
      </c>
      <c r="B424" s="2" t="s">
        <v>22774</v>
      </c>
      <c r="C424" s="2" t="s">
        <v>4983</v>
      </c>
      <c r="D424" s="2" t="s">
        <v>4984</v>
      </c>
      <c r="E424" s="2" t="s">
        <v>4985</v>
      </c>
      <c r="F424" s="2" t="s">
        <v>4986</v>
      </c>
      <c r="G424" s="2" t="s">
        <v>4987</v>
      </c>
      <c r="H424" s="2" t="s">
        <v>4988</v>
      </c>
      <c r="I424" s="2" t="s">
        <v>4989</v>
      </c>
      <c r="J424" s="2" t="s">
        <v>4990</v>
      </c>
      <c r="K424" s="2" t="s">
        <v>4991</v>
      </c>
      <c r="L424" s="2" t="s">
        <v>4992</v>
      </c>
      <c r="M424" s="2" t="s">
        <v>4993</v>
      </c>
      <c r="N424" s="2" t="s">
        <v>4994</v>
      </c>
      <c r="O424" s="2" t="s">
        <v>4995</v>
      </c>
      <c r="P424" s="2" t="s">
        <v>22774</v>
      </c>
    </row>
    <row r="425" spans="1:16">
      <c r="A425" s="1">
        <v>424</v>
      </c>
      <c r="B425" s="2" t="s">
        <v>4996</v>
      </c>
      <c r="C425" s="2" t="s">
        <v>4997</v>
      </c>
      <c r="D425" s="2" t="s">
        <v>4998</v>
      </c>
      <c r="E425" s="2" t="s">
        <v>4999</v>
      </c>
      <c r="F425" s="2" t="s">
        <v>5000</v>
      </c>
      <c r="G425" s="2" t="s">
        <v>5001</v>
      </c>
      <c r="H425" s="2" t="s">
        <v>5002</v>
      </c>
      <c r="I425" s="2" t="s">
        <v>5003</v>
      </c>
      <c r="J425" s="2" t="s">
        <v>5004</v>
      </c>
      <c r="K425" s="2" t="s">
        <v>5005</v>
      </c>
      <c r="L425" s="2" t="s">
        <v>5006</v>
      </c>
      <c r="M425" s="2" t="s">
        <v>5007</v>
      </c>
      <c r="N425" s="2" t="s">
        <v>5008</v>
      </c>
      <c r="O425" s="2" t="s">
        <v>5009</v>
      </c>
      <c r="P425" s="2" t="s">
        <v>4996</v>
      </c>
    </row>
    <row r="426" spans="1:16">
      <c r="A426" s="1">
        <v>425</v>
      </c>
      <c r="B426" s="2" t="s">
        <v>22775</v>
      </c>
      <c r="C426" s="2" t="s">
        <v>4997</v>
      </c>
      <c r="D426" s="2" t="s">
        <v>4998</v>
      </c>
      <c r="E426" s="2" t="s">
        <v>25523</v>
      </c>
      <c r="F426" s="2" t="s">
        <v>5010</v>
      </c>
      <c r="G426" s="2" t="s">
        <v>5011</v>
      </c>
      <c r="H426" s="2" t="s">
        <v>5012</v>
      </c>
      <c r="I426" s="2" t="s">
        <v>5013</v>
      </c>
      <c r="J426" s="2" t="s">
        <v>5014</v>
      </c>
      <c r="K426" s="2" t="s">
        <v>5015</v>
      </c>
      <c r="L426" s="2" t="s">
        <v>5016</v>
      </c>
      <c r="M426" s="2" t="s">
        <v>5017</v>
      </c>
      <c r="N426" s="2" t="s">
        <v>5018</v>
      </c>
      <c r="O426" s="2" t="s">
        <v>5009</v>
      </c>
      <c r="P426" s="2" t="s">
        <v>22775</v>
      </c>
    </row>
    <row r="427" spans="1:16">
      <c r="A427" s="1">
        <v>426</v>
      </c>
      <c r="B427" s="2" t="s">
        <v>5019</v>
      </c>
      <c r="C427" s="2" t="s">
        <v>5020</v>
      </c>
      <c r="D427" s="2" t="s">
        <v>5021</v>
      </c>
      <c r="E427" s="2" t="s">
        <v>5022</v>
      </c>
      <c r="F427" s="2" t="s">
        <v>5023</v>
      </c>
      <c r="G427" s="2" t="s">
        <v>5024</v>
      </c>
      <c r="H427" s="2" t="s">
        <v>5025</v>
      </c>
      <c r="I427" s="2" t="s">
        <v>5026</v>
      </c>
      <c r="J427" s="2" t="s">
        <v>5027</v>
      </c>
      <c r="K427" s="2" t="s">
        <v>5028</v>
      </c>
      <c r="L427" s="2" t="s">
        <v>5029</v>
      </c>
      <c r="M427" s="2" t="s">
        <v>5030</v>
      </c>
      <c r="N427" s="2" t="s">
        <v>5031</v>
      </c>
      <c r="O427" s="2" t="s">
        <v>5032</v>
      </c>
      <c r="P427" s="2" t="s">
        <v>5019</v>
      </c>
    </row>
    <row r="428" spans="1:16">
      <c r="A428" s="1">
        <v>427</v>
      </c>
      <c r="B428" s="2" t="s">
        <v>5033</v>
      </c>
      <c r="C428" s="2" t="s">
        <v>5034</v>
      </c>
      <c r="D428" s="2" t="s">
        <v>5035</v>
      </c>
      <c r="E428" s="2" t="s">
        <v>25524</v>
      </c>
      <c r="F428" s="2" t="s">
        <v>5036</v>
      </c>
      <c r="G428" s="2" t="s">
        <v>5037</v>
      </c>
      <c r="H428" s="2" t="s">
        <v>5038</v>
      </c>
      <c r="I428" s="2" t="s">
        <v>5039</v>
      </c>
      <c r="J428" s="2" t="s">
        <v>5040</v>
      </c>
      <c r="K428" s="2" t="s">
        <v>5041</v>
      </c>
      <c r="L428" s="2" t="s">
        <v>5042</v>
      </c>
      <c r="M428" s="2" t="s">
        <v>5043</v>
      </c>
      <c r="N428" s="2" t="s">
        <v>5044</v>
      </c>
      <c r="O428" s="2" t="s">
        <v>5045</v>
      </c>
      <c r="P428" s="2" t="s">
        <v>5033</v>
      </c>
    </row>
    <row r="429" spans="1:16">
      <c r="A429" s="1">
        <v>428</v>
      </c>
      <c r="B429" s="2" t="s">
        <v>5046</v>
      </c>
      <c r="C429" s="2" t="s">
        <v>5047</v>
      </c>
      <c r="D429" s="2" t="s">
        <v>5048</v>
      </c>
      <c r="E429" s="2" t="s">
        <v>25525</v>
      </c>
      <c r="F429" s="2" t="s">
        <v>5049</v>
      </c>
      <c r="G429" s="2" t="s">
        <v>5050</v>
      </c>
      <c r="H429" s="2" t="s">
        <v>5051</v>
      </c>
      <c r="I429" s="2" t="s">
        <v>5052</v>
      </c>
      <c r="J429" s="2" t="s">
        <v>5053</v>
      </c>
      <c r="K429" s="2" t="s">
        <v>5054</v>
      </c>
      <c r="L429" s="2" t="s">
        <v>5055</v>
      </c>
      <c r="M429" s="2" t="s">
        <v>5056</v>
      </c>
      <c r="N429" s="2" t="s">
        <v>5057</v>
      </c>
      <c r="O429" s="2" t="s">
        <v>5058</v>
      </c>
      <c r="P429" s="2" t="s">
        <v>5046</v>
      </c>
    </row>
    <row r="430" spans="1:16">
      <c r="A430" s="1">
        <v>429</v>
      </c>
      <c r="B430" s="2" t="s">
        <v>5059</v>
      </c>
      <c r="C430" s="2" t="s">
        <v>5060</v>
      </c>
      <c r="D430" s="2" t="s">
        <v>5061</v>
      </c>
      <c r="E430" s="2" t="s">
        <v>5062</v>
      </c>
      <c r="F430" s="2" t="s">
        <v>5063</v>
      </c>
      <c r="G430" s="2" t="s">
        <v>5064</v>
      </c>
      <c r="H430" s="2" t="s">
        <v>5065</v>
      </c>
      <c r="I430" s="2" t="s">
        <v>5066</v>
      </c>
      <c r="J430" s="2" t="s">
        <v>5067</v>
      </c>
      <c r="K430" s="2" t="s">
        <v>5068</v>
      </c>
      <c r="L430" s="2" t="s">
        <v>5069</v>
      </c>
      <c r="M430" s="2" t="s">
        <v>5070</v>
      </c>
      <c r="N430" s="2" t="s">
        <v>5071</v>
      </c>
      <c r="O430" s="2" t="s">
        <v>5072</v>
      </c>
      <c r="P430" s="2" t="s">
        <v>5059</v>
      </c>
    </row>
    <row r="431" spans="1:16">
      <c r="A431" s="1">
        <v>430</v>
      </c>
      <c r="B431" s="2" t="s">
        <v>5073</v>
      </c>
      <c r="C431" s="2" t="s">
        <v>5074</v>
      </c>
      <c r="D431" s="2" t="s">
        <v>5075</v>
      </c>
      <c r="E431" s="2" t="s">
        <v>5076</v>
      </c>
      <c r="F431" s="2" t="s">
        <v>5077</v>
      </c>
      <c r="G431" s="2" t="s">
        <v>5078</v>
      </c>
      <c r="H431" s="2" t="s">
        <v>5079</v>
      </c>
      <c r="I431" s="2" t="s">
        <v>5080</v>
      </c>
      <c r="J431" s="2" t="s">
        <v>5081</v>
      </c>
      <c r="K431" s="2" t="s">
        <v>5082</v>
      </c>
      <c r="L431" s="2" t="s">
        <v>5083</v>
      </c>
      <c r="M431" s="2" t="s">
        <v>5084</v>
      </c>
      <c r="N431" s="2" t="s">
        <v>5085</v>
      </c>
      <c r="O431" s="2" t="s">
        <v>5086</v>
      </c>
      <c r="P431" s="2" t="s">
        <v>5073</v>
      </c>
    </row>
    <row r="432" spans="1:16">
      <c r="A432" s="1">
        <v>431</v>
      </c>
      <c r="B432" s="2" t="s">
        <v>5087</v>
      </c>
      <c r="C432" s="2" t="s">
        <v>5088</v>
      </c>
      <c r="D432" s="2" t="s">
        <v>5089</v>
      </c>
      <c r="E432" s="2" t="s">
        <v>5090</v>
      </c>
      <c r="F432" s="2" t="s">
        <v>5091</v>
      </c>
      <c r="G432" s="2" t="s">
        <v>5092</v>
      </c>
      <c r="H432" s="2" t="s">
        <v>5093</v>
      </c>
      <c r="I432" s="2" t="s">
        <v>5094</v>
      </c>
      <c r="J432" s="2" t="s">
        <v>5095</v>
      </c>
      <c r="K432" s="2" t="s">
        <v>5096</v>
      </c>
      <c r="L432" s="2" t="s">
        <v>5097</v>
      </c>
      <c r="M432" s="2" t="s">
        <v>5098</v>
      </c>
      <c r="N432" s="2" t="s">
        <v>5098</v>
      </c>
      <c r="O432" s="2" t="s">
        <v>5099</v>
      </c>
      <c r="P432" s="2" t="s">
        <v>5087</v>
      </c>
    </row>
    <row r="433" spans="1:16">
      <c r="A433" s="1">
        <v>432</v>
      </c>
      <c r="B433" s="2" t="s">
        <v>5100</v>
      </c>
      <c r="C433" s="2" t="s">
        <v>5101</v>
      </c>
      <c r="D433" s="2" t="s">
        <v>5102</v>
      </c>
      <c r="E433" s="2" t="s">
        <v>5103</v>
      </c>
      <c r="F433" s="2" t="s">
        <v>5104</v>
      </c>
      <c r="G433" s="2" t="s">
        <v>5105</v>
      </c>
      <c r="H433" s="2" t="s">
        <v>5106</v>
      </c>
      <c r="I433" s="2" t="s">
        <v>5107</v>
      </c>
      <c r="J433" s="2" t="s">
        <v>5108</v>
      </c>
      <c r="K433" s="2" t="s">
        <v>5109</v>
      </c>
      <c r="L433" s="2" t="s">
        <v>5110</v>
      </c>
      <c r="M433" s="2" t="s">
        <v>5111</v>
      </c>
      <c r="N433" s="2" t="s">
        <v>5111</v>
      </c>
      <c r="O433" s="2" t="s">
        <v>5112</v>
      </c>
      <c r="P433" s="2" t="s">
        <v>5100</v>
      </c>
    </row>
    <row r="434" spans="1:16">
      <c r="A434" s="1">
        <v>433</v>
      </c>
      <c r="B434" s="2" t="s">
        <v>5113</v>
      </c>
      <c r="C434" s="2" t="s">
        <v>5114</v>
      </c>
      <c r="D434" s="2" t="s">
        <v>5115</v>
      </c>
      <c r="E434" s="2" t="s">
        <v>5116</v>
      </c>
      <c r="F434" s="2" t="s">
        <v>5117</v>
      </c>
      <c r="G434" s="2" t="s">
        <v>5118</v>
      </c>
      <c r="H434" s="2" t="s">
        <v>5119</v>
      </c>
      <c r="I434" s="2" t="s">
        <v>5117</v>
      </c>
      <c r="J434" s="2" t="s">
        <v>5120</v>
      </c>
      <c r="K434" s="2" t="s">
        <v>5121</v>
      </c>
      <c r="L434" s="2" t="s">
        <v>5122</v>
      </c>
      <c r="M434" s="2" t="s">
        <v>5123</v>
      </c>
      <c r="N434" s="2" t="s">
        <v>5113</v>
      </c>
      <c r="O434" s="2" t="s">
        <v>5124</v>
      </c>
      <c r="P434" s="2" t="s">
        <v>5113</v>
      </c>
    </row>
    <row r="435" spans="1:16">
      <c r="A435" s="1">
        <v>434</v>
      </c>
      <c r="B435" s="2" t="s">
        <v>5125</v>
      </c>
      <c r="C435" s="2" t="s">
        <v>5126</v>
      </c>
      <c r="D435" s="2" t="s">
        <v>5127</v>
      </c>
      <c r="E435" s="2" t="s">
        <v>5128</v>
      </c>
      <c r="F435" s="2" t="s">
        <v>5129</v>
      </c>
      <c r="G435" s="2" t="s">
        <v>5130</v>
      </c>
      <c r="H435" s="2" t="s">
        <v>5131</v>
      </c>
      <c r="I435" s="2" t="s">
        <v>5132</v>
      </c>
      <c r="J435" s="2" t="s">
        <v>5133</v>
      </c>
      <c r="K435" s="2" t="s">
        <v>5134</v>
      </c>
      <c r="L435" s="2" t="s">
        <v>5135</v>
      </c>
      <c r="M435" s="2" t="s">
        <v>5136</v>
      </c>
      <c r="N435" s="2" t="s">
        <v>5137</v>
      </c>
      <c r="O435" s="2" t="s">
        <v>5138</v>
      </c>
      <c r="P435" s="2" t="s">
        <v>5125</v>
      </c>
    </row>
    <row r="436" spans="1:16">
      <c r="A436" s="1">
        <v>435</v>
      </c>
      <c r="B436" s="2" t="s">
        <v>5139</v>
      </c>
      <c r="C436" s="2" t="s">
        <v>5140</v>
      </c>
      <c r="D436" s="2" t="s">
        <v>5141</v>
      </c>
      <c r="E436" s="2" t="s">
        <v>5142</v>
      </c>
      <c r="F436" s="2" t="s">
        <v>5143</v>
      </c>
      <c r="G436" s="2" t="s">
        <v>5144</v>
      </c>
      <c r="H436" s="2" t="s">
        <v>5145</v>
      </c>
      <c r="I436" s="2" t="s">
        <v>5146</v>
      </c>
      <c r="J436" s="2" t="s">
        <v>5147</v>
      </c>
      <c r="K436" s="2" t="s">
        <v>5148</v>
      </c>
      <c r="L436" s="2" t="s">
        <v>5149</v>
      </c>
      <c r="M436" s="2" t="s">
        <v>5150</v>
      </c>
      <c r="N436" s="2" t="s">
        <v>5151</v>
      </c>
      <c r="O436" s="2" t="s">
        <v>5152</v>
      </c>
      <c r="P436" s="2" t="s">
        <v>5139</v>
      </c>
    </row>
    <row r="437" spans="1:16">
      <c r="A437" s="1">
        <v>436</v>
      </c>
      <c r="B437" s="2" t="s">
        <v>5153</v>
      </c>
      <c r="C437" s="2" t="s">
        <v>5154</v>
      </c>
      <c r="D437" s="2" t="s">
        <v>5155</v>
      </c>
      <c r="E437" s="2" t="s">
        <v>5156</v>
      </c>
      <c r="F437" s="2" t="s">
        <v>5157</v>
      </c>
      <c r="G437" s="2" t="s">
        <v>5158</v>
      </c>
      <c r="H437" s="2" t="s">
        <v>5159</v>
      </c>
      <c r="I437" s="2" t="s">
        <v>5160</v>
      </c>
      <c r="J437" s="2" t="s">
        <v>5161</v>
      </c>
      <c r="K437" s="2" t="s">
        <v>5162</v>
      </c>
      <c r="L437" s="2" t="s">
        <v>5163</v>
      </c>
      <c r="M437" s="2" t="s">
        <v>5164</v>
      </c>
      <c r="N437" s="2" t="s">
        <v>5164</v>
      </c>
      <c r="O437" s="2" t="s">
        <v>5165</v>
      </c>
      <c r="P437" s="2" t="s">
        <v>5153</v>
      </c>
    </row>
    <row r="438" spans="1:16">
      <c r="A438" s="1">
        <v>437</v>
      </c>
      <c r="B438" s="2" t="s">
        <v>5166</v>
      </c>
      <c r="C438" s="2" t="s">
        <v>5167</v>
      </c>
      <c r="D438" s="2" t="s">
        <v>5168</v>
      </c>
      <c r="E438" s="2" t="s">
        <v>5169</v>
      </c>
      <c r="F438" s="2" t="s">
        <v>5170</v>
      </c>
      <c r="G438" s="2" t="s">
        <v>5171</v>
      </c>
      <c r="H438" s="2" t="s">
        <v>5172</v>
      </c>
      <c r="I438" s="2" t="s">
        <v>5173</v>
      </c>
      <c r="J438" s="2" t="s">
        <v>5174</v>
      </c>
      <c r="K438" s="2" t="s">
        <v>5175</v>
      </c>
      <c r="L438" s="2" t="s">
        <v>5176</v>
      </c>
      <c r="M438" s="2" t="s">
        <v>5177</v>
      </c>
      <c r="N438" s="2" t="s">
        <v>5177</v>
      </c>
      <c r="O438" s="2" t="s">
        <v>5178</v>
      </c>
      <c r="P438" s="2" t="s">
        <v>5166</v>
      </c>
    </row>
    <row r="439" spans="1:16">
      <c r="A439" s="1">
        <v>438</v>
      </c>
      <c r="B439" s="2" t="s">
        <v>5179</v>
      </c>
      <c r="C439" s="2" t="s">
        <v>5180</v>
      </c>
      <c r="D439" s="2" t="s">
        <v>5181</v>
      </c>
      <c r="E439" s="2" t="s">
        <v>5182</v>
      </c>
      <c r="F439" s="2" t="s">
        <v>5183</v>
      </c>
      <c r="G439" s="2" t="s">
        <v>5184</v>
      </c>
      <c r="H439" s="2" t="s">
        <v>5185</v>
      </c>
      <c r="I439" s="2" t="s">
        <v>5186</v>
      </c>
      <c r="J439" s="2" t="s">
        <v>5187</v>
      </c>
      <c r="K439" s="2" t="s">
        <v>5188</v>
      </c>
      <c r="L439" s="2" t="s">
        <v>5189</v>
      </c>
      <c r="M439" s="2" t="s">
        <v>5190</v>
      </c>
      <c r="N439" s="2" t="s">
        <v>5191</v>
      </c>
      <c r="O439" s="2" t="s">
        <v>5192</v>
      </c>
      <c r="P439" s="2" t="s">
        <v>5179</v>
      </c>
    </row>
    <row r="440" spans="1:16">
      <c r="A440" s="1">
        <v>439</v>
      </c>
      <c r="B440" s="2" t="s">
        <v>5193</v>
      </c>
      <c r="C440" s="2" t="s">
        <v>5194</v>
      </c>
      <c r="D440" s="2" t="s">
        <v>5195</v>
      </c>
      <c r="E440" s="2" t="s">
        <v>5196</v>
      </c>
      <c r="F440" s="2" t="s">
        <v>5197</v>
      </c>
      <c r="G440" s="2" t="s">
        <v>5198</v>
      </c>
      <c r="H440" s="2" t="s">
        <v>5199</v>
      </c>
      <c r="I440" s="2" t="s">
        <v>5200</v>
      </c>
      <c r="J440" s="2" t="s">
        <v>5201</v>
      </c>
      <c r="K440" s="2" t="s">
        <v>5202</v>
      </c>
      <c r="L440" s="2" t="s">
        <v>5203</v>
      </c>
      <c r="M440" s="2" t="s">
        <v>5204</v>
      </c>
      <c r="N440" s="2" t="s">
        <v>5205</v>
      </c>
      <c r="O440" s="2" t="s">
        <v>5206</v>
      </c>
      <c r="P440" s="2" t="s">
        <v>5193</v>
      </c>
    </row>
    <row r="441" spans="1:16" ht="28.5">
      <c r="A441" s="1">
        <v>440</v>
      </c>
      <c r="B441" s="2" t="s">
        <v>25526</v>
      </c>
      <c r="C441" s="82" t="s">
        <v>25527</v>
      </c>
      <c r="D441" s="2" t="s">
        <v>5207</v>
      </c>
      <c r="E441" s="2" t="s">
        <v>25528</v>
      </c>
      <c r="F441" s="82" t="s">
        <v>25529</v>
      </c>
      <c r="G441" s="82" t="s">
        <v>25530</v>
      </c>
      <c r="H441" s="2" t="s">
        <v>25531</v>
      </c>
      <c r="I441" s="82" t="s">
        <v>25532</v>
      </c>
      <c r="J441" s="82" t="s">
        <v>25533</v>
      </c>
      <c r="K441" s="2" t="s">
        <v>25534</v>
      </c>
      <c r="L441" s="2" t="s">
        <v>25535</v>
      </c>
      <c r="M441" s="82" t="s">
        <v>25536</v>
      </c>
      <c r="N441" s="82" t="s">
        <v>25537</v>
      </c>
      <c r="O441" s="2" t="s">
        <v>25538</v>
      </c>
      <c r="P441" s="2" t="s">
        <v>25526</v>
      </c>
    </row>
    <row r="442" spans="1:16">
      <c r="A442" s="1">
        <v>441</v>
      </c>
      <c r="B442" s="2" t="s">
        <v>5208</v>
      </c>
      <c r="C442" s="2" t="s">
        <v>5209</v>
      </c>
      <c r="D442" s="2" t="s">
        <v>5210</v>
      </c>
      <c r="E442" s="2" t="s">
        <v>5211</v>
      </c>
      <c r="F442" s="2" t="s">
        <v>5212</v>
      </c>
      <c r="G442" s="2" t="s">
        <v>5213</v>
      </c>
      <c r="H442" s="2" t="s">
        <v>5214</v>
      </c>
      <c r="I442" s="2" t="s">
        <v>5215</v>
      </c>
      <c r="J442" s="2" t="s">
        <v>5216</v>
      </c>
      <c r="K442" s="2" t="s">
        <v>5217</v>
      </c>
      <c r="L442" s="2" t="s">
        <v>5218</v>
      </c>
      <c r="M442" s="2" t="s">
        <v>5219</v>
      </c>
      <c r="N442" s="2" t="s">
        <v>5220</v>
      </c>
      <c r="O442" s="2" t="s">
        <v>5221</v>
      </c>
      <c r="P442" s="2" t="s">
        <v>5208</v>
      </c>
    </row>
    <row r="443" spans="1:16">
      <c r="A443" s="1">
        <v>442</v>
      </c>
      <c r="B443" s="2" t="s">
        <v>5222</v>
      </c>
      <c r="C443" s="2" t="s">
        <v>5223</v>
      </c>
      <c r="D443" s="2" t="s">
        <v>5224</v>
      </c>
      <c r="E443" s="2" t="s">
        <v>5225</v>
      </c>
      <c r="F443" s="2" t="s">
        <v>5226</v>
      </c>
      <c r="G443" s="2" t="s">
        <v>5227</v>
      </c>
      <c r="H443" s="2" t="s">
        <v>5228</v>
      </c>
      <c r="I443" s="2" t="s">
        <v>5229</v>
      </c>
      <c r="J443" s="2" t="s">
        <v>5230</v>
      </c>
      <c r="K443" s="2" t="s">
        <v>5231</v>
      </c>
      <c r="L443" s="2" t="s">
        <v>5232</v>
      </c>
      <c r="M443" s="2" t="s">
        <v>5233</v>
      </c>
      <c r="N443" s="2" t="s">
        <v>5234</v>
      </c>
      <c r="O443" s="2" t="s">
        <v>5235</v>
      </c>
      <c r="P443" s="2" t="s">
        <v>5222</v>
      </c>
    </row>
    <row r="444" spans="1:16">
      <c r="A444" s="1">
        <v>443</v>
      </c>
      <c r="B444" s="2" t="s">
        <v>5236</v>
      </c>
      <c r="C444" s="2" t="s">
        <v>5237</v>
      </c>
      <c r="D444" s="2" t="s">
        <v>5238</v>
      </c>
      <c r="E444" s="2" t="s">
        <v>5239</v>
      </c>
      <c r="F444" s="2" t="s">
        <v>5240</v>
      </c>
      <c r="G444" s="2" t="s">
        <v>5241</v>
      </c>
      <c r="H444" s="2" t="s">
        <v>5242</v>
      </c>
      <c r="I444" s="2" t="s">
        <v>5243</v>
      </c>
      <c r="J444" s="2" t="s">
        <v>5244</v>
      </c>
      <c r="K444" s="2" t="s">
        <v>5245</v>
      </c>
      <c r="L444" s="2" t="s">
        <v>5246</v>
      </c>
      <c r="M444" s="2" t="s">
        <v>5247</v>
      </c>
      <c r="N444" s="2" t="s">
        <v>5248</v>
      </c>
      <c r="O444" s="2" t="s">
        <v>5249</v>
      </c>
      <c r="P444" s="2" t="s">
        <v>5236</v>
      </c>
    </row>
    <row r="445" spans="1:16">
      <c r="A445" s="1">
        <v>444</v>
      </c>
      <c r="B445" s="2" t="s">
        <v>5250</v>
      </c>
      <c r="C445" s="2" t="s">
        <v>5251</v>
      </c>
      <c r="D445" s="2" t="s">
        <v>5252</v>
      </c>
      <c r="E445" s="2" t="s">
        <v>5253</v>
      </c>
      <c r="F445" s="2" t="s">
        <v>5254</v>
      </c>
      <c r="G445" s="2" t="s">
        <v>5255</v>
      </c>
      <c r="H445" s="2" t="s">
        <v>5256</v>
      </c>
      <c r="I445" s="2" t="s">
        <v>5257</v>
      </c>
      <c r="J445" s="2" t="s">
        <v>5258</v>
      </c>
      <c r="K445" s="2" t="s">
        <v>5259</v>
      </c>
      <c r="L445" s="2" t="s">
        <v>5260</v>
      </c>
      <c r="M445" s="2" t="s">
        <v>5261</v>
      </c>
      <c r="N445" s="2" t="s">
        <v>5262</v>
      </c>
      <c r="O445" s="2" t="s">
        <v>5263</v>
      </c>
      <c r="P445" s="2" t="s">
        <v>5250</v>
      </c>
    </row>
    <row r="446" spans="1:16">
      <c r="A446" s="1">
        <v>445</v>
      </c>
      <c r="B446" s="2" t="s">
        <v>5264</v>
      </c>
      <c r="C446" s="2" t="s">
        <v>5264</v>
      </c>
      <c r="D446" s="2" t="s">
        <v>5264</v>
      </c>
      <c r="E446" s="2" t="s">
        <v>5264</v>
      </c>
      <c r="F446" s="2" t="s">
        <v>5264</v>
      </c>
      <c r="G446" s="2" t="s">
        <v>5264</v>
      </c>
      <c r="H446" s="2" t="s">
        <v>5264</v>
      </c>
      <c r="I446" s="2" t="s">
        <v>5264</v>
      </c>
      <c r="J446" s="2" t="s">
        <v>5264</v>
      </c>
      <c r="K446" s="2" t="s">
        <v>5264</v>
      </c>
      <c r="L446" s="2" t="s">
        <v>5264</v>
      </c>
      <c r="M446" s="2" t="s">
        <v>5264</v>
      </c>
      <c r="N446" s="2" t="s">
        <v>5264</v>
      </c>
      <c r="O446" s="2" t="s">
        <v>5264</v>
      </c>
      <c r="P446" s="2" t="s">
        <v>5264</v>
      </c>
    </row>
    <row r="447" spans="1:16">
      <c r="A447" s="1">
        <v>446</v>
      </c>
      <c r="B447" s="2" t="s">
        <v>5265</v>
      </c>
      <c r="C447" s="2" t="s">
        <v>5266</v>
      </c>
      <c r="D447" s="2" t="s">
        <v>5267</v>
      </c>
      <c r="E447" s="2" t="s">
        <v>5268</v>
      </c>
      <c r="F447" s="2" t="s">
        <v>5269</v>
      </c>
      <c r="G447" s="2" t="s">
        <v>5270</v>
      </c>
      <c r="H447" s="2" t="s">
        <v>5271</v>
      </c>
      <c r="I447" s="2" t="s">
        <v>5272</v>
      </c>
      <c r="J447" s="2" t="s">
        <v>5273</v>
      </c>
      <c r="K447" s="2" t="s">
        <v>5274</v>
      </c>
      <c r="L447" s="2" t="s">
        <v>5275</v>
      </c>
      <c r="M447" s="2" t="s">
        <v>5276</v>
      </c>
      <c r="N447" s="2" t="s">
        <v>5277</v>
      </c>
      <c r="O447" s="2" t="s">
        <v>5278</v>
      </c>
      <c r="P447" s="2" t="s">
        <v>5265</v>
      </c>
    </row>
    <row r="448" spans="1:16">
      <c r="A448" s="1">
        <v>447</v>
      </c>
      <c r="B448" s="2" t="s">
        <v>5279</v>
      </c>
      <c r="C448" s="2" t="s">
        <v>5280</v>
      </c>
      <c r="D448" s="2" t="s">
        <v>5281</v>
      </c>
      <c r="E448" s="2" t="s">
        <v>5282</v>
      </c>
      <c r="F448" s="2" t="s">
        <v>5283</v>
      </c>
      <c r="G448" s="2" t="s">
        <v>5284</v>
      </c>
      <c r="H448" s="2" t="s">
        <v>5285</v>
      </c>
      <c r="I448" s="2" t="s">
        <v>5286</v>
      </c>
      <c r="J448" s="2" t="s">
        <v>5287</v>
      </c>
      <c r="K448" s="2" t="s">
        <v>5288</v>
      </c>
      <c r="L448" s="2" t="s">
        <v>5289</v>
      </c>
      <c r="M448" s="2" t="s">
        <v>5290</v>
      </c>
      <c r="N448" s="2" t="s">
        <v>5291</v>
      </c>
      <c r="O448" s="2" t="s">
        <v>5292</v>
      </c>
      <c r="P448" s="2" t="s">
        <v>5279</v>
      </c>
    </row>
    <row r="449" spans="1:16">
      <c r="A449" s="1">
        <v>448</v>
      </c>
      <c r="B449" s="2" t="s">
        <v>5276</v>
      </c>
      <c r="C449" s="2" t="s">
        <v>5293</v>
      </c>
      <c r="D449" s="2" t="s">
        <v>5294</v>
      </c>
      <c r="E449" s="2" t="s">
        <v>5295</v>
      </c>
      <c r="F449" s="2" t="s">
        <v>5296</v>
      </c>
      <c r="G449" s="2" t="s">
        <v>5270</v>
      </c>
      <c r="H449" s="2" t="s">
        <v>5271</v>
      </c>
      <c r="I449" s="2" t="s">
        <v>5297</v>
      </c>
      <c r="J449" s="2" t="s">
        <v>5298</v>
      </c>
      <c r="K449" s="2" t="s">
        <v>5274</v>
      </c>
      <c r="L449" s="2" t="s">
        <v>5299</v>
      </c>
      <c r="M449" s="2" t="s">
        <v>5300</v>
      </c>
      <c r="N449" s="2" t="s">
        <v>5301</v>
      </c>
      <c r="O449" s="2" t="s">
        <v>5302</v>
      </c>
      <c r="P449" s="2" t="s">
        <v>5276</v>
      </c>
    </row>
    <row r="450" spans="1:16">
      <c r="A450" s="1">
        <v>449</v>
      </c>
      <c r="B450" s="2" t="s">
        <v>5303</v>
      </c>
      <c r="C450" s="2" t="s">
        <v>5304</v>
      </c>
      <c r="D450" s="2" t="s">
        <v>5305</v>
      </c>
      <c r="E450" s="2" t="s">
        <v>5306</v>
      </c>
      <c r="F450" s="2" t="s">
        <v>5307</v>
      </c>
      <c r="G450" s="2" t="s">
        <v>5308</v>
      </c>
      <c r="H450" s="2" t="s">
        <v>5309</v>
      </c>
      <c r="I450" s="2" t="s">
        <v>5310</v>
      </c>
      <c r="J450" s="2" t="s">
        <v>5311</v>
      </c>
      <c r="K450" s="2" t="s">
        <v>5312</v>
      </c>
      <c r="L450" s="2" t="s">
        <v>5313</v>
      </c>
      <c r="M450" s="2" t="s">
        <v>5314</v>
      </c>
      <c r="N450" s="2" t="s">
        <v>5315</v>
      </c>
      <c r="O450" s="2" t="s">
        <v>5316</v>
      </c>
      <c r="P450" s="2" t="s">
        <v>5303</v>
      </c>
    </row>
    <row r="451" spans="1:16">
      <c r="A451" s="1">
        <v>450</v>
      </c>
      <c r="B451" s="2" t="s">
        <v>5317</v>
      </c>
      <c r="C451" s="2" t="s">
        <v>5318</v>
      </c>
      <c r="D451" s="2" t="s">
        <v>5319</v>
      </c>
      <c r="E451" s="2" t="s">
        <v>5320</v>
      </c>
      <c r="F451" s="2" t="s">
        <v>5321</v>
      </c>
      <c r="G451" s="2" t="s">
        <v>5322</v>
      </c>
      <c r="H451" s="2" t="s">
        <v>5323</v>
      </c>
      <c r="I451" s="2" t="s">
        <v>5324</v>
      </c>
      <c r="J451" s="2" t="s">
        <v>5325</v>
      </c>
      <c r="K451" s="2" t="s">
        <v>5326</v>
      </c>
      <c r="L451" s="2" t="s">
        <v>5327</v>
      </c>
      <c r="M451" s="2" t="s">
        <v>5328</v>
      </c>
      <c r="N451" s="2" t="s">
        <v>5329</v>
      </c>
      <c r="O451" s="2" t="s">
        <v>5330</v>
      </c>
      <c r="P451" s="2" t="s">
        <v>5317</v>
      </c>
    </row>
    <row r="452" spans="1:16">
      <c r="A452" s="1">
        <v>451</v>
      </c>
      <c r="B452" s="2" t="s">
        <v>5331</v>
      </c>
      <c r="C452" s="2" t="s">
        <v>5318</v>
      </c>
      <c r="D452" s="2" t="s">
        <v>5319</v>
      </c>
      <c r="E452" s="2" t="s">
        <v>5332</v>
      </c>
      <c r="F452" s="2" t="s">
        <v>5321</v>
      </c>
      <c r="G452" s="2" t="s">
        <v>5333</v>
      </c>
      <c r="H452" s="2" t="s">
        <v>5334</v>
      </c>
      <c r="I452" s="2" t="s">
        <v>5335</v>
      </c>
      <c r="J452" s="2" t="s">
        <v>5336</v>
      </c>
      <c r="K452" s="2" t="s">
        <v>5337</v>
      </c>
      <c r="L452" s="2" t="s">
        <v>5338</v>
      </c>
      <c r="M452" s="2" t="s">
        <v>5339</v>
      </c>
      <c r="N452" s="2" t="s">
        <v>5340</v>
      </c>
      <c r="O452" s="2" t="s">
        <v>5341</v>
      </c>
      <c r="P452" s="2" t="s">
        <v>5331</v>
      </c>
    </row>
    <row r="453" spans="1:16">
      <c r="A453" s="1">
        <v>452</v>
      </c>
      <c r="B453" s="2" t="s">
        <v>5342</v>
      </c>
      <c r="C453" s="2" t="s">
        <v>5343</v>
      </c>
      <c r="D453" s="2" t="s">
        <v>5344</v>
      </c>
      <c r="E453" s="2" t="s">
        <v>5345</v>
      </c>
      <c r="F453" s="2" t="s">
        <v>5346</v>
      </c>
      <c r="G453" s="2" t="s">
        <v>5347</v>
      </c>
      <c r="H453" s="2" t="s">
        <v>5348</v>
      </c>
      <c r="I453" s="2" t="s">
        <v>5349</v>
      </c>
      <c r="J453" s="2" t="s">
        <v>5350</v>
      </c>
      <c r="K453" s="2" t="s">
        <v>5351</v>
      </c>
      <c r="L453" s="2" t="s">
        <v>5352</v>
      </c>
      <c r="M453" s="2" t="s">
        <v>5353</v>
      </c>
      <c r="N453" s="2" t="s">
        <v>5354</v>
      </c>
      <c r="O453" s="2" t="s">
        <v>5355</v>
      </c>
      <c r="P453" s="2" t="s">
        <v>5342</v>
      </c>
    </row>
    <row r="454" spans="1:16">
      <c r="A454" s="1">
        <v>453</v>
      </c>
      <c r="B454" s="2" t="s">
        <v>5356</v>
      </c>
      <c r="C454" s="2" t="s">
        <v>5357</v>
      </c>
      <c r="D454" s="2" t="s">
        <v>5358</v>
      </c>
      <c r="E454" s="2" t="s">
        <v>5359</v>
      </c>
      <c r="F454" s="2" t="s">
        <v>5360</v>
      </c>
      <c r="G454" s="2" t="s">
        <v>5361</v>
      </c>
      <c r="H454" s="2" t="s">
        <v>5362</v>
      </c>
      <c r="I454" s="2" t="s">
        <v>5363</v>
      </c>
      <c r="J454" s="2" t="s">
        <v>5364</v>
      </c>
      <c r="K454" s="2" t="s">
        <v>5365</v>
      </c>
      <c r="L454" s="2" t="s">
        <v>5366</v>
      </c>
      <c r="M454" s="2" t="s">
        <v>5367</v>
      </c>
      <c r="N454" s="2" t="s">
        <v>5368</v>
      </c>
      <c r="O454" s="2" t="s">
        <v>5369</v>
      </c>
      <c r="P454" s="2" t="s">
        <v>5356</v>
      </c>
    </row>
    <row r="455" spans="1:16">
      <c r="A455" s="1">
        <v>454</v>
      </c>
      <c r="B455" s="2" t="s">
        <v>5370</v>
      </c>
      <c r="C455" s="2" t="s">
        <v>5371</v>
      </c>
      <c r="D455" s="2" t="s">
        <v>5372</v>
      </c>
      <c r="E455" s="2" t="s">
        <v>5373</v>
      </c>
      <c r="F455" s="2" t="s">
        <v>5321</v>
      </c>
      <c r="G455" s="2" t="s">
        <v>5374</v>
      </c>
      <c r="H455" s="2" t="s">
        <v>5375</v>
      </c>
      <c r="I455" s="2" t="s">
        <v>5376</v>
      </c>
      <c r="J455" s="2" t="s">
        <v>5377</v>
      </c>
      <c r="K455" s="2" t="s">
        <v>5378</v>
      </c>
      <c r="L455" s="2" t="s">
        <v>5379</v>
      </c>
      <c r="M455" s="2" t="s">
        <v>5380</v>
      </c>
      <c r="N455" s="2" t="s">
        <v>5380</v>
      </c>
      <c r="O455" s="2" t="s">
        <v>5330</v>
      </c>
      <c r="P455" s="2" t="s">
        <v>5370</v>
      </c>
    </row>
    <row r="456" spans="1:16">
      <c r="A456" s="1">
        <v>455</v>
      </c>
      <c r="B456" s="2" t="s">
        <v>5381</v>
      </c>
      <c r="C456" s="2" t="s">
        <v>5382</v>
      </c>
      <c r="D456" s="2" t="s">
        <v>22776</v>
      </c>
      <c r="E456" s="2" t="s">
        <v>5383</v>
      </c>
      <c r="F456" s="2" t="s">
        <v>5384</v>
      </c>
      <c r="G456" s="2" t="s">
        <v>5385</v>
      </c>
      <c r="H456" s="2" t="s">
        <v>5386</v>
      </c>
      <c r="I456" s="2" t="s">
        <v>5387</v>
      </c>
      <c r="J456" s="2" t="s">
        <v>5388</v>
      </c>
      <c r="K456" s="2" t="s">
        <v>5389</v>
      </c>
      <c r="L456" s="2" t="s">
        <v>5390</v>
      </c>
      <c r="M456" s="2" t="s">
        <v>5391</v>
      </c>
      <c r="N456" s="2" t="s">
        <v>5392</v>
      </c>
      <c r="O456" s="2" t="s">
        <v>5393</v>
      </c>
      <c r="P456" s="2" t="s">
        <v>5381</v>
      </c>
    </row>
    <row r="457" spans="1:16">
      <c r="A457" s="1">
        <v>456</v>
      </c>
      <c r="B457" s="2" t="s">
        <v>5394</v>
      </c>
      <c r="C457" s="2" t="s">
        <v>5395</v>
      </c>
      <c r="D457" s="2" t="s">
        <v>5396</v>
      </c>
      <c r="E457" s="2" t="s">
        <v>5397</v>
      </c>
      <c r="F457" s="2" t="s">
        <v>5398</v>
      </c>
      <c r="G457" s="2" t="s">
        <v>5399</v>
      </c>
      <c r="H457" s="2" t="s">
        <v>5400</v>
      </c>
      <c r="I457" s="2" t="s">
        <v>5401</v>
      </c>
      <c r="J457" s="2" t="s">
        <v>5402</v>
      </c>
      <c r="K457" s="2" t="s">
        <v>5403</v>
      </c>
      <c r="L457" s="2" t="s">
        <v>5404</v>
      </c>
      <c r="M457" s="2" t="s">
        <v>5405</v>
      </c>
      <c r="N457" s="2" t="s">
        <v>5406</v>
      </c>
      <c r="O457" s="2" t="s">
        <v>5407</v>
      </c>
      <c r="P457" s="2" t="s">
        <v>5394</v>
      </c>
    </row>
    <row r="458" spans="1:16">
      <c r="A458" s="1">
        <v>457</v>
      </c>
      <c r="B458" s="2" t="s">
        <v>5408</v>
      </c>
      <c r="C458" s="2" t="s">
        <v>5409</v>
      </c>
      <c r="D458" s="2" t="s">
        <v>5410</v>
      </c>
      <c r="E458" s="2" t="s">
        <v>5411</v>
      </c>
      <c r="F458" s="2" t="s">
        <v>5412</v>
      </c>
      <c r="G458" s="2" t="s">
        <v>5413</v>
      </c>
      <c r="H458" s="2" t="s">
        <v>5414</v>
      </c>
      <c r="I458" s="2" t="s">
        <v>5415</v>
      </c>
      <c r="J458" s="2" t="s">
        <v>5416</v>
      </c>
      <c r="K458" s="2" t="s">
        <v>5417</v>
      </c>
      <c r="L458" s="2" t="s">
        <v>5418</v>
      </c>
      <c r="M458" s="2" t="s">
        <v>5419</v>
      </c>
      <c r="N458" s="2" t="s">
        <v>5420</v>
      </c>
      <c r="O458" s="2" t="s">
        <v>5421</v>
      </c>
      <c r="P458" s="2" t="s">
        <v>5408</v>
      </c>
    </row>
    <row r="459" spans="1:16">
      <c r="A459" s="1">
        <v>458</v>
      </c>
      <c r="B459" s="2" t="s">
        <v>5422</v>
      </c>
      <c r="C459" s="2" t="s">
        <v>5423</v>
      </c>
      <c r="D459" s="2" t="s">
        <v>5424</v>
      </c>
      <c r="E459" s="2" t="s">
        <v>5425</v>
      </c>
      <c r="F459" s="2" t="s">
        <v>5426</v>
      </c>
      <c r="G459" s="2" t="s">
        <v>5427</v>
      </c>
      <c r="H459" s="2" t="s">
        <v>5428</v>
      </c>
      <c r="I459" s="2" t="s">
        <v>5429</v>
      </c>
      <c r="J459" s="2" t="s">
        <v>5430</v>
      </c>
      <c r="K459" s="2" t="s">
        <v>5431</v>
      </c>
      <c r="L459" s="2" t="s">
        <v>5432</v>
      </c>
      <c r="M459" s="2" t="s">
        <v>5433</v>
      </c>
      <c r="N459" s="2" t="s">
        <v>5434</v>
      </c>
      <c r="O459" s="2" t="s">
        <v>5435</v>
      </c>
      <c r="P459" s="2" t="s">
        <v>5422</v>
      </c>
    </row>
    <row r="460" spans="1:16">
      <c r="A460" s="1">
        <v>459</v>
      </c>
      <c r="B460" s="2" t="s">
        <v>5436</v>
      </c>
      <c r="C460" s="2" t="s">
        <v>5437</v>
      </c>
      <c r="D460" s="2" t="s">
        <v>5438</v>
      </c>
      <c r="E460" s="2" t="s">
        <v>5439</v>
      </c>
      <c r="F460" s="2" t="s">
        <v>5440</v>
      </c>
      <c r="G460" s="2" t="s">
        <v>5441</v>
      </c>
      <c r="H460" s="2" t="s">
        <v>5442</v>
      </c>
      <c r="I460" s="2" t="s">
        <v>5443</v>
      </c>
      <c r="J460" s="2" t="s">
        <v>5444</v>
      </c>
      <c r="K460" s="2" t="s">
        <v>5445</v>
      </c>
      <c r="L460" s="2" t="s">
        <v>5446</v>
      </c>
      <c r="M460" s="2" t="s">
        <v>5447</v>
      </c>
      <c r="N460" s="2" t="s">
        <v>5448</v>
      </c>
      <c r="O460" s="2" t="s">
        <v>5449</v>
      </c>
      <c r="P460" s="2" t="s">
        <v>5436</v>
      </c>
    </row>
    <row r="461" spans="1:16">
      <c r="A461" s="1">
        <v>460</v>
      </c>
      <c r="B461" s="2" t="s">
        <v>5450</v>
      </c>
      <c r="C461" s="2" t="s">
        <v>5451</v>
      </c>
      <c r="D461" s="2" t="s">
        <v>5452</v>
      </c>
      <c r="E461" s="2" t="s">
        <v>5453</v>
      </c>
      <c r="F461" s="2" t="s">
        <v>5454</v>
      </c>
      <c r="G461" s="2" t="s">
        <v>5455</v>
      </c>
      <c r="H461" s="2" t="s">
        <v>5456</v>
      </c>
      <c r="I461" s="2" t="s">
        <v>5457</v>
      </c>
      <c r="J461" s="2" t="s">
        <v>5458</v>
      </c>
      <c r="K461" s="2" t="s">
        <v>5459</v>
      </c>
      <c r="L461" s="2" t="s">
        <v>5460</v>
      </c>
      <c r="M461" s="2" t="s">
        <v>5461</v>
      </c>
      <c r="N461" s="2" t="s">
        <v>5461</v>
      </c>
      <c r="O461" s="2" t="s">
        <v>5462</v>
      </c>
      <c r="P461" s="2" t="s">
        <v>5450</v>
      </c>
    </row>
    <row r="462" spans="1:16">
      <c r="A462" s="1">
        <v>461</v>
      </c>
      <c r="B462" s="2" t="s">
        <v>5463</v>
      </c>
      <c r="C462" s="2" t="s">
        <v>5464</v>
      </c>
      <c r="D462" s="2" t="s">
        <v>5465</v>
      </c>
      <c r="E462" s="2" t="s">
        <v>5466</v>
      </c>
      <c r="F462" s="2" t="s">
        <v>5467</v>
      </c>
      <c r="G462" s="2" t="s">
        <v>5468</v>
      </c>
      <c r="H462" s="2" t="s">
        <v>5469</v>
      </c>
      <c r="I462" s="2" t="s">
        <v>5470</v>
      </c>
      <c r="J462" s="2" t="s">
        <v>5471</v>
      </c>
      <c r="K462" s="2" t="s">
        <v>5472</v>
      </c>
      <c r="L462" s="2" t="s">
        <v>5473</v>
      </c>
      <c r="M462" s="2" t="s">
        <v>5474</v>
      </c>
      <c r="N462" s="2" t="s">
        <v>5475</v>
      </c>
      <c r="O462" s="2" t="s">
        <v>5476</v>
      </c>
      <c r="P462" s="2" t="s">
        <v>5463</v>
      </c>
    </row>
    <row r="463" spans="1:16">
      <c r="A463" s="1">
        <v>462</v>
      </c>
      <c r="B463" s="2" t="s">
        <v>5477</v>
      </c>
      <c r="C463" s="2" t="s">
        <v>5478</v>
      </c>
      <c r="D463" s="2" t="s">
        <v>5479</v>
      </c>
      <c r="E463" s="2" t="s">
        <v>5480</v>
      </c>
      <c r="F463" s="2" t="s">
        <v>5481</v>
      </c>
      <c r="G463" s="2" t="s">
        <v>5482</v>
      </c>
      <c r="H463" s="2" t="s">
        <v>5483</v>
      </c>
      <c r="I463" s="2" t="s">
        <v>5484</v>
      </c>
      <c r="J463" s="2" t="s">
        <v>5485</v>
      </c>
      <c r="K463" s="2" t="s">
        <v>5486</v>
      </c>
      <c r="L463" s="2" t="s">
        <v>5487</v>
      </c>
      <c r="M463" s="2" t="s">
        <v>5488</v>
      </c>
      <c r="N463" s="2" t="s">
        <v>5489</v>
      </c>
      <c r="O463" s="2" t="s">
        <v>5490</v>
      </c>
      <c r="P463" s="2" t="s">
        <v>5477</v>
      </c>
    </row>
    <row r="464" spans="1:16">
      <c r="A464" s="1">
        <v>463</v>
      </c>
      <c r="B464" s="2" t="s">
        <v>5491</v>
      </c>
      <c r="C464" s="2" t="s">
        <v>5492</v>
      </c>
      <c r="D464" s="2" t="s">
        <v>5493</v>
      </c>
      <c r="E464" s="2" t="s">
        <v>5494</v>
      </c>
      <c r="F464" s="2" t="s">
        <v>5495</v>
      </c>
      <c r="G464" s="2" t="s">
        <v>5496</v>
      </c>
      <c r="H464" s="2" t="s">
        <v>5497</v>
      </c>
      <c r="I464" s="2" t="s">
        <v>5498</v>
      </c>
      <c r="J464" s="2" t="s">
        <v>5499</v>
      </c>
      <c r="K464" s="2" t="s">
        <v>5500</v>
      </c>
      <c r="L464" s="2" t="s">
        <v>5501</v>
      </c>
      <c r="M464" s="2" t="s">
        <v>5502</v>
      </c>
      <c r="N464" s="2" t="s">
        <v>5503</v>
      </c>
      <c r="O464" s="2" t="s">
        <v>5504</v>
      </c>
      <c r="P464" s="2" t="s">
        <v>5491</v>
      </c>
    </row>
    <row r="465" spans="1:16">
      <c r="A465" s="1">
        <v>464</v>
      </c>
      <c r="B465" s="2" t="s">
        <v>5505</v>
      </c>
      <c r="C465" s="2" t="s">
        <v>5506</v>
      </c>
      <c r="D465" s="2" t="s">
        <v>5507</v>
      </c>
      <c r="E465" s="2" t="s">
        <v>5508</v>
      </c>
      <c r="F465" s="2" t="s">
        <v>5509</v>
      </c>
      <c r="G465" s="2" t="s">
        <v>5510</v>
      </c>
      <c r="H465" s="2" t="s">
        <v>5511</v>
      </c>
      <c r="I465" s="2" t="s">
        <v>5512</v>
      </c>
      <c r="J465" s="2" t="s">
        <v>5513</v>
      </c>
      <c r="K465" s="2" t="s">
        <v>5514</v>
      </c>
      <c r="L465" s="2" t="s">
        <v>5515</v>
      </c>
      <c r="M465" s="2" t="s">
        <v>5516</v>
      </c>
      <c r="N465" s="2" t="s">
        <v>5517</v>
      </c>
      <c r="O465" s="2" t="s">
        <v>5518</v>
      </c>
      <c r="P465" s="2" t="s">
        <v>5505</v>
      </c>
    </row>
    <row r="466" spans="1:16">
      <c r="A466" s="1">
        <v>465</v>
      </c>
      <c r="B466" s="2" t="s">
        <v>5519</v>
      </c>
      <c r="C466" s="2" t="s">
        <v>5520</v>
      </c>
      <c r="D466" s="2" t="s">
        <v>5521</v>
      </c>
      <c r="E466" s="2" t="s">
        <v>5522</v>
      </c>
      <c r="F466" s="2" t="s">
        <v>5523</v>
      </c>
      <c r="G466" s="2" t="s">
        <v>5524</v>
      </c>
      <c r="H466" s="2" t="s">
        <v>5525</v>
      </c>
      <c r="I466" s="2" t="s">
        <v>5526</v>
      </c>
      <c r="J466" s="2" t="s">
        <v>5527</v>
      </c>
      <c r="K466" s="2" t="s">
        <v>5528</v>
      </c>
      <c r="L466" s="2" t="s">
        <v>5529</v>
      </c>
      <c r="M466" s="2" t="s">
        <v>5530</v>
      </c>
      <c r="N466" s="2" t="s">
        <v>5531</v>
      </c>
      <c r="O466" s="2" t="s">
        <v>5532</v>
      </c>
      <c r="P466" s="2" t="s">
        <v>5519</v>
      </c>
    </row>
    <row r="467" spans="1:16">
      <c r="A467" s="1">
        <v>466</v>
      </c>
      <c r="B467" s="2" t="s">
        <v>5533</v>
      </c>
      <c r="C467" s="2" t="s">
        <v>5534</v>
      </c>
      <c r="D467" s="2" t="s">
        <v>5535</v>
      </c>
      <c r="E467" s="2" t="s">
        <v>5536</v>
      </c>
      <c r="F467" s="2" t="s">
        <v>5537</v>
      </c>
      <c r="G467" s="2" t="s">
        <v>5538</v>
      </c>
      <c r="H467" s="2" t="s">
        <v>5539</v>
      </c>
      <c r="I467" s="2" t="s">
        <v>5540</v>
      </c>
      <c r="J467" s="2" t="s">
        <v>5541</v>
      </c>
      <c r="K467" s="2" t="s">
        <v>5542</v>
      </c>
      <c r="L467" s="2" t="s">
        <v>5543</v>
      </c>
      <c r="M467" s="2" t="s">
        <v>5544</v>
      </c>
      <c r="N467" s="2" t="s">
        <v>5545</v>
      </c>
      <c r="O467" s="2" t="s">
        <v>5546</v>
      </c>
      <c r="P467" s="2" t="s">
        <v>5533</v>
      </c>
    </row>
    <row r="468" spans="1:16">
      <c r="A468" s="1">
        <v>467</v>
      </c>
      <c r="B468" s="2" t="s">
        <v>5547</v>
      </c>
      <c r="C468" s="2" t="s">
        <v>5548</v>
      </c>
      <c r="D468" s="2" t="s">
        <v>5549</v>
      </c>
      <c r="E468" s="2" t="s">
        <v>5550</v>
      </c>
      <c r="F468" s="2" t="s">
        <v>5551</v>
      </c>
      <c r="G468" s="2" t="s">
        <v>5552</v>
      </c>
      <c r="H468" s="2" t="s">
        <v>5553</v>
      </c>
      <c r="I468" s="2" t="s">
        <v>5554</v>
      </c>
      <c r="J468" s="2" t="s">
        <v>5555</v>
      </c>
      <c r="K468" s="2" t="s">
        <v>5556</v>
      </c>
      <c r="L468" s="2" t="s">
        <v>5557</v>
      </c>
      <c r="M468" s="2" t="s">
        <v>5558</v>
      </c>
      <c r="N468" s="2" t="s">
        <v>5559</v>
      </c>
      <c r="O468" s="2" t="s">
        <v>5560</v>
      </c>
      <c r="P468" s="2" t="s">
        <v>5547</v>
      </c>
    </row>
    <row r="469" spans="1:16">
      <c r="A469" s="1">
        <v>468</v>
      </c>
      <c r="B469" s="2" t="s">
        <v>5561</v>
      </c>
      <c r="C469" s="2" t="s">
        <v>5562</v>
      </c>
      <c r="D469" s="2" t="s">
        <v>5563</v>
      </c>
      <c r="E469" s="2" t="s">
        <v>5564</v>
      </c>
      <c r="F469" s="2" t="s">
        <v>5565</v>
      </c>
      <c r="G469" s="2" t="s">
        <v>5566</v>
      </c>
      <c r="H469" s="2" t="s">
        <v>5567</v>
      </c>
      <c r="I469" s="2" t="s">
        <v>5568</v>
      </c>
      <c r="J469" s="2" t="s">
        <v>5569</v>
      </c>
      <c r="K469" s="2" t="s">
        <v>5570</v>
      </c>
      <c r="L469" s="2" t="s">
        <v>5571</v>
      </c>
      <c r="M469" s="2" t="s">
        <v>5572</v>
      </c>
      <c r="N469" s="2" t="s">
        <v>5573</v>
      </c>
      <c r="O469" s="2" t="s">
        <v>5574</v>
      </c>
      <c r="P469" s="2" t="s">
        <v>5561</v>
      </c>
    </row>
    <row r="470" spans="1:16">
      <c r="A470" s="1">
        <v>469</v>
      </c>
      <c r="B470" s="2" t="s">
        <v>5575</v>
      </c>
      <c r="C470" s="2" t="s">
        <v>5576</v>
      </c>
      <c r="D470" s="2" t="s">
        <v>5577</v>
      </c>
      <c r="E470" s="2" t="s">
        <v>5578</v>
      </c>
      <c r="F470" s="2" t="s">
        <v>5579</v>
      </c>
      <c r="G470" s="2" t="s">
        <v>5580</v>
      </c>
      <c r="H470" s="2" t="s">
        <v>5581</v>
      </c>
      <c r="I470" s="2" t="s">
        <v>5582</v>
      </c>
      <c r="J470" s="2" t="s">
        <v>5583</v>
      </c>
      <c r="K470" s="2" t="s">
        <v>5584</v>
      </c>
      <c r="L470" s="2" t="s">
        <v>5585</v>
      </c>
      <c r="M470" s="2" t="s">
        <v>5586</v>
      </c>
      <c r="N470" s="2" t="s">
        <v>5587</v>
      </c>
      <c r="O470" s="2" t="s">
        <v>5588</v>
      </c>
      <c r="P470" s="2" t="s">
        <v>5575</v>
      </c>
    </row>
    <row r="471" spans="1:16">
      <c r="A471" s="1">
        <v>470</v>
      </c>
      <c r="B471" s="2" t="s">
        <v>5589</v>
      </c>
      <c r="C471" s="2" t="s">
        <v>5590</v>
      </c>
      <c r="D471" s="2" t="s">
        <v>5591</v>
      </c>
      <c r="E471" s="2" t="s">
        <v>5592</v>
      </c>
      <c r="F471" s="2" t="s">
        <v>5593</v>
      </c>
      <c r="G471" s="2" t="s">
        <v>5594</v>
      </c>
      <c r="H471" s="2" t="s">
        <v>5595</v>
      </c>
      <c r="I471" s="2" t="s">
        <v>5596</v>
      </c>
      <c r="J471" s="2" t="s">
        <v>5597</v>
      </c>
      <c r="K471" s="2" t="s">
        <v>5598</v>
      </c>
      <c r="L471" s="2" t="s">
        <v>5599</v>
      </c>
      <c r="M471" s="2" t="s">
        <v>5600</v>
      </c>
      <c r="N471" s="2" t="s">
        <v>5601</v>
      </c>
      <c r="O471" s="2" t="s">
        <v>5602</v>
      </c>
      <c r="P471" s="2" t="s">
        <v>5589</v>
      </c>
    </row>
    <row r="472" spans="1:16">
      <c r="A472" s="1">
        <v>471</v>
      </c>
      <c r="B472" s="2" t="s">
        <v>5603</v>
      </c>
      <c r="C472" s="2" t="s">
        <v>5604</v>
      </c>
      <c r="D472" s="2" t="s">
        <v>5605</v>
      </c>
      <c r="E472" s="2" t="s">
        <v>25539</v>
      </c>
      <c r="F472" s="2" t="s">
        <v>5606</v>
      </c>
      <c r="G472" s="2" t="s">
        <v>5607</v>
      </c>
      <c r="H472" s="2" t="s">
        <v>5608</v>
      </c>
      <c r="I472" s="2" t="s">
        <v>5609</v>
      </c>
      <c r="J472" s="2" t="s">
        <v>5610</v>
      </c>
      <c r="K472" s="2" t="s">
        <v>5611</v>
      </c>
      <c r="L472" s="2" t="s">
        <v>5612</v>
      </c>
      <c r="M472" s="2" t="s">
        <v>5613</v>
      </c>
      <c r="N472" s="2" t="s">
        <v>5614</v>
      </c>
      <c r="O472" s="2" t="s">
        <v>5615</v>
      </c>
      <c r="P472" s="2" t="s">
        <v>5603</v>
      </c>
    </row>
    <row r="473" spans="1:16">
      <c r="A473" s="1">
        <v>472</v>
      </c>
      <c r="B473" s="2" t="s">
        <v>5616</v>
      </c>
      <c r="C473" s="2" t="s">
        <v>5617</v>
      </c>
      <c r="D473" s="2" t="s">
        <v>5618</v>
      </c>
      <c r="E473" s="2" t="s">
        <v>25540</v>
      </c>
      <c r="F473" s="2" t="s">
        <v>5619</v>
      </c>
      <c r="G473" s="2" t="s">
        <v>5620</v>
      </c>
      <c r="H473" s="2" t="s">
        <v>5621</v>
      </c>
      <c r="I473" s="2" t="s">
        <v>5622</v>
      </c>
      <c r="J473" s="2" t="s">
        <v>5623</v>
      </c>
      <c r="K473" s="2" t="s">
        <v>5624</v>
      </c>
      <c r="L473" s="2" t="s">
        <v>5625</v>
      </c>
      <c r="M473" s="2" t="s">
        <v>5626</v>
      </c>
      <c r="N473" s="2" t="s">
        <v>5627</v>
      </c>
      <c r="O473" s="2" t="s">
        <v>5628</v>
      </c>
      <c r="P473" s="2" t="s">
        <v>5616</v>
      </c>
    </row>
    <row r="474" spans="1:16">
      <c r="A474" s="1">
        <v>473</v>
      </c>
      <c r="B474" s="2" t="s">
        <v>5629</v>
      </c>
      <c r="C474" s="2" t="s">
        <v>5630</v>
      </c>
      <c r="D474" s="2" t="s">
        <v>5631</v>
      </c>
      <c r="E474" s="2" t="s">
        <v>25541</v>
      </c>
      <c r="F474" s="2" t="s">
        <v>5632</v>
      </c>
      <c r="G474" s="2" t="s">
        <v>5633</v>
      </c>
      <c r="H474" s="2" t="s">
        <v>5634</v>
      </c>
      <c r="I474" s="2" t="s">
        <v>5635</v>
      </c>
      <c r="J474" s="2" t="s">
        <v>5636</v>
      </c>
      <c r="K474" s="2" t="s">
        <v>5637</v>
      </c>
      <c r="L474" s="2" t="s">
        <v>5638</v>
      </c>
      <c r="M474" s="2" t="s">
        <v>5639</v>
      </c>
      <c r="N474" s="2" t="s">
        <v>5640</v>
      </c>
      <c r="O474" s="2" t="s">
        <v>5641</v>
      </c>
      <c r="P474" s="2" t="s">
        <v>5629</v>
      </c>
    </row>
    <row r="475" spans="1:16">
      <c r="A475" s="1">
        <v>474</v>
      </c>
      <c r="B475" s="2" t="s">
        <v>5642</v>
      </c>
      <c r="C475" s="2" t="s">
        <v>5643</v>
      </c>
      <c r="D475" s="2" t="s">
        <v>5644</v>
      </c>
      <c r="E475" s="2" t="s">
        <v>25542</v>
      </c>
      <c r="F475" s="2" t="s">
        <v>5645</v>
      </c>
      <c r="G475" s="2" t="s">
        <v>5646</v>
      </c>
      <c r="H475" s="2" t="s">
        <v>5647</v>
      </c>
      <c r="I475" s="2" t="s">
        <v>5648</v>
      </c>
      <c r="J475" s="2" t="s">
        <v>5649</v>
      </c>
      <c r="K475" s="2" t="s">
        <v>5650</v>
      </c>
      <c r="L475" s="2" t="s">
        <v>5651</v>
      </c>
      <c r="M475" s="2" t="s">
        <v>5652</v>
      </c>
      <c r="N475" s="2" t="s">
        <v>5653</v>
      </c>
      <c r="O475" s="2" t="s">
        <v>5654</v>
      </c>
      <c r="P475" s="2" t="s">
        <v>5642</v>
      </c>
    </row>
    <row r="476" spans="1:16">
      <c r="A476" s="1">
        <v>475</v>
      </c>
      <c r="B476" s="2" t="s">
        <v>5655</v>
      </c>
      <c r="C476" s="2" t="s">
        <v>5656</v>
      </c>
      <c r="D476" s="2" t="s">
        <v>5657</v>
      </c>
      <c r="E476" s="2" t="s">
        <v>5658</v>
      </c>
      <c r="F476" s="2" t="s">
        <v>5659</v>
      </c>
      <c r="G476" s="2" t="s">
        <v>5660</v>
      </c>
      <c r="H476" s="2" t="s">
        <v>5661</v>
      </c>
      <c r="I476" s="2" t="s">
        <v>5662</v>
      </c>
      <c r="J476" s="2" t="s">
        <v>5663</v>
      </c>
      <c r="K476" s="2" t="s">
        <v>5664</v>
      </c>
      <c r="L476" s="2" t="s">
        <v>5665</v>
      </c>
      <c r="M476" s="2" t="s">
        <v>5666</v>
      </c>
      <c r="N476" s="2" t="s">
        <v>5667</v>
      </c>
      <c r="O476" s="2" t="s">
        <v>5668</v>
      </c>
      <c r="P476" s="2" t="s">
        <v>5655</v>
      </c>
    </row>
    <row r="477" spans="1:16">
      <c r="A477" s="1">
        <v>476</v>
      </c>
      <c r="B477" s="2" t="s">
        <v>5669</v>
      </c>
      <c r="C477" s="2" t="s">
        <v>5670</v>
      </c>
      <c r="D477" s="2" t="s">
        <v>5671</v>
      </c>
      <c r="E477" s="2" t="s">
        <v>5672</v>
      </c>
      <c r="F477" s="2" t="s">
        <v>5673</v>
      </c>
      <c r="G477" s="2" t="s">
        <v>5674</v>
      </c>
      <c r="H477" s="2" t="s">
        <v>5675</v>
      </c>
      <c r="I477" s="2" t="s">
        <v>5676</v>
      </c>
      <c r="J477" s="2" t="s">
        <v>5677</v>
      </c>
      <c r="K477" s="2" t="s">
        <v>5678</v>
      </c>
      <c r="L477" s="2" t="s">
        <v>5679</v>
      </c>
      <c r="M477" s="2" t="s">
        <v>5680</v>
      </c>
      <c r="N477" s="2" t="s">
        <v>5681</v>
      </c>
      <c r="O477" s="2" t="s">
        <v>5682</v>
      </c>
      <c r="P477" s="2" t="s">
        <v>5669</v>
      </c>
    </row>
    <row r="478" spans="1:16">
      <c r="A478" s="1">
        <v>477</v>
      </c>
      <c r="B478" s="2" t="s">
        <v>5683</v>
      </c>
      <c r="C478" s="2" t="s">
        <v>5684</v>
      </c>
      <c r="D478" s="2" t="s">
        <v>5685</v>
      </c>
      <c r="E478" s="2" t="s">
        <v>5686</v>
      </c>
      <c r="F478" s="2" t="s">
        <v>5687</v>
      </c>
      <c r="G478" s="2" t="s">
        <v>5688</v>
      </c>
      <c r="H478" s="2" t="s">
        <v>5689</v>
      </c>
      <c r="I478" s="2" t="s">
        <v>5690</v>
      </c>
      <c r="J478" s="2" t="s">
        <v>5691</v>
      </c>
      <c r="K478" s="2" t="s">
        <v>5692</v>
      </c>
      <c r="L478" s="2" t="s">
        <v>5693</v>
      </c>
      <c r="M478" s="2" t="s">
        <v>5694</v>
      </c>
      <c r="N478" s="2" t="s">
        <v>5695</v>
      </c>
      <c r="O478" s="2" t="s">
        <v>5696</v>
      </c>
      <c r="P478" s="2" t="s">
        <v>5683</v>
      </c>
    </row>
    <row r="479" spans="1:16">
      <c r="A479" s="1">
        <v>478</v>
      </c>
      <c r="B479" s="2" t="s">
        <v>5697</v>
      </c>
      <c r="C479" s="2" t="s">
        <v>5698</v>
      </c>
      <c r="D479" s="2" t="s">
        <v>5699</v>
      </c>
      <c r="E479" s="2" t="s">
        <v>5700</v>
      </c>
      <c r="F479" s="2" t="s">
        <v>5701</v>
      </c>
      <c r="G479" s="2" t="s">
        <v>5702</v>
      </c>
      <c r="H479" s="2" t="s">
        <v>5703</v>
      </c>
      <c r="I479" s="2" t="s">
        <v>5704</v>
      </c>
      <c r="J479" s="2" t="s">
        <v>5705</v>
      </c>
      <c r="K479" s="2" t="s">
        <v>5706</v>
      </c>
      <c r="L479" s="2" t="s">
        <v>5707</v>
      </c>
      <c r="M479" s="2" t="s">
        <v>5708</v>
      </c>
      <c r="N479" s="2" t="s">
        <v>5709</v>
      </c>
      <c r="O479" s="2" t="s">
        <v>5710</v>
      </c>
      <c r="P479" s="2" t="s">
        <v>5697</v>
      </c>
    </row>
    <row r="480" spans="1:16">
      <c r="A480" s="1">
        <v>479</v>
      </c>
      <c r="B480" s="2" t="s">
        <v>5711</v>
      </c>
      <c r="C480" s="2" t="s">
        <v>5712</v>
      </c>
      <c r="D480" s="2" t="s">
        <v>5713</v>
      </c>
      <c r="E480" s="2" t="s">
        <v>5714</v>
      </c>
      <c r="F480" s="2" t="s">
        <v>5715</v>
      </c>
      <c r="G480" s="2" t="s">
        <v>5716</v>
      </c>
      <c r="H480" s="2" t="s">
        <v>5717</v>
      </c>
      <c r="I480" s="2" t="s">
        <v>5718</v>
      </c>
      <c r="J480" s="2" t="s">
        <v>5719</v>
      </c>
      <c r="K480" s="2" t="s">
        <v>5720</v>
      </c>
      <c r="L480" s="2" t="s">
        <v>5721</v>
      </c>
      <c r="M480" s="2" t="s">
        <v>5722</v>
      </c>
      <c r="N480" s="2" t="s">
        <v>5723</v>
      </c>
      <c r="O480" s="2" t="s">
        <v>5724</v>
      </c>
      <c r="P480" s="2" t="s">
        <v>5711</v>
      </c>
    </row>
    <row r="481" spans="1:16">
      <c r="A481" s="1">
        <v>480</v>
      </c>
      <c r="B481" s="2" t="s">
        <v>5725</v>
      </c>
      <c r="C481" s="2" t="s">
        <v>5726</v>
      </c>
      <c r="D481" s="2" t="s">
        <v>5727</v>
      </c>
      <c r="E481" s="2" t="s">
        <v>5728</v>
      </c>
      <c r="F481" s="2" t="s">
        <v>5729</v>
      </c>
      <c r="G481" s="2" t="s">
        <v>5730</v>
      </c>
      <c r="H481" s="2" t="s">
        <v>5731</v>
      </c>
      <c r="I481" s="2" t="s">
        <v>5732</v>
      </c>
      <c r="J481" s="2" t="s">
        <v>5733</v>
      </c>
      <c r="K481" s="2" t="s">
        <v>5734</v>
      </c>
      <c r="L481" s="2" t="s">
        <v>5735</v>
      </c>
      <c r="M481" s="2" t="s">
        <v>5736</v>
      </c>
      <c r="N481" s="2" t="s">
        <v>5737</v>
      </c>
      <c r="O481" s="2" t="s">
        <v>5738</v>
      </c>
      <c r="P481" s="2" t="s">
        <v>5725</v>
      </c>
    </row>
    <row r="482" spans="1:16">
      <c r="A482" s="1">
        <v>481</v>
      </c>
      <c r="B482" s="2" t="s">
        <v>5739</v>
      </c>
      <c r="C482" s="2" t="s">
        <v>5740</v>
      </c>
      <c r="D482" s="2" t="s">
        <v>5741</v>
      </c>
      <c r="E482" s="2" t="s">
        <v>5739</v>
      </c>
      <c r="F482" s="2" t="s">
        <v>5739</v>
      </c>
      <c r="G482" s="2" t="s">
        <v>5742</v>
      </c>
      <c r="H482" s="2" t="s">
        <v>5743</v>
      </c>
      <c r="I482" s="2" t="s">
        <v>5744</v>
      </c>
      <c r="J482" s="2" t="s">
        <v>5744</v>
      </c>
      <c r="K482" s="2" t="s">
        <v>5745</v>
      </c>
      <c r="L482" s="2" t="s">
        <v>5746</v>
      </c>
      <c r="M482" s="2" t="s">
        <v>5744</v>
      </c>
      <c r="N482" s="2" t="s">
        <v>5747</v>
      </c>
      <c r="O482" s="2" t="s">
        <v>5748</v>
      </c>
      <c r="P482" s="2" t="s">
        <v>5739</v>
      </c>
    </row>
    <row r="483" spans="1:16">
      <c r="A483" s="1">
        <v>482</v>
      </c>
      <c r="B483" s="2" t="s">
        <v>5749</v>
      </c>
      <c r="C483" s="2" t="s">
        <v>5750</v>
      </c>
      <c r="D483" s="2" t="s">
        <v>5751</v>
      </c>
      <c r="E483" s="2" t="s">
        <v>5752</v>
      </c>
      <c r="F483" s="2" t="s">
        <v>5753</v>
      </c>
      <c r="G483" s="2" t="s">
        <v>5754</v>
      </c>
      <c r="H483" s="2" t="s">
        <v>5755</v>
      </c>
      <c r="I483" s="2" t="s">
        <v>5756</v>
      </c>
      <c r="J483" s="2" t="s">
        <v>5757</v>
      </c>
      <c r="K483" s="2" t="s">
        <v>5758</v>
      </c>
      <c r="L483" s="2" t="s">
        <v>5759</v>
      </c>
      <c r="M483" s="2" t="s">
        <v>5760</v>
      </c>
      <c r="N483" s="2" t="s">
        <v>5761</v>
      </c>
      <c r="O483" s="2" t="s">
        <v>5762</v>
      </c>
      <c r="P483" s="2" t="s">
        <v>5749</v>
      </c>
    </row>
    <row r="484" spans="1:16">
      <c r="A484" s="1">
        <v>483</v>
      </c>
      <c r="B484" s="2" t="s">
        <v>5763</v>
      </c>
      <c r="C484" s="2" t="s">
        <v>5764</v>
      </c>
      <c r="D484" s="2" t="s">
        <v>5765</v>
      </c>
      <c r="E484" s="2" t="s">
        <v>5766</v>
      </c>
      <c r="F484" s="2" t="s">
        <v>5767</v>
      </c>
      <c r="G484" s="2" t="s">
        <v>5768</v>
      </c>
      <c r="H484" s="2" t="s">
        <v>5769</v>
      </c>
      <c r="I484" s="2" t="s">
        <v>5770</v>
      </c>
      <c r="J484" s="2" t="s">
        <v>5771</v>
      </c>
      <c r="K484" s="2" t="s">
        <v>5772</v>
      </c>
      <c r="L484" s="2" t="s">
        <v>5773</v>
      </c>
      <c r="M484" s="2" t="s">
        <v>5774</v>
      </c>
      <c r="N484" s="2" t="s">
        <v>5775</v>
      </c>
      <c r="O484" s="2" t="s">
        <v>5776</v>
      </c>
      <c r="P484" s="2" t="s">
        <v>5763</v>
      </c>
    </row>
    <row r="485" spans="1:16">
      <c r="A485" s="1">
        <v>484</v>
      </c>
      <c r="B485" s="2" t="s">
        <v>5777</v>
      </c>
      <c r="C485" s="2" t="s">
        <v>5778</v>
      </c>
      <c r="D485" s="2" t="s">
        <v>5779</v>
      </c>
      <c r="E485" s="2" t="s">
        <v>5780</v>
      </c>
      <c r="F485" s="2" t="s">
        <v>5781</v>
      </c>
      <c r="G485" s="2" t="s">
        <v>5782</v>
      </c>
      <c r="H485" s="2" t="s">
        <v>5783</v>
      </c>
      <c r="I485" s="2" t="s">
        <v>5784</v>
      </c>
      <c r="J485" s="2" t="s">
        <v>5785</v>
      </c>
      <c r="K485" s="2" t="s">
        <v>5786</v>
      </c>
      <c r="L485" s="2" t="s">
        <v>5787</v>
      </c>
      <c r="M485" s="2" t="s">
        <v>5788</v>
      </c>
      <c r="N485" s="2" t="s">
        <v>5789</v>
      </c>
      <c r="O485" s="2" t="s">
        <v>5790</v>
      </c>
      <c r="P485" s="2" t="s">
        <v>5777</v>
      </c>
    </row>
    <row r="486" spans="1:16" ht="16.5">
      <c r="A486" s="1">
        <v>485</v>
      </c>
      <c r="B486" s="2" t="s">
        <v>5791</v>
      </c>
      <c r="C486" s="2" t="s">
        <v>5792</v>
      </c>
      <c r="D486" s="2" t="s">
        <v>5793</v>
      </c>
      <c r="E486" s="2" t="s">
        <v>5794</v>
      </c>
      <c r="F486" s="2" t="s">
        <v>5795</v>
      </c>
      <c r="G486" s="2" t="s">
        <v>5796</v>
      </c>
      <c r="H486" s="2" t="s">
        <v>5797</v>
      </c>
      <c r="I486" s="2" t="s">
        <v>5798</v>
      </c>
      <c r="J486" s="2" t="s">
        <v>5799</v>
      </c>
      <c r="K486" s="2" t="s">
        <v>5800</v>
      </c>
      <c r="L486" s="2" t="s">
        <v>5801</v>
      </c>
      <c r="M486" s="2" t="s">
        <v>5802</v>
      </c>
      <c r="N486" s="2" t="s">
        <v>5803</v>
      </c>
      <c r="O486" s="2" t="s">
        <v>5804</v>
      </c>
      <c r="P486" s="2" t="s">
        <v>5791</v>
      </c>
    </row>
    <row r="487" spans="1:16">
      <c r="A487" s="1">
        <v>486</v>
      </c>
      <c r="B487" s="2" t="s">
        <v>22777</v>
      </c>
      <c r="C487" s="2" t="s">
        <v>5806</v>
      </c>
      <c r="D487" s="2" t="s">
        <v>5807</v>
      </c>
      <c r="E487" s="2" t="s">
        <v>25543</v>
      </c>
      <c r="F487" s="2" t="s">
        <v>5808</v>
      </c>
      <c r="G487" s="2" t="s">
        <v>5809</v>
      </c>
      <c r="H487" s="2" t="s">
        <v>5810</v>
      </c>
      <c r="I487" s="2" t="s">
        <v>5808</v>
      </c>
      <c r="J487" s="2" t="s">
        <v>5811</v>
      </c>
      <c r="K487" s="2" t="s">
        <v>5812</v>
      </c>
      <c r="L487" s="2" t="s">
        <v>5813</v>
      </c>
      <c r="M487" s="2" t="s">
        <v>5814</v>
      </c>
      <c r="N487" s="2" t="s">
        <v>5815</v>
      </c>
      <c r="O487" s="2" t="s">
        <v>5816</v>
      </c>
      <c r="P487" s="2" t="s">
        <v>5805</v>
      </c>
    </row>
    <row r="488" spans="1:16">
      <c r="A488" s="1">
        <v>487</v>
      </c>
      <c r="B488" s="2" t="s">
        <v>5817</v>
      </c>
      <c r="C488" s="2" t="s">
        <v>5818</v>
      </c>
      <c r="D488" s="2" t="s">
        <v>5819</v>
      </c>
      <c r="E488" s="2" t="s">
        <v>5820</v>
      </c>
      <c r="F488" s="2" t="s">
        <v>5821</v>
      </c>
      <c r="G488" s="2" t="s">
        <v>5822</v>
      </c>
      <c r="H488" s="2" t="s">
        <v>5823</v>
      </c>
      <c r="I488" s="2" t="s">
        <v>5824</v>
      </c>
      <c r="J488" s="2" t="s">
        <v>5825</v>
      </c>
      <c r="K488" s="2" t="s">
        <v>5826</v>
      </c>
      <c r="L488" s="2" t="s">
        <v>5827</v>
      </c>
      <c r="M488" s="2" t="s">
        <v>5828</v>
      </c>
      <c r="N488" s="2" t="s">
        <v>5829</v>
      </c>
      <c r="O488" s="2" t="s">
        <v>5830</v>
      </c>
      <c r="P488" s="2" t="s">
        <v>5817</v>
      </c>
    </row>
    <row r="489" spans="1:16">
      <c r="A489" s="1">
        <v>488</v>
      </c>
      <c r="B489" s="2" t="s">
        <v>5831</v>
      </c>
      <c r="C489" s="2" t="s">
        <v>5832</v>
      </c>
      <c r="D489" s="2" t="s">
        <v>5833</v>
      </c>
      <c r="E489" s="2" t="s">
        <v>25544</v>
      </c>
      <c r="F489" s="2" t="s">
        <v>5834</v>
      </c>
      <c r="G489" s="2" t="s">
        <v>5835</v>
      </c>
      <c r="H489" s="2" t="s">
        <v>5836</v>
      </c>
      <c r="I489" s="2" t="s">
        <v>5837</v>
      </c>
      <c r="J489" s="2" t="s">
        <v>5838</v>
      </c>
      <c r="K489" s="2" t="s">
        <v>5839</v>
      </c>
      <c r="L489" s="2" t="s">
        <v>5840</v>
      </c>
      <c r="M489" s="2" t="s">
        <v>5841</v>
      </c>
      <c r="N489" s="2" t="s">
        <v>5842</v>
      </c>
      <c r="O489" s="2" t="s">
        <v>5843</v>
      </c>
      <c r="P489" s="2" t="s">
        <v>5831</v>
      </c>
    </row>
    <row r="490" spans="1:16">
      <c r="A490" s="1">
        <v>489</v>
      </c>
      <c r="B490" s="2" t="s">
        <v>5844</v>
      </c>
      <c r="C490" s="2" t="s">
        <v>5845</v>
      </c>
      <c r="D490" s="2" t="s">
        <v>5846</v>
      </c>
      <c r="E490" s="2" t="s">
        <v>25545</v>
      </c>
      <c r="F490" s="2" t="s">
        <v>5847</v>
      </c>
      <c r="G490" s="2" t="s">
        <v>5848</v>
      </c>
      <c r="H490" s="2" t="s">
        <v>5849</v>
      </c>
      <c r="I490" s="2" t="s">
        <v>5850</v>
      </c>
      <c r="J490" s="2" t="s">
        <v>5851</v>
      </c>
      <c r="K490" s="2" t="s">
        <v>5852</v>
      </c>
      <c r="L490" s="2" t="s">
        <v>5853</v>
      </c>
      <c r="M490" s="2" t="s">
        <v>5854</v>
      </c>
      <c r="N490" s="2" t="s">
        <v>5855</v>
      </c>
      <c r="O490" s="2" t="s">
        <v>5856</v>
      </c>
      <c r="P490" s="2" t="s">
        <v>5844</v>
      </c>
    </row>
    <row r="491" spans="1:16">
      <c r="A491" s="1">
        <v>490</v>
      </c>
      <c r="B491" s="2" t="s">
        <v>5857</v>
      </c>
      <c r="C491" s="2" t="s">
        <v>5858</v>
      </c>
      <c r="D491" s="2" t="s">
        <v>5859</v>
      </c>
      <c r="E491" s="2" t="s">
        <v>25546</v>
      </c>
      <c r="F491" s="2" t="s">
        <v>5860</v>
      </c>
      <c r="G491" s="2" t="s">
        <v>5861</v>
      </c>
      <c r="H491" s="2" t="s">
        <v>5862</v>
      </c>
      <c r="I491" s="2" t="s">
        <v>5863</v>
      </c>
      <c r="J491" s="2" t="s">
        <v>5864</v>
      </c>
      <c r="K491" s="2" t="s">
        <v>5865</v>
      </c>
      <c r="L491" s="2" t="s">
        <v>5866</v>
      </c>
      <c r="M491" s="2" t="s">
        <v>5867</v>
      </c>
      <c r="N491" s="2" t="s">
        <v>5868</v>
      </c>
      <c r="O491" s="2" t="s">
        <v>5869</v>
      </c>
      <c r="P491" s="2" t="s">
        <v>5857</v>
      </c>
    </row>
    <row r="492" spans="1:16">
      <c r="A492" s="1">
        <v>491</v>
      </c>
      <c r="B492" s="2" t="s">
        <v>5870</v>
      </c>
      <c r="C492" s="2" t="s">
        <v>5871</v>
      </c>
      <c r="D492" s="2" t="s">
        <v>5872</v>
      </c>
      <c r="E492" s="2" t="s">
        <v>25547</v>
      </c>
      <c r="F492" s="2" t="s">
        <v>5873</v>
      </c>
      <c r="G492" s="2" t="s">
        <v>5874</v>
      </c>
      <c r="H492" s="2" t="s">
        <v>5875</v>
      </c>
      <c r="I492" s="2" t="s">
        <v>5876</v>
      </c>
      <c r="J492" s="2" t="s">
        <v>5877</v>
      </c>
      <c r="K492" s="2" t="s">
        <v>5878</v>
      </c>
      <c r="L492" s="2" t="s">
        <v>5879</v>
      </c>
      <c r="M492" s="2" t="s">
        <v>5880</v>
      </c>
      <c r="N492" s="2" t="s">
        <v>5881</v>
      </c>
      <c r="O492" s="2" t="s">
        <v>5882</v>
      </c>
      <c r="P492" s="2" t="s">
        <v>5870</v>
      </c>
    </row>
    <row r="493" spans="1:16">
      <c r="A493" s="1">
        <v>492</v>
      </c>
      <c r="B493" s="2" t="s">
        <v>24964</v>
      </c>
      <c r="C493" s="2" t="s">
        <v>24965</v>
      </c>
      <c r="D493" s="2" t="s">
        <v>5883</v>
      </c>
      <c r="E493" s="2" t="s">
        <v>5884</v>
      </c>
      <c r="F493" s="2" t="s">
        <v>5885</v>
      </c>
      <c r="G493" s="2" t="s">
        <v>5886</v>
      </c>
      <c r="H493" s="2" t="s">
        <v>5887</v>
      </c>
      <c r="I493" s="2" t="s">
        <v>24966</v>
      </c>
      <c r="J493" s="2" t="s">
        <v>5888</v>
      </c>
      <c r="K493" s="2" t="s">
        <v>5889</v>
      </c>
      <c r="L493" s="2" t="s">
        <v>5890</v>
      </c>
      <c r="M493" s="2" t="s">
        <v>5891</v>
      </c>
      <c r="N493" s="2" t="s">
        <v>5892</v>
      </c>
      <c r="O493" s="2" t="s">
        <v>5893</v>
      </c>
      <c r="P493" s="2" t="s">
        <v>24964</v>
      </c>
    </row>
    <row r="494" spans="1:16">
      <c r="A494" s="1">
        <v>493</v>
      </c>
      <c r="B494" s="2" t="s">
        <v>5894</v>
      </c>
      <c r="C494" s="2" t="s">
        <v>5895</v>
      </c>
      <c r="D494" s="2" t="s">
        <v>5896</v>
      </c>
      <c r="E494" s="2" t="s">
        <v>25548</v>
      </c>
      <c r="F494" s="2" t="s">
        <v>5897</v>
      </c>
      <c r="G494" s="2" t="s">
        <v>5898</v>
      </c>
      <c r="H494" s="2" t="s">
        <v>5899</v>
      </c>
      <c r="I494" s="2" t="s">
        <v>5900</v>
      </c>
      <c r="J494" s="2" t="s">
        <v>5901</v>
      </c>
      <c r="K494" s="2" t="s">
        <v>5902</v>
      </c>
      <c r="L494" s="2" t="s">
        <v>5903</v>
      </c>
      <c r="M494" s="2" t="s">
        <v>5904</v>
      </c>
      <c r="N494" s="2" t="s">
        <v>5905</v>
      </c>
      <c r="O494" s="2" t="s">
        <v>5906</v>
      </c>
      <c r="P494" s="2" t="s">
        <v>5894</v>
      </c>
    </row>
    <row r="495" spans="1:16">
      <c r="A495" s="1">
        <v>494</v>
      </c>
      <c r="B495" s="2" t="s">
        <v>5907</v>
      </c>
      <c r="C495" s="2" t="s">
        <v>5908</v>
      </c>
      <c r="D495" s="2" t="s">
        <v>5909</v>
      </c>
      <c r="E495" s="2" t="s">
        <v>5910</v>
      </c>
      <c r="F495" s="2" t="s">
        <v>5911</v>
      </c>
      <c r="G495" s="2" t="s">
        <v>5912</v>
      </c>
      <c r="H495" s="2" t="s">
        <v>5913</v>
      </c>
      <c r="I495" s="2" t="s">
        <v>5914</v>
      </c>
      <c r="J495" s="2" t="s">
        <v>5915</v>
      </c>
      <c r="K495" s="2" t="s">
        <v>5916</v>
      </c>
      <c r="L495" s="2" t="s">
        <v>5917</v>
      </c>
      <c r="M495" s="2" t="s">
        <v>5918</v>
      </c>
      <c r="N495" s="2" t="s">
        <v>5919</v>
      </c>
      <c r="O495" s="2" t="s">
        <v>5920</v>
      </c>
      <c r="P495" s="2" t="s">
        <v>5907</v>
      </c>
    </row>
    <row r="496" spans="1:16">
      <c r="A496" s="1">
        <v>495</v>
      </c>
      <c r="B496" s="2" t="s">
        <v>5921</v>
      </c>
      <c r="C496" s="2" t="s">
        <v>5922</v>
      </c>
      <c r="D496" s="2" t="s">
        <v>5923</v>
      </c>
      <c r="E496" s="2" t="s">
        <v>5924</v>
      </c>
      <c r="F496" s="2" t="s">
        <v>5925</v>
      </c>
      <c r="G496" s="2" t="s">
        <v>5926</v>
      </c>
      <c r="H496" s="2" t="s">
        <v>5927</v>
      </c>
      <c r="I496" s="2" t="s">
        <v>5928</v>
      </c>
      <c r="J496" s="2" t="s">
        <v>5929</v>
      </c>
      <c r="K496" s="2" t="s">
        <v>5930</v>
      </c>
      <c r="L496" s="2" t="s">
        <v>5931</v>
      </c>
      <c r="M496" s="2" t="s">
        <v>5932</v>
      </c>
      <c r="N496" s="2" t="s">
        <v>5933</v>
      </c>
      <c r="O496" s="2" t="s">
        <v>5934</v>
      </c>
      <c r="P496" s="2" t="s">
        <v>5921</v>
      </c>
    </row>
    <row r="497" spans="1:16">
      <c r="A497" s="1">
        <v>496</v>
      </c>
      <c r="B497" s="2" t="s">
        <v>5935</v>
      </c>
      <c r="C497" s="2" t="s">
        <v>5936</v>
      </c>
      <c r="D497" s="2" t="s">
        <v>5937</v>
      </c>
      <c r="E497" s="2" t="s">
        <v>5938</v>
      </c>
      <c r="F497" s="2" t="s">
        <v>5939</v>
      </c>
      <c r="G497" s="2" t="s">
        <v>3203</v>
      </c>
      <c r="H497" s="2" t="s">
        <v>5940</v>
      </c>
      <c r="I497" s="2" t="s">
        <v>5941</v>
      </c>
      <c r="J497" s="2" t="s">
        <v>5935</v>
      </c>
      <c r="K497" s="2" t="s">
        <v>5942</v>
      </c>
      <c r="L497" s="2" t="s">
        <v>5935</v>
      </c>
      <c r="M497" s="2" t="s">
        <v>5935</v>
      </c>
      <c r="N497" s="2" t="s">
        <v>5935</v>
      </c>
      <c r="O497" s="2" t="s">
        <v>5942</v>
      </c>
      <c r="P497" s="2" t="s">
        <v>5935</v>
      </c>
    </row>
    <row r="498" spans="1:16">
      <c r="A498" s="1">
        <v>497</v>
      </c>
      <c r="B498" s="2" t="s">
        <v>5943</v>
      </c>
      <c r="C498" s="2" t="s">
        <v>5936</v>
      </c>
      <c r="D498" s="2" t="s">
        <v>5937</v>
      </c>
      <c r="E498" s="2" t="s">
        <v>5944</v>
      </c>
      <c r="F498" s="2" t="s">
        <v>5945</v>
      </c>
      <c r="G498" s="2" t="s">
        <v>5946</v>
      </c>
      <c r="H498" s="2" t="s">
        <v>5947</v>
      </c>
      <c r="I498" s="2" t="s">
        <v>5948</v>
      </c>
      <c r="J498" s="2" t="s">
        <v>5943</v>
      </c>
      <c r="K498" s="2" t="s">
        <v>5949</v>
      </c>
      <c r="L498" s="2" t="s">
        <v>5943</v>
      </c>
      <c r="M498" s="2" t="s">
        <v>5943</v>
      </c>
      <c r="N498" s="2" t="s">
        <v>5950</v>
      </c>
      <c r="O498" s="2" t="s">
        <v>5951</v>
      </c>
      <c r="P498" s="2" t="s">
        <v>5943</v>
      </c>
    </row>
    <row r="499" spans="1:16">
      <c r="A499" s="1">
        <v>498</v>
      </c>
      <c r="B499" s="2" t="s">
        <v>5952</v>
      </c>
      <c r="C499" s="2" t="s">
        <v>5953</v>
      </c>
      <c r="D499" s="2" t="s">
        <v>5954</v>
      </c>
      <c r="E499" s="2" t="s">
        <v>5955</v>
      </c>
      <c r="F499" s="2" t="s">
        <v>5956</v>
      </c>
      <c r="G499" s="2" t="s">
        <v>5957</v>
      </c>
      <c r="H499" s="2" t="s">
        <v>5958</v>
      </c>
      <c r="I499" s="2" t="s">
        <v>5959</v>
      </c>
      <c r="J499" s="2" t="s">
        <v>5952</v>
      </c>
      <c r="K499" s="2" t="s">
        <v>5960</v>
      </c>
      <c r="L499" s="2" t="s">
        <v>5961</v>
      </c>
      <c r="M499" s="2" t="s">
        <v>5952</v>
      </c>
      <c r="N499" s="2" t="s">
        <v>5952</v>
      </c>
      <c r="O499" s="2" t="s">
        <v>5960</v>
      </c>
      <c r="P499" s="2" t="s">
        <v>5952</v>
      </c>
    </row>
    <row r="500" spans="1:16">
      <c r="A500" s="1">
        <v>499</v>
      </c>
      <c r="B500" s="2" t="s">
        <v>5962</v>
      </c>
      <c r="C500" s="2" t="s">
        <v>5963</v>
      </c>
      <c r="D500" s="2" t="s">
        <v>5964</v>
      </c>
      <c r="E500" s="2" t="s">
        <v>5965</v>
      </c>
      <c r="F500" s="2" t="s">
        <v>5966</v>
      </c>
      <c r="G500" s="2" t="s">
        <v>5967</v>
      </c>
      <c r="H500" s="2" t="s">
        <v>5968</v>
      </c>
      <c r="I500" s="2" t="s">
        <v>5969</v>
      </c>
      <c r="J500" s="2" t="s">
        <v>5970</v>
      </c>
      <c r="K500" s="2" t="s">
        <v>5971</v>
      </c>
      <c r="L500" s="2" t="s">
        <v>5972</v>
      </c>
      <c r="M500" s="2" t="s">
        <v>5973</v>
      </c>
      <c r="N500" s="2" t="s">
        <v>5974</v>
      </c>
      <c r="O500" s="2" t="s">
        <v>5975</v>
      </c>
      <c r="P500" s="2" t="s">
        <v>5962</v>
      </c>
    </row>
    <row r="501" spans="1:16">
      <c r="A501" s="1">
        <v>500</v>
      </c>
      <c r="B501" s="2" t="s">
        <v>5962</v>
      </c>
      <c r="C501" s="2" t="s">
        <v>5963</v>
      </c>
      <c r="D501" s="2" t="s">
        <v>5976</v>
      </c>
      <c r="E501" s="2" t="s">
        <v>5965</v>
      </c>
      <c r="F501" s="2" t="s">
        <v>5966</v>
      </c>
      <c r="G501" s="2" t="s">
        <v>5977</v>
      </c>
      <c r="H501" s="2" t="s">
        <v>5978</v>
      </c>
      <c r="I501" s="2" t="s">
        <v>5979</v>
      </c>
      <c r="J501" s="2" t="s">
        <v>5980</v>
      </c>
      <c r="K501" s="2" t="s">
        <v>5981</v>
      </c>
      <c r="L501" s="2" t="s">
        <v>5982</v>
      </c>
      <c r="M501" s="2" t="s">
        <v>5983</v>
      </c>
      <c r="N501" s="2" t="s">
        <v>5984</v>
      </c>
      <c r="O501" s="2" t="s">
        <v>5985</v>
      </c>
      <c r="P501" s="2" t="s">
        <v>5966</v>
      </c>
    </row>
    <row r="502" spans="1:16">
      <c r="A502" s="1">
        <v>501</v>
      </c>
      <c r="B502" s="2" t="s">
        <v>5986</v>
      </c>
      <c r="C502" s="2" t="s">
        <v>5987</v>
      </c>
      <c r="D502" s="2" t="s">
        <v>5988</v>
      </c>
      <c r="E502" s="2" t="s">
        <v>5989</v>
      </c>
      <c r="F502" s="2" t="s">
        <v>5990</v>
      </c>
      <c r="G502" s="2" t="s">
        <v>5991</v>
      </c>
      <c r="H502" s="2" t="s">
        <v>5992</v>
      </c>
      <c r="I502" s="2" t="s">
        <v>5993</v>
      </c>
      <c r="J502" s="2" t="s">
        <v>5994</v>
      </c>
      <c r="K502" s="2" t="s">
        <v>5995</v>
      </c>
      <c r="L502" s="2" t="s">
        <v>5996</v>
      </c>
      <c r="M502" s="2" t="s">
        <v>5997</v>
      </c>
      <c r="N502" s="2" t="s">
        <v>5998</v>
      </c>
      <c r="O502" s="2" t="s">
        <v>5999</v>
      </c>
      <c r="P502" s="2" t="s">
        <v>5986</v>
      </c>
    </row>
    <row r="503" spans="1:16">
      <c r="A503" s="1">
        <v>502</v>
      </c>
      <c r="B503" s="2" t="s">
        <v>6000</v>
      </c>
      <c r="C503" s="2" t="s">
        <v>6001</v>
      </c>
      <c r="D503" s="2" t="s">
        <v>6002</v>
      </c>
      <c r="E503" s="2" t="s">
        <v>6003</v>
      </c>
      <c r="F503" s="2" t="s">
        <v>6004</v>
      </c>
      <c r="G503" s="2" t="s">
        <v>6005</v>
      </c>
      <c r="H503" s="2" t="s">
        <v>6006</v>
      </c>
      <c r="I503" s="2" t="s">
        <v>6007</v>
      </c>
      <c r="J503" s="2" t="s">
        <v>6008</v>
      </c>
      <c r="K503" s="2" t="s">
        <v>6009</v>
      </c>
      <c r="L503" s="2" t="s">
        <v>6010</v>
      </c>
      <c r="M503" s="2" t="s">
        <v>6011</v>
      </c>
      <c r="N503" s="2" t="s">
        <v>6012</v>
      </c>
      <c r="O503" s="2" t="s">
        <v>6013</v>
      </c>
      <c r="P503" s="2" t="s">
        <v>6000</v>
      </c>
    </row>
    <row r="504" spans="1:16">
      <c r="A504" s="1">
        <v>503</v>
      </c>
      <c r="B504" s="2" t="s">
        <v>6014</v>
      </c>
      <c r="C504" s="2" t="s">
        <v>6015</v>
      </c>
      <c r="D504" s="2" t="s">
        <v>6016</v>
      </c>
      <c r="E504" s="2" t="s">
        <v>6017</v>
      </c>
      <c r="F504" s="2" t="s">
        <v>6018</v>
      </c>
      <c r="G504" s="2" t="s">
        <v>6019</v>
      </c>
      <c r="H504" s="2" t="s">
        <v>6020</v>
      </c>
      <c r="I504" s="2" t="s">
        <v>6021</v>
      </c>
      <c r="J504" s="2" t="s">
        <v>6022</v>
      </c>
      <c r="K504" s="2" t="s">
        <v>6023</v>
      </c>
      <c r="L504" s="2" t="s">
        <v>6024</v>
      </c>
      <c r="M504" s="2" t="s">
        <v>6025</v>
      </c>
      <c r="N504" s="2" t="s">
        <v>6026</v>
      </c>
      <c r="O504" s="2" t="s">
        <v>6027</v>
      </c>
      <c r="P504" s="2" t="s">
        <v>6014</v>
      </c>
    </row>
    <row r="505" spans="1:16">
      <c r="A505" s="1">
        <v>504</v>
      </c>
      <c r="B505" s="2" t="s">
        <v>6028</v>
      </c>
      <c r="C505" s="2" t="s">
        <v>6029</v>
      </c>
      <c r="D505" s="2" t="s">
        <v>6030</v>
      </c>
      <c r="E505" s="2" t="s">
        <v>6031</v>
      </c>
      <c r="F505" s="2" t="s">
        <v>6032</v>
      </c>
      <c r="G505" s="2" t="s">
        <v>6033</v>
      </c>
      <c r="H505" s="2" t="s">
        <v>6034</v>
      </c>
      <c r="I505" s="2" t="s">
        <v>6035</v>
      </c>
      <c r="J505" s="2" t="s">
        <v>6036</v>
      </c>
      <c r="K505" s="2" t="s">
        <v>6037</v>
      </c>
      <c r="L505" s="2" t="s">
        <v>6038</v>
      </c>
      <c r="M505" s="2" t="s">
        <v>6039</v>
      </c>
      <c r="N505" s="2" t="s">
        <v>6040</v>
      </c>
      <c r="O505" s="2" t="s">
        <v>6041</v>
      </c>
      <c r="P505" s="2" t="s">
        <v>6028</v>
      </c>
    </row>
    <row r="506" spans="1:16">
      <c r="A506" s="1">
        <v>505</v>
      </c>
      <c r="B506" s="2" t="s">
        <v>6042</v>
      </c>
      <c r="C506" s="2" t="s">
        <v>6043</v>
      </c>
      <c r="D506" s="2" t="s">
        <v>6044</v>
      </c>
      <c r="E506" s="2" t="s">
        <v>6045</v>
      </c>
      <c r="F506" s="2" t="s">
        <v>6046</v>
      </c>
      <c r="G506" s="2" t="s">
        <v>6047</v>
      </c>
      <c r="H506" s="2" t="s">
        <v>6048</v>
      </c>
      <c r="I506" s="2" t="s">
        <v>6049</v>
      </c>
      <c r="J506" s="2" t="s">
        <v>6050</v>
      </c>
      <c r="K506" s="2" t="s">
        <v>6051</v>
      </c>
      <c r="L506" s="2" t="s">
        <v>6052</v>
      </c>
      <c r="M506" s="2" t="s">
        <v>6053</v>
      </c>
      <c r="N506" s="2" t="s">
        <v>6054</v>
      </c>
      <c r="O506" s="2" t="s">
        <v>6055</v>
      </c>
      <c r="P506" s="2" t="s">
        <v>6042</v>
      </c>
    </row>
    <row r="507" spans="1:16">
      <c r="A507" s="1">
        <v>506</v>
      </c>
      <c r="B507" s="2" t="s">
        <v>6056</v>
      </c>
      <c r="C507" s="2" t="s">
        <v>6057</v>
      </c>
      <c r="D507" s="2" t="s">
        <v>6058</v>
      </c>
      <c r="E507" s="2" t="s">
        <v>6059</v>
      </c>
      <c r="F507" s="2" t="s">
        <v>6060</v>
      </c>
      <c r="G507" s="2" t="s">
        <v>6061</v>
      </c>
      <c r="H507" s="2" t="s">
        <v>6062</v>
      </c>
      <c r="I507" s="2" t="s">
        <v>6063</v>
      </c>
      <c r="J507" s="2" t="s">
        <v>6064</v>
      </c>
      <c r="K507" s="2" t="s">
        <v>6065</v>
      </c>
      <c r="L507" s="2" t="s">
        <v>6066</v>
      </c>
      <c r="M507" s="2" t="s">
        <v>6067</v>
      </c>
      <c r="N507" s="2" t="s">
        <v>6068</v>
      </c>
      <c r="O507" s="2" t="s">
        <v>6069</v>
      </c>
      <c r="P507" s="2" t="s">
        <v>6056</v>
      </c>
    </row>
    <row r="508" spans="1:16">
      <c r="A508" s="1">
        <v>507</v>
      </c>
      <c r="B508" s="2" t="s">
        <v>6070</v>
      </c>
      <c r="C508" s="2" t="s">
        <v>6071</v>
      </c>
      <c r="D508" s="2" t="s">
        <v>6072</v>
      </c>
      <c r="E508" s="2" t="s">
        <v>6073</v>
      </c>
      <c r="F508" s="2" t="s">
        <v>6074</v>
      </c>
      <c r="G508" s="2" t="s">
        <v>6075</v>
      </c>
      <c r="H508" s="2" t="s">
        <v>6076</v>
      </c>
      <c r="I508" s="2" t="s">
        <v>6077</v>
      </c>
      <c r="J508" s="2" t="s">
        <v>6078</v>
      </c>
      <c r="K508" s="2" t="s">
        <v>6079</v>
      </c>
      <c r="L508" s="2" t="s">
        <v>6080</v>
      </c>
      <c r="M508" s="2" t="s">
        <v>6081</v>
      </c>
      <c r="N508" s="2" t="s">
        <v>6082</v>
      </c>
      <c r="O508" s="2" t="s">
        <v>6083</v>
      </c>
      <c r="P508" s="2" t="s">
        <v>6070</v>
      </c>
    </row>
    <row r="509" spans="1:16">
      <c r="A509" s="1">
        <v>508</v>
      </c>
      <c r="B509" s="2" t="s">
        <v>6084</v>
      </c>
      <c r="C509" s="2" t="s">
        <v>6085</v>
      </c>
      <c r="D509" s="2" t="s">
        <v>6086</v>
      </c>
      <c r="E509" s="2" t="s">
        <v>6087</v>
      </c>
      <c r="F509" s="2" t="s">
        <v>6088</v>
      </c>
      <c r="G509" s="2" t="s">
        <v>6089</v>
      </c>
      <c r="H509" s="2" t="s">
        <v>6090</v>
      </c>
      <c r="I509" s="2" t="s">
        <v>6091</v>
      </c>
      <c r="J509" s="2" t="s">
        <v>6092</v>
      </c>
      <c r="K509" s="2" t="s">
        <v>6093</v>
      </c>
      <c r="L509" s="2" t="s">
        <v>6094</v>
      </c>
      <c r="M509" s="2" t="s">
        <v>6095</v>
      </c>
      <c r="N509" s="2" t="s">
        <v>6096</v>
      </c>
      <c r="O509" s="2" t="s">
        <v>6097</v>
      </c>
      <c r="P509" s="2" t="s">
        <v>6084</v>
      </c>
    </row>
    <row r="510" spans="1:16">
      <c r="A510" s="1">
        <v>509</v>
      </c>
      <c r="B510" s="2" t="s">
        <v>25549</v>
      </c>
      <c r="C510" s="2" t="s">
        <v>25550</v>
      </c>
      <c r="D510" s="2" t="s">
        <v>6098</v>
      </c>
      <c r="E510" s="2" t="s">
        <v>25551</v>
      </c>
      <c r="F510" s="2" t="s">
        <v>25552</v>
      </c>
      <c r="G510" s="2" t="s">
        <v>25553</v>
      </c>
      <c r="H510" s="2" t="s">
        <v>25554</v>
      </c>
      <c r="I510" s="2" t="s">
        <v>25555</v>
      </c>
      <c r="J510" s="2" t="s">
        <v>25556</v>
      </c>
      <c r="K510" s="2" t="s">
        <v>25557</v>
      </c>
      <c r="L510" s="2" t="s">
        <v>25558</v>
      </c>
      <c r="M510" s="2" t="s">
        <v>25559</v>
      </c>
      <c r="N510" s="2" t="s">
        <v>25560</v>
      </c>
      <c r="O510" s="2" t="s">
        <v>25561</v>
      </c>
      <c r="P510" s="2" t="s">
        <v>25549</v>
      </c>
    </row>
    <row r="511" spans="1:16">
      <c r="A511" s="1">
        <v>510</v>
      </c>
      <c r="B511" s="2" t="s">
        <v>6099</v>
      </c>
      <c r="C511" s="2" t="s">
        <v>6100</v>
      </c>
      <c r="D511" s="2" t="s">
        <v>6101</v>
      </c>
      <c r="E511" s="2" t="s">
        <v>6102</v>
      </c>
      <c r="F511" s="2" t="s">
        <v>6103</v>
      </c>
      <c r="G511" s="2" t="s">
        <v>6104</v>
      </c>
      <c r="H511" s="2" t="s">
        <v>6105</v>
      </c>
      <c r="I511" s="2" t="s">
        <v>6106</v>
      </c>
      <c r="J511" s="2" t="s">
        <v>6107</v>
      </c>
      <c r="K511" s="2" t="s">
        <v>6108</v>
      </c>
      <c r="L511" s="2" t="s">
        <v>6109</v>
      </c>
      <c r="M511" s="2" t="s">
        <v>6110</v>
      </c>
      <c r="N511" s="2" t="s">
        <v>6111</v>
      </c>
      <c r="O511" s="2" t="s">
        <v>6112</v>
      </c>
      <c r="P511" s="2" t="s">
        <v>6099</v>
      </c>
    </row>
    <row r="512" spans="1:16">
      <c r="A512" s="1">
        <v>511</v>
      </c>
      <c r="B512" s="2" t="s">
        <v>6113</v>
      </c>
      <c r="C512" s="2" t="s">
        <v>6114</v>
      </c>
      <c r="D512" s="2" t="s">
        <v>6115</v>
      </c>
      <c r="E512" s="2" t="s">
        <v>6116</v>
      </c>
      <c r="F512" s="2" t="s">
        <v>6117</v>
      </c>
      <c r="G512" s="2" t="s">
        <v>6118</v>
      </c>
      <c r="H512" s="2" t="s">
        <v>6119</v>
      </c>
      <c r="I512" s="2" t="s">
        <v>6120</v>
      </c>
      <c r="J512" s="2" t="s">
        <v>6121</v>
      </c>
      <c r="K512" s="2" t="s">
        <v>6122</v>
      </c>
      <c r="L512" s="2" t="s">
        <v>6123</v>
      </c>
      <c r="M512" s="2" t="s">
        <v>6124</v>
      </c>
      <c r="N512" s="2" t="s">
        <v>6125</v>
      </c>
      <c r="O512" s="2" t="s">
        <v>6126</v>
      </c>
      <c r="P512" s="2" t="s">
        <v>6113</v>
      </c>
    </row>
    <row r="513" spans="1:16">
      <c r="A513" s="1">
        <v>512</v>
      </c>
      <c r="B513" s="2" t="s">
        <v>6127</v>
      </c>
      <c r="C513" s="2" t="s">
        <v>6128</v>
      </c>
      <c r="D513" s="2" t="s">
        <v>6129</v>
      </c>
      <c r="E513" s="2" t="s">
        <v>6130</v>
      </c>
      <c r="F513" s="2" t="s">
        <v>6131</v>
      </c>
      <c r="G513" s="2" t="s">
        <v>6132</v>
      </c>
      <c r="H513" s="2" t="s">
        <v>6133</v>
      </c>
      <c r="I513" s="2" t="s">
        <v>6134</v>
      </c>
      <c r="J513" s="2" t="s">
        <v>6135</v>
      </c>
      <c r="K513" s="2" t="s">
        <v>6136</v>
      </c>
      <c r="L513" s="2" t="s">
        <v>6137</v>
      </c>
      <c r="M513" s="2" t="s">
        <v>6138</v>
      </c>
      <c r="N513" s="2" t="s">
        <v>6139</v>
      </c>
      <c r="O513" s="2" t="s">
        <v>6140</v>
      </c>
      <c r="P513" s="2" t="s">
        <v>6127</v>
      </c>
    </row>
    <row r="514" spans="1:16">
      <c r="A514" s="1">
        <v>513</v>
      </c>
      <c r="B514" s="2" t="s">
        <v>6141</v>
      </c>
      <c r="C514" s="2" t="s">
        <v>6142</v>
      </c>
      <c r="D514" s="2" t="s">
        <v>6143</v>
      </c>
      <c r="E514" s="2" t="s">
        <v>6144</v>
      </c>
      <c r="F514" s="2" t="s">
        <v>1321</v>
      </c>
      <c r="G514" s="2" t="s">
        <v>6145</v>
      </c>
      <c r="H514" s="2" t="s">
        <v>6146</v>
      </c>
      <c r="I514" s="2" t="s">
        <v>6147</v>
      </c>
      <c r="J514" s="2" t="s">
        <v>6148</v>
      </c>
      <c r="K514" s="2" t="s">
        <v>6149</v>
      </c>
      <c r="L514" s="2" t="s">
        <v>6150</v>
      </c>
      <c r="M514" s="2" t="s">
        <v>6151</v>
      </c>
      <c r="N514" s="2" t="s">
        <v>6152</v>
      </c>
      <c r="O514" s="2" t="s">
        <v>6153</v>
      </c>
      <c r="P514" s="2" t="s">
        <v>6141</v>
      </c>
    </row>
    <row r="515" spans="1:16">
      <c r="A515" s="1">
        <v>514</v>
      </c>
      <c r="B515" s="2" t="s">
        <v>6154</v>
      </c>
      <c r="C515" s="2" t="s">
        <v>6155</v>
      </c>
      <c r="D515" s="2" t="s">
        <v>6156</v>
      </c>
      <c r="E515" s="2" t="s">
        <v>6157</v>
      </c>
      <c r="F515" s="2" t="s">
        <v>1321</v>
      </c>
      <c r="G515" s="2" t="s">
        <v>6158</v>
      </c>
      <c r="H515" s="2" t="s">
        <v>6159</v>
      </c>
      <c r="I515" s="2" t="s">
        <v>6160</v>
      </c>
      <c r="J515" s="2" t="s">
        <v>6161</v>
      </c>
      <c r="K515" s="2" t="s">
        <v>6162</v>
      </c>
      <c r="L515" s="2" t="s">
        <v>6163</v>
      </c>
      <c r="M515" s="2" t="s">
        <v>6164</v>
      </c>
      <c r="N515" s="2" t="s">
        <v>6165</v>
      </c>
      <c r="O515" s="2" t="s">
        <v>6166</v>
      </c>
      <c r="P515" s="2" t="s">
        <v>6154</v>
      </c>
    </row>
    <row r="516" spans="1:16">
      <c r="A516" s="1">
        <v>515</v>
      </c>
      <c r="B516" s="2" t="s">
        <v>6167</v>
      </c>
      <c r="C516" s="2" t="s">
        <v>6168</v>
      </c>
      <c r="D516" s="2" t="s">
        <v>6169</v>
      </c>
      <c r="E516" s="2" t="s">
        <v>6170</v>
      </c>
      <c r="F516" s="2" t="s">
        <v>6171</v>
      </c>
      <c r="G516" s="2" t="s">
        <v>6172</v>
      </c>
      <c r="H516" s="2" t="s">
        <v>6173</v>
      </c>
      <c r="I516" s="2" t="s">
        <v>6174</v>
      </c>
      <c r="J516" s="2" t="s">
        <v>6175</v>
      </c>
      <c r="K516" s="2" t="s">
        <v>6176</v>
      </c>
      <c r="L516" s="2" t="s">
        <v>6177</v>
      </c>
      <c r="M516" s="2" t="s">
        <v>6167</v>
      </c>
      <c r="N516" s="2" t="s">
        <v>6178</v>
      </c>
      <c r="O516" s="2" t="s">
        <v>6179</v>
      </c>
      <c r="P516" s="2" t="s">
        <v>6167</v>
      </c>
    </row>
    <row r="517" spans="1:16">
      <c r="A517" s="1">
        <v>516</v>
      </c>
      <c r="B517" s="2" t="s">
        <v>1606</v>
      </c>
      <c r="C517" s="2" t="s">
        <v>6180</v>
      </c>
      <c r="D517" s="2" t="s">
        <v>1608</v>
      </c>
      <c r="E517" s="2" t="s">
        <v>6181</v>
      </c>
      <c r="F517" s="2" t="s">
        <v>6182</v>
      </c>
      <c r="G517" s="2" t="s">
        <v>6183</v>
      </c>
      <c r="H517" s="2" t="s">
        <v>6184</v>
      </c>
      <c r="I517" s="2" t="s">
        <v>6185</v>
      </c>
      <c r="J517" s="2" t="s">
        <v>6186</v>
      </c>
      <c r="K517" s="2" t="s">
        <v>6187</v>
      </c>
      <c r="L517" s="2" t="s">
        <v>6188</v>
      </c>
      <c r="M517" s="2" t="s">
        <v>6189</v>
      </c>
      <c r="N517" s="2" t="s">
        <v>6190</v>
      </c>
      <c r="O517" s="2" t="s">
        <v>1618</v>
      </c>
      <c r="P517" s="2" t="s">
        <v>1606</v>
      </c>
    </row>
    <row r="518" spans="1:16">
      <c r="A518" s="1">
        <v>517</v>
      </c>
      <c r="B518" s="2" t="s">
        <v>6191</v>
      </c>
      <c r="C518" s="2" t="s">
        <v>6192</v>
      </c>
      <c r="D518" s="2" t="s">
        <v>6193</v>
      </c>
      <c r="E518" s="2" t="s">
        <v>6194</v>
      </c>
      <c r="F518" s="2" t="s">
        <v>6195</v>
      </c>
      <c r="G518" s="2" t="s">
        <v>6196</v>
      </c>
      <c r="H518" s="2" t="s">
        <v>6197</v>
      </c>
      <c r="I518" s="2" t="s">
        <v>6198</v>
      </c>
      <c r="J518" s="2" t="s">
        <v>6199</v>
      </c>
      <c r="K518" s="2" t="s">
        <v>6200</v>
      </c>
      <c r="L518" s="2" t="s">
        <v>6201</v>
      </c>
      <c r="M518" s="2" t="s">
        <v>6202</v>
      </c>
      <c r="N518" s="2" t="s">
        <v>6203</v>
      </c>
      <c r="O518" s="2" t="s">
        <v>6204</v>
      </c>
      <c r="P518" s="2" t="s">
        <v>6191</v>
      </c>
    </row>
    <row r="519" spans="1:16">
      <c r="A519" s="1">
        <v>518</v>
      </c>
      <c r="B519" s="2" t="s">
        <v>6205</v>
      </c>
      <c r="C519" s="2" t="s">
        <v>6206</v>
      </c>
      <c r="D519" s="2" t="s">
        <v>6207</v>
      </c>
      <c r="E519" s="2" t="s">
        <v>6208</v>
      </c>
      <c r="F519" s="2" t="s">
        <v>5426</v>
      </c>
      <c r="G519" s="2" t="s">
        <v>6196</v>
      </c>
      <c r="H519" s="2" t="s">
        <v>6209</v>
      </c>
      <c r="I519" s="2" t="s">
        <v>6210</v>
      </c>
      <c r="J519" s="2" t="s">
        <v>6211</v>
      </c>
      <c r="K519" s="2" t="s">
        <v>6212</v>
      </c>
      <c r="L519" s="2" t="s">
        <v>6213</v>
      </c>
      <c r="M519" s="2" t="s">
        <v>6214</v>
      </c>
      <c r="N519" s="2" t="s">
        <v>6215</v>
      </c>
      <c r="O519" s="2" t="s">
        <v>6216</v>
      </c>
      <c r="P519" s="2" t="s">
        <v>6205</v>
      </c>
    </row>
    <row r="520" spans="1:16">
      <c r="A520" s="1">
        <v>519</v>
      </c>
      <c r="B520" s="2" t="s">
        <v>6217</v>
      </c>
      <c r="C520" s="2" t="s">
        <v>6218</v>
      </c>
      <c r="D520" s="2" t="s">
        <v>6219</v>
      </c>
      <c r="E520" s="2" t="s">
        <v>6220</v>
      </c>
      <c r="F520" s="2" t="s">
        <v>6221</v>
      </c>
      <c r="G520" s="2" t="s">
        <v>6222</v>
      </c>
      <c r="H520" s="2" t="s">
        <v>6223</v>
      </c>
      <c r="I520" s="2" t="s">
        <v>6224</v>
      </c>
      <c r="J520" s="2" t="s">
        <v>6225</v>
      </c>
      <c r="K520" s="2" t="s">
        <v>6226</v>
      </c>
      <c r="L520" s="2" t="s">
        <v>6227</v>
      </c>
      <c r="M520" s="2" t="s">
        <v>6228</v>
      </c>
      <c r="N520" s="2" t="s">
        <v>6229</v>
      </c>
      <c r="O520" s="2" t="s">
        <v>6230</v>
      </c>
      <c r="P520" s="2" t="s">
        <v>6217</v>
      </c>
    </row>
    <row r="521" spans="1:16">
      <c r="A521" s="1">
        <v>520</v>
      </c>
      <c r="B521" s="2" t="s">
        <v>25562</v>
      </c>
      <c r="C521" s="2" t="s">
        <v>25563</v>
      </c>
      <c r="D521" s="2" t="s">
        <v>6231</v>
      </c>
      <c r="E521" s="2" t="s">
        <v>25564</v>
      </c>
      <c r="F521" s="2" t="s">
        <v>25565</v>
      </c>
      <c r="G521" s="2" t="s">
        <v>25566</v>
      </c>
      <c r="H521" s="2" t="s">
        <v>25567</v>
      </c>
      <c r="I521" s="2" t="s">
        <v>25568</v>
      </c>
      <c r="J521" s="2" t="s">
        <v>25569</v>
      </c>
      <c r="K521" s="2" t="s">
        <v>25570</v>
      </c>
      <c r="L521" s="2" t="s">
        <v>25571</v>
      </c>
      <c r="M521" s="2" t="s">
        <v>25572</v>
      </c>
      <c r="N521" s="2" t="s">
        <v>25573</v>
      </c>
      <c r="O521" s="2" t="s">
        <v>25574</v>
      </c>
      <c r="P521" s="2" t="s">
        <v>25562</v>
      </c>
    </row>
    <row r="522" spans="1:16">
      <c r="A522" s="1">
        <v>521</v>
      </c>
      <c r="B522" s="2" t="s">
        <v>25575</v>
      </c>
      <c r="C522" s="2" t="s">
        <v>25576</v>
      </c>
      <c r="D522" s="2" t="s">
        <v>6232</v>
      </c>
      <c r="E522" s="2" t="s">
        <v>25577</v>
      </c>
      <c r="F522" s="2" t="s">
        <v>25578</v>
      </c>
      <c r="G522" s="2" t="s">
        <v>25579</v>
      </c>
      <c r="H522" s="2" t="s">
        <v>25580</v>
      </c>
      <c r="I522" s="2" t="s">
        <v>25581</v>
      </c>
      <c r="J522" s="2" t="s">
        <v>25582</v>
      </c>
      <c r="K522" s="2" t="s">
        <v>25583</v>
      </c>
      <c r="L522" s="2" t="s">
        <v>25584</v>
      </c>
      <c r="M522" s="2" t="s">
        <v>25585</v>
      </c>
      <c r="N522" s="2" t="s">
        <v>25586</v>
      </c>
      <c r="O522" s="2" t="s">
        <v>25587</v>
      </c>
      <c r="P522" s="2" t="s">
        <v>25575</v>
      </c>
    </row>
    <row r="523" spans="1:16">
      <c r="A523" s="1">
        <v>522</v>
      </c>
      <c r="B523" s="2" t="s">
        <v>6233</v>
      </c>
      <c r="C523" s="2" t="s">
        <v>6234</v>
      </c>
      <c r="D523" s="2" t="s">
        <v>6235</v>
      </c>
      <c r="E523" s="2" t="s">
        <v>6236</v>
      </c>
      <c r="F523" s="2" t="s">
        <v>6237</v>
      </c>
      <c r="G523" s="2" t="s">
        <v>6238</v>
      </c>
      <c r="H523" s="2" t="s">
        <v>6239</v>
      </c>
      <c r="I523" s="2" t="s">
        <v>6240</v>
      </c>
      <c r="J523" s="2" t="s">
        <v>6241</v>
      </c>
      <c r="K523" s="2" t="s">
        <v>6242</v>
      </c>
      <c r="L523" s="2" t="s">
        <v>6243</v>
      </c>
      <c r="M523" s="2" t="s">
        <v>6244</v>
      </c>
      <c r="N523" s="2" t="s">
        <v>6245</v>
      </c>
      <c r="O523" s="2" t="s">
        <v>6246</v>
      </c>
      <c r="P523" s="2" t="s">
        <v>6233</v>
      </c>
    </row>
    <row r="524" spans="1:16">
      <c r="A524" s="1">
        <v>523</v>
      </c>
      <c r="B524" s="2" t="s">
        <v>6247</v>
      </c>
      <c r="C524" s="2" t="s">
        <v>6248</v>
      </c>
      <c r="D524" s="2" t="s">
        <v>6249</v>
      </c>
      <c r="E524" s="2" t="s">
        <v>6250</v>
      </c>
      <c r="F524" s="2" t="s">
        <v>6251</v>
      </c>
      <c r="G524" s="2" t="s">
        <v>6252</v>
      </c>
      <c r="H524" s="2" t="s">
        <v>6253</v>
      </c>
      <c r="I524" s="2" t="s">
        <v>6254</v>
      </c>
      <c r="J524" s="2" t="s">
        <v>6255</v>
      </c>
      <c r="K524" s="2" t="s">
        <v>6256</v>
      </c>
      <c r="L524" s="2" t="s">
        <v>6257</v>
      </c>
      <c r="M524" s="2" t="s">
        <v>6258</v>
      </c>
      <c r="N524" s="2" t="s">
        <v>6259</v>
      </c>
      <c r="O524" s="2" t="s">
        <v>6260</v>
      </c>
      <c r="P524" s="2" t="s">
        <v>6247</v>
      </c>
    </row>
    <row r="525" spans="1:16">
      <c r="A525" s="1">
        <v>524</v>
      </c>
      <c r="B525" s="2" t="s">
        <v>6261</v>
      </c>
      <c r="C525" s="2" t="s">
        <v>6262</v>
      </c>
      <c r="D525" s="2" t="s">
        <v>6263</v>
      </c>
      <c r="E525" s="2" t="s">
        <v>6264</v>
      </c>
      <c r="F525" s="2" t="s">
        <v>6265</v>
      </c>
      <c r="G525" s="2" t="s">
        <v>6266</v>
      </c>
      <c r="H525" s="2" t="s">
        <v>6267</v>
      </c>
      <c r="I525" s="2" t="s">
        <v>6268</v>
      </c>
      <c r="J525" s="2" t="s">
        <v>6269</v>
      </c>
      <c r="K525" s="2" t="s">
        <v>6270</v>
      </c>
      <c r="L525" s="2" t="s">
        <v>6271</v>
      </c>
      <c r="M525" s="2" t="s">
        <v>6272</v>
      </c>
      <c r="N525" s="2" t="s">
        <v>6273</v>
      </c>
      <c r="O525" s="2" t="s">
        <v>6274</v>
      </c>
      <c r="P525" s="2" t="s">
        <v>6261</v>
      </c>
    </row>
    <row r="526" spans="1:16">
      <c r="A526" s="1">
        <v>525</v>
      </c>
      <c r="B526" s="2" t="s">
        <v>6275</v>
      </c>
      <c r="C526" s="2" t="s">
        <v>6276</v>
      </c>
      <c r="D526" s="2" t="s">
        <v>6277</v>
      </c>
      <c r="E526" s="2" t="s">
        <v>6278</v>
      </c>
      <c r="F526" s="2" t="s">
        <v>6279</v>
      </c>
      <c r="G526" s="2" t="s">
        <v>6280</v>
      </c>
      <c r="H526" s="2" t="s">
        <v>6281</v>
      </c>
      <c r="I526" s="2" t="s">
        <v>6282</v>
      </c>
      <c r="J526" s="2" t="s">
        <v>6283</v>
      </c>
      <c r="K526" s="2" t="s">
        <v>6284</v>
      </c>
      <c r="L526" s="2" t="s">
        <v>6285</v>
      </c>
      <c r="M526" s="2" t="s">
        <v>6286</v>
      </c>
      <c r="N526" s="2" t="s">
        <v>6287</v>
      </c>
      <c r="O526" s="2" t="s">
        <v>6288</v>
      </c>
      <c r="P526" s="2" t="s">
        <v>6275</v>
      </c>
    </row>
    <row r="527" spans="1:16">
      <c r="A527" s="1">
        <v>526</v>
      </c>
      <c r="B527" s="2" t="s">
        <v>6289</v>
      </c>
      <c r="C527" s="2" t="s">
        <v>6290</v>
      </c>
      <c r="D527" s="2" t="s">
        <v>6291</v>
      </c>
      <c r="E527" s="2" t="s">
        <v>6292</v>
      </c>
      <c r="F527" s="2" t="s">
        <v>6293</v>
      </c>
      <c r="G527" s="2" t="s">
        <v>6294</v>
      </c>
      <c r="H527" s="2" t="s">
        <v>6295</v>
      </c>
      <c r="I527" s="2" t="s">
        <v>6296</v>
      </c>
      <c r="J527" s="2" t="s">
        <v>6297</v>
      </c>
      <c r="K527" s="2" t="s">
        <v>6298</v>
      </c>
      <c r="L527" s="2" t="s">
        <v>6299</v>
      </c>
      <c r="M527" s="2" t="s">
        <v>6300</v>
      </c>
      <c r="N527" s="2" t="s">
        <v>6301</v>
      </c>
      <c r="O527" s="2" t="s">
        <v>6302</v>
      </c>
      <c r="P527" s="2" t="s">
        <v>6289</v>
      </c>
    </row>
    <row r="528" spans="1:16">
      <c r="A528" s="1">
        <v>527</v>
      </c>
      <c r="B528" s="2" t="s">
        <v>6303</v>
      </c>
      <c r="C528" s="2" t="s">
        <v>6304</v>
      </c>
      <c r="D528" s="2" t="s">
        <v>6305</v>
      </c>
      <c r="E528" s="2" t="s">
        <v>6306</v>
      </c>
      <c r="F528" s="2" t="s">
        <v>6307</v>
      </c>
      <c r="G528" s="2" t="s">
        <v>6308</v>
      </c>
      <c r="H528" s="2" t="s">
        <v>6309</v>
      </c>
      <c r="I528" s="2" t="s">
        <v>6310</v>
      </c>
      <c r="J528" s="2" t="s">
        <v>6311</v>
      </c>
      <c r="K528" s="2" t="s">
        <v>6312</v>
      </c>
      <c r="L528" s="2" t="s">
        <v>6313</v>
      </c>
      <c r="M528" s="2" t="s">
        <v>6314</v>
      </c>
      <c r="N528" s="2" t="s">
        <v>6315</v>
      </c>
      <c r="O528" s="2" t="s">
        <v>6316</v>
      </c>
      <c r="P528" s="2" t="s">
        <v>6303</v>
      </c>
    </row>
    <row r="529" spans="1:16">
      <c r="A529" s="1">
        <v>528</v>
      </c>
      <c r="B529" s="2" t="s">
        <v>6317</v>
      </c>
      <c r="C529" s="2" t="s">
        <v>6318</v>
      </c>
      <c r="D529" s="2" t="s">
        <v>6319</v>
      </c>
      <c r="E529" s="2" t="s">
        <v>6320</v>
      </c>
      <c r="F529" s="2" t="s">
        <v>6321</v>
      </c>
      <c r="G529" s="2" t="s">
        <v>6322</v>
      </c>
      <c r="H529" s="2" t="s">
        <v>6323</v>
      </c>
      <c r="I529" s="2" t="s">
        <v>6324</v>
      </c>
      <c r="J529" s="2" t="s">
        <v>6325</v>
      </c>
      <c r="K529" s="2" t="s">
        <v>6326</v>
      </c>
      <c r="L529" s="2" t="s">
        <v>6327</v>
      </c>
      <c r="M529" s="2" t="s">
        <v>6328</v>
      </c>
      <c r="N529" s="2" t="s">
        <v>6329</v>
      </c>
      <c r="O529" s="2" t="s">
        <v>6330</v>
      </c>
      <c r="P529" s="2" t="s">
        <v>6317</v>
      </c>
    </row>
    <row r="530" spans="1:16">
      <c r="A530" s="1">
        <v>529</v>
      </c>
      <c r="B530" s="2" t="s">
        <v>6331</v>
      </c>
      <c r="C530" s="2" t="s">
        <v>6332</v>
      </c>
      <c r="D530" s="2" t="s">
        <v>6331</v>
      </c>
      <c r="E530" s="2" t="s">
        <v>6333</v>
      </c>
      <c r="F530" s="2" t="s">
        <v>6334</v>
      </c>
      <c r="G530" s="2" t="s">
        <v>6335</v>
      </c>
      <c r="H530" s="2" t="s">
        <v>6336</v>
      </c>
      <c r="I530" s="2" t="s">
        <v>6337</v>
      </c>
      <c r="J530" s="2" t="s">
        <v>6338</v>
      </c>
      <c r="K530" s="2" t="s">
        <v>6339</v>
      </c>
      <c r="L530" s="2" t="s">
        <v>6340</v>
      </c>
      <c r="M530" s="2" t="s">
        <v>6341</v>
      </c>
      <c r="N530" s="2" t="s">
        <v>6342</v>
      </c>
      <c r="O530" s="2" t="s">
        <v>6343</v>
      </c>
      <c r="P530" s="2" t="s">
        <v>6331</v>
      </c>
    </row>
    <row r="531" spans="1:16">
      <c r="A531" s="1">
        <v>530</v>
      </c>
      <c r="B531" s="2" t="s">
        <v>6344</v>
      </c>
      <c r="C531" s="2" t="s">
        <v>6344</v>
      </c>
      <c r="D531" s="2" t="s">
        <v>6344</v>
      </c>
      <c r="E531" s="2" t="s">
        <v>6345</v>
      </c>
      <c r="F531" s="2" t="s">
        <v>6344</v>
      </c>
      <c r="G531" s="2" t="s">
        <v>6344</v>
      </c>
      <c r="H531" s="2" t="s">
        <v>6344</v>
      </c>
      <c r="I531" s="2" t="s">
        <v>6346</v>
      </c>
      <c r="J531" s="2" t="s">
        <v>6344</v>
      </c>
      <c r="K531" s="2" t="s">
        <v>6344</v>
      </c>
      <c r="L531" s="2" t="s">
        <v>6344</v>
      </c>
      <c r="M531" s="2" t="s">
        <v>6344</v>
      </c>
      <c r="N531" s="2" t="s">
        <v>6344</v>
      </c>
      <c r="O531" s="2" t="s">
        <v>6347</v>
      </c>
      <c r="P531" s="2" t="s">
        <v>6344</v>
      </c>
    </row>
    <row r="532" spans="1:16">
      <c r="A532" s="1">
        <v>531</v>
      </c>
      <c r="B532" s="2" t="s">
        <v>6348</v>
      </c>
      <c r="C532" s="2" t="s">
        <v>6348</v>
      </c>
      <c r="D532" s="2" t="s">
        <v>6348</v>
      </c>
      <c r="E532" s="2" t="s">
        <v>6348</v>
      </c>
      <c r="F532" s="2" t="s">
        <v>6348</v>
      </c>
      <c r="G532" s="2" t="s">
        <v>6348</v>
      </c>
      <c r="H532" s="2" t="s">
        <v>6348</v>
      </c>
      <c r="I532" s="2" t="s">
        <v>6348</v>
      </c>
      <c r="J532" s="2" t="s">
        <v>6348</v>
      </c>
      <c r="K532" s="2" t="s">
        <v>6348</v>
      </c>
      <c r="L532" s="2" t="s">
        <v>6348</v>
      </c>
      <c r="M532" s="2" t="s">
        <v>6349</v>
      </c>
      <c r="N532" s="2" t="s">
        <v>6348</v>
      </c>
      <c r="O532" s="2" t="s">
        <v>6348</v>
      </c>
      <c r="P532" s="2" t="s">
        <v>6348</v>
      </c>
    </row>
    <row r="533" spans="1:16">
      <c r="A533" s="1">
        <v>532</v>
      </c>
      <c r="B533" s="2" t="s">
        <v>6350</v>
      </c>
      <c r="C533" s="2" t="s">
        <v>6351</v>
      </c>
      <c r="D533" s="2" t="s">
        <v>6352</v>
      </c>
      <c r="E533" s="2" t="s">
        <v>6353</v>
      </c>
      <c r="F533" s="2" t="s">
        <v>6354</v>
      </c>
      <c r="G533" s="2" t="s">
        <v>6355</v>
      </c>
      <c r="H533" s="2" t="s">
        <v>6356</v>
      </c>
      <c r="I533" s="2" t="s">
        <v>6357</v>
      </c>
      <c r="J533" s="2" t="s">
        <v>6358</v>
      </c>
      <c r="K533" s="2" t="s">
        <v>6359</v>
      </c>
      <c r="L533" s="2" t="s">
        <v>6360</v>
      </c>
      <c r="M533" s="2" t="s">
        <v>6361</v>
      </c>
      <c r="N533" s="2" t="s">
        <v>6362</v>
      </c>
      <c r="O533" s="2" t="s">
        <v>6363</v>
      </c>
      <c r="P533" s="2" t="s">
        <v>6350</v>
      </c>
    </row>
    <row r="534" spans="1:16">
      <c r="A534" s="1">
        <v>533</v>
      </c>
      <c r="B534" s="2" t="s">
        <v>6364</v>
      </c>
      <c r="C534" s="2" t="s">
        <v>6365</v>
      </c>
      <c r="D534" s="2" t="s">
        <v>6366</v>
      </c>
      <c r="E534" s="2" t="s">
        <v>6367</v>
      </c>
      <c r="F534" s="2" t="s">
        <v>6368</v>
      </c>
      <c r="G534" s="2" t="s">
        <v>6369</v>
      </c>
      <c r="H534" s="2" t="s">
        <v>6370</v>
      </c>
      <c r="I534" s="2" t="s">
        <v>6371</v>
      </c>
      <c r="J534" s="2" t="s">
        <v>6372</v>
      </c>
      <c r="K534" s="2" t="s">
        <v>6373</v>
      </c>
      <c r="L534" s="2" t="s">
        <v>6374</v>
      </c>
      <c r="M534" s="2" t="s">
        <v>6375</v>
      </c>
      <c r="N534" s="2" t="s">
        <v>6376</v>
      </c>
      <c r="O534" s="2" t="s">
        <v>6377</v>
      </c>
      <c r="P534" s="2" t="s">
        <v>6364</v>
      </c>
    </row>
    <row r="535" spans="1:16">
      <c r="A535" s="1">
        <v>534</v>
      </c>
      <c r="B535" s="2" t="s">
        <v>6378</v>
      </c>
      <c r="C535" s="2" t="s">
        <v>6379</v>
      </c>
      <c r="D535" s="2" t="s">
        <v>6380</v>
      </c>
      <c r="E535" s="2" t="s">
        <v>6381</v>
      </c>
      <c r="F535" s="2" t="s">
        <v>6382</v>
      </c>
      <c r="G535" s="2" t="s">
        <v>6383</v>
      </c>
      <c r="H535" s="2" t="s">
        <v>6384</v>
      </c>
      <c r="I535" s="2" t="s">
        <v>6385</v>
      </c>
      <c r="J535" s="2" t="s">
        <v>6386</v>
      </c>
      <c r="K535" s="2" t="s">
        <v>6387</v>
      </c>
      <c r="L535" s="2" t="s">
        <v>6388</v>
      </c>
      <c r="M535" s="2" t="s">
        <v>6389</v>
      </c>
      <c r="N535" s="2" t="s">
        <v>6390</v>
      </c>
      <c r="O535" s="2" t="s">
        <v>6391</v>
      </c>
      <c r="P535" s="2" t="s">
        <v>6378</v>
      </c>
    </row>
    <row r="536" spans="1:16">
      <c r="A536" s="1">
        <v>535</v>
      </c>
      <c r="B536" s="2" t="s">
        <v>6392</v>
      </c>
      <c r="C536" s="2" t="s">
        <v>6393</v>
      </c>
      <c r="D536" s="2" t="s">
        <v>6394</v>
      </c>
      <c r="E536" s="2" t="s">
        <v>6395</v>
      </c>
      <c r="F536" s="2" t="s">
        <v>6396</v>
      </c>
      <c r="G536" s="2" t="s">
        <v>6397</v>
      </c>
      <c r="H536" s="2" t="s">
        <v>6398</v>
      </c>
      <c r="I536" s="2" t="s">
        <v>6399</v>
      </c>
      <c r="J536" s="2" t="s">
        <v>6400</v>
      </c>
      <c r="K536" s="2" t="s">
        <v>6401</v>
      </c>
      <c r="L536" s="2" t="s">
        <v>6402</v>
      </c>
      <c r="M536" s="2" t="s">
        <v>6403</v>
      </c>
      <c r="N536" s="2" t="s">
        <v>6404</v>
      </c>
      <c r="O536" s="2" t="s">
        <v>6405</v>
      </c>
      <c r="P536" s="2" t="s">
        <v>6392</v>
      </c>
    </row>
    <row r="537" spans="1:16">
      <c r="A537" s="1">
        <v>536</v>
      </c>
      <c r="B537" s="2" t="s">
        <v>6406</v>
      </c>
      <c r="C537" s="2" t="s">
        <v>6407</v>
      </c>
      <c r="D537" s="2" t="s">
        <v>6408</v>
      </c>
      <c r="E537" s="2" t="s">
        <v>6409</v>
      </c>
      <c r="F537" s="2" t="s">
        <v>6410</v>
      </c>
      <c r="G537" s="2" t="s">
        <v>6411</v>
      </c>
      <c r="H537" s="2" t="s">
        <v>6412</v>
      </c>
      <c r="I537" s="2" t="s">
        <v>6413</v>
      </c>
      <c r="J537" s="2" t="s">
        <v>6414</v>
      </c>
      <c r="K537" s="2" t="s">
        <v>6415</v>
      </c>
      <c r="L537" s="2" t="s">
        <v>6416</v>
      </c>
      <c r="M537" s="2" t="s">
        <v>6417</v>
      </c>
      <c r="N537" s="2" t="s">
        <v>6418</v>
      </c>
      <c r="O537" s="2" t="s">
        <v>6419</v>
      </c>
      <c r="P537" s="2" t="s">
        <v>6406</v>
      </c>
    </row>
    <row r="538" spans="1:16">
      <c r="A538" s="1">
        <v>537</v>
      </c>
      <c r="B538" s="2" t="s">
        <v>6420</v>
      </c>
      <c r="C538" s="2" t="s">
        <v>6421</v>
      </c>
      <c r="D538" s="2" t="s">
        <v>6422</v>
      </c>
      <c r="E538" s="2" t="s">
        <v>6423</v>
      </c>
      <c r="F538" s="2" t="s">
        <v>6424</v>
      </c>
      <c r="G538" s="2" t="s">
        <v>6425</v>
      </c>
      <c r="H538" s="2" t="s">
        <v>6426</v>
      </c>
      <c r="I538" s="2" t="s">
        <v>6427</v>
      </c>
      <c r="J538" s="2" t="s">
        <v>6428</v>
      </c>
      <c r="K538" s="2" t="s">
        <v>6429</v>
      </c>
      <c r="L538" s="2" t="s">
        <v>6430</v>
      </c>
      <c r="M538" s="2" t="s">
        <v>6431</v>
      </c>
      <c r="N538" s="2" t="s">
        <v>6432</v>
      </c>
      <c r="O538" s="2" t="s">
        <v>6433</v>
      </c>
      <c r="P538" s="2" t="s">
        <v>6420</v>
      </c>
    </row>
    <row r="539" spans="1:16">
      <c r="A539" s="1">
        <v>538</v>
      </c>
      <c r="B539" s="2" t="s">
        <v>6434</v>
      </c>
      <c r="C539" s="2" t="s">
        <v>6435</v>
      </c>
      <c r="D539" s="2" t="s">
        <v>6436</v>
      </c>
      <c r="E539" s="2" t="s">
        <v>6437</v>
      </c>
      <c r="F539" s="2" t="s">
        <v>6438</v>
      </c>
      <c r="G539" s="2" t="s">
        <v>6439</v>
      </c>
      <c r="H539" s="2" t="s">
        <v>6440</v>
      </c>
      <c r="I539" s="2" t="s">
        <v>6441</v>
      </c>
      <c r="J539" s="2" t="s">
        <v>6442</v>
      </c>
      <c r="K539" s="2" t="s">
        <v>6443</v>
      </c>
      <c r="L539" s="2" t="s">
        <v>6444</v>
      </c>
      <c r="M539" s="2" t="s">
        <v>6445</v>
      </c>
      <c r="N539" s="2" t="s">
        <v>6446</v>
      </c>
      <c r="O539" s="2" t="s">
        <v>6443</v>
      </c>
      <c r="P539" s="2" t="s">
        <v>6434</v>
      </c>
    </row>
    <row r="540" spans="1:16">
      <c r="A540" s="1">
        <v>539</v>
      </c>
      <c r="B540" s="2" t="s">
        <v>6447</v>
      </c>
      <c r="C540" s="2" t="s">
        <v>6448</v>
      </c>
      <c r="D540" s="2" t="s">
        <v>6449</v>
      </c>
      <c r="E540" s="2" t="s">
        <v>6450</v>
      </c>
      <c r="F540" s="2" t="s">
        <v>6451</v>
      </c>
      <c r="G540" s="2" t="s">
        <v>6452</v>
      </c>
      <c r="H540" s="2" t="s">
        <v>6453</v>
      </c>
      <c r="I540" s="2" t="s">
        <v>6454</v>
      </c>
      <c r="J540" s="2" t="s">
        <v>6455</v>
      </c>
      <c r="K540" s="2" t="s">
        <v>6456</v>
      </c>
      <c r="L540" s="2" t="s">
        <v>6457</v>
      </c>
      <c r="M540" s="2" t="s">
        <v>6458</v>
      </c>
      <c r="N540" s="2" t="s">
        <v>6459</v>
      </c>
      <c r="O540" s="2" t="s">
        <v>6460</v>
      </c>
      <c r="P540" s="2" t="s">
        <v>6447</v>
      </c>
    </row>
    <row r="541" spans="1:16">
      <c r="A541" s="1">
        <v>540</v>
      </c>
      <c r="B541" s="2" t="s">
        <v>6461</v>
      </c>
      <c r="C541" s="2" t="s">
        <v>6462</v>
      </c>
      <c r="D541" s="2" t="s">
        <v>6463</v>
      </c>
      <c r="E541" s="2" t="s">
        <v>6464</v>
      </c>
      <c r="F541" s="2" t="s">
        <v>22778</v>
      </c>
      <c r="G541" s="2" t="s">
        <v>6465</v>
      </c>
      <c r="H541" s="2" t="s">
        <v>6466</v>
      </c>
      <c r="I541" s="2" t="s">
        <v>6467</v>
      </c>
      <c r="J541" s="2" t="s">
        <v>6468</v>
      </c>
      <c r="K541" s="2" t="s">
        <v>6469</v>
      </c>
      <c r="L541" s="2" t="s">
        <v>6461</v>
      </c>
      <c r="M541" s="2" t="s">
        <v>6461</v>
      </c>
      <c r="N541" s="2" t="s">
        <v>6470</v>
      </c>
      <c r="O541" s="2" t="s">
        <v>6471</v>
      </c>
      <c r="P541" s="2" t="s">
        <v>6461</v>
      </c>
    </row>
    <row r="542" spans="1:16">
      <c r="A542" s="1">
        <v>541</v>
      </c>
      <c r="B542" s="2" t="s">
        <v>22779</v>
      </c>
      <c r="C542" s="2" t="s">
        <v>6473</v>
      </c>
      <c r="D542" s="2" t="s">
        <v>6474</v>
      </c>
      <c r="E542" s="2" t="s">
        <v>6475</v>
      </c>
      <c r="F542" s="2" t="s">
        <v>6476</v>
      </c>
      <c r="G542" s="2" t="s">
        <v>6477</v>
      </c>
      <c r="H542" s="2" t="s">
        <v>6478</v>
      </c>
      <c r="I542" s="2" t="s">
        <v>6479</v>
      </c>
      <c r="J542" s="2" t="s">
        <v>6480</v>
      </c>
      <c r="K542" s="2" t="s">
        <v>6481</v>
      </c>
      <c r="L542" s="2" t="s">
        <v>6482</v>
      </c>
      <c r="M542" s="2" t="s">
        <v>6483</v>
      </c>
      <c r="N542" s="2" t="s">
        <v>6484</v>
      </c>
      <c r="O542" s="2" t="s">
        <v>6485</v>
      </c>
      <c r="P542" s="2" t="s">
        <v>6472</v>
      </c>
    </row>
    <row r="543" spans="1:16">
      <c r="A543" s="1">
        <v>542</v>
      </c>
      <c r="B543" s="2" t="s">
        <v>6486</v>
      </c>
      <c r="C543" s="2" t="s">
        <v>6487</v>
      </c>
      <c r="D543" s="2" t="s">
        <v>6488</v>
      </c>
      <c r="E543" s="2" t="s">
        <v>6489</v>
      </c>
      <c r="F543" s="2" t="s">
        <v>6490</v>
      </c>
      <c r="G543" s="2" t="s">
        <v>6491</v>
      </c>
      <c r="H543" s="2" t="s">
        <v>6492</v>
      </c>
      <c r="I543" s="2" t="s">
        <v>6493</v>
      </c>
      <c r="J543" s="2" t="s">
        <v>6494</v>
      </c>
      <c r="K543" s="2" t="s">
        <v>6495</v>
      </c>
      <c r="L543" s="2" t="s">
        <v>6496</v>
      </c>
      <c r="M543" s="2" t="s">
        <v>6497</v>
      </c>
      <c r="N543" s="2" t="s">
        <v>6498</v>
      </c>
      <c r="O543" s="2" t="s">
        <v>6499</v>
      </c>
      <c r="P543" s="2" t="s">
        <v>6486</v>
      </c>
    </row>
    <row r="544" spans="1:16">
      <c r="A544" s="1">
        <v>543</v>
      </c>
      <c r="B544" s="2" t="s">
        <v>6500</v>
      </c>
      <c r="C544" s="2" t="s">
        <v>6501</v>
      </c>
      <c r="D544" s="2" t="s">
        <v>6502</v>
      </c>
      <c r="E544" s="2" t="s">
        <v>6503</v>
      </c>
      <c r="F544" s="2" t="s">
        <v>6504</v>
      </c>
      <c r="G544" s="2" t="s">
        <v>6505</v>
      </c>
      <c r="H544" s="2" t="s">
        <v>6506</v>
      </c>
      <c r="I544" s="2" t="s">
        <v>6507</v>
      </c>
      <c r="J544" s="2" t="s">
        <v>6508</v>
      </c>
      <c r="K544" s="2" t="s">
        <v>6509</v>
      </c>
      <c r="L544" s="2" t="s">
        <v>6510</v>
      </c>
      <c r="M544" s="2" t="s">
        <v>6511</v>
      </c>
      <c r="N544" s="2" t="s">
        <v>6512</v>
      </c>
      <c r="O544" s="2" t="s">
        <v>6513</v>
      </c>
      <c r="P544" s="2" t="s">
        <v>6500</v>
      </c>
    </row>
    <row r="545" spans="1:16">
      <c r="A545" s="1">
        <v>544</v>
      </c>
      <c r="B545" s="2" t="s">
        <v>6514</v>
      </c>
      <c r="C545" s="2" t="s">
        <v>6515</v>
      </c>
      <c r="D545" s="2" t="s">
        <v>6516</v>
      </c>
      <c r="E545" s="2" t="s">
        <v>6517</v>
      </c>
      <c r="F545" s="2" t="s">
        <v>6518</v>
      </c>
      <c r="G545" s="2" t="s">
        <v>6519</v>
      </c>
      <c r="H545" s="2" t="s">
        <v>6520</v>
      </c>
      <c r="I545" s="2" t="s">
        <v>6521</v>
      </c>
      <c r="J545" s="2" t="s">
        <v>6522</v>
      </c>
      <c r="K545" s="2" t="s">
        <v>6523</v>
      </c>
      <c r="L545" s="2" t="s">
        <v>6524</v>
      </c>
      <c r="M545" s="2" t="s">
        <v>6525</v>
      </c>
      <c r="N545" s="2" t="s">
        <v>6526</v>
      </c>
      <c r="O545" s="2" t="s">
        <v>6527</v>
      </c>
      <c r="P545" s="2" t="s">
        <v>6514</v>
      </c>
    </row>
    <row r="546" spans="1:16">
      <c r="A546" s="1">
        <v>545</v>
      </c>
      <c r="B546" s="2" t="s">
        <v>6528</v>
      </c>
      <c r="C546" s="2" t="s">
        <v>6529</v>
      </c>
      <c r="D546" s="2" t="s">
        <v>6530</v>
      </c>
      <c r="E546" s="2" t="s">
        <v>6531</v>
      </c>
      <c r="F546" s="2" t="s">
        <v>6532</v>
      </c>
      <c r="G546" s="2" t="s">
        <v>6533</v>
      </c>
      <c r="H546" s="2" t="s">
        <v>6534</v>
      </c>
      <c r="I546" s="2" t="s">
        <v>6535</v>
      </c>
      <c r="J546" s="2" t="s">
        <v>6536</v>
      </c>
      <c r="K546" s="2" t="s">
        <v>6537</v>
      </c>
      <c r="L546" s="2" t="s">
        <v>6538</v>
      </c>
      <c r="M546" s="2" t="s">
        <v>6539</v>
      </c>
      <c r="N546" s="2" t="s">
        <v>6540</v>
      </c>
      <c r="O546" s="2" t="s">
        <v>6541</v>
      </c>
      <c r="P546" s="2" t="s">
        <v>6528</v>
      </c>
    </row>
    <row r="547" spans="1:16">
      <c r="A547" s="1">
        <v>546</v>
      </c>
      <c r="B547" s="2" t="s">
        <v>6542</v>
      </c>
      <c r="C547" s="2" t="s">
        <v>6543</v>
      </c>
      <c r="D547" s="2" t="s">
        <v>6544</v>
      </c>
      <c r="E547" s="2" t="s">
        <v>6545</v>
      </c>
      <c r="F547" s="2" t="s">
        <v>6546</v>
      </c>
      <c r="G547" s="2" t="s">
        <v>6547</v>
      </c>
      <c r="H547" s="2" t="s">
        <v>6548</v>
      </c>
      <c r="I547" s="2" t="s">
        <v>6549</v>
      </c>
      <c r="J547" s="2" t="s">
        <v>6550</v>
      </c>
      <c r="K547" s="2" t="s">
        <v>6551</v>
      </c>
      <c r="L547" s="2" t="s">
        <v>6552</v>
      </c>
      <c r="M547" s="2" t="s">
        <v>6553</v>
      </c>
      <c r="N547" s="2" t="s">
        <v>6554</v>
      </c>
      <c r="O547" s="2" t="s">
        <v>6555</v>
      </c>
      <c r="P547" s="2" t="s">
        <v>6542</v>
      </c>
    </row>
    <row r="548" spans="1:16">
      <c r="A548" s="1">
        <v>547</v>
      </c>
      <c r="B548" s="2" t="s">
        <v>6556</v>
      </c>
      <c r="C548" s="2" t="s">
        <v>6557</v>
      </c>
      <c r="D548" s="2" t="s">
        <v>6558</v>
      </c>
      <c r="E548" s="2" t="s">
        <v>6559</v>
      </c>
      <c r="F548" s="2" t="s">
        <v>6560</v>
      </c>
      <c r="G548" s="2" t="s">
        <v>6561</v>
      </c>
      <c r="H548" s="2" t="s">
        <v>6562</v>
      </c>
      <c r="I548" s="2" t="s">
        <v>6563</v>
      </c>
      <c r="J548" s="2" t="s">
        <v>6564</v>
      </c>
      <c r="K548" s="2" t="s">
        <v>6565</v>
      </c>
      <c r="L548" s="2" t="s">
        <v>6564</v>
      </c>
      <c r="M548" s="2" t="s">
        <v>6564</v>
      </c>
      <c r="N548" s="2" t="s">
        <v>6564</v>
      </c>
      <c r="O548" s="2" t="s">
        <v>6565</v>
      </c>
      <c r="P548" s="2" t="s">
        <v>6556</v>
      </c>
    </row>
    <row r="549" spans="1:16">
      <c r="A549" s="1">
        <v>548</v>
      </c>
      <c r="B549" s="2" t="s">
        <v>6566</v>
      </c>
      <c r="C549" s="2" t="s">
        <v>6566</v>
      </c>
      <c r="D549" s="2" t="s">
        <v>6566</v>
      </c>
      <c r="E549" s="2" t="s">
        <v>6566</v>
      </c>
      <c r="F549" s="2" t="s">
        <v>6566</v>
      </c>
      <c r="G549" s="2" t="s">
        <v>6566</v>
      </c>
      <c r="H549" s="2" t="s">
        <v>6566</v>
      </c>
      <c r="I549" s="2" t="s">
        <v>6566</v>
      </c>
      <c r="J549" s="2" t="s">
        <v>6566</v>
      </c>
      <c r="K549" s="2" t="s">
        <v>6566</v>
      </c>
      <c r="L549" s="2" t="s">
        <v>6566</v>
      </c>
      <c r="M549" s="2" t="s">
        <v>6566</v>
      </c>
      <c r="N549" s="2" t="s">
        <v>6566</v>
      </c>
      <c r="O549" s="2" t="s">
        <v>6566</v>
      </c>
      <c r="P549" s="2" t="s">
        <v>6566</v>
      </c>
    </row>
    <row r="550" spans="1:16">
      <c r="A550" s="1">
        <v>549</v>
      </c>
      <c r="B550" s="2" t="s">
        <v>6567</v>
      </c>
      <c r="C550" s="2" t="s">
        <v>6568</v>
      </c>
      <c r="D550" s="2" t="s">
        <v>6569</v>
      </c>
      <c r="E550" s="2" t="s">
        <v>6570</v>
      </c>
      <c r="F550" s="2" t="s">
        <v>6571</v>
      </c>
      <c r="G550" s="2" t="s">
        <v>6572</v>
      </c>
      <c r="H550" s="2" t="s">
        <v>6573</v>
      </c>
      <c r="I550" s="2" t="s">
        <v>6574</v>
      </c>
      <c r="J550" s="2" t="s">
        <v>6575</v>
      </c>
      <c r="K550" s="2" t="s">
        <v>6576</v>
      </c>
      <c r="L550" s="2" t="s">
        <v>6577</v>
      </c>
      <c r="M550" s="2" t="s">
        <v>6578</v>
      </c>
      <c r="N550" s="2" t="s">
        <v>6579</v>
      </c>
      <c r="O550" s="2" t="s">
        <v>6580</v>
      </c>
      <c r="P550" s="2" t="s">
        <v>6567</v>
      </c>
    </row>
    <row r="551" spans="1:16">
      <c r="A551" s="1">
        <v>550</v>
      </c>
      <c r="B551" s="2" t="s">
        <v>6581</v>
      </c>
      <c r="C551" s="2" t="s">
        <v>6582</v>
      </c>
      <c r="D551" s="2" t="s">
        <v>6583</v>
      </c>
      <c r="E551" s="2" t="s">
        <v>6584</v>
      </c>
      <c r="F551" s="2" t="s">
        <v>6585</v>
      </c>
      <c r="G551" s="2" t="s">
        <v>6586</v>
      </c>
      <c r="H551" s="2" t="s">
        <v>6587</v>
      </c>
      <c r="I551" s="2" t="s">
        <v>6588</v>
      </c>
      <c r="J551" s="2" t="s">
        <v>6589</v>
      </c>
      <c r="K551" s="2" t="s">
        <v>6590</v>
      </c>
      <c r="L551" s="2" t="s">
        <v>6591</v>
      </c>
      <c r="M551" s="2" t="s">
        <v>6592</v>
      </c>
      <c r="N551" s="2" t="s">
        <v>6593</v>
      </c>
      <c r="O551" s="2" t="s">
        <v>6594</v>
      </c>
      <c r="P551" s="2" t="s">
        <v>6581</v>
      </c>
    </row>
    <row r="552" spans="1:16">
      <c r="A552" s="1">
        <v>551</v>
      </c>
      <c r="B552" s="2" t="s">
        <v>6595</v>
      </c>
      <c r="C552" s="2" t="s">
        <v>6596</v>
      </c>
      <c r="D552" s="2" t="s">
        <v>6596</v>
      </c>
      <c r="E552" s="2" t="s">
        <v>6597</v>
      </c>
      <c r="F552" s="2" t="s">
        <v>6598</v>
      </c>
      <c r="G552" s="2" t="s">
        <v>6599</v>
      </c>
      <c r="H552" s="2" t="s">
        <v>6600</v>
      </c>
      <c r="I552" s="2" t="s">
        <v>6601</v>
      </c>
      <c r="J552" s="2" t="s">
        <v>6595</v>
      </c>
      <c r="K552" s="2" t="s">
        <v>6602</v>
      </c>
      <c r="L552" s="2" t="s">
        <v>6603</v>
      </c>
      <c r="M552" s="2" t="s">
        <v>6595</v>
      </c>
      <c r="N552" s="2" t="s">
        <v>6595</v>
      </c>
      <c r="O552" s="2" t="s">
        <v>6604</v>
      </c>
      <c r="P552" s="2" t="s">
        <v>6595</v>
      </c>
    </row>
    <row r="553" spans="1:16">
      <c r="A553" s="1">
        <v>552</v>
      </c>
      <c r="B553" s="2" t="s">
        <v>6605</v>
      </c>
      <c r="C553" s="2" t="s">
        <v>6606</v>
      </c>
      <c r="D553" s="2" t="s">
        <v>6607</v>
      </c>
      <c r="E553" s="2" t="s">
        <v>6608</v>
      </c>
      <c r="F553" s="2" t="s">
        <v>22780</v>
      </c>
      <c r="G553" s="2" t="s">
        <v>6609</v>
      </c>
      <c r="H553" s="2" t="s">
        <v>6610</v>
      </c>
      <c r="I553" s="2" t="s">
        <v>6611</v>
      </c>
      <c r="J553" s="2" t="s">
        <v>6612</v>
      </c>
      <c r="K553" s="2" t="s">
        <v>6613</v>
      </c>
      <c r="L553" s="2" t="s">
        <v>6614</v>
      </c>
      <c r="M553" s="2" t="s">
        <v>6615</v>
      </c>
      <c r="N553" s="2" t="s">
        <v>6616</v>
      </c>
      <c r="O553" s="2" t="s">
        <v>6617</v>
      </c>
      <c r="P553" s="2" t="s">
        <v>6605</v>
      </c>
    </row>
    <row r="554" spans="1:16">
      <c r="A554" s="1">
        <v>553</v>
      </c>
      <c r="B554" s="2" t="s">
        <v>6618</v>
      </c>
      <c r="C554" s="2" t="s">
        <v>6619</v>
      </c>
      <c r="D554" s="2" t="s">
        <v>6620</v>
      </c>
      <c r="E554" s="2" t="s">
        <v>6621</v>
      </c>
      <c r="F554" s="2" t="s">
        <v>6622</v>
      </c>
      <c r="G554" s="2" t="s">
        <v>6623</v>
      </c>
      <c r="H554" s="2" t="s">
        <v>6624</v>
      </c>
      <c r="I554" s="2" t="s">
        <v>6625</v>
      </c>
      <c r="J554" s="2" t="s">
        <v>6626</v>
      </c>
      <c r="K554" s="2" t="s">
        <v>6627</v>
      </c>
      <c r="L554" s="2" t="s">
        <v>6628</v>
      </c>
      <c r="M554" s="2" t="s">
        <v>6629</v>
      </c>
      <c r="N554" s="2" t="s">
        <v>6630</v>
      </c>
      <c r="O554" s="2" t="s">
        <v>6631</v>
      </c>
      <c r="P554" s="2" t="s">
        <v>6618</v>
      </c>
    </row>
    <row r="555" spans="1:16">
      <c r="A555" s="1">
        <v>554</v>
      </c>
      <c r="B555" s="2" t="s">
        <v>6632</v>
      </c>
      <c r="C555" s="2" t="s">
        <v>6633</v>
      </c>
      <c r="D555" s="2" t="s">
        <v>6634</v>
      </c>
      <c r="E555" s="2" t="s">
        <v>6635</v>
      </c>
      <c r="F555" s="2" t="s">
        <v>6636</v>
      </c>
      <c r="G555" s="2" t="s">
        <v>6637</v>
      </c>
      <c r="H555" s="2" t="s">
        <v>6638</v>
      </c>
      <c r="I555" s="2" t="s">
        <v>6639</v>
      </c>
      <c r="J555" s="2" t="s">
        <v>6640</v>
      </c>
      <c r="K555" s="2" t="s">
        <v>6641</v>
      </c>
      <c r="L555" s="2" t="s">
        <v>6642</v>
      </c>
      <c r="M555" s="2" t="s">
        <v>6643</v>
      </c>
      <c r="N555" s="2" t="s">
        <v>6644</v>
      </c>
      <c r="O555" s="2" t="s">
        <v>6645</v>
      </c>
      <c r="P555" s="2" t="s">
        <v>6632</v>
      </c>
    </row>
    <row r="556" spans="1:16">
      <c r="A556" s="1">
        <v>555</v>
      </c>
      <c r="B556" s="2" t="s">
        <v>6646</v>
      </c>
      <c r="C556" s="2" t="s">
        <v>6647</v>
      </c>
      <c r="D556" s="2" t="s">
        <v>6648</v>
      </c>
      <c r="E556" s="2" t="s">
        <v>6649</v>
      </c>
      <c r="F556" s="2" t="s">
        <v>6650</v>
      </c>
      <c r="G556" s="2" t="s">
        <v>6651</v>
      </c>
      <c r="H556" s="2" t="s">
        <v>6652</v>
      </c>
      <c r="I556" s="2" t="s">
        <v>6653</v>
      </c>
      <c r="J556" s="2" t="s">
        <v>6654</v>
      </c>
      <c r="K556" s="2" t="s">
        <v>6655</v>
      </c>
      <c r="L556" s="2" t="s">
        <v>6656</v>
      </c>
      <c r="M556" s="2" t="s">
        <v>6657</v>
      </c>
      <c r="N556" s="2" t="s">
        <v>6658</v>
      </c>
      <c r="O556" s="2" t="s">
        <v>6659</v>
      </c>
      <c r="P556" s="2" t="s">
        <v>6646</v>
      </c>
    </row>
    <row r="557" spans="1:16">
      <c r="A557" s="1">
        <v>556</v>
      </c>
      <c r="B557" s="2" t="s">
        <v>6660</v>
      </c>
      <c r="C557" s="2" t="s">
        <v>6661</v>
      </c>
      <c r="D557" s="2" t="s">
        <v>6662</v>
      </c>
      <c r="E557" s="2" t="s">
        <v>6663</v>
      </c>
      <c r="F557" s="2" t="s">
        <v>6664</v>
      </c>
      <c r="G557" s="2" t="s">
        <v>6665</v>
      </c>
      <c r="H557" s="2" t="s">
        <v>6666</v>
      </c>
      <c r="I557" s="2" t="s">
        <v>6667</v>
      </c>
      <c r="J557" s="2" t="s">
        <v>6668</v>
      </c>
      <c r="K557" s="2" t="s">
        <v>6669</v>
      </c>
      <c r="L557" s="2" t="s">
        <v>6670</v>
      </c>
      <c r="M557" s="2" t="s">
        <v>6671</v>
      </c>
      <c r="N557" s="2" t="s">
        <v>6672</v>
      </c>
      <c r="O557" s="2" t="s">
        <v>6673</v>
      </c>
      <c r="P557" s="2" t="s">
        <v>6660</v>
      </c>
    </row>
    <row r="558" spans="1:16">
      <c r="A558" s="1">
        <v>557</v>
      </c>
      <c r="B558" s="2" t="s">
        <v>6674</v>
      </c>
      <c r="C558" s="2" t="s">
        <v>6675</v>
      </c>
      <c r="D558" s="2" t="s">
        <v>6676</v>
      </c>
      <c r="E558" s="2" t="s">
        <v>6677</v>
      </c>
      <c r="F558" s="2" t="s">
        <v>6678</v>
      </c>
      <c r="G558" s="2" t="s">
        <v>6679</v>
      </c>
      <c r="H558" s="2" t="s">
        <v>6680</v>
      </c>
      <c r="I558" s="2" t="s">
        <v>6681</v>
      </c>
      <c r="J558" s="2" t="s">
        <v>6682</v>
      </c>
      <c r="K558" s="2" t="s">
        <v>6683</v>
      </c>
      <c r="L558" s="2" t="s">
        <v>6684</v>
      </c>
      <c r="M558" s="2" t="s">
        <v>6685</v>
      </c>
      <c r="N558" s="2" t="s">
        <v>6686</v>
      </c>
      <c r="O558" s="2" t="s">
        <v>6687</v>
      </c>
      <c r="P558" s="2" t="s">
        <v>6674</v>
      </c>
    </row>
    <row r="559" spans="1:16">
      <c r="A559" s="1">
        <v>558</v>
      </c>
      <c r="B559" s="2" t="s">
        <v>6688</v>
      </c>
      <c r="C559" s="2" t="s">
        <v>6689</v>
      </c>
      <c r="D559" s="2" t="s">
        <v>6690</v>
      </c>
      <c r="E559" s="2" t="s">
        <v>6691</v>
      </c>
      <c r="F559" s="2" t="s">
        <v>6692</v>
      </c>
      <c r="G559" s="2" t="s">
        <v>6693</v>
      </c>
      <c r="H559" s="2" t="s">
        <v>6694</v>
      </c>
      <c r="I559" s="2" t="s">
        <v>6695</v>
      </c>
      <c r="J559" s="2" t="s">
        <v>6696</v>
      </c>
      <c r="K559" s="2" t="s">
        <v>6697</v>
      </c>
      <c r="L559" s="2" t="s">
        <v>6698</v>
      </c>
      <c r="M559" s="2" t="s">
        <v>6699</v>
      </c>
      <c r="N559" s="2" t="s">
        <v>6700</v>
      </c>
      <c r="O559" s="2" t="s">
        <v>6701</v>
      </c>
      <c r="P559" s="2" t="s">
        <v>6688</v>
      </c>
    </row>
    <row r="560" spans="1:16">
      <c r="A560" s="1">
        <v>559</v>
      </c>
      <c r="B560" s="2" t="s">
        <v>6702</v>
      </c>
      <c r="C560" s="2" t="s">
        <v>6703</v>
      </c>
      <c r="D560" s="2" t="s">
        <v>6704</v>
      </c>
      <c r="E560" s="2" t="s">
        <v>6705</v>
      </c>
      <c r="F560" s="2" t="s">
        <v>6706</v>
      </c>
      <c r="G560" s="2" t="s">
        <v>6707</v>
      </c>
      <c r="H560" s="2" t="s">
        <v>6708</v>
      </c>
      <c r="I560" s="2" t="s">
        <v>6709</v>
      </c>
      <c r="J560" s="2" t="s">
        <v>6710</v>
      </c>
      <c r="K560" s="2" t="s">
        <v>6711</v>
      </c>
      <c r="L560" s="2" t="s">
        <v>6712</v>
      </c>
      <c r="M560" s="2" t="s">
        <v>6713</v>
      </c>
      <c r="N560" s="2" t="s">
        <v>6714</v>
      </c>
      <c r="O560" s="2" t="s">
        <v>6715</v>
      </c>
      <c r="P560" s="2" t="s">
        <v>6702</v>
      </c>
    </row>
    <row r="561" spans="1:16">
      <c r="A561" s="1">
        <v>560</v>
      </c>
      <c r="B561" s="2" t="s">
        <v>6716</v>
      </c>
      <c r="C561" s="2" t="s">
        <v>6717</v>
      </c>
      <c r="D561" s="2" t="s">
        <v>6718</v>
      </c>
      <c r="E561" s="2" t="s">
        <v>6719</v>
      </c>
      <c r="F561" s="2" t="s">
        <v>6720</v>
      </c>
      <c r="G561" s="2" t="s">
        <v>6721</v>
      </c>
      <c r="H561" s="2" t="s">
        <v>6722</v>
      </c>
      <c r="I561" s="2" t="s">
        <v>6723</v>
      </c>
      <c r="J561" s="2" t="s">
        <v>6724</v>
      </c>
      <c r="K561" s="2" t="s">
        <v>6725</v>
      </c>
      <c r="L561" s="2" t="s">
        <v>6726</v>
      </c>
      <c r="M561" s="2" t="s">
        <v>6727</v>
      </c>
      <c r="N561" s="2" t="s">
        <v>6728</v>
      </c>
      <c r="O561" s="2" t="s">
        <v>6729</v>
      </c>
      <c r="P561" s="2" t="s">
        <v>6716</v>
      </c>
    </row>
    <row r="562" spans="1:16">
      <c r="A562" s="1">
        <v>561</v>
      </c>
      <c r="B562" s="2" t="s">
        <v>6730</v>
      </c>
      <c r="C562" s="2" t="s">
        <v>6731</v>
      </c>
      <c r="D562" s="2" t="s">
        <v>6732</v>
      </c>
      <c r="E562" s="2" t="s">
        <v>6733</v>
      </c>
      <c r="F562" s="2" t="s">
        <v>6734</v>
      </c>
      <c r="G562" s="2" t="s">
        <v>6735</v>
      </c>
      <c r="H562" s="2" t="s">
        <v>6736</v>
      </c>
      <c r="I562" s="2" t="s">
        <v>6737</v>
      </c>
      <c r="J562" s="2" t="s">
        <v>6738</v>
      </c>
      <c r="K562" s="2" t="s">
        <v>6739</v>
      </c>
      <c r="L562" s="2" t="s">
        <v>6740</v>
      </c>
      <c r="M562" s="2" t="s">
        <v>6741</v>
      </c>
      <c r="N562" s="2" t="s">
        <v>6740</v>
      </c>
      <c r="O562" s="2" t="s">
        <v>6742</v>
      </c>
      <c r="P562" s="2" t="s">
        <v>6730</v>
      </c>
    </row>
    <row r="563" spans="1:16">
      <c r="A563" s="1">
        <v>562</v>
      </c>
      <c r="B563" s="2" t="s">
        <v>6743</v>
      </c>
      <c r="C563" s="2" t="s">
        <v>6744</v>
      </c>
      <c r="D563" s="2" t="s">
        <v>6745</v>
      </c>
      <c r="E563" s="2" t="s">
        <v>6746</v>
      </c>
      <c r="F563" s="2" t="s">
        <v>6747</v>
      </c>
      <c r="G563" s="2" t="s">
        <v>6748</v>
      </c>
      <c r="H563" s="2" t="s">
        <v>6749</v>
      </c>
      <c r="I563" s="2" t="s">
        <v>6750</v>
      </c>
      <c r="J563" s="2" t="s">
        <v>6751</v>
      </c>
      <c r="K563" s="2" t="s">
        <v>6752</v>
      </c>
      <c r="L563" s="2" t="s">
        <v>6753</v>
      </c>
      <c r="M563" s="2" t="s">
        <v>6754</v>
      </c>
      <c r="N563" s="2" t="s">
        <v>6753</v>
      </c>
      <c r="O563" s="2" t="s">
        <v>6755</v>
      </c>
      <c r="P563" s="2" t="s">
        <v>6743</v>
      </c>
    </row>
    <row r="564" spans="1:16">
      <c r="A564" s="1">
        <v>563</v>
      </c>
      <c r="B564" s="2" t="s">
        <v>6756</v>
      </c>
      <c r="C564" s="2" t="s">
        <v>6757</v>
      </c>
      <c r="D564" s="2" t="s">
        <v>6758</v>
      </c>
      <c r="E564" s="2" t="s">
        <v>6759</v>
      </c>
      <c r="F564" s="2" t="s">
        <v>6760</v>
      </c>
      <c r="G564" s="2" t="s">
        <v>6761</v>
      </c>
      <c r="H564" s="2" t="s">
        <v>6762</v>
      </c>
      <c r="I564" s="2" t="s">
        <v>6763</v>
      </c>
      <c r="J564" s="2" t="s">
        <v>6764</v>
      </c>
      <c r="K564" s="2" t="s">
        <v>6765</v>
      </c>
      <c r="L564" s="2" t="s">
        <v>6766</v>
      </c>
      <c r="M564" s="2" t="s">
        <v>6767</v>
      </c>
      <c r="N564" s="2" t="s">
        <v>6766</v>
      </c>
      <c r="O564" s="2" t="s">
        <v>6768</v>
      </c>
      <c r="P564" s="2" t="s">
        <v>6756</v>
      </c>
    </row>
    <row r="565" spans="1:16">
      <c r="A565" s="1">
        <v>564</v>
      </c>
      <c r="B565" s="2" t="s">
        <v>6769</v>
      </c>
      <c r="C565" s="2" t="s">
        <v>6770</v>
      </c>
      <c r="D565" s="2" t="s">
        <v>6771</v>
      </c>
      <c r="E565" s="2" t="s">
        <v>6772</v>
      </c>
      <c r="F565" s="2" t="s">
        <v>6773</v>
      </c>
      <c r="G565" s="2" t="s">
        <v>6774</v>
      </c>
      <c r="H565" s="2" t="s">
        <v>6775</v>
      </c>
      <c r="I565" s="2" t="s">
        <v>6776</v>
      </c>
      <c r="J565" s="2" t="s">
        <v>6777</v>
      </c>
      <c r="K565" s="2" t="s">
        <v>6778</v>
      </c>
      <c r="L565" s="2" t="s">
        <v>6779</v>
      </c>
      <c r="M565" s="2" t="s">
        <v>6780</v>
      </c>
      <c r="N565" s="2" t="s">
        <v>6781</v>
      </c>
      <c r="O565" s="2" t="s">
        <v>6782</v>
      </c>
      <c r="P565" s="2" t="s">
        <v>6769</v>
      </c>
    </row>
    <row r="566" spans="1:16">
      <c r="A566" s="1">
        <v>565</v>
      </c>
      <c r="B566" s="2" t="s">
        <v>6783</v>
      </c>
      <c r="C566" s="2" t="s">
        <v>6784</v>
      </c>
      <c r="D566" s="2" t="s">
        <v>6785</v>
      </c>
      <c r="E566" s="2" t="s">
        <v>6786</v>
      </c>
      <c r="F566" s="2" t="s">
        <v>6787</v>
      </c>
      <c r="G566" s="2" t="s">
        <v>6788</v>
      </c>
      <c r="H566" s="2" t="s">
        <v>6789</v>
      </c>
      <c r="I566" s="2" t="s">
        <v>6790</v>
      </c>
      <c r="J566" s="2" t="s">
        <v>6791</v>
      </c>
      <c r="K566" s="2" t="s">
        <v>6792</v>
      </c>
      <c r="L566" s="2" t="s">
        <v>6793</v>
      </c>
      <c r="M566" s="2" t="s">
        <v>6794</v>
      </c>
      <c r="N566" s="2" t="s">
        <v>6795</v>
      </c>
      <c r="O566" s="2" t="s">
        <v>6796</v>
      </c>
      <c r="P566" s="2" t="s">
        <v>6783</v>
      </c>
    </row>
    <row r="567" spans="1:16">
      <c r="A567" s="1">
        <v>566</v>
      </c>
      <c r="B567" s="2" t="s">
        <v>6797</v>
      </c>
      <c r="C567" s="2" t="s">
        <v>6798</v>
      </c>
      <c r="D567" s="2" t="s">
        <v>6704</v>
      </c>
      <c r="E567" s="2" t="s">
        <v>6705</v>
      </c>
      <c r="F567" s="2" t="s">
        <v>6799</v>
      </c>
      <c r="G567" s="2" t="s">
        <v>6707</v>
      </c>
      <c r="H567" s="2" t="s">
        <v>6800</v>
      </c>
      <c r="I567" s="2" t="s">
        <v>6801</v>
      </c>
      <c r="J567" s="2" t="s">
        <v>6802</v>
      </c>
      <c r="K567" s="2" t="s">
        <v>6803</v>
      </c>
      <c r="L567" s="2" t="s">
        <v>6804</v>
      </c>
      <c r="M567" s="2" t="s">
        <v>6805</v>
      </c>
      <c r="N567" s="2" t="s">
        <v>6806</v>
      </c>
      <c r="O567" s="2" t="s">
        <v>6807</v>
      </c>
      <c r="P567" s="2" t="s">
        <v>6797</v>
      </c>
    </row>
    <row r="568" spans="1:16">
      <c r="A568" s="1">
        <v>567</v>
      </c>
      <c r="B568" s="2" t="s">
        <v>6808</v>
      </c>
      <c r="C568" s="2" t="s">
        <v>6809</v>
      </c>
      <c r="D568" s="2" t="s">
        <v>6810</v>
      </c>
      <c r="E568" s="2" t="s">
        <v>6811</v>
      </c>
      <c r="F568" s="2" t="s">
        <v>6812</v>
      </c>
      <c r="G568" s="2" t="s">
        <v>6813</v>
      </c>
      <c r="H568" s="2" t="s">
        <v>6814</v>
      </c>
      <c r="I568" s="2" t="s">
        <v>6815</v>
      </c>
      <c r="J568" s="2" t="s">
        <v>6816</v>
      </c>
      <c r="K568" s="2" t="s">
        <v>6817</v>
      </c>
      <c r="L568" s="2" t="s">
        <v>6818</v>
      </c>
      <c r="M568" s="2" t="s">
        <v>6819</v>
      </c>
      <c r="N568" s="2" t="s">
        <v>6820</v>
      </c>
      <c r="O568" s="2" t="s">
        <v>6821</v>
      </c>
      <c r="P568" s="2" t="s">
        <v>6808</v>
      </c>
    </row>
    <row r="569" spans="1:16">
      <c r="A569" s="1">
        <v>568</v>
      </c>
      <c r="B569" s="2" t="s">
        <v>6822</v>
      </c>
      <c r="C569" s="2" t="s">
        <v>6823</v>
      </c>
      <c r="D569" s="2" t="s">
        <v>6824</v>
      </c>
      <c r="E569" s="2" t="s">
        <v>6825</v>
      </c>
      <c r="F569" s="2" t="s">
        <v>6826</v>
      </c>
      <c r="G569" s="2" t="s">
        <v>6827</v>
      </c>
      <c r="H569" s="2" t="s">
        <v>6828</v>
      </c>
      <c r="I569" s="2" t="s">
        <v>6829</v>
      </c>
      <c r="J569" s="2" t="s">
        <v>6830</v>
      </c>
      <c r="K569" s="2" t="s">
        <v>6831</v>
      </c>
      <c r="L569" s="2" t="s">
        <v>6832</v>
      </c>
      <c r="M569" s="2" t="s">
        <v>6833</v>
      </c>
      <c r="N569" s="2" t="s">
        <v>6834</v>
      </c>
      <c r="O569" s="2" t="s">
        <v>6835</v>
      </c>
      <c r="P569" s="2" t="s">
        <v>6822</v>
      </c>
    </row>
    <row r="570" spans="1:16">
      <c r="A570" s="1">
        <v>569</v>
      </c>
      <c r="B570" s="2" t="s">
        <v>6836</v>
      </c>
      <c r="C570" s="2" t="s">
        <v>6798</v>
      </c>
      <c r="D570" s="2" t="s">
        <v>6704</v>
      </c>
      <c r="E570" s="2" t="s">
        <v>6705</v>
      </c>
      <c r="F570" s="2" t="s">
        <v>6706</v>
      </c>
      <c r="G570" s="2" t="s">
        <v>6837</v>
      </c>
      <c r="H570" s="2" t="s">
        <v>6838</v>
      </c>
      <c r="I570" s="2" t="s">
        <v>6839</v>
      </c>
      <c r="J570" s="2" t="s">
        <v>6840</v>
      </c>
      <c r="K570" s="2" t="s">
        <v>6841</v>
      </c>
      <c r="L570" s="2" t="s">
        <v>6842</v>
      </c>
      <c r="M570" s="2" t="s">
        <v>6843</v>
      </c>
      <c r="N570" s="2" t="s">
        <v>6844</v>
      </c>
      <c r="O570" s="2" t="s">
        <v>6845</v>
      </c>
      <c r="P570" s="2" t="s">
        <v>6836</v>
      </c>
    </row>
    <row r="571" spans="1:16">
      <c r="A571" s="1">
        <v>570</v>
      </c>
      <c r="B571" s="2" t="s">
        <v>6846</v>
      </c>
      <c r="C571" s="2" t="s">
        <v>6798</v>
      </c>
      <c r="D571" s="2" t="s">
        <v>6704</v>
      </c>
      <c r="E571" s="2" t="s">
        <v>6705</v>
      </c>
      <c r="F571" s="2" t="s">
        <v>6847</v>
      </c>
      <c r="G571" s="2" t="s">
        <v>6848</v>
      </c>
      <c r="H571" s="2" t="s">
        <v>6849</v>
      </c>
      <c r="I571" s="2" t="s">
        <v>6801</v>
      </c>
      <c r="J571" s="2" t="s">
        <v>6850</v>
      </c>
      <c r="K571" s="2" t="s">
        <v>6851</v>
      </c>
      <c r="L571" s="2" t="s">
        <v>6852</v>
      </c>
      <c r="M571" s="2" t="s">
        <v>6853</v>
      </c>
      <c r="N571" s="2" t="s">
        <v>6854</v>
      </c>
      <c r="O571" s="2" t="s">
        <v>6855</v>
      </c>
      <c r="P571" s="2" t="s">
        <v>6846</v>
      </c>
    </row>
    <row r="572" spans="1:16">
      <c r="A572" s="1">
        <v>571</v>
      </c>
      <c r="B572" s="2" t="s">
        <v>6856</v>
      </c>
      <c r="C572" s="2" t="s">
        <v>6857</v>
      </c>
      <c r="D572" s="2" t="s">
        <v>6858</v>
      </c>
      <c r="E572" s="2" t="s">
        <v>6705</v>
      </c>
      <c r="F572" s="2" t="s">
        <v>6847</v>
      </c>
      <c r="G572" s="2" t="s">
        <v>6859</v>
      </c>
      <c r="H572" s="2" t="s">
        <v>6860</v>
      </c>
      <c r="I572" s="2" t="s">
        <v>6861</v>
      </c>
      <c r="J572" s="2" t="s">
        <v>6862</v>
      </c>
      <c r="K572" s="2" t="s">
        <v>6851</v>
      </c>
      <c r="L572" s="2" t="s">
        <v>6863</v>
      </c>
      <c r="M572" s="2" t="s">
        <v>6864</v>
      </c>
      <c r="N572" s="2" t="s">
        <v>6865</v>
      </c>
      <c r="O572" s="2" t="s">
        <v>6866</v>
      </c>
      <c r="P572" s="2" t="s">
        <v>6856</v>
      </c>
    </row>
    <row r="573" spans="1:16">
      <c r="A573" s="1">
        <v>572</v>
      </c>
      <c r="B573" s="2" t="s">
        <v>22781</v>
      </c>
      <c r="C573" s="2" t="s">
        <v>6868</v>
      </c>
      <c r="D573" s="2" t="s">
        <v>6869</v>
      </c>
      <c r="E573" s="2" t="s">
        <v>6870</v>
      </c>
      <c r="F573" s="2" t="s">
        <v>6871</v>
      </c>
      <c r="G573" s="2" t="s">
        <v>6870</v>
      </c>
      <c r="H573" s="2" t="s">
        <v>6872</v>
      </c>
      <c r="I573" s="2" t="s">
        <v>6870</v>
      </c>
      <c r="J573" s="2" t="s">
        <v>6867</v>
      </c>
      <c r="K573" s="2" t="s">
        <v>6870</v>
      </c>
      <c r="L573" s="2" t="s">
        <v>6873</v>
      </c>
      <c r="M573" s="2" t="s">
        <v>6867</v>
      </c>
      <c r="N573" s="2" t="s">
        <v>6874</v>
      </c>
      <c r="O573" s="2" t="s">
        <v>6870</v>
      </c>
      <c r="P573" s="2" t="s">
        <v>6867</v>
      </c>
    </row>
    <row r="574" spans="1:16">
      <c r="A574" s="1">
        <v>573</v>
      </c>
      <c r="B574" s="2" t="s">
        <v>6875</v>
      </c>
      <c r="C574" s="2" t="s">
        <v>6876</v>
      </c>
      <c r="D574" s="2" t="s">
        <v>6877</v>
      </c>
      <c r="E574" s="2" t="s">
        <v>6878</v>
      </c>
      <c r="F574" s="2" t="s">
        <v>6879</v>
      </c>
      <c r="G574" s="2" t="s">
        <v>6880</v>
      </c>
      <c r="H574" s="2" t="s">
        <v>6881</v>
      </c>
      <c r="I574" s="2" t="s">
        <v>6882</v>
      </c>
      <c r="J574" s="2" t="s">
        <v>6883</v>
      </c>
      <c r="K574" s="2" t="s">
        <v>6884</v>
      </c>
      <c r="L574" s="2" t="s">
        <v>6885</v>
      </c>
      <c r="M574" s="2" t="s">
        <v>6886</v>
      </c>
      <c r="N574" s="2" t="s">
        <v>6887</v>
      </c>
      <c r="O574" s="2" t="s">
        <v>6888</v>
      </c>
      <c r="P574" s="2" t="s">
        <v>6875</v>
      </c>
    </row>
    <row r="575" spans="1:16">
      <c r="A575" s="1">
        <v>574</v>
      </c>
      <c r="B575" s="2" t="s">
        <v>25588</v>
      </c>
      <c r="C575" s="2" t="s">
        <v>25589</v>
      </c>
      <c r="D575" s="2" t="s">
        <v>6889</v>
      </c>
      <c r="E575" s="2" t="s">
        <v>25590</v>
      </c>
      <c r="F575" s="2" t="s">
        <v>25591</v>
      </c>
      <c r="G575" s="2" t="s">
        <v>25592</v>
      </c>
      <c r="H575" s="2" t="s">
        <v>25593</v>
      </c>
      <c r="I575" s="2" t="s">
        <v>25594</v>
      </c>
      <c r="J575" s="2" t="s">
        <v>25595</v>
      </c>
      <c r="K575" s="2" t="s">
        <v>25596</v>
      </c>
      <c r="L575" s="2" t="s">
        <v>25597</v>
      </c>
      <c r="M575" s="2" t="s">
        <v>25598</v>
      </c>
      <c r="N575" s="2" t="s">
        <v>25599</v>
      </c>
      <c r="O575" s="2" t="s">
        <v>25600</v>
      </c>
      <c r="P575" s="2" t="s">
        <v>25588</v>
      </c>
    </row>
    <row r="576" spans="1:16">
      <c r="A576" s="1">
        <v>575</v>
      </c>
      <c r="B576" s="2" t="s">
        <v>6890</v>
      </c>
      <c r="C576" s="2" t="s">
        <v>6891</v>
      </c>
      <c r="D576" s="2" t="s">
        <v>6892</v>
      </c>
      <c r="E576" s="2" t="s">
        <v>6893</v>
      </c>
      <c r="F576" s="2" t="s">
        <v>6894</v>
      </c>
      <c r="G576" s="2" t="s">
        <v>6895</v>
      </c>
      <c r="H576" s="2" t="s">
        <v>6896</v>
      </c>
      <c r="I576" s="2" t="s">
        <v>6897</v>
      </c>
      <c r="J576" s="2" t="s">
        <v>6898</v>
      </c>
      <c r="K576" s="2" t="s">
        <v>6899</v>
      </c>
      <c r="L576" s="2" t="s">
        <v>6900</v>
      </c>
      <c r="M576" s="2" t="s">
        <v>6901</v>
      </c>
      <c r="N576" s="2" t="s">
        <v>6901</v>
      </c>
      <c r="O576" s="2" t="s">
        <v>6902</v>
      </c>
      <c r="P576" s="2" t="s">
        <v>6890</v>
      </c>
    </row>
    <row r="577" spans="1:16">
      <c r="A577" s="1">
        <v>576</v>
      </c>
      <c r="B577" s="2" t="s">
        <v>6903</v>
      </c>
      <c r="C577" s="2" t="s">
        <v>6904</v>
      </c>
      <c r="D577" s="2" t="s">
        <v>6905</v>
      </c>
      <c r="E577" s="2" t="s">
        <v>6906</v>
      </c>
      <c r="F577" s="2" t="s">
        <v>6907</v>
      </c>
      <c r="G577" s="2" t="s">
        <v>6908</v>
      </c>
      <c r="H577" s="2" t="s">
        <v>6909</v>
      </c>
      <c r="I577" s="2" t="s">
        <v>6910</v>
      </c>
      <c r="J577" s="2" t="s">
        <v>6911</v>
      </c>
      <c r="K577" s="2" t="s">
        <v>6912</v>
      </c>
      <c r="L577" s="2" t="s">
        <v>6913</v>
      </c>
      <c r="M577" s="2" t="s">
        <v>6914</v>
      </c>
      <c r="N577" s="2" t="s">
        <v>6915</v>
      </c>
      <c r="O577" s="2" t="s">
        <v>6916</v>
      </c>
      <c r="P577" s="2" t="s">
        <v>6903</v>
      </c>
    </row>
    <row r="578" spans="1:16">
      <c r="A578" s="1">
        <v>577</v>
      </c>
      <c r="B578" s="2" t="s">
        <v>6917</v>
      </c>
      <c r="C578" s="2" t="s">
        <v>6918</v>
      </c>
      <c r="D578" s="2" t="s">
        <v>6919</v>
      </c>
      <c r="E578" s="2" t="s">
        <v>6920</v>
      </c>
      <c r="F578" s="2" t="s">
        <v>6921</v>
      </c>
      <c r="G578" s="2" t="s">
        <v>6922</v>
      </c>
      <c r="H578" s="2" t="s">
        <v>6923</v>
      </c>
      <c r="I578" s="2" t="s">
        <v>6924</v>
      </c>
      <c r="J578" s="2" t="s">
        <v>6925</v>
      </c>
      <c r="K578" s="2" t="s">
        <v>6926</v>
      </c>
      <c r="L578" s="2" t="s">
        <v>6927</v>
      </c>
      <c r="M578" s="2" t="s">
        <v>6928</v>
      </c>
      <c r="N578" s="2" t="s">
        <v>6929</v>
      </c>
      <c r="O578" s="2" t="s">
        <v>6930</v>
      </c>
      <c r="P578" s="2" t="s">
        <v>6917</v>
      </c>
    </row>
    <row r="579" spans="1:16">
      <c r="A579" s="1">
        <v>578</v>
      </c>
      <c r="B579" s="2" t="s">
        <v>6931</v>
      </c>
      <c r="C579" s="2" t="s">
        <v>6932</v>
      </c>
      <c r="D579" s="2" t="s">
        <v>6933</v>
      </c>
      <c r="E579" s="2" t="s">
        <v>6934</v>
      </c>
      <c r="F579" s="2" t="s">
        <v>6935</v>
      </c>
      <c r="G579" s="2" t="s">
        <v>6936</v>
      </c>
      <c r="H579" s="2" t="s">
        <v>6937</v>
      </c>
      <c r="I579" s="2" t="s">
        <v>6938</v>
      </c>
      <c r="J579" s="2" t="s">
        <v>6939</v>
      </c>
      <c r="K579" s="2" t="s">
        <v>6940</v>
      </c>
      <c r="L579" s="2" t="s">
        <v>6941</v>
      </c>
      <c r="M579" s="2" t="s">
        <v>6942</v>
      </c>
      <c r="N579" s="2" t="s">
        <v>6943</v>
      </c>
      <c r="O579" s="2" t="s">
        <v>6944</v>
      </c>
      <c r="P579" s="2" t="s">
        <v>6931</v>
      </c>
    </row>
    <row r="580" spans="1:16" ht="16.5">
      <c r="A580" s="1">
        <v>579</v>
      </c>
      <c r="B580" s="2" t="s">
        <v>6945</v>
      </c>
      <c r="C580" s="2" t="s">
        <v>6945</v>
      </c>
      <c r="D580" s="2" t="s">
        <v>6945</v>
      </c>
      <c r="E580" s="2" t="s">
        <v>6945</v>
      </c>
      <c r="F580" s="2" t="s">
        <v>6946</v>
      </c>
      <c r="G580" s="2" t="s">
        <v>6947</v>
      </c>
      <c r="H580" s="2" t="s">
        <v>6948</v>
      </c>
      <c r="I580" s="2" t="s">
        <v>6946</v>
      </c>
      <c r="J580" s="2" t="s">
        <v>6949</v>
      </c>
      <c r="K580" s="2" t="s">
        <v>6950</v>
      </c>
      <c r="L580" s="2" t="s">
        <v>6951</v>
      </c>
      <c r="M580" s="2" t="s">
        <v>6952</v>
      </c>
      <c r="N580" s="2" t="s">
        <v>6953</v>
      </c>
      <c r="O580" s="2" t="s">
        <v>6945</v>
      </c>
      <c r="P580" s="2" t="s">
        <v>6945</v>
      </c>
    </row>
    <row r="581" spans="1:16">
      <c r="A581" s="1">
        <v>580</v>
      </c>
      <c r="B581" s="2" t="s">
        <v>6954</v>
      </c>
      <c r="C581" s="2" t="s">
        <v>6955</v>
      </c>
      <c r="D581" s="2" t="s">
        <v>6956</v>
      </c>
      <c r="E581" s="2" t="s">
        <v>6957</v>
      </c>
      <c r="F581" s="2" t="s">
        <v>22782</v>
      </c>
      <c r="G581" s="2" t="s">
        <v>6958</v>
      </c>
      <c r="H581" s="2" t="s">
        <v>6959</v>
      </c>
      <c r="I581" s="2" t="s">
        <v>6960</v>
      </c>
      <c r="J581" s="2" t="s">
        <v>6961</v>
      </c>
      <c r="K581" s="2" t="s">
        <v>6962</v>
      </c>
      <c r="L581" s="2" t="s">
        <v>6963</v>
      </c>
      <c r="M581" s="2" t="s">
        <v>6964</v>
      </c>
      <c r="N581" s="2" t="s">
        <v>6964</v>
      </c>
      <c r="O581" s="2" t="s">
        <v>6965</v>
      </c>
      <c r="P581" s="2" t="s">
        <v>6954</v>
      </c>
    </row>
    <row r="582" spans="1:16">
      <c r="A582" s="1">
        <v>581</v>
      </c>
      <c r="B582" s="2" t="s">
        <v>6966</v>
      </c>
      <c r="C582" s="2" t="s">
        <v>6967</v>
      </c>
      <c r="D582" s="2" t="s">
        <v>6968</v>
      </c>
      <c r="E582" s="2" t="s">
        <v>6969</v>
      </c>
      <c r="F582" s="2" t="s">
        <v>6970</v>
      </c>
      <c r="G582" s="2" t="s">
        <v>6971</v>
      </c>
      <c r="H582" s="2" t="s">
        <v>6972</v>
      </c>
      <c r="I582" s="2" t="s">
        <v>6973</v>
      </c>
      <c r="J582" s="2" t="s">
        <v>6974</v>
      </c>
      <c r="K582" s="2" t="s">
        <v>6975</v>
      </c>
      <c r="L582" s="2" t="s">
        <v>6976</v>
      </c>
      <c r="M582" s="2" t="s">
        <v>6977</v>
      </c>
      <c r="N582" s="2" t="s">
        <v>6978</v>
      </c>
      <c r="O582" s="2" t="s">
        <v>6979</v>
      </c>
      <c r="P582" s="2" t="s">
        <v>6966</v>
      </c>
    </row>
    <row r="583" spans="1:16">
      <c r="A583" s="1">
        <v>582</v>
      </c>
      <c r="B583" s="2" t="s">
        <v>6980</v>
      </c>
      <c r="C583" s="2" t="s">
        <v>6981</v>
      </c>
      <c r="D583" s="2" t="s">
        <v>6982</v>
      </c>
      <c r="E583" s="2" t="s">
        <v>6983</v>
      </c>
      <c r="F583" s="2" t="s">
        <v>6984</v>
      </c>
      <c r="G583" s="2" t="s">
        <v>6985</v>
      </c>
      <c r="H583" s="2" t="s">
        <v>6986</v>
      </c>
      <c r="I583" s="2" t="s">
        <v>6987</v>
      </c>
      <c r="J583" s="2" t="s">
        <v>6988</v>
      </c>
      <c r="K583" s="2" t="s">
        <v>6989</v>
      </c>
      <c r="L583" s="2" t="s">
        <v>6990</v>
      </c>
      <c r="M583" s="2" t="s">
        <v>6991</v>
      </c>
      <c r="N583" s="2" t="s">
        <v>6992</v>
      </c>
      <c r="O583" s="2" t="s">
        <v>6993</v>
      </c>
      <c r="P583" s="2" t="s">
        <v>6980</v>
      </c>
    </row>
    <row r="584" spans="1:16">
      <c r="A584" s="1">
        <v>583</v>
      </c>
      <c r="B584" s="2" t="s">
        <v>6994</v>
      </c>
      <c r="C584" s="2" t="s">
        <v>6995</v>
      </c>
      <c r="D584" s="2" t="s">
        <v>6996</v>
      </c>
      <c r="E584" s="2" t="s">
        <v>6997</v>
      </c>
      <c r="F584" s="2" t="s">
        <v>6998</v>
      </c>
      <c r="G584" s="2" t="s">
        <v>6999</v>
      </c>
      <c r="H584" s="2" t="s">
        <v>7000</v>
      </c>
      <c r="I584" s="2" t="s">
        <v>7001</v>
      </c>
      <c r="J584" s="2" t="s">
        <v>7002</v>
      </c>
      <c r="K584" s="2" t="s">
        <v>7003</v>
      </c>
      <c r="L584" s="2" t="s">
        <v>7004</v>
      </c>
      <c r="M584" s="2" t="s">
        <v>7005</v>
      </c>
      <c r="N584" s="2" t="s">
        <v>7006</v>
      </c>
      <c r="O584" s="2" t="s">
        <v>7007</v>
      </c>
      <c r="P584" s="2" t="s">
        <v>6994</v>
      </c>
    </row>
    <row r="585" spans="1:16">
      <c r="A585" s="1">
        <v>584</v>
      </c>
      <c r="B585" s="2" t="s">
        <v>7008</v>
      </c>
      <c r="C585" s="2" t="s">
        <v>7009</v>
      </c>
      <c r="D585" s="2" t="s">
        <v>7010</v>
      </c>
      <c r="E585" s="2" t="s">
        <v>7011</v>
      </c>
      <c r="F585" s="2" t="s">
        <v>7012</v>
      </c>
      <c r="G585" s="2" t="s">
        <v>7013</v>
      </c>
      <c r="H585" s="2" t="s">
        <v>7014</v>
      </c>
      <c r="I585" s="2" t="s">
        <v>7015</v>
      </c>
      <c r="J585" s="2" t="s">
        <v>7016</v>
      </c>
      <c r="K585" s="2" t="s">
        <v>7017</v>
      </c>
      <c r="L585" s="2" t="s">
        <v>7018</v>
      </c>
      <c r="M585" s="2" t="s">
        <v>7019</v>
      </c>
      <c r="N585" s="2" t="s">
        <v>7020</v>
      </c>
      <c r="O585" s="2" t="s">
        <v>7021</v>
      </c>
      <c r="P585" s="2" t="s">
        <v>7008</v>
      </c>
    </row>
    <row r="586" spans="1:16">
      <c r="A586" s="1">
        <v>585</v>
      </c>
      <c r="B586" s="2" t="s">
        <v>7022</v>
      </c>
      <c r="C586" s="2" t="s">
        <v>7023</v>
      </c>
      <c r="D586" s="2" t="s">
        <v>7024</v>
      </c>
      <c r="E586" s="2" t="s">
        <v>7025</v>
      </c>
      <c r="F586" s="2" t="s">
        <v>7026</v>
      </c>
      <c r="G586" s="2" t="s">
        <v>7027</v>
      </c>
      <c r="H586" s="2" t="s">
        <v>7028</v>
      </c>
      <c r="I586" s="2" t="s">
        <v>7029</v>
      </c>
      <c r="J586" s="2" t="s">
        <v>7030</v>
      </c>
      <c r="K586" s="2" t="s">
        <v>7031</v>
      </c>
      <c r="L586" s="2" t="s">
        <v>7032</v>
      </c>
      <c r="M586" s="2" t="s">
        <v>7033</v>
      </c>
      <c r="N586" s="2" t="s">
        <v>7034</v>
      </c>
      <c r="O586" s="2" t="s">
        <v>7035</v>
      </c>
      <c r="P586" s="2" t="s">
        <v>7022</v>
      </c>
    </row>
    <row r="587" spans="1:16">
      <c r="A587" s="1">
        <v>586</v>
      </c>
      <c r="B587" s="2" t="s">
        <v>7036</v>
      </c>
      <c r="C587" s="2" t="s">
        <v>7037</v>
      </c>
      <c r="D587" s="2" t="s">
        <v>7038</v>
      </c>
      <c r="E587" s="2" t="s">
        <v>7039</v>
      </c>
      <c r="F587" s="2" t="s">
        <v>7040</v>
      </c>
      <c r="G587" s="2" t="s">
        <v>7041</v>
      </c>
      <c r="H587" s="2" t="s">
        <v>7042</v>
      </c>
      <c r="I587" s="2" t="s">
        <v>7043</v>
      </c>
      <c r="J587" s="2" t="s">
        <v>7044</v>
      </c>
      <c r="K587" s="2" t="s">
        <v>7045</v>
      </c>
      <c r="L587" s="2" t="s">
        <v>7046</v>
      </c>
      <c r="M587" s="2" t="s">
        <v>7047</v>
      </c>
      <c r="N587" s="2" t="s">
        <v>7048</v>
      </c>
      <c r="O587" s="2" t="s">
        <v>7049</v>
      </c>
      <c r="P587" s="2" t="s">
        <v>7036</v>
      </c>
    </row>
    <row r="588" spans="1:16">
      <c r="A588" s="1">
        <v>587</v>
      </c>
      <c r="B588" s="2" t="s">
        <v>7050</v>
      </c>
      <c r="C588" s="2" t="s">
        <v>7051</v>
      </c>
      <c r="D588" s="2" t="s">
        <v>7052</v>
      </c>
      <c r="E588" s="2" t="s">
        <v>7053</v>
      </c>
      <c r="F588" s="2" t="s">
        <v>7054</v>
      </c>
      <c r="G588" s="2" t="s">
        <v>7055</v>
      </c>
      <c r="H588" s="2" t="s">
        <v>7056</v>
      </c>
      <c r="I588" s="2" t="s">
        <v>7057</v>
      </c>
      <c r="J588" s="2" t="s">
        <v>7058</v>
      </c>
      <c r="K588" s="2" t="s">
        <v>7059</v>
      </c>
      <c r="L588" s="2" t="s">
        <v>7060</v>
      </c>
      <c r="M588" s="2" t="s">
        <v>7061</v>
      </c>
      <c r="N588" s="2" t="s">
        <v>7062</v>
      </c>
      <c r="O588" s="2" t="s">
        <v>7063</v>
      </c>
      <c r="P588" s="2" t="s">
        <v>7050</v>
      </c>
    </row>
    <row r="589" spans="1:16">
      <c r="A589" s="1">
        <v>588</v>
      </c>
      <c r="B589" s="2" t="s">
        <v>7064</v>
      </c>
      <c r="C589" s="2" t="s">
        <v>7064</v>
      </c>
      <c r="D589" s="2" t="s">
        <v>7064</v>
      </c>
      <c r="E589" s="2" t="s">
        <v>7064</v>
      </c>
      <c r="F589" s="2" t="s">
        <v>7064</v>
      </c>
      <c r="G589" s="2" t="s">
        <v>7064</v>
      </c>
      <c r="H589" s="2" t="s">
        <v>7064</v>
      </c>
      <c r="I589" s="2" t="s">
        <v>7064</v>
      </c>
      <c r="J589" s="2" t="s">
        <v>7064</v>
      </c>
      <c r="K589" s="2" t="s">
        <v>7064</v>
      </c>
      <c r="L589" s="2" t="s">
        <v>7064</v>
      </c>
      <c r="M589" s="2" t="s">
        <v>7064</v>
      </c>
      <c r="N589" s="2" t="s">
        <v>7064</v>
      </c>
      <c r="O589" s="2" t="s">
        <v>7064</v>
      </c>
      <c r="P589" s="2" t="s">
        <v>7064</v>
      </c>
    </row>
    <row r="590" spans="1:16">
      <c r="A590" s="1">
        <v>589</v>
      </c>
      <c r="B590" s="2" t="s">
        <v>7065</v>
      </c>
      <c r="C590" s="2" t="s">
        <v>7066</v>
      </c>
      <c r="D590" s="2" t="s">
        <v>7067</v>
      </c>
      <c r="E590" s="2" t="s">
        <v>7068</v>
      </c>
      <c r="F590" s="2" t="s">
        <v>7069</v>
      </c>
      <c r="G590" s="2" t="s">
        <v>7070</v>
      </c>
      <c r="H590" s="2" t="s">
        <v>7071</v>
      </c>
      <c r="I590" s="2" t="s">
        <v>7072</v>
      </c>
      <c r="J590" s="2" t="s">
        <v>7073</v>
      </c>
      <c r="K590" s="2" t="s">
        <v>7074</v>
      </c>
      <c r="L590" s="2" t="s">
        <v>7075</v>
      </c>
      <c r="M590" s="2" t="s">
        <v>7076</v>
      </c>
      <c r="N590" s="2" t="s">
        <v>7077</v>
      </c>
      <c r="O590" s="2" t="s">
        <v>7078</v>
      </c>
      <c r="P590" s="2" t="s">
        <v>7065</v>
      </c>
    </row>
    <row r="591" spans="1:16">
      <c r="A591" s="1">
        <v>590</v>
      </c>
      <c r="B591" s="2" t="s">
        <v>7079</v>
      </c>
      <c r="C591" s="2" t="s">
        <v>7080</v>
      </c>
      <c r="D591" s="2" t="s">
        <v>7081</v>
      </c>
      <c r="E591" s="2" t="s">
        <v>7082</v>
      </c>
      <c r="F591" s="2" t="s">
        <v>7083</v>
      </c>
      <c r="G591" s="2" t="s">
        <v>7084</v>
      </c>
      <c r="H591" s="2" t="s">
        <v>7085</v>
      </c>
      <c r="I591" s="2" t="s">
        <v>7086</v>
      </c>
      <c r="J591" s="2" t="s">
        <v>7087</v>
      </c>
      <c r="K591" s="2" t="s">
        <v>7088</v>
      </c>
      <c r="L591" s="2" t="s">
        <v>7089</v>
      </c>
      <c r="M591" s="2" t="s">
        <v>7090</v>
      </c>
      <c r="N591" s="2" t="s">
        <v>7091</v>
      </c>
      <c r="O591" s="2" t="s">
        <v>7092</v>
      </c>
      <c r="P591" s="2" t="s">
        <v>7079</v>
      </c>
    </row>
    <row r="592" spans="1:16">
      <c r="A592" s="1">
        <v>591</v>
      </c>
      <c r="B592" s="2" t="s">
        <v>7093</v>
      </c>
      <c r="C592" s="2" t="s">
        <v>7094</v>
      </c>
      <c r="D592" s="2" t="s">
        <v>3506</v>
      </c>
      <c r="E592" s="2" t="s">
        <v>1484</v>
      </c>
      <c r="F592" s="2" t="s">
        <v>1405</v>
      </c>
      <c r="G592" s="2" t="s">
        <v>7095</v>
      </c>
      <c r="H592" s="2" t="s">
        <v>3510</v>
      </c>
      <c r="I592" s="2" t="s">
        <v>7096</v>
      </c>
      <c r="J592" s="2" t="s">
        <v>7097</v>
      </c>
      <c r="K592" s="2" t="s">
        <v>1410</v>
      </c>
      <c r="L592" s="2" t="s">
        <v>3513</v>
      </c>
      <c r="M592" s="2" t="s">
        <v>7098</v>
      </c>
      <c r="N592" s="2" t="s">
        <v>7098</v>
      </c>
      <c r="O592" s="2" t="s">
        <v>3512</v>
      </c>
      <c r="P592" s="2" t="s">
        <v>7093</v>
      </c>
    </row>
    <row r="593" spans="1:16">
      <c r="A593" s="1">
        <v>592</v>
      </c>
      <c r="B593" s="2" t="s">
        <v>7099</v>
      </c>
      <c r="C593" s="2" t="s">
        <v>7100</v>
      </c>
      <c r="D593" s="2" t="s">
        <v>7101</v>
      </c>
      <c r="E593" s="2" t="s">
        <v>7102</v>
      </c>
      <c r="F593" s="2" t="s">
        <v>7103</v>
      </c>
      <c r="G593" s="2" t="s">
        <v>7104</v>
      </c>
      <c r="H593" s="2" t="s">
        <v>7105</v>
      </c>
      <c r="I593" s="2" t="s">
        <v>7106</v>
      </c>
      <c r="J593" s="2" t="s">
        <v>7107</v>
      </c>
      <c r="K593" s="2" t="s">
        <v>7108</v>
      </c>
      <c r="L593" s="2" t="s">
        <v>7109</v>
      </c>
      <c r="M593" s="2" t="s">
        <v>7110</v>
      </c>
      <c r="N593" s="2" t="s">
        <v>7111</v>
      </c>
      <c r="O593" s="2" t="s">
        <v>7108</v>
      </c>
      <c r="P593" s="2" t="s">
        <v>7099</v>
      </c>
    </row>
    <row r="594" spans="1:16">
      <c r="A594" s="1">
        <v>593</v>
      </c>
      <c r="B594" s="2" t="s">
        <v>7112</v>
      </c>
      <c r="C594" s="2" t="s">
        <v>7113</v>
      </c>
      <c r="D594" s="2" t="s">
        <v>7114</v>
      </c>
      <c r="E594" s="2" t="s">
        <v>7115</v>
      </c>
      <c r="F594" s="2" t="s">
        <v>7116</v>
      </c>
      <c r="G594" s="2" t="s">
        <v>7117</v>
      </c>
      <c r="H594" s="2" t="s">
        <v>7118</v>
      </c>
      <c r="I594" s="2" t="s">
        <v>7119</v>
      </c>
      <c r="J594" s="2" t="s">
        <v>7120</v>
      </c>
      <c r="K594" s="2" t="s">
        <v>7121</v>
      </c>
      <c r="L594" s="2" t="s">
        <v>7122</v>
      </c>
      <c r="M594" s="2" t="s">
        <v>7123</v>
      </c>
      <c r="N594" s="2" t="s">
        <v>7124</v>
      </c>
      <c r="O594" s="2" t="s">
        <v>7125</v>
      </c>
      <c r="P594" s="2" t="s">
        <v>7112</v>
      </c>
    </row>
    <row r="595" spans="1:16">
      <c r="A595" s="1">
        <v>594</v>
      </c>
      <c r="B595" s="2" t="s">
        <v>7126</v>
      </c>
      <c r="C595" s="2" t="s">
        <v>7127</v>
      </c>
      <c r="D595" s="2" t="s">
        <v>7128</v>
      </c>
      <c r="E595" s="2" t="s">
        <v>7129</v>
      </c>
      <c r="F595" s="2" t="s">
        <v>7130</v>
      </c>
      <c r="G595" s="2" t="s">
        <v>7131</v>
      </c>
      <c r="H595" s="2" t="s">
        <v>7132</v>
      </c>
      <c r="I595" s="2" t="s">
        <v>7133</v>
      </c>
      <c r="J595" s="2" t="s">
        <v>7134</v>
      </c>
      <c r="K595" s="2" t="s">
        <v>7135</v>
      </c>
      <c r="L595" s="2" t="s">
        <v>7136</v>
      </c>
      <c r="M595" s="2" t="s">
        <v>7137</v>
      </c>
      <c r="N595" s="2" t="s">
        <v>7138</v>
      </c>
      <c r="O595" s="2" t="s">
        <v>7139</v>
      </c>
      <c r="P595" s="2" t="s">
        <v>7126</v>
      </c>
    </row>
    <row r="596" spans="1:16">
      <c r="A596" s="1">
        <v>595</v>
      </c>
      <c r="B596" s="2" t="s">
        <v>7140</v>
      </c>
      <c r="C596" s="2" t="s">
        <v>7141</v>
      </c>
      <c r="D596" s="2" t="s">
        <v>7140</v>
      </c>
      <c r="E596" s="2" t="s">
        <v>7140</v>
      </c>
      <c r="F596" s="2" t="s">
        <v>7140</v>
      </c>
      <c r="G596" s="2" t="s">
        <v>7142</v>
      </c>
      <c r="H596" s="2" t="s">
        <v>7140</v>
      </c>
      <c r="I596" s="2" t="s">
        <v>7140</v>
      </c>
      <c r="J596" s="2" t="s">
        <v>7140</v>
      </c>
      <c r="K596" s="2" t="s">
        <v>7143</v>
      </c>
      <c r="L596" s="2" t="s">
        <v>7140</v>
      </c>
      <c r="M596" s="2" t="s">
        <v>7142</v>
      </c>
      <c r="N596" s="2" t="s">
        <v>7142</v>
      </c>
      <c r="O596" s="2" t="s">
        <v>7142</v>
      </c>
      <c r="P596" s="2" t="s">
        <v>7140</v>
      </c>
    </row>
    <row r="597" spans="1:16">
      <c r="A597" s="1">
        <v>596</v>
      </c>
      <c r="B597" s="2" t="s">
        <v>7144</v>
      </c>
      <c r="C597" s="2" t="s">
        <v>7145</v>
      </c>
      <c r="D597" s="2" t="s">
        <v>7146</v>
      </c>
      <c r="E597" s="2" t="s">
        <v>7147</v>
      </c>
      <c r="F597" s="2" t="s">
        <v>7148</v>
      </c>
      <c r="G597" s="2" t="s">
        <v>7149</v>
      </c>
      <c r="H597" s="2" t="s">
        <v>7150</v>
      </c>
      <c r="I597" s="2" t="s">
        <v>7151</v>
      </c>
      <c r="J597" s="2" t="s">
        <v>7152</v>
      </c>
      <c r="K597" s="2" t="s">
        <v>7153</v>
      </c>
      <c r="L597" s="2" t="s">
        <v>7154</v>
      </c>
      <c r="M597" s="2" t="s">
        <v>7155</v>
      </c>
      <c r="N597" s="2" t="s">
        <v>7156</v>
      </c>
      <c r="O597" s="2" t="s">
        <v>7157</v>
      </c>
      <c r="P597" s="2" t="s">
        <v>7144</v>
      </c>
    </row>
    <row r="598" spans="1:16">
      <c r="A598" s="1">
        <v>597</v>
      </c>
      <c r="B598" s="2" t="s">
        <v>7158</v>
      </c>
      <c r="C598" s="2" t="s">
        <v>7159</v>
      </c>
      <c r="D598" s="2" t="s">
        <v>7160</v>
      </c>
      <c r="E598" s="2" t="s">
        <v>7161</v>
      </c>
      <c r="F598" s="2" t="s">
        <v>7162</v>
      </c>
      <c r="G598" s="2" t="s">
        <v>7163</v>
      </c>
      <c r="H598" s="2" t="s">
        <v>7164</v>
      </c>
      <c r="I598" s="2" t="s">
        <v>7165</v>
      </c>
      <c r="J598" s="2" t="s">
        <v>7166</v>
      </c>
      <c r="K598" s="2" t="s">
        <v>7167</v>
      </c>
      <c r="L598" s="2" t="s">
        <v>7168</v>
      </c>
      <c r="M598" s="2" t="s">
        <v>7169</v>
      </c>
      <c r="N598" s="2" t="s">
        <v>7170</v>
      </c>
      <c r="O598" s="2" t="s">
        <v>7171</v>
      </c>
      <c r="P598" s="2" t="s">
        <v>7158</v>
      </c>
    </row>
    <row r="599" spans="1:16">
      <c r="A599" s="1">
        <v>598</v>
      </c>
      <c r="B599" s="2" t="s">
        <v>7172</v>
      </c>
      <c r="C599" s="2" t="s">
        <v>7173</v>
      </c>
      <c r="D599" s="2" t="s">
        <v>7174</v>
      </c>
      <c r="E599" s="2" t="s">
        <v>7175</v>
      </c>
      <c r="F599" s="2" t="s">
        <v>7176</v>
      </c>
      <c r="G599" s="2" t="s">
        <v>7177</v>
      </c>
      <c r="H599" s="2" t="s">
        <v>7178</v>
      </c>
      <c r="I599" s="2" t="s">
        <v>7179</v>
      </c>
      <c r="J599" s="2" t="s">
        <v>7180</v>
      </c>
      <c r="K599" s="2" t="s">
        <v>7181</v>
      </c>
      <c r="L599" s="2" t="s">
        <v>7182</v>
      </c>
      <c r="M599" s="2" t="s">
        <v>7183</v>
      </c>
      <c r="N599" s="2" t="s">
        <v>7184</v>
      </c>
      <c r="O599" s="2" t="s">
        <v>7185</v>
      </c>
      <c r="P599" s="2" t="s">
        <v>7172</v>
      </c>
    </row>
    <row r="600" spans="1:16">
      <c r="A600" s="1">
        <v>599</v>
      </c>
      <c r="B600" s="2" t="s">
        <v>7186</v>
      </c>
      <c r="C600" s="2" t="s">
        <v>7187</v>
      </c>
      <c r="D600" s="2" t="s">
        <v>7188</v>
      </c>
      <c r="E600" s="2" t="s">
        <v>7189</v>
      </c>
      <c r="F600" s="2" t="s">
        <v>7190</v>
      </c>
      <c r="G600" s="2" t="s">
        <v>7191</v>
      </c>
      <c r="H600" s="2" t="s">
        <v>7178</v>
      </c>
      <c r="I600" s="2" t="s">
        <v>7192</v>
      </c>
      <c r="J600" s="2" t="s">
        <v>7193</v>
      </c>
      <c r="K600" s="2" t="s">
        <v>7181</v>
      </c>
      <c r="L600" s="2" t="s">
        <v>7194</v>
      </c>
      <c r="M600" s="2" t="s">
        <v>7195</v>
      </c>
      <c r="N600" s="2" t="s">
        <v>7196</v>
      </c>
      <c r="O600" s="2" t="s">
        <v>7197</v>
      </c>
      <c r="P600" s="2" t="s">
        <v>7186</v>
      </c>
    </row>
    <row r="601" spans="1:16">
      <c r="A601" s="1">
        <v>600</v>
      </c>
      <c r="B601" s="2" t="s">
        <v>7198</v>
      </c>
      <c r="C601" s="2" t="s">
        <v>22783</v>
      </c>
      <c r="D601" s="2" t="s">
        <v>7199</v>
      </c>
      <c r="E601" s="2" t="s">
        <v>7200</v>
      </c>
      <c r="F601" s="2" t="s">
        <v>7201</v>
      </c>
      <c r="G601" s="2" t="s">
        <v>7202</v>
      </c>
      <c r="H601" s="2" t="s">
        <v>7203</v>
      </c>
      <c r="I601" s="2" t="s">
        <v>7201</v>
      </c>
      <c r="J601" s="2" t="s">
        <v>7204</v>
      </c>
      <c r="K601" s="2" t="s">
        <v>7205</v>
      </c>
      <c r="L601" s="2" t="s">
        <v>7206</v>
      </c>
      <c r="M601" s="2" t="s">
        <v>7207</v>
      </c>
      <c r="N601" s="2" t="s">
        <v>7208</v>
      </c>
      <c r="O601" s="2" t="s">
        <v>7209</v>
      </c>
      <c r="P601" s="2" t="s">
        <v>7198</v>
      </c>
    </row>
    <row r="602" spans="1:16">
      <c r="A602" s="1">
        <v>601</v>
      </c>
      <c r="B602" s="2" t="s">
        <v>7210</v>
      </c>
      <c r="C602" s="2" t="s">
        <v>7211</v>
      </c>
      <c r="D602" s="2" t="s">
        <v>7212</v>
      </c>
      <c r="E602" s="2" t="s">
        <v>7213</v>
      </c>
      <c r="F602" s="2" t="s">
        <v>22784</v>
      </c>
      <c r="G602" s="2" t="s">
        <v>7202</v>
      </c>
      <c r="H602" s="2" t="s">
        <v>7214</v>
      </c>
      <c r="I602" s="2" t="s">
        <v>7215</v>
      </c>
      <c r="J602" s="2" t="s">
        <v>7216</v>
      </c>
      <c r="K602" s="2" t="s">
        <v>7217</v>
      </c>
      <c r="L602" s="2" t="s">
        <v>7218</v>
      </c>
      <c r="M602" s="2" t="s">
        <v>7219</v>
      </c>
      <c r="N602" s="2" t="s">
        <v>7220</v>
      </c>
      <c r="O602" s="2" t="s">
        <v>7221</v>
      </c>
      <c r="P602" s="2" t="s">
        <v>7210</v>
      </c>
    </row>
    <row r="603" spans="1:16">
      <c r="A603" s="1">
        <v>602</v>
      </c>
      <c r="B603" s="2" t="s">
        <v>7222</v>
      </c>
      <c r="C603" s="2" t="s">
        <v>7223</v>
      </c>
      <c r="D603" s="2" t="s">
        <v>7224</v>
      </c>
      <c r="E603" s="2" t="s">
        <v>7225</v>
      </c>
      <c r="F603" s="2" t="s">
        <v>7226</v>
      </c>
      <c r="G603" s="2" t="s">
        <v>7227</v>
      </c>
      <c r="H603" s="2" t="s">
        <v>7228</v>
      </c>
      <c r="I603" s="2" t="s">
        <v>7229</v>
      </c>
      <c r="J603" s="2" t="s">
        <v>7230</v>
      </c>
      <c r="K603" s="2" t="s">
        <v>7231</v>
      </c>
      <c r="L603" s="2" t="s">
        <v>7232</v>
      </c>
      <c r="M603" s="2" t="s">
        <v>7233</v>
      </c>
      <c r="N603" s="2" t="s">
        <v>7234</v>
      </c>
      <c r="O603" s="2" t="s">
        <v>7235</v>
      </c>
      <c r="P603" s="2" t="s">
        <v>7222</v>
      </c>
    </row>
    <row r="604" spans="1:16">
      <c r="A604" s="1">
        <v>603</v>
      </c>
      <c r="B604" s="2" t="s">
        <v>7236</v>
      </c>
      <c r="C604" s="2" t="s">
        <v>7237</v>
      </c>
      <c r="D604" s="2" t="s">
        <v>7236</v>
      </c>
      <c r="E604" s="2" t="s">
        <v>7236</v>
      </c>
      <c r="F604" s="2" t="s">
        <v>7236</v>
      </c>
      <c r="G604" s="2" t="s">
        <v>7236</v>
      </c>
      <c r="H604" s="2" t="s">
        <v>7236</v>
      </c>
      <c r="I604" s="2" t="s">
        <v>7236</v>
      </c>
      <c r="J604" s="2" t="s">
        <v>7236</v>
      </c>
      <c r="K604" s="2" t="s">
        <v>7238</v>
      </c>
      <c r="L604" s="2" t="s">
        <v>7236</v>
      </c>
      <c r="M604" s="2" t="s">
        <v>7236</v>
      </c>
      <c r="N604" s="2" t="s">
        <v>7236</v>
      </c>
      <c r="O604" s="2" t="s">
        <v>7236</v>
      </c>
      <c r="P604" s="2" t="s">
        <v>7236</v>
      </c>
    </row>
    <row r="605" spans="1:16">
      <c r="A605" s="1">
        <v>604</v>
      </c>
      <c r="B605" s="2" t="s">
        <v>7252</v>
      </c>
      <c r="C605" s="2" t="s">
        <v>7240</v>
      </c>
      <c r="D605" s="2" t="s">
        <v>7241</v>
      </c>
      <c r="E605" s="2" t="s">
        <v>7255</v>
      </c>
      <c r="F605" s="2" t="s">
        <v>7242</v>
      </c>
      <c r="G605" s="2" t="s">
        <v>7243</v>
      </c>
      <c r="H605" s="2" t="s">
        <v>7244</v>
      </c>
      <c r="I605" s="2" t="s">
        <v>7245</v>
      </c>
      <c r="J605" s="2" t="s">
        <v>7246</v>
      </c>
      <c r="K605" s="2" t="s">
        <v>7247</v>
      </c>
      <c r="L605" s="2" t="s">
        <v>7248</v>
      </c>
      <c r="M605" s="2" t="s">
        <v>7249</v>
      </c>
      <c r="N605" s="2" t="s">
        <v>7250</v>
      </c>
      <c r="O605" s="2" t="s">
        <v>7251</v>
      </c>
      <c r="P605" s="2" t="s">
        <v>7239</v>
      </c>
    </row>
    <row r="606" spans="1:16">
      <c r="A606" s="1">
        <v>605</v>
      </c>
      <c r="B606" s="2" t="s">
        <v>7252</v>
      </c>
      <c r="C606" s="2" t="s">
        <v>7253</v>
      </c>
      <c r="D606" s="2" t="s">
        <v>7254</v>
      </c>
      <c r="E606" s="2" t="s">
        <v>7255</v>
      </c>
      <c r="F606" s="2" t="s">
        <v>7256</v>
      </c>
      <c r="G606" s="2" t="s">
        <v>7257</v>
      </c>
      <c r="H606" s="2" t="s">
        <v>7258</v>
      </c>
      <c r="I606" s="2" t="s">
        <v>7259</v>
      </c>
      <c r="J606" s="2" t="s">
        <v>7260</v>
      </c>
      <c r="K606" s="2" t="s">
        <v>7261</v>
      </c>
      <c r="L606" s="2" t="s">
        <v>7262</v>
      </c>
      <c r="M606" s="2" t="s">
        <v>7263</v>
      </c>
      <c r="N606" s="2" t="s">
        <v>7264</v>
      </c>
      <c r="O606" s="2" t="s">
        <v>7265</v>
      </c>
      <c r="P606" s="2" t="s">
        <v>7252</v>
      </c>
    </row>
    <row r="607" spans="1:16">
      <c r="A607" s="1">
        <v>606</v>
      </c>
      <c r="B607" s="2" t="s">
        <v>7266</v>
      </c>
      <c r="C607" s="2" t="s">
        <v>7267</v>
      </c>
      <c r="D607" s="2" t="s">
        <v>7268</v>
      </c>
      <c r="E607" s="2" t="s">
        <v>7269</v>
      </c>
      <c r="F607" s="2" t="s">
        <v>7270</v>
      </c>
      <c r="G607" s="2" t="s">
        <v>7271</v>
      </c>
      <c r="H607" s="2" t="s">
        <v>7272</v>
      </c>
      <c r="I607" s="2" t="s">
        <v>7273</v>
      </c>
      <c r="J607" s="2" t="s">
        <v>7274</v>
      </c>
      <c r="K607" s="2" t="s">
        <v>7275</v>
      </c>
      <c r="L607" s="2" t="s">
        <v>7276</v>
      </c>
      <c r="M607" s="2" t="s">
        <v>7277</v>
      </c>
      <c r="N607" s="2" t="s">
        <v>7278</v>
      </c>
      <c r="O607" s="2" t="s">
        <v>7279</v>
      </c>
      <c r="P607" s="2" t="s">
        <v>7266</v>
      </c>
    </row>
    <row r="608" spans="1:16">
      <c r="A608" s="1">
        <v>607</v>
      </c>
      <c r="B608" s="2" t="s">
        <v>7280</v>
      </c>
      <c r="C608" s="2" t="s">
        <v>7281</v>
      </c>
      <c r="D608" s="2" t="s">
        <v>7282</v>
      </c>
      <c r="E608" s="2" t="s">
        <v>25601</v>
      </c>
      <c r="F608" s="2" t="s">
        <v>7283</v>
      </c>
      <c r="G608" s="2" t="s">
        <v>7284</v>
      </c>
      <c r="H608" s="2" t="s">
        <v>7285</v>
      </c>
      <c r="I608" s="2" t="s">
        <v>7286</v>
      </c>
      <c r="J608" s="2" t="s">
        <v>7287</v>
      </c>
      <c r="K608" s="2" t="s">
        <v>7288</v>
      </c>
      <c r="L608" s="2" t="s">
        <v>7289</v>
      </c>
      <c r="M608" s="2" t="s">
        <v>7290</v>
      </c>
      <c r="N608" s="2" t="s">
        <v>7291</v>
      </c>
      <c r="O608" s="2" t="s">
        <v>7292</v>
      </c>
      <c r="P608" s="2" t="s">
        <v>7280</v>
      </c>
    </row>
    <row r="609" spans="1:16">
      <c r="A609" s="1">
        <v>608</v>
      </c>
      <c r="B609" s="2" t="s">
        <v>7293</v>
      </c>
      <c r="C609" s="2" t="s">
        <v>7294</v>
      </c>
      <c r="D609" s="2" t="s">
        <v>7295</v>
      </c>
      <c r="E609" s="2" t="s">
        <v>7296</v>
      </c>
      <c r="F609" s="2" t="s">
        <v>7297</v>
      </c>
      <c r="G609" s="2" t="s">
        <v>7298</v>
      </c>
      <c r="H609" s="2" t="s">
        <v>7299</v>
      </c>
      <c r="I609" s="2" t="s">
        <v>7300</v>
      </c>
      <c r="J609" s="2" t="s">
        <v>7301</v>
      </c>
      <c r="K609" s="2" t="s">
        <v>7302</v>
      </c>
      <c r="L609" s="2" t="s">
        <v>7303</v>
      </c>
      <c r="M609" s="2" t="s">
        <v>7304</v>
      </c>
      <c r="N609" s="2" t="s">
        <v>7305</v>
      </c>
      <c r="O609" s="2" t="s">
        <v>7306</v>
      </c>
      <c r="P609" s="2" t="s">
        <v>7293</v>
      </c>
    </row>
    <row r="610" spans="1:16">
      <c r="A610" s="1">
        <v>609</v>
      </c>
      <c r="B610" s="2" t="s">
        <v>7307</v>
      </c>
      <c r="C610" s="2" t="s">
        <v>7308</v>
      </c>
      <c r="D610" s="2" t="s">
        <v>7309</v>
      </c>
      <c r="E610" s="2" t="s">
        <v>7310</v>
      </c>
      <c r="F610" s="2" t="s">
        <v>7311</v>
      </c>
      <c r="G610" s="2" t="s">
        <v>7312</v>
      </c>
      <c r="H610" s="2" t="s">
        <v>7313</v>
      </c>
      <c r="I610" s="2" t="s">
        <v>7314</v>
      </c>
      <c r="J610" s="2" t="s">
        <v>7315</v>
      </c>
      <c r="K610" s="2" t="s">
        <v>7316</v>
      </c>
      <c r="L610" s="2" t="s">
        <v>7317</v>
      </c>
      <c r="M610" s="2" t="s">
        <v>7318</v>
      </c>
      <c r="N610" s="2" t="s">
        <v>7319</v>
      </c>
      <c r="O610" s="2" t="s">
        <v>7320</v>
      </c>
      <c r="P610" s="2" t="s">
        <v>7307</v>
      </c>
    </row>
    <row r="611" spans="1:16">
      <c r="A611" s="1">
        <v>610</v>
      </c>
      <c r="B611" s="2" t="s">
        <v>7321</v>
      </c>
      <c r="C611" s="2" t="s">
        <v>7322</v>
      </c>
      <c r="D611" s="2" t="s">
        <v>7323</v>
      </c>
      <c r="E611" s="2" t="s">
        <v>7324</v>
      </c>
      <c r="F611" s="2" t="s">
        <v>7325</v>
      </c>
      <c r="G611" s="2" t="s">
        <v>7326</v>
      </c>
      <c r="H611" s="2" t="s">
        <v>7327</v>
      </c>
      <c r="I611" s="2" t="s">
        <v>7328</v>
      </c>
      <c r="J611" s="2" t="s">
        <v>7329</v>
      </c>
      <c r="K611" s="2" t="s">
        <v>7330</v>
      </c>
      <c r="L611" s="2" t="s">
        <v>7331</v>
      </c>
      <c r="M611" s="2" t="s">
        <v>7332</v>
      </c>
      <c r="N611" s="2" t="s">
        <v>7333</v>
      </c>
      <c r="O611" s="2" t="s">
        <v>7334</v>
      </c>
      <c r="P611" s="2" t="s">
        <v>7321</v>
      </c>
    </row>
    <row r="612" spans="1:16">
      <c r="A612" s="1">
        <v>611</v>
      </c>
      <c r="B612" s="2" t="s">
        <v>7335</v>
      </c>
      <c r="C612" s="2" t="s">
        <v>7336</v>
      </c>
      <c r="D612" s="2" t="s">
        <v>7337</v>
      </c>
      <c r="E612" s="2" t="s">
        <v>7338</v>
      </c>
      <c r="F612" s="2" t="s">
        <v>7339</v>
      </c>
      <c r="G612" s="2" t="s">
        <v>7340</v>
      </c>
      <c r="H612" s="2" t="s">
        <v>7341</v>
      </c>
      <c r="I612" s="2" t="s">
        <v>7342</v>
      </c>
      <c r="J612" s="2" t="s">
        <v>7343</v>
      </c>
      <c r="K612" s="2" t="s">
        <v>7344</v>
      </c>
      <c r="L612" s="2" t="s">
        <v>7345</v>
      </c>
      <c r="M612" s="2" t="s">
        <v>7346</v>
      </c>
      <c r="N612" s="2" t="s">
        <v>7347</v>
      </c>
      <c r="O612" s="2" t="s">
        <v>7348</v>
      </c>
      <c r="P612" s="2" t="s">
        <v>7335</v>
      </c>
    </row>
    <row r="613" spans="1:16">
      <c r="A613" s="1">
        <v>612</v>
      </c>
      <c r="B613" s="2" t="s">
        <v>7349</v>
      </c>
      <c r="C613" s="2" t="s">
        <v>7350</v>
      </c>
      <c r="D613" s="2" t="s">
        <v>7351</v>
      </c>
      <c r="E613" s="2" t="s">
        <v>7352</v>
      </c>
      <c r="F613" s="2" t="s">
        <v>7353</v>
      </c>
      <c r="G613" s="2" t="s">
        <v>7354</v>
      </c>
      <c r="H613" s="2" t="s">
        <v>7355</v>
      </c>
      <c r="I613" s="2" t="s">
        <v>7356</v>
      </c>
      <c r="J613" s="2" t="s">
        <v>7357</v>
      </c>
      <c r="K613" s="2" t="s">
        <v>7358</v>
      </c>
      <c r="L613" s="2" t="s">
        <v>7359</v>
      </c>
      <c r="M613" s="2" t="s">
        <v>7360</v>
      </c>
      <c r="N613" s="2" t="s">
        <v>7361</v>
      </c>
      <c r="O613" s="2" t="s">
        <v>7362</v>
      </c>
      <c r="P613" s="2" t="s">
        <v>7349</v>
      </c>
    </row>
    <row r="614" spans="1:16">
      <c r="A614" s="1">
        <v>613</v>
      </c>
      <c r="B614" s="2" t="s">
        <v>7363</v>
      </c>
      <c r="C614" s="2" t="s">
        <v>7364</v>
      </c>
      <c r="D614" s="2" t="s">
        <v>7365</v>
      </c>
      <c r="E614" s="2" t="s">
        <v>25602</v>
      </c>
      <c r="F614" s="2" t="s">
        <v>7366</v>
      </c>
      <c r="G614" s="2" t="s">
        <v>7367</v>
      </c>
      <c r="H614" s="2" t="s">
        <v>7368</v>
      </c>
      <c r="I614" s="2" t="s">
        <v>7369</v>
      </c>
      <c r="J614" s="2" t="s">
        <v>7370</v>
      </c>
      <c r="K614" s="2" t="s">
        <v>7371</v>
      </c>
      <c r="L614" s="2" t="s">
        <v>7372</v>
      </c>
      <c r="M614" s="2" t="s">
        <v>7373</v>
      </c>
      <c r="N614" s="2" t="s">
        <v>7374</v>
      </c>
      <c r="O614" s="2" t="s">
        <v>7375</v>
      </c>
      <c r="P614" s="2" t="s">
        <v>7363</v>
      </c>
    </row>
    <row r="615" spans="1:16">
      <c r="A615" s="1">
        <v>614</v>
      </c>
      <c r="B615" s="2" t="s">
        <v>7376</v>
      </c>
      <c r="C615" s="2" t="s">
        <v>7377</v>
      </c>
      <c r="D615" s="2" t="s">
        <v>7378</v>
      </c>
      <c r="E615" s="2" t="s">
        <v>25603</v>
      </c>
      <c r="F615" s="2" t="s">
        <v>7379</v>
      </c>
      <c r="G615" s="2" t="s">
        <v>7380</v>
      </c>
      <c r="H615" s="2" t="s">
        <v>7381</v>
      </c>
      <c r="I615" s="2" t="s">
        <v>7382</v>
      </c>
      <c r="J615" s="2" t="s">
        <v>7383</v>
      </c>
      <c r="K615" s="2" t="s">
        <v>7384</v>
      </c>
      <c r="L615" s="2" t="s">
        <v>7385</v>
      </c>
      <c r="M615" s="2" t="s">
        <v>7386</v>
      </c>
      <c r="N615" s="2" t="s">
        <v>7387</v>
      </c>
      <c r="O615" s="2" t="s">
        <v>7388</v>
      </c>
      <c r="P615" s="2" t="s">
        <v>7376</v>
      </c>
    </row>
    <row r="616" spans="1:16">
      <c r="A616" s="1">
        <v>615</v>
      </c>
      <c r="B616" s="2" t="s">
        <v>7389</v>
      </c>
      <c r="C616" s="2" t="s">
        <v>7390</v>
      </c>
      <c r="D616" s="2" t="s">
        <v>7391</v>
      </c>
      <c r="E616" s="2" t="s">
        <v>25604</v>
      </c>
      <c r="F616" s="2" t="s">
        <v>7392</v>
      </c>
      <c r="G616" s="2" t="s">
        <v>7393</v>
      </c>
      <c r="H616" s="2" t="s">
        <v>7394</v>
      </c>
      <c r="I616" s="2" t="s">
        <v>7395</v>
      </c>
      <c r="J616" s="2" t="s">
        <v>7396</v>
      </c>
      <c r="K616" s="2" t="s">
        <v>7397</v>
      </c>
      <c r="L616" s="2" t="s">
        <v>7398</v>
      </c>
      <c r="M616" s="2" t="s">
        <v>7399</v>
      </c>
      <c r="N616" s="2" t="s">
        <v>7400</v>
      </c>
      <c r="O616" s="2" t="s">
        <v>7401</v>
      </c>
      <c r="P616" s="2" t="s">
        <v>7389</v>
      </c>
    </row>
    <row r="617" spans="1:16">
      <c r="A617" s="1">
        <v>616</v>
      </c>
      <c r="B617" s="2" t="s">
        <v>7402</v>
      </c>
      <c r="C617" s="2" t="s">
        <v>7403</v>
      </c>
      <c r="D617" s="2" t="s">
        <v>7404</v>
      </c>
      <c r="E617" s="2" t="s">
        <v>7405</v>
      </c>
      <c r="F617" s="2" t="s">
        <v>7406</v>
      </c>
      <c r="G617" s="2" t="s">
        <v>7407</v>
      </c>
      <c r="H617" s="2" t="s">
        <v>7408</v>
      </c>
      <c r="I617" s="2" t="s">
        <v>7409</v>
      </c>
      <c r="J617" s="2" t="s">
        <v>7410</v>
      </c>
      <c r="K617" s="2" t="s">
        <v>7411</v>
      </c>
      <c r="L617" s="2" t="s">
        <v>7412</v>
      </c>
      <c r="M617" s="2" t="s">
        <v>7413</v>
      </c>
      <c r="N617" s="2" t="s">
        <v>7414</v>
      </c>
      <c r="O617" s="2" t="s">
        <v>7415</v>
      </c>
      <c r="P617" s="2" t="s">
        <v>7402</v>
      </c>
    </row>
    <row r="618" spans="1:16">
      <c r="A618" s="1">
        <v>617</v>
      </c>
      <c r="B618" s="2" t="s">
        <v>7416</v>
      </c>
      <c r="C618" s="2" t="s">
        <v>7417</v>
      </c>
      <c r="D618" s="2" t="s">
        <v>7418</v>
      </c>
      <c r="E618" s="2" t="s">
        <v>7419</v>
      </c>
      <c r="F618" s="2" t="s">
        <v>7420</v>
      </c>
      <c r="G618" s="2" t="s">
        <v>7421</v>
      </c>
      <c r="H618" s="2" t="s">
        <v>7422</v>
      </c>
      <c r="I618" s="2" t="s">
        <v>7423</v>
      </c>
      <c r="J618" s="2" t="s">
        <v>7424</v>
      </c>
      <c r="K618" s="2" t="s">
        <v>7425</v>
      </c>
      <c r="L618" s="2" t="s">
        <v>7426</v>
      </c>
      <c r="M618" s="2" t="s">
        <v>7427</v>
      </c>
      <c r="N618" s="2" t="s">
        <v>7428</v>
      </c>
      <c r="O618" s="2" t="s">
        <v>7429</v>
      </c>
      <c r="P618" s="2" t="s">
        <v>7416</v>
      </c>
    </row>
    <row r="619" spans="1:16">
      <c r="A619" s="1">
        <v>618</v>
      </c>
      <c r="B619" s="2" t="s">
        <v>7430</v>
      </c>
      <c r="C619" s="2" t="s">
        <v>7431</v>
      </c>
      <c r="D619" s="2" t="s">
        <v>7432</v>
      </c>
      <c r="E619" s="2" t="s">
        <v>7433</v>
      </c>
      <c r="F619" s="2" t="s">
        <v>7434</v>
      </c>
      <c r="G619" s="2" t="s">
        <v>7435</v>
      </c>
      <c r="H619" s="2" t="s">
        <v>7436</v>
      </c>
      <c r="I619" s="2" t="s">
        <v>7437</v>
      </c>
      <c r="J619" s="2" t="s">
        <v>7438</v>
      </c>
      <c r="K619" s="2" t="s">
        <v>7439</v>
      </c>
      <c r="L619" s="2" t="s">
        <v>7440</v>
      </c>
      <c r="M619" s="2" t="s">
        <v>7441</v>
      </c>
      <c r="N619" s="2" t="s">
        <v>7442</v>
      </c>
      <c r="O619" s="2" t="s">
        <v>7443</v>
      </c>
      <c r="P619" s="2" t="s">
        <v>7430</v>
      </c>
    </row>
    <row r="620" spans="1:16">
      <c r="A620" s="1">
        <v>619</v>
      </c>
      <c r="B620" s="2" t="s">
        <v>7444</v>
      </c>
      <c r="C620" s="2" t="s">
        <v>7445</v>
      </c>
      <c r="D620" s="2" t="s">
        <v>7446</v>
      </c>
      <c r="E620" s="2" t="s">
        <v>7447</v>
      </c>
      <c r="F620" s="2" t="s">
        <v>7448</v>
      </c>
      <c r="G620" s="2" t="s">
        <v>7449</v>
      </c>
      <c r="H620" s="2" t="s">
        <v>7450</v>
      </c>
      <c r="I620" s="2" t="s">
        <v>7451</v>
      </c>
      <c r="J620" s="2" t="s">
        <v>7452</v>
      </c>
      <c r="K620" s="2" t="s">
        <v>7453</v>
      </c>
      <c r="L620" s="2" t="s">
        <v>7454</v>
      </c>
      <c r="M620" s="2" t="s">
        <v>7455</v>
      </c>
      <c r="N620" s="2" t="s">
        <v>7456</v>
      </c>
      <c r="O620" s="2" t="s">
        <v>7457</v>
      </c>
      <c r="P620" s="2" t="s">
        <v>7444</v>
      </c>
    </row>
    <row r="621" spans="1:16">
      <c r="A621" s="1">
        <v>620</v>
      </c>
      <c r="B621" s="2" t="s">
        <v>7458</v>
      </c>
      <c r="C621" s="2" t="s">
        <v>7459</v>
      </c>
      <c r="D621" s="2" t="s">
        <v>7460</v>
      </c>
      <c r="E621" s="2" t="s">
        <v>25605</v>
      </c>
      <c r="F621" s="2" t="s">
        <v>7461</v>
      </c>
      <c r="G621" s="2" t="s">
        <v>7462</v>
      </c>
      <c r="H621" s="2" t="s">
        <v>7463</v>
      </c>
      <c r="I621" s="2" t="s">
        <v>7464</v>
      </c>
      <c r="J621" s="2" t="s">
        <v>7465</v>
      </c>
      <c r="K621" s="2" t="s">
        <v>7466</v>
      </c>
      <c r="L621" s="2" t="s">
        <v>7467</v>
      </c>
      <c r="M621" s="2" t="s">
        <v>7468</v>
      </c>
      <c r="N621" s="2" t="s">
        <v>7469</v>
      </c>
      <c r="O621" s="2" t="s">
        <v>7470</v>
      </c>
      <c r="P621" s="2" t="s">
        <v>7458</v>
      </c>
    </row>
    <row r="622" spans="1:16">
      <c r="A622" s="1">
        <v>621</v>
      </c>
      <c r="B622" s="2" t="s">
        <v>7471</v>
      </c>
      <c r="C622" s="2" t="s">
        <v>7472</v>
      </c>
      <c r="D622" s="2" t="s">
        <v>7473</v>
      </c>
      <c r="E622" s="2" t="s">
        <v>7474</v>
      </c>
      <c r="F622" s="2" t="s">
        <v>7475</v>
      </c>
      <c r="G622" s="2" t="s">
        <v>7476</v>
      </c>
      <c r="H622" s="2" t="s">
        <v>7477</v>
      </c>
      <c r="I622" s="2" t="s">
        <v>7478</v>
      </c>
      <c r="J622" s="2" t="s">
        <v>7479</v>
      </c>
      <c r="K622" s="2" t="s">
        <v>7480</v>
      </c>
      <c r="L622" s="2" t="s">
        <v>7481</v>
      </c>
      <c r="M622" s="2" t="s">
        <v>7482</v>
      </c>
      <c r="N622" s="2" t="s">
        <v>7483</v>
      </c>
      <c r="O622" s="2" t="s">
        <v>7484</v>
      </c>
      <c r="P622" s="2" t="s">
        <v>7471</v>
      </c>
    </row>
    <row r="623" spans="1:16">
      <c r="A623" s="1">
        <v>622</v>
      </c>
      <c r="B623" s="2" t="s">
        <v>7485</v>
      </c>
      <c r="C623" s="2" t="s">
        <v>7485</v>
      </c>
      <c r="D623" s="2" t="s">
        <v>7486</v>
      </c>
      <c r="E623" s="2" t="s">
        <v>7487</v>
      </c>
      <c r="F623" s="2" t="s">
        <v>7488</v>
      </c>
      <c r="G623" s="2" t="s">
        <v>7489</v>
      </c>
      <c r="H623" s="2" t="s">
        <v>7490</v>
      </c>
      <c r="I623" s="2" t="s">
        <v>7491</v>
      </c>
      <c r="J623" s="2" t="s">
        <v>7492</v>
      </c>
      <c r="K623" s="2" t="s">
        <v>7493</v>
      </c>
      <c r="L623" s="2" t="s">
        <v>7494</v>
      </c>
      <c r="M623" s="2" t="s">
        <v>7495</v>
      </c>
      <c r="N623" s="2" t="s">
        <v>7495</v>
      </c>
      <c r="O623" s="2" t="s">
        <v>7496</v>
      </c>
      <c r="P623" s="2" t="s">
        <v>7485</v>
      </c>
    </row>
    <row r="624" spans="1:16">
      <c r="A624" s="1">
        <v>623</v>
      </c>
      <c r="B624" s="2" t="s">
        <v>7497</v>
      </c>
      <c r="C624" s="2" t="s">
        <v>7498</v>
      </c>
      <c r="D624" s="2" t="s">
        <v>7499</v>
      </c>
      <c r="E624" s="2" t="s">
        <v>7500</v>
      </c>
      <c r="F624" s="2" t="s">
        <v>7501</v>
      </c>
      <c r="G624" s="2" t="s">
        <v>7502</v>
      </c>
      <c r="H624" s="2" t="s">
        <v>7503</v>
      </c>
      <c r="I624" s="2" t="s">
        <v>7504</v>
      </c>
      <c r="J624" s="2" t="s">
        <v>7505</v>
      </c>
      <c r="K624" s="2" t="s">
        <v>7506</v>
      </c>
      <c r="L624" s="2" t="s">
        <v>7507</v>
      </c>
      <c r="M624" s="2" t="s">
        <v>7508</v>
      </c>
      <c r="N624" s="2" t="s">
        <v>7509</v>
      </c>
      <c r="O624" s="2" t="s">
        <v>7510</v>
      </c>
      <c r="P624" s="2" t="s">
        <v>7497</v>
      </c>
    </row>
    <row r="625" spans="1:16">
      <c r="A625" s="1">
        <v>624</v>
      </c>
      <c r="B625" s="2" t="s">
        <v>7511</v>
      </c>
      <c r="C625" s="2" t="s">
        <v>7512</v>
      </c>
      <c r="D625" s="2" t="s">
        <v>7513</v>
      </c>
      <c r="E625" s="2" t="s">
        <v>7514</v>
      </c>
      <c r="F625" s="2" t="s">
        <v>7515</v>
      </c>
      <c r="G625" s="2" t="s">
        <v>7516</v>
      </c>
      <c r="H625" s="2" t="s">
        <v>7517</v>
      </c>
      <c r="I625" s="2" t="s">
        <v>7518</v>
      </c>
      <c r="J625" s="2" t="s">
        <v>7519</v>
      </c>
      <c r="K625" s="2" t="s">
        <v>7520</v>
      </c>
      <c r="L625" s="2" t="s">
        <v>7521</v>
      </c>
      <c r="M625" s="2" t="s">
        <v>7522</v>
      </c>
      <c r="N625" s="2" t="s">
        <v>7523</v>
      </c>
      <c r="O625" s="2" t="s">
        <v>7524</v>
      </c>
      <c r="P625" s="2" t="s">
        <v>7511</v>
      </c>
    </row>
    <row r="626" spans="1:16">
      <c r="A626" s="1">
        <v>625</v>
      </c>
      <c r="B626" s="2" t="s">
        <v>7525</v>
      </c>
      <c r="C626" s="2" t="s">
        <v>7526</v>
      </c>
      <c r="D626" s="2" t="s">
        <v>7527</v>
      </c>
      <c r="E626" s="2" t="s">
        <v>7526</v>
      </c>
      <c r="F626" s="2" t="s">
        <v>7528</v>
      </c>
      <c r="G626" s="2" t="s">
        <v>7529</v>
      </c>
      <c r="H626" s="2" t="s">
        <v>7530</v>
      </c>
      <c r="I626" s="2" t="s">
        <v>7531</v>
      </c>
      <c r="J626" s="2" t="s">
        <v>7532</v>
      </c>
      <c r="K626" s="2" t="s">
        <v>7533</v>
      </c>
      <c r="L626" s="2" t="s">
        <v>7534</v>
      </c>
      <c r="M626" s="2" t="s">
        <v>7535</v>
      </c>
      <c r="N626" s="2" t="s">
        <v>7536</v>
      </c>
      <c r="O626" s="2" t="s">
        <v>7533</v>
      </c>
      <c r="P626" s="2" t="s">
        <v>7525</v>
      </c>
    </row>
    <row r="627" spans="1:16">
      <c r="A627" s="1">
        <v>626</v>
      </c>
      <c r="B627" s="2" t="s">
        <v>7537</v>
      </c>
      <c r="C627" s="2" t="s">
        <v>7538</v>
      </c>
      <c r="D627" s="2" t="s">
        <v>7539</v>
      </c>
      <c r="E627" s="2" t="s">
        <v>7540</v>
      </c>
      <c r="F627" s="2" t="s">
        <v>7541</v>
      </c>
      <c r="G627" s="2" t="s">
        <v>7537</v>
      </c>
      <c r="H627" s="2" t="s">
        <v>7542</v>
      </c>
      <c r="I627" s="2" t="s">
        <v>7543</v>
      </c>
      <c r="J627" s="2" t="s">
        <v>7544</v>
      </c>
      <c r="K627" s="2" t="s">
        <v>7545</v>
      </c>
      <c r="L627" s="2" t="s">
        <v>7546</v>
      </c>
      <c r="M627" s="2" t="s">
        <v>7547</v>
      </c>
      <c r="N627" s="2" t="s">
        <v>7548</v>
      </c>
      <c r="O627" s="2" t="s">
        <v>7549</v>
      </c>
      <c r="P627" s="2" t="s">
        <v>7537</v>
      </c>
    </row>
    <row r="628" spans="1:16">
      <c r="A628" s="1">
        <v>627</v>
      </c>
      <c r="B628" s="2" t="s">
        <v>7550</v>
      </c>
      <c r="C628" s="2" t="s">
        <v>7551</v>
      </c>
      <c r="D628" s="2" t="s">
        <v>7552</v>
      </c>
      <c r="E628" s="2" t="s">
        <v>7553</v>
      </c>
      <c r="F628" s="2" t="s">
        <v>7554</v>
      </c>
      <c r="G628" s="2" t="s">
        <v>7555</v>
      </c>
      <c r="H628" s="2" t="s">
        <v>7556</v>
      </c>
      <c r="I628" s="2" t="s">
        <v>7557</v>
      </c>
      <c r="J628" s="2" t="s">
        <v>7558</v>
      </c>
      <c r="K628" s="2" t="s">
        <v>7559</v>
      </c>
      <c r="L628" s="2" t="s">
        <v>7560</v>
      </c>
      <c r="M628" s="2" t="s">
        <v>7561</v>
      </c>
      <c r="N628" s="2" t="s">
        <v>7562</v>
      </c>
      <c r="O628" s="2" t="s">
        <v>7563</v>
      </c>
      <c r="P628" s="2" t="s">
        <v>7550</v>
      </c>
    </row>
    <row r="629" spans="1:16">
      <c r="A629" s="1">
        <v>628</v>
      </c>
      <c r="B629" s="2" t="s">
        <v>7564</v>
      </c>
      <c r="C629" s="2" t="s">
        <v>7565</v>
      </c>
      <c r="D629" s="2" t="s">
        <v>7566</v>
      </c>
      <c r="E629" s="2" t="s">
        <v>7567</v>
      </c>
      <c r="F629" s="2" t="s">
        <v>7568</v>
      </c>
      <c r="G629" s="2" t="s">
        <v>7569</v>
      </c>
      <c r="H629" s="2" t="s">
        <v>7570</v>
      </c>
      <c r="I629" s="2" t="s">
        <v>7571</v>
      </c>
      <c r="J629" s="2" t="s">
        <v>7572</v>
      </c>
      <c r="K629" s="2" t="s">
        <v>7573</v>
      </c>
      <c r="L629" s="2" t="s">
        <v>7574</v>
      </c>
      <c r="M629" s="2" t="s">
        <v>7575</v>
      </c>
      <c r="N629" s="2" t="s">
        <v>7576</v>
      </c>
      <c r="O629" s="2" t="s">
        <v>7577</v>
      </c>
      <c r="P629" s="2" t="s">
        <v>7564</v>
      </c>
    </row>
    <row r="630" spans="1:16">
      <c r="A630" s="1">
        <v>629</v>
      </c>
      <c r="B630" s="2" t="s">
        <v>7578</v>
      </c>
      <c r="C630" s="2" t="s">
        <v>7579</v>
      </c>
      <c r="D630" s="2" t="s">
        <v>7580</v>
      </c>
      <c r="E630" s="2" t="s">
        <v>7581</v>
      </c>
      <c r="F630" s="2" t="s">
        <v>7582</v>
      </c>
      <c r="G630" s="2" t="s">
        <v>7583</v>
      </c>
      <c r="H630" s="2" t="s">
        <v>7584</v>
      </c>
      <c r="I630" s="2" t="s">
        <v>7585</v>
      </c>
      <c r="J630" s="2" t="s">
        <v>7586</v>
      </c>
      <c r="K630" s="2" t="s">
        <v>7587</v>
      </c>
      <c r="L630" s="2" t="s">
        <v>7588</v>
      </c>
      <c r="M630" s="2" t="s">
        <v>7589</v>
      </c>
      <c r="N630" s="2" t="s">
        <v>7590</v>
      </c>
      <c r="O630" s="2" t="s">
        <v>7591</v>
      </c>
      <c r="P630" s="2" t="s">
        <v>7578</v>
      </c>
    </row>
    <row r="631" spans="1:16">
      <c r="A631" s="1">
        <v>630</v>
      </c>
      <c r="B631" s="2" t="s">
        <v>7592</v>
      </c>
      <c r="C631" s="2" t="s">
        <v>7593</v>
      </c>
      <c r="D631" s="2" t="s">
        <v>7594</v>
      </c>
      <c r="E631" s="2" t="s">
        <v>7595</v>
      </c>
      <c r="F631" s="2" t="s">
        <v>7596</v>
      </c>
      <c r="G631" s="2" t="s">
        <v>7597</v>
      </c>
      <c r="H631" s="2" t="s">
        <v>7598</v>
      </c>
      <c r="I631" s="2" t="s">
        <v>7599</v>
      </c>
      <c r="J631" s="2" t="s">
        <v>7600</v>
      </c>
      <c r="K631" s="2" t="s">
        <v>7601</v>
      </c>
      <c r="L631" s="2" t="s">
        <v>7602</v>
      </c>
      <c r="M631" s="2" t="s">
        <v>7603</v>
      </c>
      <c r="N631" s="2" t="s">
        <v>7604</v>
      </c>
      <c r="O631" s="2" t="s">
        <v>7605</v>
      </c>
      <c r="P631" s="2" t="s">
        <v>7592</v>
      </c>
    </row>
    <row r="632" spans="1:16">
      <c r="A632" s="1">
        <v>631</v>
      </c>
      <c r="B632" s="2" t="s">
        <v>7606</v>
      </c>
      <c r="C632" s="2" t="s">
        <v>7607</v>
      </c>
      <c r="D632" s="2" t="s">
        <v>7608</v>
      </c>
      <c r="E632" s="2" t="s">
        <v>7609</v>
      </c>
      <c r="F632" s="2" t="s">
        <v>7610</v>
      </c>
      <c r="G632" s="2" t="s">
        <v>7611</v>
      </c>
      <c r="H632" s="2" t="s">
        <v>7612</v>
      </c>
      <c r="I632" s="2" t="s">
        <v>7613</v>
      </c>
      <c r="J632" s="2" t="s">
        <v>7614</v>
      </c>
      <c r="K632" s="2" t="s">
        <v>7615</v>
      </c>
      <c r="L632" s="2" t="s">
        <v>7616</v>
      </c>
      <c r="M632" s="2" t="s">
        <v>7617</v>
      </c>
      <c r="N632" s="2" t="s">
        <v>7618</v>
      </c>
      <c r="O632" s="2" t="s">
        <v>7619</v>
      </c>
      <c r="P632" s="2" t="s">
        <v>7606</v>
      </c>
    </row>
    <row r="633" spans="1:16">
      <c r="A633" s="1">
        <v>632</v>
      </c>
      <c r="B633" s="2" t="s">
        <v>7620</v>
      </c>
      <c r="C633" s="2" t="s">
        <v>7621</v>
      </c>
      <c r="D633" s="2" t="s">
        <v>7622</v>
      </c>
      <c r="E633" s="2" t="s">
        <v>7623</v>
      </c>
      <c r="F633" s="2" t="s">
        <v>7624</v>
      </c>
      <c r="G633" s="2" t="s">
        <v>7625</v>
      </c>
      <c r="H633" s="2" t="s">
        <v>7626</v>
      </c>
      <c r="I633" s="2" t="s">
        <v>7627</v>
      </c>
      <c r="J633" s="2" t="s">
        <v>7628</v>
      </c>
      <c r="K633" s="2" t="s">
        <v>7629</v>
      </c>
      <c r="L633" s="2" t="s">
        <v>7630</v>
      </c>
      <c r="M633" s="2" t="s">
        <v>7631</v>
      </c>
      <c r="N633" s="2" t="s">
        <v>7632</v>
      </c>
      <c r="O633" s="2" t="s">
        <v>7633</v>
      </c>
      <c r="P633" s="2" t="s">
        <v>7620</v>
      </c>
    </row>
    <row r="634" spans="1:16">
      <c r="A634" s="1">
        <v>633</v>
      </c>
      <c r="B634" s="2" t="s">
        <v>7634</v>
      </c>
      <c r="C634" s="2" t="s">
        <v>7635</v>
      </c>
      <c r="D634" s="2" t="s">
        <v>7636</v>
      </c>
      <c r="E634" s="2" t="s">
        <v>7637</v>
      </c>
      <c r="F634" s="2" t="s">
        <v>7638</v>
      </c>
      <c r="G634" s="2" t="s">
        <v>7639</v>
      </c>
      <c r="H634" s="2" t="s">
        <v>7640</v>
      </c>
      <c r="I634" s="2" t="s">
        <v>7641</v>
      </c>
      <c r="J634" s="2" t="s">
        <v>7642</v>
      </c>
      <c r="K634" s="2" t="s">
        <v>7643</v>
      </c>
      <c r="L634" s="2" t="s">
        <v>7644</v>
      </c>
      <c r="M634" s="2" t="s">
        <v>7645</v>
      </c>
      <c r="N634" s="2" t="s">
        <v>7646</v>
      </c>
      <c r="O634" s="2" t="s">
        <v>7647</v>
      </c>
      <c r="P634" s="2" t="s">
        <v>7634</v>
      </c>
    </row>
    <row r="635" spans="1:16">
      <c r="A635" s="1">
        <v>634</v>
      </c>
      <c r="B635" s="2" t="s">
        <v>7648</v>
      </c>
      <c r="C635" s="2" t="s">
        <v>7649</v>
      </c>
      <c r="D635" s="2" t="s">
        <v>7650</v>
      </c>
      <c r="E635" s="2" t="s">
        <v>7651</v>
      </c>
      <c r="F635" s="2" t="s">
        <v>7652</v>
      </c>
      <c r="G635" s="2" t="s">
        <v>7653</v>
      </c>
      <c r="H635" s="2" t="s">
        <v>7654</v>
      </c>
      <c r="I635" s="2" t="s">
        <v>7655</v>
      </c>
      <c r="J635" s="2" t="s">
        <v>7656</v>
      </c>
      <c r="K635" s="2" t="s">
        <v>7657</v>
      </c>
      <c r="L635" s="2" t="s">
        <v>7658</v>
      </c>
      <c r="M635" s="2" t="s">
        <v>7659</v>
      </c>
      <c r="N635" s="2" t="s">
        <v>7660</v>
      </c>
      <c r="O635" s="2" t="s">
        <v>7661</v>
      </c>
      <c r="P635" s="2" t="s">
        <v>7648</v>
      </c>
    </row>
    <row r="636" spans="1:16">
      <c r="A636" s="1">
        <v>635</v>
      </c>
      <c r="B636" s="2" t="s">
        <v>7662</v>
      </c>
      <c r="C636" s="2" t="s">
        <v>7662</v>
      </c>
      <c r="D636" s="2" t="s">
        <v>7662</v>
      </c>
      <c r="E636" s="2" t="s">
        <v>7663</v>
      </c>
      <c r="F636" s="2" t="s">
        <v>7664</v>
      </c>
      <c r="G636" s="2" t="s">
        <v>7665</v>
      </c>
      <c r="H636" s="2" t="s">
        <v>7666</v>
      </c>
      <c r="I636" s="2" t="s">
        <v>7667</v>
      </c>
      <c r="J636" s="2" t="s">
        <v>7668</v>
      </c>
      <c r="K636" s="2" t="s">
        <v>7669</v>
      </c>
      <c r="L636" s="2" t="s">
        <v>7662</v>
      </c>
      <c r="M636" s="2" t="s">
        <v>7662</v>
      </c>
      <c r="N636" s="2" t="s">
        <v>7662</v>
      </c>
      <c r="O636" s="2" t="s">
        <v>7670</v>
      </c>
      <c r="P636" s="2" t="s">
        <v>7662</v>
      </c>
    </row>
    <row r="637" spans="1:16">
      <c r="A637" s="1">
        <v>636</v>
      </c>
      <c r="B637" s="2" t="s">
        <v>7671</v>
      </c>
      <c r="C637" s="2" t="s">
        <v>7672</v>
      </c>
      <c r="D637" s="2" t="s">
        <v>7673</v>
      </c>
      <c r="E637" s="2" t="s">
        <v>7674</v>
      </c>
      <c r="F637" s="2" t="s">
        <v>7675</v>
      </c>
      <c r="G637" s="2" t="s">
        <v>7676</v>
      </c>
      <c r="H637" s="2" t="s">
        <v>7677</v>
      </c>
      <c r="I637" s="2" t="s">
        <v>7678</v>
      </c>
      <c r="J637" s="2" t="s">
        <v>7679</v>
      </c>
      <c r="K637" s="2" t="s">
        <v>7680</v>
      </c>
      <c r="L637" s="2" t="s">
        <v>7681</v>
      </c>
      <c r="M637" s="2" t="s">
        <v>7682</v>
      </c>
      <c r="N637" s="2" t="s">
        <v>7683</v>
      </c>
      <c r="O637" s="2" t="s">
        <v>7684</v>
      </c>
      <c r="P637" s="2" t="s">
        <v>7671</v>
      </c>
    </row>
    <row r="638" spans="1:16">
      <c r="A638" s="1">
        <v>637</v>
      </c>
      <c r="B638" s="2" t="s">
        <v>7685</v>
      </c>
      <c r="C638" s="2" t="s">
        <v>7686</v>
      </c>
      <c r="D638" s="2" t="s">
        <v>7685</v>
      </c>
      <c r="E638" s="2" t="s">
        <v>7685</v>
      </c>
      <c r="F638" s="2" t="s">
        <v>7685</v>
      </c>
      <c r="G638" s="2" t="s">
        <v>7685</v>
      </c>
      <c r="H638" s="2" t="s">
        <v>7685</v>
      </c>
      <c r="I638" s="2" t="s">
        <v>7685</v>
      </c>
      <c r="J638" s="2" t="s">
        <v>7685</v>
      </c>
      <c r="K638" s="2" t="s">
        <v>7685</v>
      </c>
      <c r="L638" s="2" t="s">
        <v>7685</v>
      </c>
      <c r="M638" s="2" t="s">
        <v>7685</v>
      </c>
      <c r="N638" s="2" t="s">
        <v>7685</v>
      </c>
      <c r="O638" s="2" t="s">
        <v>7685</v>
      </c>
      <c r="P638" s="2" t="s">
        <v>7685</v>
      </c>
    </row>
    <row r="639" spans="1:16">
      <c r="A639" s="1">
        <v>638</v>
      </c>
      <c r="B639" s="2" t="s">
        <v>7687</v>
      </c>
      <c r="C639" s="2" t="s">
        <v>7688</v>
      </c>
      <c r="D639" s="2" t="s">
        <v>7689</v>
      </c>
      <c r="E639" s="2" t="s">
        <v>7690</v>
      </c>
      <c r="F639" s="2" t="s">
        <v>7691</v>
      </c>
      <c r="G639" s="2" t="s">
        <v>7692</v>
      </c>
      <c r="H639" s="2" t="s">
        <v>7693</v>
      </c>
      <c r="I639" s="2" t="s">
        <v>7691</v>
      </c>
      <c r="J639" s="2" t="s">
        <v>7694</v>
      </c>
      <c r="K639" s="2" t="s">
        <v>7695</v>
      </c>
      <c r="L639" s="2" t="s">
        <v>7696</v>
      </c>
      <c r="M639" s="2" t="s">
        <v>7697</v>
      </c>
      <c r="N639" s="2" t="s">
        <v>7698</v>
      </c>
      <c r="O639" s="2" t="s">
        <v>7699</v>
      </c>
      <c r="P639" s="2" t="s">
        <v>7687</v>
      </c>
    </row>
    <row r="640" spans="1:16">
      <c r="A640" s="1">
        <v>639</v>
      </c>
      <c r="B640" s="2" t="s">
        <v>22785</v>
      </c>
      <c r="C640" s="2" t="s">
        <v>7701</v>
      </c>
      <c r="D640" s="2" t="s">
        <v>7702</v>
      </c>
      <c r="E640" s="2" t="s">
        <v>7703</v>
      </c>
      <c r="F640" s="2" t="s">
        <v>7704</v>
      </c>
      <c r="G640" s="2" t="s">
        <v>7705</v>
      </c>
      <c r="H640" s="2" t="s">
        <v>7706</v>
      </c>
      <c r="I640" s="2" t="s">
        <v>7707</v>
      </c>
      <c r="J640" s="2" t="s">
        <v>7708</v>
      </c>
      <c r="K640" s="2" t="s">
        <v>7709</v>
      </c>
      <c r="L640" s="2" t="s">
        <v>7710</v>
      </c>
      <c r="M640" s="2" t="s">
        <v>7711</v>
      </c>
      <c r="N640" s="2" t="s">
        <v>7710</v>
      </c>
      <c r="O640" s="2" t="s">
        <v>7712</v>
      </c>
      <c r="P640" s="2" t="s">
        <v>7700</v>
      </c>
    </row>
    <row r="641" spans="1:16">
      <c r="A641" s="1">
        <v>640</v>
      </c>
      <c r="B641" s="2" t="s">
        <v>22786</v>
      </c>
      <c r="C641" s="2" t="s">
        <v>7714</v>
      </c>
      <c r="D641" s="2" t="s">
        <v>7715</v>
      </c>
      <c r="E641" s="2" t="s">
        <v>7716</v>
      </c>
      <c r="F641" s="2" t="s">
        <v>7717</v>
      </c>
      <c r="G641" s="2" t="s">
        <v>7718</v>
      </c>
      <c r="H641" s="2" t="s">
        <v>7719</v>
      </c>
      <c r="I641" s="2" t="s">
        <v>7720</v>
      </c>
      <c r="J641" s="2" t="s">
        <v>7721</v>
      </c>
      <c r="K641" s="2" t="s">
        <v>7722</v>
      </c>
      <c r="L641" s="2" t="s">
        <v>7723</v>
      </c>
      <c r="M641" s="2" t="s">
        <v>7724</v>
      </c>
      <c r="N641" s="2" t="s">
        <v>7725</v>
      </c>
      <c r="O641" s="2" t="s">
        <v>7726</v>
      </c>
      <c r="P641" s="2" t="s">
        <v>7713</v>
      </c>
    </row>
    <row r="642" spans="1:16">
      <c r="A642" s="1">
        <v>641</v>
      </c>
      <c r="B642" s="2" t="s">
        <v>7727</v>
      </c>
      <c r="C642" s="2" t="s">
        <v>7728</v>
      </c>
      <c r="D642" s="2" t="s">
        <v>7729</v>
      </c>
      <c r="E642" s="2" t="s">
        <v>7730</v>
      </c>
      <c r="F642" s="2" t="s">
        <v>22787</v>
      </c>
      <c r="G642" s="2" t="s">
        <v>7732</v>
      </c>
      <c r="H642" s="2" t="s">
        <v>7733</v>
      </c>
      <c r="I642" s="2" t="s">
        <v>7731</v>
      </c>
      <c r="J642" s="2" t="s">
        <v>7734</v>
      </c>
      <c r="K642" s="2" t="s">
        <v>7735</v>
      </c>
      <c r="L642" s="2" t="s">
        <v>7727</v>
      </c>
      <c r="M642" s="2" t="s">
        <v>7736</v>
      </c>
      <c r="N642" s="2" t="s">
        <v>7736</v>
      </c>
      <c r="O642" s="2" t="s">
        <v>7737</v>
      </c>
      <c r="P642" s="2" t="s">
        <v>7727</v>
      </c>
    </row>
    <row r="643" spans="1:16">
      <c r="A643" s="1">
        <v>642</v>
      </c>
      <c r="B643" s="2" t="s">
        <v>7738</v>
      </c>
      <c r="C643" s="2" t="s">
        <v>7739</v>
      </c>
      <c r="D643" s="2" t="s">
        <v>7740</v>
      </c>
      <c r="E643" s="2" t="s">
        <v>25606</v>
      </c>
      <c r="F643" s="2" t="s">
        <v>7741</v>
      </c>
      <c r="G643" s="2" t="s">
        <v>7742</v>
      </c>
      <c r="H643" s="2" t="s">
        <v>7743</v>
      </c>
      <c r="I643" s="2" t="s">
        <v>7744</v>
      </c>
      <c r="J643" s="2" t="s">
        <v>7745</v>
      </c>
      <c r="K643" s="2" t="s">
        <v>7746</v>
      </c>
      <c r="L643" s="2" t="s">
        <v>7747</v>
      </c>
      <c r="M643" s="2" t="s">
        <v>7748</v>
      </c>
      <c r="N643" s="2" t="s">
        <v>7749</v>
      </c>
      <c r="O643" s="2" t="s">
        <v>7750</v>
      </c>
      <c r="P643" s="2" t="s">
        <v>7738</v>
      </c>
    </row>
    <row r="644" spans="1:16">
      <c r="A644" s="1">
        <v>643</v>
      </c>
      <c r="B644" s="2" t="s">
        <v>7751</v>
      </c>
      <c r="C644" s="2" t="s">
        <v>7752</v>
      </c>
      <c r="D644" s="2" t="s">
        <v>7753</v>
      </c>
      <c r="E644" s="2" t="s">
        <v>25607</v>
      </c>
      <c r="F644" s="2" t="s">
        <v>7754</v>
      </c>
      <c r="G644" s="2" t="s">
        <v>7755</v>
      </c>
      <c r="H644" s="2" t="s">
        <v>7756</v>
      </c>
      <c r="I644" s="2" t="s">
        <v>7757</v>
      </c>
      <c r="J644" s="2" t="s">
        <v>7758</v>
      </c>
      <c r="K644" s="2" t="s">
        <v>7759</v>
      </c>
      <c r="L644" s="2" t="s">
        <v>7760</v>
      </c>
      <c r="M644" s="2" t="s">
        <v>7761</v>
      </c>
      <c r="N644" s="2" t="s">
        <v>7762</v>
      </c>
      <c r="O644" s="2" t="s">
        <v>7763</v>
      </c>
      <c r="P644" s="2" t="s">
        <v>7751</v>
      </c>
    </row>
    <row r="645" spans="1:16">
      <c r="A645" s="1">
        <v>644</v>
      </c>
      <c r="B645" s="2" t="s">
        <v>7764</v>
      </c>
      <c r="C645" s="2" t="s">
        <v>7765</v>
      </c>
      <c r="D645" s="2" t="s">
        <v>7766</v>
      </c>
      <c r="E645" s="2" t="s">
        <v>25608</v>
      </c>
      <c r="F645" s="2" t="s">
        <v>7767</v>
      </c>
      <c r="G645" s="2" t="s">
        <v>7768</v>
      </c>
      <c r="H645" s="2" t="s">
        <v>7769</v>
      </c>
      <c r="I645" s="2" t="s">
        <v>7770</v>
      </c>
      <c r="J645" s="2" t="s">
        <v>7771</v>
      </c>
      <c r="K645" s="2" t="s">
        <v>7772</v>
      </c>
      <c r="L645" s="2" t="s">
        <v>7773</v>
      </c>
      <c r="M645" s="2" t="s">
        <v>7774</v>
      </c>
      <c r="N645" s="2" t="s">
        <v>7775</v>
      </c>
      <c r="O645" s="2" t="s">
        <v>7776</v>
      </c>
      <c r="P645" s="2" t="s">
        <v>7764</v>
      </c>
    </row>
    <row r="646" spans="1:16">
      <c r="A646" s="1">
        <v>645</v>
      </c>
      <c r="B646" s="2" t="s">
        <v>7777</v>
      </c>
      <c r="C646" s="2" t="s">
        <v>7778</v>
      </c>
      <c r="D646" s="2" t="s">
        <v>7779</v>
      </c>
      <c r="E646" s="2" t="s">
        <v>25609</v>
      </c>
      <c r="F646" s="2" t="s">
        <v>7780</v>
      </c>
      <c r="G646" s="2" t="s">
        <v>7781</v>
      </c>
      <c r="H646" s="2" t="s">
        <v>7782</v>
      </c>
      <c r="I646" s="2" t="s">
        <v>7783</v>
      </c>
      <c r="J646" s="2" t="s">
        <v>7784</v>
      </c>
      <c r="K646" s="2" t="s">
        <v>7785</v>
      </c>
      <c r="L646" s="2" t="s">
        <v>7786</v>
      </c>
      <c r="M646" s="2" t="s">
        <v>7787</v>
      </c>
      <c r="N646" s="2" t="s">
        <v>7788</v>
      </c>
      <c r="O646" s="2" t="s">
        <v>7789</v>
      </c>
      <c r="P646" s="2" t="s">
        <v>7777</v>
      </c>
    </row>
    <row r="647" spans="1:16">
      <c r="A647" s="1">
        <v>646</v>
      </c>
      <c r="B647" s="2" t="s">
        <v>7790</v>
      </c>
      <c r="C647" s="2" t="s">
        <v>5101</v>
      </c>
      <c r="D647" s="2" t="s">
        <v>5102</v>
      </c>
      <c r="E647" s="2" t="s">
        <v>7791</v>
      </c>
      <c r="F647" s="2" t="s">
        <v>5104</v>
      </c>
      <c r="G647" s="2" t="s">
        <v>7792</v>
      </c>
      <c r="H647" s="2" t="s">
        <v>7793</v>
      </c>
      <c r="I647" s="2" t="s">
        <v>7794</v>
      </c>
      <c r="J647" s="2" t="s">
        <v>7795</v>
      </c>
      <c r="K647" s="2" t="s">
        <v>7796</v>
      </c>
      <c r="L647" s="2" t="s">
        <v>7797</v>
      </c>
      <c r="M647" s="2" t="s">
        <v>7798</v>
      </c>
      <c r="N647" s="2" t="s">
        <v>7799</v>
      </c>
      <c r="O647" s="2" t="s">
        <v>5112</v>
      </c>
      <c r="P647" s="2" t="s">
        <v>7790</v>
      </c>
    </row>
    <row r="648" spans="1:16">
      <c r="A648" s="1">
        <v>647</v>
      </c>
      <c r="B648" s="2" t="s">
        <v>7800</v>
      </c>
      <c r="C648" s="2" t="s">
        <v>7801</v>
      </c>
      <c r="D648" s="2" t="s">
        <v>7802</v>
      </c>
      <c r="E648" s="2" t="s">
        <v>7803</v>
      </c>
      <c r="F648" s="2" t="s">
        <v>7804</v>
      </c>
      <c r="G648" s="2" t="s">
        <v>7805</v>
      </c>
      <c r="H648" s="2" t="s">
        <v>7806</v>
      </c>
      <c r="I648" s="2" t="s">
        <v>7807</v>
      </c>
      <c r="J648" s="2" t="s">
        <v>7808</v>
      </c>
      <c r="K648" s="2" t="s">
        <v>7809</v>
      </c>
      <c r="L648" s="2" t="s">
        <v>7810</v>
      </c>
      <c r="M648" s="2" t="s">
        <v>7811</v>
      </c>
      <c r="N648" s="2" t="s">
        <v>7812</v>
      </c>
      <c r="O648" s="2" t="s">
        <v>7813</v>
      </c>
      <c r="P648" s="2" t="s">
        <v>7800</v>
      </c>
    </row>
    <row r="649" spans="1:16">
      <c r="A649" s="1">
        <v>648</v>
      </c>
      <c r="B649" s="2" t="s">
        <v>7814</v>
      </c>
      <c r="C649" s="2" t="s">
        <v>7815</v>
      </c>
      <c r="D649" s="2" t="s">
        <v>7816</v>
      </c>
      <c r="E649" s="2" t="s">
        <v>7817</v>
      </c>
      <c r="F649" s="2" t="s">
        <v>7818</v>
      </c>
      <c r="G649" s="2" t="s">
        <v>7819</v>
      </c>
      <c r="H649" s="2" t="s">
        <v>7820</v>
      </c>
      <c r="I649" s="2" t="s">
        <v>7821</v>
      </c>
      <c r="J649" s="2" t="s">
        <v>7822</v>
      </c>
      <c r="K649" s="2" t="s">
        <v>7823</v>
      </c>
      <c r="L649" s="2" t="s">
        <v>7824</v>
      </c>
      <c r="M649" s="2" t="s">
        <v>7825</v>
      </c>
      <c r="N649" s="2" t="s">
        <v>7826</v>
      </c>
      <c r="O649" s="2" t="s">
        <v>7827</v>
      </c>
      <c r="P649" s="2" t="s">
        <v>7814</v>
      </c>
    </row>
    <row r="650" spans="1:16">
      <c r="A650" s="1">
        <v>649</v>
      </c>
      <c r="B650" s="2" t="s">
        <v>7828</v>
      </c>
      <c r="C650" s="2" t="s">
        <v>7829</v>
      </c>
      <c r="D650" s="2" t="s">
        <v>7830</v>
      </c>
      <c r="E650" s="2" t="s">
        <v>7831</v>
      </c>
      <c r="F650" s="2" t="s">
        <v>7832</v>
      </c>
      <c r="G650" s="2" t="s">
        <v>7833</v>
      </c>
      <c r="H650" s="2" t="s">
        <v>7834</v>
      </c>
      <c r="I650" s="2" t="s">
        <v>7835</v>
      </c>
      <c r="J650" s="2" t="s">
        <v>7836</v>
      </c>
      <c r="K650" s="2" t="s">
        <v>7837</v>
      </c>
      <c r="L650" s="2" t="s">
        <v>7838</v>
      </c>
      <c r="M650" s="2" t="s">
        <v>7839</v>
      </c>
      <c r="N650" s="2" t="s">
        <v>7840</v>
      </c>
      <c r="O650" s="2" t="s">
        <v>7841</v>
      </c>
      <c r="P650" s="2" t="s">
        <v>7828</v>
      </c>
    </row>
    <row r="651" spans="1:16">
      <c r="A651" s="1">
        <v>650</v>
      </c>
      <c r="B651" s="2" t="s">
        <v>7842</v>
      </c>
      <c r="C651" s="2" t="s">
        <v>7843</v>
      </c>
      <c r="D651" s="2" t="s">
        <v>7844</v>
      </c>
      <c r="E651" s="2" t="s">
        <v>7845</v>
      </c>
      <c r="F651" s="2" t="s">
        <v>7846</v>
      </c>
      <c r="G651" s="2" t="s">
        <v>7847</v>
      </c>
      <c r="H651" s="2" t="s">
        <v>7848</v>
      </c>
      <c r="I651" s="2" t="s">
        <v>7849</v>
      </c>
      <c r="J651" s="2" t="s">
        <v>7850</v>
      </c>
      <c r="K651" s="2" t="s">
        <v>7851</v>
      </c>
      <c r="L651" s="2" t="s">
        <v>7852</v>
      </c>
      <c r="M651" s="2" t="s">
        <v>7853</v>
      </c>
      <c r="N651" s="2" t="s">
        <v>7854</v>
      </c>
      <c r="O651" s="2" t="s">
        <v>7855</v>
      </c>
      <c r="P651" s="2" t="s">
        <v>7842</v>
      </c>
    </row>
    <row r="652" spans="1:16">
      <c r="A652" s="1">
        <v>651</v>
      </c>
      <c r="B652" s="2" t="s">
        <v>7856</v>
      </c>
      <c r="C652" s="2" t="s">
        <v>7857</v>
      </c>
      <c r="D652" s="2" t="s">
        <v>7858</v>
      </c>
      <c r="E652" s="2" t="s">
        <v>7859</v>
      </c>
      <c r="F652" s="2" t="s">
        <v>7860</v>
      </c>
      <c r="G652" s="2" t="s">
        <v>7861</v>
      </c>
      <c r="H652" s="2" t="s">
        <v>7862</v>
      </c>
      <c r="I652" s="2" t="s">
        <v>7863</v>
      </c>
      <c r="J652" s="2" t="s">
        <v>7864</v>
      </c>
      <c r="K652" s="2" t="s">
        <v>7865</v>
      </c>
      <c r="L652" s="2" t="s">
        <v>7866</v>
      </c>
      <c r="M652" s="2" t="s">
        <v>7867</v>
      </c>
      <c r="N652" s="2" t="s">
        <v>7868</v>
      </c>
      <c r="O652" s="2" t="s">
        <v>7869</v>
      </c>
      <c r="P652" s="2" t="s">
        <v>7856</v>
      </c>
    </row>
    <row r="653" spans="1:16">
      <c r="A653" s="1">
        <v>652</v>
      </c>
      <c r="B653" s="2" t="s">
        <v>7870</v>
      </c>
      <c r="C653" s="2" t="s">
        <v>7871</v>
      </c>
      <c r="D653" s="2" t="s">
        <v>7872</v>
      </c>
      <c r="E653" s="2" t="s">
        <v>7873</v>
      </c>
      <c r="F653" s="2" t="s">
        <v>7874</v>
      </c>
      <c r="G653" s="2" t="s">
        <v>7875</v>
      </c>
      <c r="H653" s="2" t="s">
        <v>7876</v>
      </c>
      <c r="I653" s="2" t="s">
        <v>7877</v>
      </c>
      <c r="J653" s="2" t="s">
        <v>7878</v>
      </c>
      <c r="K653" s="2" t="s">
        <v>7879</v>
      </c>
      <c r="L653" s="2" t="s">
        <v>7880</v>
      </c>
      <c r="M653" s="2" t="s">
        <v>7881</v>
      </c>
      <c r="N653" s="2" t="s">
        <v>7882</v>
      </c>
      <c r="O653" s="2" t="s">
        <v>7883</v>
      </c>
      <c r="P653" s="2" t="s">
        <v>7870</v>
      </c>
    </row>
    <row r="654" spans="1:16">
      <c r="A654" s="1">
        <v>653</v>
      </c>
      <c r="B654" s="2" t="s">
        <v>7884</v>
      </c>
      <c r="C654" s="2" t="s">
        <v>7885</v>
      </c>
      <c r="D654" s="2" t="s">
        <v>7886</v>
      </c>
      <c r="E654" s="2" t="s">
        <v>7887</v>
      </c>
      <c r="F654" s="2" t="s">
        <v>7888</v>
      </c>
      <c r="G654" s="2" t="s">
        <v>7889</v>
      </c>
      <c r="H654" s="2" t="s">
        <v>7862</v>
      </c>
      <c r="I654" s="2" t="s">
        <v>7890</v>
      </c>
      <c r="J654" s="2" t="s">
        <v>7864</v>
      </c>
      <c r="K654" s="2" t="s">
        <v>7865</v>
      </c>
      <c r="L654" s="2" t="s">
        <v>7866</v>
      </c>
      <c r="M654" s="2" t="s">
        <v>7867</v>
      </c>
      <c r="N654" s="2" t="s">
        <v>7891</v>
      </c>
      <c r="O654" s="2" t="s">
        <v>7892</v>
      </c>
      <c r="P654" s="2" t="s">
        <v>7884</v>
      </c>
    </row>
    <row r="655" spans="1:16">
      <c r="A655" s="1">
        <v>654</v>
      </c>
      <c r="B655" s="2" t="s">
        <v>7893</v>
      </c>
      <c r="C655" s="2" t="s">
        <v>7894</v>
      </c>
      <c r="D655" s="2" t="s">
        <v>7895</v>
      </c>
      <c r="E655" s="2" t="s">
        <v>7896</v>
      </c>
      <c r="F655" s="2" t="s">
        <v>7897</v>
      </c>
      <c r="G655" s="2" t="s">
        <v>7898</v>
      </c>
      <c r="H655" s="2" t="s">
        <v>7899</v>
      </c>
      <c r="I655" s="2" t="s">
        <v>7900</v>
      </c>
      <c r="J655" s="2" t="s">
        <v>7901</v>
      </c>
      <c r="K655" s="2" t="s">
        <v>7902</v>
      </c>
      <c r="L655" s="2" t="s">
        <v>7903</v>
      </c>
      <c r="M655" s="2" t="s">
        <v>7904</v>
      </c>
      <c r="N655" s="2" t="s">
        <v>7905</v>
      </c>
      <c r="O655" s="2" t="s">
        <v>7906</v>
      </c>
      <c r="P655" s="2" t="s">
        <v>7893</v>
      </c>
    </row>
    <row r="656" spans="1:16">
      <c r="A656" s="1">
        <v>655</v>
      </c>
      <c r="B656" s="2" t="s">
        <v>7907</v>
      </c>
      <c r="C656" s="2" t="s">
        <v>7908</v>
      </c>
      <c r="D656" s="2" t="s">
        <v>7909</v>
      </c>
      <c r="E656" s="2" t="s">
        <v>7910</v>
      </c>
      <c r="F656" s="2" t="s">
        <v>7911</v>
      </c>
      <c r="G656" s="2" t="s">
        <v>7912</v>
      </c>
      <c r="H656" s="2" t="s">
        <v>7913</v>
      </c>
      <c r="I656" s="2" t="s">
        <v>7914</v>
      </c>
      <c r="J656" s="2" t="s">
        <v>7915</v>
      </c>
      <c r="K656" s="2" t="s">
        <v>7916</v>
      </c>
      <c r="L656" s="2" t="s">
        <v>7917</v>
      </c>
      <c r="M656" s="2" t="s">
        <v>7918</v>
      </c>
      <c r="N656" s="2" t="s">
        <v>7919</v>
      </c>
      <c r="O656" s="2" t="s">
        <v>7920</v>
      </c>
      <c r="P656" s="2" t="s">
        <v>7907</v>
      </c>
    </row>
    <row r="657" spans="1:16">
      <c r="A657" s="1">
        <v>656</v>
      </c>
      <c r="B657" s="2" t="s">
        <v>7921</v>
      </c>
      <c r="C657" s="2" t="s">
        <v>7922</v>
      </c>
      <c r="D657" s="2" t="s">
        <v>7923</v>
      </c>
      <c r="E657" s="2" t="s">
        <v>7924</v>
      </c>
      <c r="F657" s="2" t="s">
        <v>7925</v>
      </c>
      <c r="G657" s="2" t="s">
        <v>7926</v>
      </c>
      <c r="H657" s="2" t="s">
        <v>7927</v>
      </c>
      <c r="I657" s="2" t="s">
        <v>7928</v>
      </c>
      <c r="J657" s="2" t="s">
        <v>7929</v>
      </c>
      <c r="K657" s="2" t="s">
        <v>7930</v>
      </c>
      <c r="L657" s="2" t="s">
        <v>7931</v>
      </c>
      <c r="M657" s="2" t="s">
        <v>7932</v>
      </c>
      <c r="N657" s="2" t="s">
        <v>7933</v>
      </c>
      <c r="O657" s="2" t="s">
        <v>7934</v>
      </c>
      <c r="P657" s="2" t="s">
        <v>7921</v>
      </c>
    </row>
    <row r="658" spans="1:16">
      <c r="A658" s="1">
        <v>657</v>
      </c>
      <c r="B658" s="2" t="s">
        <v>7935</v>
      </c>
      <c r="C658" s="2" t="s">
        <v>7922</v>
      </c>
      <c r="D658" s="2" t="s">
        <v>7936</v>
      </c>
      <c r="E658" s="2" t="s">
        <v>7937</v>
      </c>
      <c r="F658" s="2" t="s">
        <v>7938</v>
      </c>
      <c r="G658" s="2" t="s">
        <v>7939</v>
      </c>
      <c r="H658" s="2" t="s">
        <v>7940</v>
      </c>
      <c r="I658" s="2" t="s">
        <v>7941</v>
      </c>
      <c r="J658" s="2" t="s">
        <v>7942</v>
      </c>
      <c r="K658" s="2" t="s">
        <v>7943</v>
      </c>
      <c r="L658" s="2" t="s">
        <v>7944</v>
      </c>
      <c r="M658" s="2" t="s">
        <v>7945</v>
      </c>
      <c r="N658" s="2" t="s">
        <v>7946</v>
      </c>
      <c r="O658" s="2" t="s">
        <v>7947</v>
      </c>
      <c r="P658" s="2" t="s">
        <v>7935</v>
      </c>
    </row>
    <row r="659" spans="1:16">
      <c r="A659" s="1">
        <v>658</v>
      </c>
      <c r="B659" s="2" t="s">
        <v>7948</v>
      </c>
      <c r="C659" s="2" t="s">
        <v>7949</v>
      </c>
      <c r="D659" s="2" t="s">
        <v>7950</v>
      </c>
      <c r="E659" s="2" t="s">
        <v>7951</v>
      </c>
      <c r="F659" s="2" t="s">
        <v>7952</v>
      </c>
      <c r="G659" s="2" t="s">
        <v>6172</v>
      </c>
      <c r="H659" s="2" t="s">
        <v>7953</v>
      </c>
      <c r="I659" s="2" t="s">
        <v>7954</v>
      </c>
      <c r="J659" s="2" t="s">
        <v>7948</v>
      </c>
      <c r="K659" s="2" t="s">
        <v>7955</v>
      </c>
      <c r="L659" s="2" t="s">
        <v>7956</v>
      </c>
      <c r="M659" s="2" t="s">
        <v>7957</v>
      </c>
      <c r="N659" s="2" t="s">
        <v>7958</v>
      </c>
      <c r="O659" s="2" t="s">
        <v>7959</v>
      </c>
      <c r="P659" s="2" t="s">
        <v>7948</v>
      </c>
    </row>
    <row r="660" spans="1:16">
      <c r="A660" s="1">
        <v>659</v>
      </c>
      <c r="B660" s="2" t="s">
        <v>22788</v>
      </c>
      <c r="C660" s="2" t="s">
        <v>7961</v>
      </c>
      <c r="D660" s="2" t="s">
        <v>7962</v>
      </c>
      <c r="E660" s="2" t="s">
        <v>7963</v>
      </c>
      <c r="F660" s="2" t="s">
        <v>7964</v>
      </c>
      <c r="G660" s="2" t="s">
        <v>7965</v>
      </c>
      <c r="H660" s="2" t="s">
        <v>7966</v>
      </c>
      <c r="I660" s="2" t="s">
        <v>7967</v>
      </c>
      <c r="J660" s="2" t="s">
        <v>7968</v>
      </c>
      <c r="K660" s="2" t="s">
        <v>7969</v>
      </c>
      <c r="L660" s="2" t="s">
        <v>7970</v>
      </c>
      <c r="M660" s="2" t="s">
        <v>7971</v>
      </c>
      <c r="N660" s="2" t="s">
        <v>7972</v>
      </c>
      <c r="O660" s="2" t="s">
        <v>7973</v>
      </c>
      <c r="P660" s="2" t="s">
        <v>7960</v>
      </c>
    </row>
    <row r="661" spans="1:16">
      <c r="A661" s="1">
        <v>660</v>
      </c>
      <c r="B661" s="2" t="s">
        <v>7974</v>
      </c>
      <c r="C661" s="2" t="s">
        <v>7975</v>
      </c>
      <c r="D661" s="2" t="s">
        <v>22789</v>
      </c>
      <c r="E661" s="2" t="s">
        <v>7976</v>
      </c>
      <c r="F661" s="2" t="s">
        <v>7977</v>
      </c>
      <c r="G661" s="2" t="s">
        <v>7978</v>
      </c>
      <c r="H661" s="2" t="s">
        <v>7979</v>
      </c>
      <c r="I661" s="2" t="s">
        <v>7980</v>
      </c>
      <c r="J661" s="2" t="s">
        <v>7974</v>
      </c>
      <c r="K661" s="2" t="s">
        <v>7981</v>
      </c>
      <c r="L661" s="2" t="s">
        <v>7982</v>
      </c>
      <c r="M661" s="2" t="s">
        <v>7982</v>
      </c>
      <c r="N661" s="2" t="s">
        <v>7982</v>
      </c>
      <c r="O661" s="2" t="s">
        <v>7983</v>
      </c>
      <c r="P661" s="2" t="s">
        <v>7974</v>
      </c>
    </row>
    <row r="662" spans="1:16">
      <c r="A662" s="1">
        <v>661</v>
      </c>
      <c r="B662" s="2" t="s">
        <v>7984</v>
      </c>
      <c r="C662" s="2" t="s">
        <v>7985</v>
      </c>
      <c r="D662" s="2" t="s">
        <v>7986</v>
      </c>
      <c r="E662" s="2" t="s">
        <v>7984</v>
      </c>
      <c r="F662" s="2" t="s">
        <v>7987</v>
      </c>
      <c r="G662" s="2" t="s">
        <v>7987</v>
      </c>
      <c r="H662" s="2" t="s">
        <v>7988</v>
      </c>
      <c r="I662" s="2" t="s">
        <v>7989</v>
      </c>
      <c r="J662" s="2" t="s">
        <v>7984</v>
      </c>
      <c r="K662" s="2" t="s">
        <v>7987</v>
      </c>
      <c r="L662" s="2" t="s">
        <v>7984</v>
      </c>
      <c r="M662" s="2" t="s">
        <v>7984</v>
      </c>
      <c r="N662" s="2" t="s">
        <v>7984</v>
      </c>
      <c r="O662" s="2" t="s">
        <v>7989</v>
      </c>
      <c r="P662" s="2" t="s">
        <v>7984</v>
      </c>
    </row>
    <row r="663" spans="1:16">
      <c r="A663" s="1">
        <v>662</v>
      </c>
      <c r="B663" s="2" t="s">
        <v>7990</v>
      </c>
      <c r="C663" s="2" t="s">
        <v>7991</v>
      </c>
      <c r="D663" s="2" t="s">
        <v>7992</v>
      </c>
      <c r="E663" s="2" t="s">
        <v>7990</v>
      </c>
      <c r="F663" s="2" t="s">
        <v>7993</v>
      </c>
      <c r="G663" s="2" t="s">
        <v>7993</v>
      </c>
      <c r="H663" s="2" t="s">
        <v>7994</v>
      </c>
      <c r="I663" s="2" t="s">
        <v>7995</v>
      </c>
      <c r="J663" s="2" t="s">
        <v>7990</v>
      </c>
      <c r="K663" s="2" t="s">
        <v>7993</v>
      </c>
      <c r="L663" s="2" t="s">
        <v>7990</v>
      </c>
      <c r="M663" s="2" t="s">
        <v>7990</v>
      </c>
      <c r="N663" s="2" t="s">
        <v>7990</v>
      </c>
      <c r="O663" s="2" t="s">
        <v>7995</v>
      </c>
      <c r="P663" s="2" t="s">
        <v>7990</v>
      </c>
    </row>
    <row r="664" spans="1:16">
      <c r="A664" s="1">
        <v>663</v>
      </c>
      <c r="B664" s="2" t="s">
        <v>7996</v>
      </c>
      <c r="C664" s="2" t="s">
        <v>7997</v>
      </c>
      <c r="D664" s="2" t="s">
        <v>7998</v>
      </c>
      <c r="E664" s="2" t="s">
        <v>7996</v>
      </c>
      <c r="F664" s="2" t="s">
        <v>7999</v>
      </c>
      <c r="G664" s="2" t="s">
        <v>7999</v>
      </c>
      <c r="H664" s="2" t="s">
        <v>8000</v>
      </c>
      <c r="I664" s="2" t="s">
        <v>8001</v>
      </c>
      <c r="J664" s="2" t="s">
        <v>7996</v>
      </c>
      <c r="K664" s="2" t="s">
        <v>7999</v>
      </c>
      <c r="L664" s="2" t="s">
        <v>7996</v>
      </c>
      <c r="M664" s="2" t="s">
        <v>7996</v>
      </c>
      <c r="N664" s="2" t="s">
        <v>7996</v>
      </c>
      <c r="O664" s="2" t="s">
        <v>8001</v>
      </c>
      <c r="P664" s="2" t="s">
        <v>7996</v>
      </c>
    </row>
    <row r="665" spans="1:16">
      <c r="A665" s="1">
        <v>664</v>
      </c>
      <c r="B665" s="2" t="s">
        <v>8002</v>
      </c>
      <c r="C665" s="2" t="s">
        <v>8003</v>
      </c>
      <c r="D665" s="2" t="s">
        <v>8004</v>
      </c>
      <c r="E665" s="2" t="s">
        <v>8002</v>
      </c>
      <c r="F665" s="2" t="s">
        <v>8005</v>
      </c>
      <c r="G665" s="2" t="s">
        <v>8005</v>
      </c>
      <c r="H665" s="2" t="s">
        <v>8006</v>
      </c>
      <c r="I665" s="2" t="s">
        <v>8007</v>
      </c>
      <c r="J665" s="2" t="s">
        <v>8002</v>
      </c>
      <c r="K665" s="2" t="s">
        <v>8005</v>
      </c>
      <c r="L665" s="2" t="s">
        <v>8002</v>
      </c>
      <c r="M665" s="2" t="s">
        <v>8002</v>
      </c>
      <c r="N665" s="2" t="s">
        <v>8002</v>
      </c>
      <c r="O665" s="2" t="s">
        <v>8007</v>
      </c>
      <c r="P665" s="2" t="s">
        <v>8002</v>
      </c>
    </row>
    <row r="666" spans="1:16">
      <c r="A666" s="1">
        <v>665</v>
      </c>
      <c r="B666" s="2" t="s">
        <v>8008</v>
      </c>
      <c r="C666" s="2" t="s">
        <v>8009</v>
      </c>
      <c r="D666" s="2" t="s">
        <v>8010</v>
      </c>
      <c r="E666" s="2" t="s">
        <v>8011</v>
      </c>
      <c r="F666" s="2" t="s">
        <v>8012</v>
      </c>
      <c r="G666" s="2" t="s">
        <v>8013</v>
      </c>
      <c r="H666" s="2" t="s">
        <v>8014</v>
      </c>
      <c r="I666" s="2" t="s">
        <v>8015</v>
      </c>
      <c r="J666" s="2" t="s">
        <v>8016</v>
      </c>
      <c r="K666" s="2" t="s">
        <v>8017</v>
      </c>
      <c r="L666" s="2" t="s">
        <v>8018</v>
      </c>
      <c r="M666" s="2" t="s">
        <v>8019</v>
      </c>
      <c r="N666" s="2" t="s">
        <v>8020</v>
      </c>
      <c r="O666" s="2" t="s">
        <v>8021</v>
      </c>
      <c r="P666" s="2" t="s">
        <v>8008</v>
      </c>
    </row>
    <row r="667" spans="1:16">
      <c r="A667" s="1">
        <v>666</v>
      </c>
      <c r="B667" s="2" t="s">
        <v>8023</v>
      </c>
      <c r="C667" s="2" t="s">
        <v>8023</v>
      </c>
      <c r="D667" s="2" t="s">
        <v>8022</v>
      </c>
      <c r="E667" s="2" t="s">
        <v>8022</v>
      </c>
      <c r="F667" s="2" t="s">
        <v>8022</v>
      </c>
      <c r="G667" s="2" t="s">
        <v>8022</v>
      </c>
      <c r="H667" s="2" t="s">
        <v>8022</v>
      </c>
      <c r="I667" s="2" t="s">
        <v>8022</v>
      </c>
      <c r="J667" s="2" t="s">
        <v>8022</v>
      </c>
      <c r="K667" s="2" t="s">
        <v>8024</v>
      </c>
      <c r="L667" s="2" t="s">
        <v>8022</v>
      </c>
      <c r="M667" s="2" t="s">
        <v>8022</v>
      </c>
      <c r="N667" s="2" t="s">
        <v>8022</v>
      </c>
      <c r="O667" s="2" t="s">
        <v>8022</v>
      </c>
      <c r="P667" s="2" t="s">
        <v>8022</v>
      </c>
    </row>
    <row r="668" spans="1:16">
      <c r="A668" s="1">
        <v>667</v>
      </c>
      <c r="B668" s="2" t="s">
        <v>22790</v>
      </c>
      <c r="C668" s="2" t="s">
        <v>8026</v>
      </c>
      <c r="D668" s="2" t="s">
        <v>8027</v>
      </c>
      <c r="E668" s="2" t="s">
        <v>8028</v>
      </c>
      <c r="F668" s="2" t="s">
        <v>8029</v>
      </c>
      <c r="G668" s="2" t="s">
        <v>8030</v>
      </c>
      <c r="H668" s="2" t="s">
        <v>8031</v>
      </c>
      <c r="I668" s="2" t="s">
        <v>8032</v>
      </c>
      <c r="J668" s="2" t="s">
        <v>8033</v>
      </c>
      <c r="K668" s="2" t="s">
        <v>8034</v>
      </c>
      <c r="L668" s="2" t="s">
        <v>8035</v>
      </c>
      <c r="M668" s="2" t="s">
        <v>8036</v>
      </c>
      <c r="N668" s="2" t="s">
        <v>8037</v>
      </c>
      <c r="O668" s="2" t="s">
        <v>8038</v>
      </c>
      <c r="P668" s="2" t="s">
        <v>8025</v>
      </c>
    </row>
    <row r="669" spans="1:16">
      <c r="A669" s="1">
        <v>668</v>
      </c>
      <c r="B669" s="2" t="s">
        <v>22791</v>
      </c>
      <c r="C669" s="2" t="s">
        <v>8040</v>
      </c>
      <c r="D669" s="2" t="s">
        <v>8041</v>
      </c>
      <c r="E669" s="2" t="s">
        <v>8042</v>
      </c>
      <c r="F669" s="2" t="s">
        <v>8043</v>
      </c>
      <c r="G669" s="2" t="s">
        <v>8044</v>
      </c>
      <c r="H669" s="2" t="s">
        <v>8045</v>
      </c>
      <c r="I669" s="2" t="s">
        <v>8046</v>
      </c>
      <c r="J669" s="2" t="s">
        <v>8047</v>
      </c>
      <c r="K669" s="2" t="s">
        <v>8048</v>
      </c>
      <c r="L669" s="2" t="s">
        <v>8049</v>
      </c>
      <c r="M669" s="2" t="s">
        <v>8050</v>
      </c>
      <c r="N669" s="2" t="s">
        <v>8050</v>
      </c>
      <c r="O669" s="2" t="s">
        <v>8051</v>
      </c>
      <c r="P669" s="2" t="s">
        <v>8039</v>
      </c>
    </row>
    <row r="670" spans="1:16">
      <c r="A670" s="1">
        <v>669</v>
      </c>
      <c r="B670" s="2" t="s">
        <v>22792</v>
      </c>
      <c r="C670" s="2" t="s">
        <v>8053</v>
      </c>
      <c r="D670" s="2" t="s">
        <v>8054</v>
      </c>
      <c r="E670" s="2" t="s">
        <v>8055</v>
      </c>
      <c r="F670" s="2" t="s">
        <v>8056</v>
      </c>
      <c r="G670" s="2" t="s">
        <v>8057</v>
      </c>
      <c r="H670" s="2" t="s">
        <v>8058</v>
      </c>
      <c r="I670" s="2" t="s">
        <v>8059</v>
      </c>
      <c r="J670" s="2" t="s">
        <v>8060</v>
      </c>
      <c r="K670" s="2" t="s">
        <v>8061</v>
      </c>
      <c r="L670" s="2" t="s">
        <v>8062</v>
      </c>
      <c r="M670" s="2" t="s">
        <v>8063</v>
      </c>
      <c r="N670" s="2" t="s">
        <v>8064</v>
      </c>
      <c r="O670" s="2" t="s">
        <v>8065</v>
      </c>
      <c r="P670" s="2" t="s">
        <v>8052</v>
      </c>
    </row>
    <row r="671" spans="1:16">
      <c r="A671" s="1">
        <v>670</v>
      </c>
      <c r="B671" s="2" t="s">
        <v>22793</v>
      </c>
      <c r="C671" s="2" t="s">
        <v>8067</v>
      </c>
      <c r="D671" s="2" t="s">
        <v>8068</v>
      </c>
      <c r="E671" s="2" t="s">
        <v>8069</v>
      </c>
      <c r="F671" s="2" t="s">
        <v>8070</v>
      </c>
      <c r="G671" s="2" t="s">
        <v>8071</v>
      </c>
      <c r="H671" s="2" t="s">
        <v>8072</v>
      </c>
      <c r="I671" s="2" t="s">
        <v>8073</v>
      </c>
      <c r="J671" s="2" t="s">
        <v>8074</v>
      </c>
      <c r="K671" s="2" t="s">
        <v>8075</v>
      </c>
      <c r="L671" s="2" t="s">
        <v>8076</v>
      </c>
      <c r="M671" s="2" t="s">
        <v>8077</v>
      </c>
      <c r="N671" s="2" t="s">
        <v>8078</v>
      </c>
      <c r="O671" s="2" t="s">
        <v>8079</v>
      </c>
      <c r="P671" s="2" t="s">
        <v>8066</v>
      </c>
    </row>
    <row r="672" spans="1:16">
      <c r="A672" s="1">
        <v>671</v>
      </c>
      <c r="B672" s="2" t="s">
        <v>22794</v>
      </c>
      <c r="C672" s="2" t="s">
        <v>8081</v>
      </c>
      <c r="D672" s="2" t="s">
        <v>8082</v>
      </c>
      <c r="E672" s="2" t="s">
        <v>8083</v>
      </c>
      <c r="F672" s="2" t="s">
        <v>8084</v>
      </c>
      <c r="G672" s="2" t="s">
        <v>8085</v>
      </c>
      <c r="H672" s="2" t="s">
        <v>8086</v>
      </c>
      <c r="I672" s="2" t="s">
        <v>8087</v>
      </c>
      <c r="J672" s="2" t="s">
        <v>8088</v>
      </c>
      <c r="K672" s="2" t="s">
        <v>8089</v>
      </c>
      <c r="L672" s="2" t="s">
        <v>8090</v>
      </c>
      <c r="M672" s="2" t="s">
        <v>8091</v>
      </c>
      <c r="N672" s="2" t="s">
        <v>8092</v>
      </c>
      <c r="O672" s="2" t="s">
        <v>8093</v>
      </c>
      <c r="P672" s="2" t="s">
        <v>8080</v>
      </c>
    </row>
    <row r="673" spans="1:16">
      <c r="A673" s="1">
        <v>672</v>
      </c>
      <c r="B673" s="2" t="s">
        <v>22795</v>
      </c>
      <c r="C673" s="2" t="s">
        <v>8095</v>
      </c>
      <c r="D673" s="2" t="s">
        <v>8096</v>
      </c>
      <c r="E673" s="2" t="s">
        <v>8097</v>
      </c>
      <c r="F673" s="2" t="s">
        <v>8098</v>
      </c>
      <c r="G673" s="2" t="s">
        <v>8099</v>
      </c>
      <c r="H673" s="2" t="s">
        <v>8100</v>
      </c>
      <c r="I673" s="2" t="s">
        <v>8101</v>
      </c>
      <c r="J673" s="2" t="s">
        <v>8102</v>
      </c>
      <c r="K673" s="2" t="s">
        <v>8103</v>
      </c>
      <c r="L673" s="2" t="s">
        <v>8104</v>
      </c>
      <c r="M673" s="2" t="s">
        <v>8105</v>
      </c>
      <c r="N673" s="2" t="s">
        <v>8106</v>
      </c>
      <c r="O673" s="2" t="s">
        <v>8107</v>
      </c>
      <c r="P673" s="2" t="s">
        <v>8094</v>
      </c>
    </row>
    <row r="674" spans="1:16">
      <c r="A674" s="1">
        <v>673</v>
      </c>
      <c r="B674" s="2" t="s">
        <v>25610</v>
      </c>
      <c r="C674" s="2" t="s">
        <v>25611</v>
      </c>
      <c r="D674" s="2" t="s">
        <v>8108</v>
      </c>
      <c r="E674" s="2" t="s">
        <v>25612</v>
      </c>
      <c r="F674" s="2" t="s">
        <v>25613</v>
      </c>
      <c r="G674" s="2" t="s">
        <v>25614</v>
      </c>
      <c r="H674" s="2" t="s">
        <v>25615</v>
      </c>
      <c r="I674" s="2" t="s">
        <v>25616</v>
      </c>
      <c r="J674" s="2" t="s">
        <v>25617</v>
      </c>
      <c r="K674" s="2" t="s">
        <v>25618</v>
      </c>
      <c r="L674" s="2" t="s">
        <v>25619</v>
      </c>
      <c r="M674" s="2" t="s">
        <v>25620</v>
      </c>
      <c r="N674" s="2" t="s">
        <v>25621</v>
      </c>
      <c r="O674" s="2" t="s">
        <v>25622</v>
      </c>
      <c r="P674" s="2" t="s">
        <v>25623</v>
      </c>
    </row>
    <row r="675" spans="1:16">
      <c r="A675" s="1">
        <v>674</v>
      </c>
      <c r="B675" s="2" t="s">
        <v>22796</v>
      </c>
      <c r="C675" s="2" t="s">
        <v>8110</v>
      </c>
      <c r="D675" s="2" t="s">
        <v>8111</v>
      </c>
      <c r="E675" s="2" t="s">
        <v>8112</v>
      </c>
      <c r="F675" s="2" t="s">
        <v>8113</v>
      </c>
      <c r="G675" s="2" t="s">
        <v>8114</v>
      </c>
      <c r="H675" s="2" t="s">
        <v>8115</v>
      </c>
      <c r="I675" s="2" t="s">
        <v>8116</v>
      </c>
      <c r="J675" s="2" t="s">
        <v>8117</v>
      </c>
      <c r="K675" s="2" t="s">
        <v>8118</v>
      </c>
      <c r="L675" s="2" t="s">
        <v>8119</v>
      </c>
      <c r="M675" s="2" t="s">
        <v>8120</v>
      </c>
      <c r="N675" s="2" t="s">
        <v>8121</v>
      </c>
      <c r="O675" s="2" t="s">
        <v>8122</v>
      </c>
      <c r="P675" s="2" t="s">
        <v>8109</v>
      </c>
    </row>
    <row r="676" spans="1:16">
      <c r="A676" s="1">
        <v>675</v>
      </c>
      <c r="B676" s="2" t="s">
        <v>22797</v>
      </c>
      <c r="C676" s="2" t="s">
        <v>8124</v>
      </c>
      <c r="D676" s="2" t="s">
        <v>8125</v>
      </c>
      <c r="E676" s="2" t="s">
        <v>8126</v>
      </c>
      <c r="F676" s="2" t="s">
        <v>8127</v>
      </c>
      <c r="G676" s="2" t="s">
        <v>8128</v>
      </c>
      <c r="H676" s="2" t="s">
        <v>8129</v>
      </c>
      <c r="I676" s="2" t="s">
        <v>8130</v>
      </c>
      <c r="J676" s="2" t="s">
        <v>8131</v>
      </c>
      <c r="K676" s="2" t="s">
        <v>8132</v>
      </c>
      <c r="L676" s="2" t="s">
        <v>8133</v>
      </c>
      <c r="M676" s="2" t="s">
        <v>8134</v>
      </c>
      <c r="N676" s="2" t="s">
        <v>8135</v>
      </c>
      <c r="O676" s="2" t="s">
        <v>8136</v>
      </c>
      <c r="P676" s="2" t="s">
        <v>8123</v>
      </c>
    </row>
    <row r="677" spans="1:16">
      <c r="A677" s="1">
        <v>676</v>
      </c>
      <c r="B677" s="2" t="s">
        <v>22798</v>
      </c>
      <c r="C677" s="2" t="s">
        <v>8138</v>
      </c>
      <c r="D677" s="2" t="s">
        <v>8139</v>
      </c>
      <c r="E677" s="2" t="s">
        <v>8140</v>
      </c>
      <c r="F677" s="2" t="s">
        <v>8141</v>
      </c>
      <c r="G677" s="2" t="s">
        <v>8142</v>
      </c>
      <c r="H677" s="2" t="s">
        <v>8143</v>
      </c>
      <c r="I677" s="2" t="s">
        <v>8144</v>
      </c>
      <c r="J677" s="2" t="s">
        <v>8145</v>
      </c>
      <c r="K677" s="2" t="s">
        <v>8146</v>
      </c>
      <c r="L677" s="2" t="s">
        <v>8147</v>
      </c>
      <c r="M677" s="2" t="s">
        <v>8148</v>
      </c>
      <c r="N677" s="2" t="s">
        <v>8149</v>
      </c>
      <c r="O677" s="2" t="s">
        <v>8150</v>
      </c>
      <c r="P677" s="2" t="s">
        <v>8137</v>
      </c>
    </row>
    <row r="678" spans="1:16">
      <c r="A678" s="1">
        <v>677</v>
      </c>
      <c r="B678" s="2" t="s">
        <v>8151</v>
      </c>
      <c r="C678" s="2" t="s">
        <v>8152</v>
      </c>
      <c r="D678" s="2" t="s">
        <v>8153</v>
      </c>
      <c r="E678" s="2" t="s">
        <v>8154</v>
      </c>
      <c r="F678" s="2" t="s">
        <v>8155</v>
      </c>
      <c r="G678" s="2" t="s">
        <v>8156</v>
      </c>
      <c r="H678" s="2" t="s">
        <v>8157</v>
      </c>
      <c r="I678" s="2" t="s">
        <v>8158</v>
      </c>
      <c r="J678" s="2" t="s">
        <v>8159</v>
      </c>
      <c r="K678" s="2" t="s">
        <v>8160</v>
      </c>
      <c r="L678" s="2" t="s">
        <v>8161</v>
      </c>
      <c r="M678" s="2" t="s">
        <v>8162</v>
      </c>
      <c r="N678" s="2" t="s">
        <v>8163</v>
      </c>
      <c r="O678" s="2" t="s">
        <v>8164</v>
      </c>
      <c r="P678" s="2" t="s">
        <v>8151</v>
      </c>
    </row>
    <row r="679" spans="1:16">
      <c r="A679" s="1">
        <v>678</v>
      </c>
      <c r="B679" s="2" t="s">
        <v>22799</v>
      </c>
      <c r="C679" s="2" t="s">
        <v>8166</v>
      </c>
      <c r="D679" s="2" t="s">
        <v>8167</v>
      </c>
      <c r="E679" s="2" t="s">
        <v>8168</v>
      </c>
      <c r="F679" s="2" t="s">
        <v>8169</v>
      </c>
      <c r="G679" s="2" t="s">
        <v>8170</v>
      </c>
      <c r="H679" s="2" t="s">
        <v>8171</v>
      </c>
      <c r="I679" s="2" t="s">
        <v>8172</v>
      </c>
      <c r="J679" s="2" t="s">
        <v>8173</v>
      </c>
      <c r="K679" s="2" t="s">
        <v>8174</v>
      </c>
      <c r="L679" s="2" t="s">
        <v>8175</v>
      </c>
      <c r="M679" s="2" t="s">
        <v>8176</v>
      </c>
      <c r="N679" s="2" t="s">
        <v>8177</v>
      </c>
      <c r="O679" s="2" t="s">
        <v>8178</v>
      </c>
      <c r="P679" s="2" t="s">
        <v>8165</v>
      </c>
    </row>
    <row r="680" spans="1:16">
      <c r="A680" s="1">
        <v>679</v>
      </c>
      <c r="B680" s="2" t="s">
        <v>22800</v>
      </c>
      <c r="C680" s="2" t="s">
        <v>8180</v>
      </c>
      <c r="D680" s="2" t="s">
        <v>8181</v>
      </c>
      <c r="E680" s="2" t="s">
        <v>8182</v>
      </c>
      <c r="F680" s="2" t="s">
        <v>8183</v>
      </c>
      <c r="G680" s="2" t="s">
        <v>8184</v>
      </c>
      <c r="H680" s="2" t="s">
        <v>8185</v>
      </c>
      <c r="I680" s="2" t="s">
        <v>8186</v>
      </c>
      <c r="J680" s="2" t="s">
        <v>8187</v>
      </c>
      <c r="K680" s="2" t="s">
        <v>8188</v>
      </c>
      <c r="L680" s="2" t="s">
        <v>8189</v>
      </c>
      <c r="M680" s="2" t="s">
        <v>8190</v>
      </c>
      <c r="N680" s="2" t="s">
        <v>8191</v>
      </c>
      <c r="O680" s="2" t="s">
        <v>8192</v>
      </c>
      <c r="P680" s="2" t="s">
        <v>8179</v>
      </c>
    </row>
    <row r="681" spans="1:16">
      <c r="A681" s="1">
        <v>680</v>
      </c>
      <c r="B681" s="2" t="s">
        <v>8193</v>
      </c>
      <c r="C681" s="2" t="s">
        <v>8194</v>
      </c>
      <c r="D681" s="2" t="s">
        <v>8195</v>
      </c>
      <c r="E681" s="2" t="s">
        <v>8196</v>
      </c>
      <c r="F681" s="2" t="s">
        <v>8197</v>
      </c>
      <c r="G681" s="2" t="s">
        <v>8198</v>
      </c>
      <c r="H681" s="2" t="s">
        <v>8199</v>
      </c>
      <c r="I681" s="2" t="s">
        <v>8200</v>
      </c>
      <c r="J681" s="2" t="s">
        <v>8201</v>
      </c>
      <c r="K681" s="2" t="s">
        <v>8202</v>
      </c>
      <c r="L681" s="2" t="s">
        <v>8203</v>
      </c>
      <c r="M681" s="2" t="s">
        <v>8204</v>
      </c>
      <c r="N681" s="2" t="s">
        <v>8205</v>
      </c>
      <c r="O681" s="2" t="s">
        <v>8206</v>
      </c>
      <c r="P681" s="2" t="s">
        <v>8193</v>
      </c>
    </row>
    <row r="682" spans="1:16">
      <c r="A682" s="1">
        <v>681</v>
      </c>
      <c r="B682" s="2" t="s">
        <v>8207</v>
      </c>
      <c r="C682" s="2" t="s">
        <v>8208</v>
      </c>
      <c r="D682" s="2" t="s">
        <v>8209</v>
      </c>
      <c r="E682" s="2" t="s">
        <v>8210</v>
      </c>
      <c r="F682" s="2" t="s">
        <v>8211</v>
      </c>
      <c r="G682" s="2" t="s">
        <v>8212</v>
      </c>
      <c r="H682" s="2" t="s">
        <v>8213</v>
      </c>
      <c r="I682" s="2" t="s">
        <v>8214</v>
      </c>
      <c r="J682" s="2" t="s">
        <v>8215</v>
      </c>
      <c r="K682" s="2" t="s">
        <v>8216</v>
      </c>
      <c r="L682" s="2" t="s">
        <v>8217</v>
      </c>
      <c r="M682" s="2" t="s">
        <v>8218</v>
      </c>
      <c r="N682" s="2" t="s">
        <v>8219</v>
      </c>
      <c r="O682" s="2" t="s">
        <v>8220</v>
      </c>
      <c r="P682" s="2" t="s">
        <v>8207</v>
      </c>
    </row>
    <row r="683" spans="1:16">
      <c r="A683" s="1">
        <v>682</v>
      </c>
      <c r="B683" s="2" t="s">
        <v>8221</v>
      </c>
      <c r="C683" s="2" t="s">
        <v>1715</v>
      </c>
      <c r="D683" s="2" t="s">
        <v>1716</v>
      </c>
      <c r="E683" s="2" t="s">
        <v>8222</v>
      </c>
      <c r="F683" s="2" t="s">
        <v>8223</v>
      </c>
      <c r="G683" s="2" t="s">
        <v>8224</v>
      </c>
      <c r="H683" s="2" t="s">
        <v>8225</v>
      </c>
      <c r="I683" s="2" t="s">
        <v>8226</v>
      </c>
      <c r="J683" s="2" t="s">
        <v>8227</v>
      </c>
      <c r="K683" s="2" t="s">
        <v>8228</v>
      </c>
      <c r="L683" s="2" t="s">
        <v>8229</v>
      </c>
      <c r="M683" s="2" t="s">
        <v>8230</v>
      </c>
      <c r="N683" s="2" t="s">
        <v>8231</v>
      </c>
      <c r="O683" s="2" t="s">
        <v>8232</v>
      </c>
      <c r="P683" s="2" t="s">
        <v>8221</v>
      </c>
    </row>
    <row r="684" spans="1:16">
      <c r="A684" s="1">
        <v>683</v>
      </c>
      <c r="B684" s="2" t="s">
        <v>8233</v>
      </c>
      <c r="C684" s="2" t="s">
        <v>8234</v>
      </c>
      <c r="D684" s="2" t="s">
        <v>8235</v>
      </c>
      <c r="E684" s="2" t="s">
        <v>8236</v>
      </c>
      <c r="F684" s="2" t="s">
        <v>8237</v>
      </c>
      <c r="G684" s="2" t="s">
        <v>8238</v>
      </c>
      <c r="H684" s="2" t="s">
        <v>8239</v>
      </c>
      <c r="I684" s="2" t="s">
        <v>8240</v>
      </c>
      <c r="J684" s="2" t="s">
        <v>8241</v>
      </c>
      <c r="K684" s="2" t="s">
        <v>8242</v>
      </c>
      <c r="L684" s="2" t="s">
        <v>8243</v>
      </c>
      <c r="M684" s="2" t="s">
        <v>8244</v>
      </c>
      <c r="N684" s="2" t="s">
        <v>8245</v>
      </c>
      <c r="O684" s="2" t="s">
        <v>8242</v>
      </c>
      <c r="P684" s="2" t="s">
        <v>8233</v>
      </c>
    </row>
    <row r="685" spans="1:16">
      <c r="A685" s="1">
        <v>684</v>
      </c>
      <c r="B685" s="2" t="s">
        <v>8246</v>
      </c>
      <c r="C685" s="2" t="s">
        <v>8247</v>
      </c>
      <c r="D685" s="2" t="s">
        <v>8248</v>
      </c>
      <c r="E685" s="2" t="s">
        <v>8249</v>
      </c>
      <c r="F685" s="2" t="s">
        <v>8250</v>
      </c>
      <c r="G685" s="2" t="s">
        <v>8251</v>
      </c>
      <c r="H685" s="2" t="s">
        <v>8252</v>
      </c>
      <c r="I685" s="2" t="s">
        <v>8253</v>
      </c>
      <c r="J685" s="2" t="s">
        <v>8254</v>
      </c>
      <c r="K685" s="2" t="s">
        <v>8255</v>
      </c>
      <c r="L685" s="2" t="s">
        <v>8256</v>
      </c>
      <c r="M685" s="2" t="s">
        <v>8257</v>
      </c>
      <c r="N685" s="2" t="s">
        <v>8258</v>
      </c>
      <c r="O685" s="2" t="s">
        <v>8259</v>
      </c>
      <c r="P685" s="2" t="s">
        <v>8246</v>
      </c>
    </row>
    <row r="686" spans="1:16">
      <c r="A686" s="1">
        <v>685</v>
      </c>
      <c r="B686" s="2" t="s">
        <v>8260</v>
      </c>
      <c r="C686" s="2" t="s">
        <v>8261</v>
      </c>
      <c r="D686" s="2" t="s">
        <v>8262</v>
      </c>
      <c r="E686" s="2" t="s">
        <v>8263</v>
      </c>
      <c r="F686" s="2" t="s">
        <v>8264</v>
      </c>
      <c r="G686" s="2" t="s">
        <v>8265</v>
      </c>
      <c r="H686" s="2" t="s">
        <v>8266</v>
      </c>
      <c r="I686" s="2" t="s">
        <v>8267</v>
      </c>
      <c r="J686" s="2" t="s">
        <v>8268</v>
      </c>
      <c r="K686" s="2" t="s">
        <v>8269</v>
      </c>
      <c r="L686" s="2" t="s">
        <v>8270</v>
      </c>
      <c r="M686" s="2" t="s">
        <v>8271</v>
      </c>
      <c r="N686" s="2" t="s">
        <v>8272</v>
      </c>
      <c r="O686" s="2" t="s">
        <v>8273</v>
      </c>
      <c r="P686" s="2" t="s">
        <v>8260</v>
      </c>
    </row>
    <row r="687" spans="1:16">
      <c r="A687" s="1">
        <v>686</v>
      </c>
      <c r="B687" s="2" t="s">
        <v>8274</v>
      </c>
      <c r="C687" s="2" t="s">
        <v>8275</v>
      </c>
      <c r="D687" s="2" t="s">
        <v>8276</v>
      </c>
      <c r="E687" s="2" t="s">
        <v>8277</v>
      </c>
      <c r="F687" s="2" t="s">
        <v>5346</v>
      </c>
      <c r="G687" s="2" t="s">
        <v>8278</v>
      </c>
      <c r="H687" s="2" t="s">
        <v>8279</v>
      </c>
      <c r="I687" s="2" t="s">
        <v>8280</v>
      </c>
      <c r="J687" s="2" t="s">
        <v>8281</v>
      </c>
      <c r="K687" s="2" t="s">
        <v>8282</v>
      </c>
      <c r="L687" s="2" t="s">
        <v>8283</v>
      </c>
      <c r="M687" s="2" t="s">
        <v>8284</v>
      </c>
      <c r="N687" s="2" t="s">
        <v>8285</v>
      </c>
      <c r="O687" s="2" t="s">
        <v>8286</v>
      </c>
      <c r="P687" s="2" t="s">
        <v>8274</v>
      </c>
    </row>
    <row r="688" spans="1:16">
      <c r="A688" s="1">
        <v>687</v>
      </c>
      <c r="B688" s="2" t="s">
        <v>8287</v>
      </c>
      <c r="C688" s="2" t="s">
        <v>8288</v>
      </c>
      <c r="D688" s="2" t="s">
        <v>8289</v>
      </c>
      <c r="E688" s="2" t="s">
        <v>8290</v>
      </c>
      <c r="F688" s="2" t="s">
        <v>8291</v>
      </c>
      <c r="G688" s="2" t="s">
        <v>8292</v>
      </c>
      <c r="H688" s="2" t="s">
        <v>8293</v>
      </c>
      <c r="I688" s="2" t="s">
        <v>8294</v>
      </c>
      <c r="J688" s="2" t="s">
        <v>8295</v>
      </c>
      <c r="K688" s="2" t="s">
        <v>8296</v>
      </c>
      <c r="L688" s="2" t="s">
        <v>8297</v>
      </c>
      <c r="M688" s="2" t="s">
        <v>8298</v>
      </c>
      <c r="N688" s="2" t="s">
        <v>8299</v>
      </c>
      <c r="O688" s="2" t="s">
        <v>8300</v>
      </c>
      <c r="P688" s="2" t="s">
        <v>8287</v>
      </c>
    </row>
    <row r="689" spans="1:16">
      <c r="A689" s="1">
        <v>688</v>
      </c>
      <c r="B689" s="2" t="s">
        <v>8301</v>
      </c>
      <c r="C689" s="2" t="s">
        <v>8302</v>
      </c>
      <c r="D689" s="2" t="s">
        <v>8303</v>
      </c>
      <c r="E689" s="2" t="s">
        <v>8304</v>
      </c>
      <c r="F689" s="2" t="s">
        <v>8305</v>
      </c>
      <c r="G689" s="2" t="s">
        <v>8306</v>
      </c>
      <c r="H689" s="2" t="s">
        <v>8307</v>
      </c>
      <c r="I689" s="2" t="s">
        <v>8308</v>
      </c>
      <c r="J689" s="2" t="s">
        <v>8309</v>
      </c>
      <c r="K689" s="2" t="s">
        <v>8310</v>
      </c>
      <c r="L689" s="2" t="s">
        <v>8311</v>
      </c>
      <c r="M689" s="2" t="s">
        <v>8312</v>
      </c>
      <c r="N689" s="2" t="s">
        <v>8313</v>
      </c>
      <c r="O689" s="2" t="s">
        <v>8314</v>
      </c>
      <c r="P689" s="2" t="s">
        <v>8301</v>
      </c>
    </row>
    <row r="690" spans="1:16">
      <c r="A690" s="1">
        <v>689</v>
      </c>
      <c r="B690" s="2" t="s">
        <v>8315</v>
      </c>
      <c r="C690" s="2" t="s">
        <v>8316</v>
      </c>
      <c r="D690" s="2" t="s">
        <v>8317</v>
      </c>
      <c r="E690" s="2" t="s">
        <v>8318</v>
      </c>
      <c r="F690" s="2" t="s">
        <v>8319</v>
      </c>
      <c r="G690" s="2" t="s">
        <v>8320</v>
      </c>
      <c r="H690" s="2" t="s">
        <v>8321</v>
      </c>
      <c r="I690" s="2" t="s">
        <v>8322</v>
      </c>
      <c r="J690" s="2" t="s">
        <v>8323</v>
      </c>
      <c r="K690" s="2" t="s">
        <v>8324</v>
      </c>
      <c r="L690" s="2" t="s">
        <v>8325</v>
      </c>
      <c r="M690" s="2" t="s">
        <v>8326</v>
      </c>
      <c r="N690" s="2" t="s">
        <v>8327</v>
      </c>
      <c r="O690" s="2" t="s">
        <v>8328</v>
      </c>
      <c r="P690" s="2" t="s">
        <v>8315</v>
      </c>
    </row>
    <row r="691" spans="1:16">
      <c r="A691" s="1">
        <v>690</v>
      </c>
      <c r="B691" s="2" t="s">
        <v>8329</v>
      </c>
      <c r="C691" s="2" t="s">
        <v>8330</v>
      </c>
      <c r="D691" s="2" t="s">
        <v>8331</v>
      </c>
      <c r="E691" s="2" t="s">
        <v>8332</v>
      </c>
      <c r="F691" s="2" t="s">
        <v>8333</v>
      </c>
      <c r="G691" s="2" t="s">
        <v>8334</v>
      </c>
      <c r="H691" s="2" t="s">
        <v>8335</v>
      </c>
      <c r="I691" s="2" t="s">
        <v>8336</v>
      </c>
      <c r="J691" s="2" t="s">
        <v>8337</v>
      </c>
      <c r="K691" s="2" t="s">
        <v>8338</v>
      </c>
      <c r="L691" s="2" t="s">
        <v>8339</v>
      </c>
      <c r="M691" s="2" t="s">
        <v>8340</v>
      </c>
      <c r="N691" s="2" t="s">
        <v>8341</v>
      </c>
      <c r="O691" s="2" t="s">
        <v>8342</v>
      </c>
      <c r="P691" s="2" t="s">
        <v>8329</v>
      </c>
    </row>
    <row r="692" spans="1:16">
      <c r="A692" s="1">
        <v>691</v>
      </c>
      <c r="B692" s="2" t="s">
        <v>22801</v>
      </c>
      <c r="C692" s="2" t="s">
        <v>8344</v>
      </c>
      <c r="D692" s="2" t="s">
        <v>8345</v>
      </c>
      <c r="E692" s="2" t="s">
        <v>25624</v>
      </c>
      <c r="F692" s="2" t="s">
        <v>8346</v>
      </c>
      <c r="G692" s="2" t="s">
        <v>8347</v>
      </c>
      <c r="H692" s="2" t="s">
        <v>8348</v>
      </c>
      <c r="I692" s="2" t="s">
        <v>8349</v>
      </c>
      <c r="J692" s="2" t="s">
        <v>8350</v>
      </c>
      <c r="K692" s="2" t="s">
        <v>8351</v>
      </c>
      <c r="L692" s="2" t="s">
        <v>8352</v>
      </c>
      <c r="M692" s="2" t="s">
        <v>8353</v>
      </c>
      <c r="N692" s="2" t="s">
        <v>8354</v>
      </c>
      <c r="O692" s="2" t="s">
        <v>8355</v>
      </c>
      <c r="P692" s="2" t="s">
        <v>8343</v>
      </c>
    </row>
    <row r="693" spans="1:16">
      <c r="A693" s="1">
        <v>692</v>
      </c>
      <c r="B693" s="2" t="s">
        <v>8356</v>
      </c>
      <c r="C693" s="2" t="s">
        <v>8357</v>
      </c>
      <c r="D693" s="2" t="s">
        <v>8358</v>
      </c>
      <c r="E693" s="2" t="s">
        <v>8359</v>
      </c>
      <c r="F693" s="2" t="s">
        <v>8360</v>
      </c>
      <c r="G693" s="2" t="s">
        <v>8361</v>
      </c>
      <c r="H693" s="2" t="s">
        <v>8362</v>
      </c>
      <c r="I693" s="2" t="s">
        <v>8363</v>
      </c>
      <c r="J693" s="2" t="s">
        <v>8364</v>
      </c>
      <c r="K693" s="2" t="s">
        <v>8365</v>
      </c>
      <c r="L693" s="2" t="s">
        <v>8366</v>
      </c>
      <c r="M693" s="2" t="s">
        <v>8367</v>
      </c>
      <c r="N693" s="2" t="s">
        <v>8368</v>
      </c>
      <c r="O693" s="2" t="s">
        <v>8369</v>
      </c>
      <c r="P693" s="2" t="s">
        <v>8356</v>
      </c>
    </row>
    <row r="694" spans="1:16">
      <c r="A694" s="1">
        <v>693</v>
      </c>
      <c r="B694" s="2" t="s">
        <v>8356</v>
      </c>
      <c r="C694" s="2" t="s">
        <v>8371</v>
      </c>
      <c r="D694" s="2" t="s">
        <v>8372</v>
      </c>
      <c r="E694" s="2" t="s">
        <v>8359</v>
      </c>
      <c r="F694" s="2" t="s">
        <v>8360</v>
      </c>
      <c r="G694" s="2" t="s">
        <v>8373</v>
      </c>
      <c r="H694" s="2" t="s">
        <v>8374</v>
      </c>
      <c r="I694" s="2" t="s">
        <v>8375</v>
      </c>
      <c r="J694" s="2" t="s">
        <v>8376</v>
      </c>
      <c r="K694" s="2" t="s">
        <v>8365</v>
      </c>
      <c r="L694" s="2" t="s">
        <v>8377</v>
      </c>
      <c r="M694" s="2" t="s">
        <v>8378</v>
      </c>
      <c r="N694" s="2" t="s">
        <v>8379</v>
      </c>
      <c r="O694" s="2" t="s">
        <v>8380</v>
      </c>
      <c r="P694" s="2" t="s">
        <v>8370</v>
      </c>
    </row>
    <row r="695" spans="1:16">
      <c r="A695" s="1">
        <v>694</v>
      </c>
      <c r="B695" s="2" t="s">
        <v>8381</v>
      </c>
      <c r="C695" s="2" t="s">
        <v>8382</v>
      </c>
      <c r="D695" s="2" t="s">
        <v>8383</v>
      </c>
      <c r="E695" s="2" t="s">
        <v>8384</v>
      </c>
      <c r="F695" s="2" t="s">
        <v>8385</v>
      </c>
      <c r="G695" s="2" t="s">
        <v>8386</v>
      </c>
      <c r="H695" s="2" t="s">
        <v>8387</v>
      </c>
      <c r="I695" s="2" t="s">
        <v>8388</v>
      </c>
      <c r="J695" s="2" t="s">
        <v>8389</v>
      </c>
      <c r="K695" s="2" t="s">
        <v>8390</v>
      </c>
      <c r="L695" s="2" t="s">
        <v>8391</v>
      </c>
      <c r="M695" s="2" t="s">
        <v>8392</v>
      </c>
      <c r="N695" s="2" t="s">
        <v>8393</v>
      </c>
      <c r="O695" s="2" t="s">
        <v>8394</v>
      </c>
      <c r="P695" s="2" t="s">
        <v>8381</v>
      </c>
    </row>
    <row r="696" spans="1:16">
      <c r="A696" s="1">
        <v>695</v>
      </c>
      <c r="B696" s="2" t="s">
        <v>8395</v>
      </c>
      <c r="C696" s="2" t="s">
        <v>8396</v>
      </c>
      <c r="D696" s="2" t="s">
        <v>8397</v>
      </c>
      <c r="E696" s="2" t="s">
        <v>8398</v>
      </c>
      <c r="F696" s="2" t="s">
        <v>8399</v>
      </c>
      <c r="G696" s="2" t="s">
        <v>8400</v>
      </c>
      <c r="H696" s="2" t="s">
        <v>8401</v>
      </c>
      <c r="I696" s="2" t="s">
        <v>8402</v>
      </c>
      <c r="J696" s="2" t="s">
        <v>8403</v>
      </c>
      <c r="K696" s="2" t="s">
        <v>8404</v>
      </c>
      <c r="L696" s="2" t="s">
        <v>8405</v>
      </c>
      <c r="M696" s="2" t="s">
        <v>8406</v>
      </c>
      <c r="N696" s="2" t="s">
        <v>8407</v>
      </c>
      <c r="O696" s="2" t="s">
        <v>8408</v>
      </c>
      <c r="P696" s="2" t="s">
        <v>8395</v>
      </c>
    </row>
    <row r="697" spans="1:16">
      <c r="A697" s="1">
        <v>696</v>
      </c>
      <c r="B697" s="2" t="s">
        <v>8409</v>
      </c>
      <c r="C697" s="2" t="s">
        <v>8410</v>
      </c>
      <c r="D697" s="2" t="s">
        <v>8411</v>
      </c>
      <c r="E697" s="2" t="s">
        <v>8412</v>
      </c>
      <c r="F697" s="2" t="s">
        <v>8413</v>
      </c>
      <c r="G697" s="2" t="s">
        <v>8414</v>
      </c>
      <c r="H697" s="2" t="s">
        <v>8415</v>
      </c>
      <c r="I697" s="2" t="s">
        <v>8416</v>
      </c>
      <c r="J697" s="2" t="s">
        <v>8417</v>
      </c>
      <c r="K697" s="2" t="s">
        <v>8418</v>
      </c>
      <c r="L697" s="2" t="s">
        <v>8419</v>
      </c>
      <c r="M697" s="2" t="s">
        <v>8420</v>
      </c>
      <c r="N697" s="2" t="s">
        <v>8421</v>
      </c>
      <c r="O697" s="2" t="s">
        <v>8422</v>
      </c>
      <c r="P697" s="2" t="s">
        <v>8409</v>
      </c>
    </row>
    <row r="698" spans="1:16">
      <c r="A698" s="1">
        <v>697</v>
      </c>
      <c r="B698" s="2" t="s">
        <v>8423</v>
      </c>
      <c r="C698" s="2" t="s">
        <v>8424</v>
      </c>
      <c r="D698" s="2" t="s">
        <v>8425</v>
      </c>
      <c r="E698" s="2" t="s">
        <v>6236</v>
      </c>
      <c r="F698" s="2" t="s">
        <v>6237</v>
      </c>
      <c r="G698" s="2" t="s">
        <v>8426</v>
      </c>
      <c r="H698" s="2" t="s">
        <v>8427</v>
      </c>
      <c r="I698" s="2" t="s">
        <v>8428</v>
      </c>
      <c r="J698" s="2" t="s">
        <v>8429</v>
      </c>
      <c r="K698" s="2" t="s">
        <v>8430</v>
      </c>
      <c r="L698" s="2" t="s">
        <v>8431</v>
      </c>
      <c r="M698" s="2" t="s">
        <v>8432</v>
      </c>
      <c r="N698" s="2" t="s">
        <v>8433</v>
      </c>
      <c r="O698" s="2" t="s">
        <v>8434</v>
      </c>
      <c r="P698" s="2" t="s">
        <v>8423</v>
      </c>
    </row>
    <row r="699" spans="1:16">
      <c r="A699" s="1">
        <v>698</v>
      </c>
      <c r="B699" s="2" t="s">
        <v>8435</v>
      </c>
      <c r="C699" s="2" t="s">
        <v>8436</v>
      </c>
      <c r="D699" s="2" t="s">
        <v>8437</v>
      </c>
      <c r="E699" s="2" t="s">
        <v>8438</v>
      </c>
      <c r="F699" s="2" t="s">
        <v>8439</v>
      </c>
      <c r="G699" s="2" t="s">
        <v>8440</v>
      </c>
      <c r="H699" s="2" t="s">
        <v>8441</v>
      </c>
      <c r="I699" s="2" t="s">
        <v>8442</v>
      </c>
      <c r="J699" s="2" t="s">
        <v>8443</v>
      </c>
      <c r="K699" s="2" t="s">
        <v>8444</v>
      </c>
      <c r="L699" s="2" t="s">
        <v>8445</v>
      </c>
      <c r="M699" s="2" t="s">
        <v>8446</v>
      </c>
      <c r="N699" s="2" t="s">
        <v>8447</v>
      </c>
      <c r="O699" s="2" t="s">
        <v>8448</v>
      </c>
      <c r="P699" s="2" t="s">
        <v>8435</v>
      </c>
    </row>
    <row r="700" spans="1:16">
      <c r="A700" s="1">
        <v>699</v>
      </c>
      <c r="B700" s="2" t="s">
        <v>8449</v>
      </c>
      <c r="C700" s="2" t="s">
        <v>8450</v>
      </c>
      <c r="D700" s="2" t="s">
        <v>8451</v>
      </c>
      <c r="E700" s="2" t="s">
        <v>8452</v>
      </c>
      <c r="F700" s="2" t="s">
        <v>8453</v>
      </c>
      <c r="G700" s="2" t="s">
        <v>8454</v>
      </c>
      <c r="H700" s="2" t="s">
        <v>8455</v>
      </c>
      <c r="I700" s="2" t="s">
        <v>8456</v>
      </c>
      <c r="J700" s="2" t="s">
        <v>8457</v>
      </c>
      <c r="K700" s="2" t="s">
        <v>8458</v>
      </c>
      <c r="L700" s="2" t="s">
        <v>8459</v>
      </c>
      <c r="M700" s="2" t="s">
        <v>8460</v>
      </c>
      <c r="N700" s="2" t="s">
        <v>8461</v>
      </c>
      <c r="O700" s="2" t="s">
        <v>8462</v>
      </c>
      <c r="P700" s="2" t="s">
        <v>8449</v>
      </c>
    </row>
    <row r="701" spans="1:16">
      <c r="A701" s="1">
        <v>700</v>
      </c>
      <c r="B701" s="2" t="s">
        <v>8463</v>
      </c>
      <c r="C701" s="2" t="s">
        <v>8464</v>
      </c>
      <c r="D701" s="2" t="s">
        <v>8465</v>
      </c>
      <c r="E701" s="2" t="s">
        <v>8466</v>
      </c>
      <c r="F701" s="2" t="s">
        <v>8467</v>
      </c>
      <c r="G701" s="2" t="s">
        <v>8468</v>
      </c>
      <c r="H701" s="2" t="s">
        <v>8469</v>
      </c>
      <c r="I701" s="2" t="s">
        <v>8470</v>
      </c>
      <c r="J701" s="2" t="s">
        <v>8471</v>
      </c>
      <c r="K701" s="2" t="s">
        <v>8472</v>
      </c>
      <c r="L701" s="2" t="s">
        <v>8473</v>
      </c>
      <c r="M701" s="2" t="s">
        <v>8474</v>
      </c>
      <c r="N701" s="2" t="s">
        <v>8475</v>
      </c>
      <c r="O701" s="2" t="s">
        <v>8476</v>
      </c>
      <c r="P701" s="2" t="s">
        <v>8463</v>
      </c>
    </row>
    <row r="702" spans="1:16">
      <c r="A702" s="1">
        <v>701</v>
      </c>
      <c r="B702" s="2" t="s">
        <v>8477</v>
      </c>
      <c r="C702" s="2" t="s">
        <v>8478</v>
      </c>
      <c r="D702" s="2" t="s">
        <v>8479</v>
      </c>
      <c r="E702" s="2" t="s">
        <v>8480</v>
      </c>
      <c r="F702" s="2" t="s">
        <v>8481</v>
      </c>
      <c r="G702" s="2" t="s">
        <v>8482</v>
      </c>
      <c r="H702" s="2" t="s">
        <v>8483</v>
      </c>
      <c r="I702" s="2" t="s">
        <v>8484</v>
      </c>
      <c r="J702" s="2" t="s">
        <v>8485</v>
      </c>
      <c r="K702" s="2" t="s">
        <v>8486</v>
      </c>
      <c r="L702" s="2" t="s">
        <v>8487</v>
      </c>
      <c r="M702" s="2" t="s">
        <v>8488</v>
      </c>
      <c r="N702" s="2" t="s">
        <v>8489</v>
      </c>
      <c r="O702" s="2" t="s">
        <v>8490</v>
      </c>
      <c r="P702" s="2" t="s">
        <v>8477</v>
      </c>
    </row>
    <row r="703" spans="1:16">
      <c r="A703" s="1">
        <v>702</v>
      </c>
      <c r="B703" s="2" t="s">
        <v>8491</v>
      </c>
      <c r="C703" s="2" t="s">
        <v>8492</v>
      </c>
      <c r="D703" s="2" t="s">
        <v>8493</v>
      </c>
      <c r="E703" s="2" t="s">
        <v>8494</v>
      </c>
      <c r="F703" s="2" t="s">
        <v>8495</v>
      </c>
      <c r="G703" s="2" t="s">
        <v>8496</v>
      </c>
      <c r="H703" s="2" t="s">
        <v>8497</v>
      </c>
      <c r="I703" s="2" t="s">
        <v>8498</v>
      </c>
      <c r="J703" s="2" t="s">
        <v>8499</v>
      </c>
      <c r="K703" s="2" t="s">
        <v>8500</v>
      </c>
      <c r="L703" s="2" t="s">
        <v>8501</v>
      </c>
      <c r="M703" s="2" t="s">
        <v>8502</v>
      </c>
      <c r="N703" s="2" t="s">
        <v>8503</v>
      </c>
      <c r="O703" s="2" t="s">
        <v>8504</v>
      </c>
      <c r="P703" s="2" t="s">
        <v>8491</v>
      </c>
    </row>
    <row r="704" spans="1:16">
      <c r="A704" s="1">
        <v>703</v>
      </c>
      <c r="B704" s="2" t="s">
        <v>8505</v>
      </c>
      <c r="C704" s="2" t="s">
        <v>8506</v>
      </c>
      <c r="D704" s="2" t="s">
        <v>8507</v>
      </c>
      <c r="E704" s="2" t="s">
        <v>8508</v>
      </c>
      <c r="F704" s="2" t="s">
        <v>8509</v>
      </c>
      <c r="G704" s="2" t="s">
        <v>8510</v>
      </c>
      <c r="H704" s="2" t="s">
        <v>8511</v>
      </c>
      <c r="I704" s="2" t="s">
        <v>8512</v>
      </c>
      <c r="J704" s="2" t="s">
        <v>8505</v>
      </c>
      <c r="K704" s="2" t="s">
        <v>8513</v>
      </c>
      <c r="L704" s="2" t="s">
        <v>8514</v>
      </c>
      <c r="M704" s="2" t="s">
        <v>8505</v>
      </c>
      <c r="N704" s="2" t="s">
        <v>8515</v>
      </c>
      <c r="O704" s="2" t="s">
        <v>8516</v>
      </c>
      <c r="P704" s="2" t="s">
        <v>8505</v>
      </c>
    </row>
    <row r="705" spans="1:16">
      <c r="A705" s="1">
        <v>704</v>
      </c>
      <c r="B705" s="2" t="s">
        <v>22802</v>
      </c>
      <c r="C705" s="2" t="s">
        <v>8518</v>
      </c>
      <c r="D705" s="2" t="s">
        <v>8519</v>
      </c>
      <c r="E705" s="2" t="s">
        <v>25625</v>
      </c>
      <c r="F705" s="2" t="s">
        <v>8520</v>
      </c>
      <c r="G705" s="2" t="s">
        <v>8521</v>
      </c>
      <c r="H705" s="2" t="s">
        <v>8522</v>
      </c>
      <c r="I705" s="2" t="s">
        <v>8523</v>
      </c>
      <c r="J705" s="2" t="s">
        <v>8524</v>
      </c>
      <c r="K705" s="2" t="s">
        <v>8525</v>
      </c>
      <c r="L705" s="2" t="s">
        <v>8526</v>
      </c>
      <c r="M705" s="2" t="s">
        <v>8527</v>
      </c>
      <c r="N705" s="2" t="s">
        <v>8528</v>
      </c>
      <c r="O705" s="2" t="s">
        <v>8529</v>
      </c>
      <c r="P705" s="2" t="s">
        <v>8517</v>
      </c>
    </row>
    <row r="706" spans="1:16">
      <c r="A706" s="1">
        <v>705</v>
      </c>
      <c r="B706" s="2" t="s">
        <v>8530</v>
      </c>
      <c r="C706" s="2" t="s">
        <v>8531</v>
      </c>
      <c r="D706" s="2" t="s">
        <v>8532</v>
      </c>
      <c r="E706" s="2" t="s">
        <v>8533</v>
      </c>
      <c r="F706" s="2" t="s">
        <v>8530</v>
      </c>
      <c r="G706" s="2" t="s">
        <v>8534</v>
      </c>
      <c r="H706" s="2" t="s">
        <v>8535</v>
      </c>
      <c r="I706" s="2" t="s">
        <v>8536</v>
      </c>
      <c r="J706" s="2" t="s">
        <v>8537</v>
      </c>
      <c r="K706" s="2" t="s">
        <v>8538</v>
      </c>
      <c r="L706" s="2" t="s">
        <v>8539</v>
      </c>
      <c r="M706" s="2" t="s">
        <v>8540</v>
      </c>
      <c r="N706" s="2" t="s">
        <v>8540</v>
      </c>
      <c r="O706" s="2" t="s">
        <v>8541</v>
      </c>
      <c r="P706" s="2" t="s">
        <v>8530</v>
      </c>
    </row>
    <row r="707" spans="1:16">
      <c r="A707" s="1">
        <v>706</v>
      </c>
      <c r="B707" s="2" t="s">
        <v>8542</v>
      </c>
      <c r="C707" s="2" t="s">
        <v>8543</v>
      </c>
      <c r="D707" s="2" t="s">
        <v>8544</v>
      </c>
      <c r="E707" s="2" t="s">
        <v>8545</v>
      </c>
      <c r="F707" s="2" t="s">
        <v>8546</v>
      </c>
      <c r="G707" s="2" t="s">
        <v>8547</v>
      </c>
      <c r="H707" s="2" t="s">
        <v>8548</v>
      </c>
      <c r="I707" s="2" t="s">
        <v>8549</v>
      </c>
      <c r="J707" s="2" t="s">
        <v>8550</v>
      </c>
      <c r="K707" s="2" t="s">
        <v>8551</v>
      </c>
      <c r="L707" s="2" t="s">
        <v>8552</v>
      </c>
      <c r="M707" s="2" t="s">
        <v>8553</v>
      </c>
      <c r="N707" s="2" t="s">
        <v>8554</v>
      </c>
      <c r="O707" s="2" t="s">
        <v>8555</v>
      </c>
      <c r="P707" s="2" t="s">
        <v>8542</v>
      </c>
    </row>
    <row r="708" spans="1:16">
      <c r="A708" s="1">
        <v>707</v>
      </c>
      <c r="B708" s="2" t="s">
        <v>8556</v>
      </c>
      <c r="C708" s="2" t="s">
        <v>8557</v>
      </c>
      <c r="D708" s="2" t="s">
        <v>8558</v>
      </c>
      <c r="E708" s="2" t="s">
        <v>8559</v>
      </c>
      <c r="F708" s="2" t="s">
        <v>8560</v>
      </c>
      <c r="G708" s="2" t="s">
        <v>8561</v>
      </c>
      <c r="H708" s="2" t="s">
        <v>8562</v>
      </c>
      <c r="I708" s="2" t="s">
        <v>8563</v>
      </c>
      <c r="J708" s="2" t="s">
        <v>8564</v>
      </c>
      <c r="K708" s="2" t="s">
        <v>8565</v>
      </c>
      <c r="L708" s="2" t="s">
        <v>8566</v>
      </c>
      <c r="M708" s="2" t="s">
        <v>8567</v>
      </c>
      <c r="N708" s="2" t="s">
        <v>8568</v>
      </c>
      <c r="O708" s="2" t="s">
        <v>8569</v>
      </c>
      <c r="P708" s="2" t="s">
        <v>8556</v>
      </c>
    </row>
    <row r="709" spans="1:16">
      <c r="A709" s="1">
        <v>708</v>
      </c>
      <c r="B709" s="2" t="s">
        <v>8570</v>
      </c>
      <c r="C709" s="2" t="s">
        <v>8571</v>
      </c>
      <c r="D709" s="2" t="s">
        <v>8572</v>
      </c>
      <c r="E709" s="2" t="s">
        <v>8573</v>
      </c>
      <c r="F709" s="2" t="s">
        <v>8574</v>
      </c>
      <c r="G709" s="2" t="s">
        <v>8575</v>
      </c>
      <c r="H709" s="2" t="s">
        <v>8576</v>
      </c>
      <c r="I709" s="2" t="s">
        <v>8577</v>
      </c>
      <c r="J709" s="2" t="s">
        <v>8578</v>
      </c>
      <c r="K709" s="2" t="s">
        <v>8579</v>
      </c>
      <c r="L709" s="2" t="s">
        <v>8580</v>
      </c>
      <c r="M709" s="2" t="s">
        <v>8581</v>
      </c>
      <c r="N709" s="2" t="s">
        <v>8582</v>
      </c>
      <c r="O709" s="2" t="s">
        <v>8583</v>
      </c>
      <c r="P709" s="2" t="s">
        <v>8570</v>
      </c>
    </row>
    <row r="710" spans="1:16">
      <c r="A710" s="1">
        <v>709</v>
      </c>
      <c r="B710" s="2" t="s">
        <v>8584</v>
      </c>
      <c r="C710" s="2" t="s">
        <v>8585</v>
      </c>
      <c r="D710" s="2" t="s">
        <v>8586</v>
      </c>
      <c r="E710" s="2" t="s">
        <v>8587</v>
      </c>
      <c r="F710" s="2" t="s">
        <v>8588</v>
      </c>
      <c r="G710" s="2" t="s">
        <v>8589</v>
      </c>
      <c r="H710" s="2" t="s">
        <v>8590</v>
      </c>
      <c r="I710" s="2" t="s">
        <v>8591</v>
      </c>
      <c r="J710" s="2" t="s">
        <v>8592</v>
      </c>
      <c r="K710" s="2" t="s">
        <v>8593</v>
      </c>
      <c r="L710" s="2" t="s">
        <v>8594</v>
      </c>
      <c r="M710" s="2" t="s">
        <v>8595</v>
      </c>
      <c r="N710" s="2" t="s">
        <v>8596</v>
      </c>
      <c r="O710" s="2" t="s">
        <v>8597</v>
      </c>
      <c r="P710" s="2" t="s">
        <v>8584</v>
      </c>
    </row>
    <row r="711" spans="1:16">
      <c r="A711" s="1">
        <v>710</v>
      </c>
      <c r="B711" s="2" t="s">
        <v>8598</v>
      </c>
      <c r="C711" s="2" t="s">
        <v>8599</v>
      </c>
      <c r="D711" s="2" t="s">
        <v>8600</v>
      </c>
      <c r="E711" s="2" t="s">
        <v>8601</v>
      </c>
      <c r="F711" s="2" t="s">
        <v>8602</v>
      </c>
      <c r="G711" s="2" t="s">
        <v>6222</v>
      </c>
      <c r="H711" s="2" t="s">
        <v>8603</v>
      </c>
      <c r="I711" s="2" t="s">
        <v>8604</v>
      </c>
      <c r="J711" s="2" t="s">
        <v>8605</v>
      </c>
      <c r="K711" s="2" t="s">
        <v>8606</v>
      </c>
      <c r="L711" s="2" t="s">
        <v>8607</v>
      </c>
      <c r="M711" s="2" t="s">
        <v>8608</v>
      </c>
      <c r="N711" s="2" t="s">
        <v>8609</v>
      </c>
      <c r="O711" s="2" t="s">
        <v>8610</v>
      </c>
      <c r="P711" s="2" t="s">
        <v>8598</v>
      </c>
    </row>
    <row r="712" spans="1:16">
      <c r="A712" s="1">
        <v>711</v>
      </c>
      <c r="B712" s="2" t="s">
        <v>8611</v>
      </c>
      <c r="C712" s="2" t="s">
        <v>8612</v>
      </c>
      <c r="D712" s="2" t="s">
        <v>8613</v>
      </c>
      <c r="E712" s="2" t="s">
        <v>25626</v>
      </c>
      <c r="F712" s="2" t="s">
        <v>8614</v>
      </c>
      <c r="G712" s="2" t="s">
        <v>8615</v>
      </c>
      <c r="H712" s="2" t="s">
        <v>8616</v>
      </c>
      <c r="I712" s="2" t="s">
        <v>8617</v>
      </c>
      <c r="J712" s="2" t="s">
        <v>8618</v>
      </c>
      <c r="K712" s="2" t="s">
        <v>8619</v>
      </c>
      <c r="L712" s="2" t="s">
        <v>8620</v>
      </c>
      <c r="M712" s="2" t="s">
        <v>8621</v>
      </c>
      <c r="N712" s="2" t="s">
        <v>8622</v>
      </c>
      <c r="O712" s="2" t="s">
        <v>8623</v>
      </c>
      <c r="P712" s="2" t="s">
        <v>8611</v>
      </c>
    </row>
    <row r="713" spans="1:16">
      <c r="A713" s="1">
        <v>712</v>
      </c>
      <c r="B713" s="2" t="s">
        <v>8624</v>
      </c>
      <c r="C713" s="2" t="s">
        <v>8625</v>
      </c>
      <c r="D713" s="2" t="s">
        <v>8626</v>
      </c>
      <c r="E713" s="2" t="s">
        <v>25627</v>
      </c>
      <c r="F713" s="2" t="s">
        <v>8627</v>
      </c>
      <c r="G713" s="2" t="s">
        <v>8628</v>
      </c>
      <c r="H713" s="2" t="s">
        <v>8629</v>
      </c>
      <c r="I713" s="2" t="s">
        <v>8630</v>
      </c>
      <c r="J713" s="2" t="s">
        <v>8631</v>
      </c>
      <c r="K713" s="2" t="s">
        <v>8632</v>
      </c>
      <c r="L713" s="2" t="s">
        <v>8633</v>
      </c>
      <c r="M713" s="2" t="s">
        <v>8634</v>
      </c>
      <c r="N713" s="2" t="s">
        <v>8635</v>
      </c>
      <c r="O713" s="2" t="s">
        <v>8636</v>
      </c>
      <c r="P713" s="2" t="s">
        <v>8624</v>
      </c>
    </row>
    <row r="714" spans="1:16">
      <c r="A714" s="1">
        <v>713</v>
      </c>
      <c r="B714" s="2" t="s">
        <v>8637</v>
      </c>
      <c r="C714" s="2" t="s">
        <v>8638</v>
      </c>
      <c r="D714" s="2" t="s">
        <v>8639</v>
      </c>
      <c r="E714" s="2" t="s">
        <v>25628</v>
      </c>
      <c r="F714" s="2" t="s">
        <v>8640</v>
      </c>
      <c r="G714" s="2" t="s">
        <v>8641</v>
      </c>
      <c r="H714" s="2" t="s">
        <v>8642</v>
      </c>
      <c r="I714" s="2" t="s">
        <v>8643</v>
      </c>
      <c r="J714" s="2" t="s">
        <v>8644</v>
      </c>
      <c r="K714" s="2" t="s">
        <v>8645</v>
      </c>
      <c r="L714" s="2" t="s">
        <v>8646</v>
      </c>
      <c r="M714" s="2" t="s">
        <v>8647</v>
      </c>
      <c r="N714" s="2" t="s">
        <v>8648</v>
      </c>
      <c r="O714" s="2" t="s">
        <v>8649</v>
      </c>
      <c r="P714" s="2" t="s">
        <v>8637</v>
      </c>
    </row>
    <row r="715" spans="1:16">
      <c r="A715" s="1">
        <v>714</v>
      </c>
      <c r="B715" s="2" t="s">
        <v>8650</v>
      </c>
      <c r="C715" s="2" t="s">
        <v>8625</v>
      </c>
      <c r="D715" s="2" t="s">
        <v>8651</v>
      </c>
      <c r="E715" s="2" t="s">
        <v>25629</v>
      </c>
      <c r="F715" s="2" t="s">
        <v>8652</v>
      </c>
      <c r="G715" s="2" t="s">
        <v>8653</v>
      </c>
      <c r="H715" s="2" t="s">
        <v>8654</v>
      </c>
      <c r="I715" s="2" t="s">
        <v>8655</v>
      </c>
      <c r="J715" s="2" t="s">
        <v>8656</v>
      </c>
      <c r="K715" s="2" t="s">
        <v>8657</v>
      </c>
      <c r="L715" s="2" t="s">
        <v>8658</v>
      </c>
      <c r="M715" s="2" t="s">
        <v>8659</v>
      </c>
      <c r="N715" s="2" t="s">
        <v>8660</v>
      </c>
      <c r="O715" s="2" t="s">
        <v>8661</v>
      </c>
      <c r="P715" s="2" t="s">
        <v>8650</v>
      </c>
    </row>
    <row r="716" spans="1:16">
      <c r="A716" s="1">
        <v>715</v>
      </c>
      <c r="B716" s="2" t="s">
        <v>8662</v>
      </c>
      <c r="C716" s="2" t="s">
        <v>8663</v>
      </c>
      <c r="D716" s="2" t="s">
        <v>8664</v>
      </c>
      <c r="E716" s="2" t="s">
        <v>25630</v>
      </c>
      <c r="F716" s="2" t="s">
        <v>8665</v>
      </c>
      <c r="G716" s="2" t="s">
        <v>8666</v>
      </c>
      <c r="H716" s="2" t="s">
        <v>8667</v>
      </c>
      <c r="I716" s="2" t="s">
        <v>8668</v>
      </c>
      <c r="J716" s="2" t="s">
        <v>8669</v>
      </c>
      <c r="K716" s="2" t="s">
        <v>8670</v>
      </c>
      <c r="L716" s="2" t="s">
        <v>8671</v>
      </c>
      <c r="M716" s="2" t="s">
        <v>8672</v>
      </c>
      <c r="N716" s="2" t="s">
        <v>8673</v>
      </c>
      <c r="O716" s="2" t="s">
        <v>8674</v>
      </c>
      <c r="P716" s="2" t="s">
        <v>8662</v>
      </c>
    </row>
    <row r="717" spans="1:16">
      <c r="A717" s="1">
        <v>716</v>
      </c>
      <c r="B717" s="2" t="s">
        <v>8675</v>
      </c>
      <c r="C717" s="2" t="s">
        <v>8676</v>
      </c>
      <c r="D717" s="2" t="s">
        <v>8677</v>
      </c>
      <c r="E717" s="2" t="s">
        <v>8678</v>
      </c>
      <c r="F717" s="2" t="s">
        <v>8679</v>
      </c>
      <c r="G717" s="2" t="s">
        <v>8680</v>
      </c>
      <c r="H717" s="2" t="s">
        <v>8681</v>
      </c>
      <c r="I717" s="2" t="s">
        <v>8682</v>
      </c>
      <c r="J717" s="2" t="s">
        <v>8683</v>
      </c>
      <c r="K717" s="2" t="s">
        <v>8684</v>
      </c>
      <c r="L717" s="2" t="s">
        <v>8685</v>
      </c>
      <c r="M717" s="2" t="s">
        <v>8686</v>
      </c>
      <c r="N717" s="2" t="s">
        <v>8687</v>
      </c>
      <c r="O717" s="2" t="s">
        <v>8688</v>
      </c>
      <c r="P717" s="2" t="s">
        <v>8675</v>
      </c>
    </row>
    <row r="718" spans="1:16">
      <c r="A718" s="1">
        <v>717</v>
      </c>
      <c r="B718" s="2" t="s">
        <v>8689</v>
      </c>
      <c r="C718" s="2" t="s">
        <v>8690</v>
      </c>
      <c r="D718" s="2" t="s">
        <v>8691</v>
      </c>
      <c r="E718" s="2" t="s">
        <v>8692</v>
      </c>
      <c r="F718" s="2" t="s">
        <v>8693</v>
      </c>
      <c r="G718" s="2" t="s">
        <v>8694</v>
      </c>
      <c r="H718" s="2" t="s">
        <v>8695</v>
      </c>
      <c r="I718" s="2" t="s">
        <v>8696</v>
      </c>
      <c r="J718" s="2" t="s">
        <v>8697</v>
      </c>
      <c r="K718" s="2" t="s">
        <v>8698</v>
      </c>
      <c r="L718" s="2" t="s">
        <v>8699</v>
      </c>
      <c r="M718" s="2" t="s">
        <v>8700</v>
      </c>
      <c r="N718" s="2" t="s">
        <v>8701</v>
      </c>
      <c r="O718" s="2" t="s">
        <v>8702</v>
      </c>
      <c r="P718" s="2" t="s">
        <v>8689</v>
      </c>
    </row>
    <row r="719" spans="1:16">
      <c r="A719" s="1">
        <v>718</v>
      </c>
      <c r="B719" s="2" t="s">
        <v>8703</v>
      </c>
      <c r="C719" s="2" t="s">
        <v>8704</v>
      </c>
      <c r="D719" s="2" t="s">
        <v>8705</v>
      </c>
      <c r="E719" s="2" t="s">
        <v>8706</v>
      </c>
      <c r="F719" s="2" t="s">
        <v>8707</v>
      </c>
      <c r="G719" s="2" t="s">
        <v>8708</v>
      </c>
      <c r="H719" s="2" t="s">
        <v>8709</v>
      </c>
      <c r="I719" s="2" t="s">
        <v>8710</v>
      </c>
      <c r="J719" s="2" t="s">
        <v>8711</v>
      </c>
      <c r="K719" s="2" t="s">
        <v>8712</v>
      </c>
      <c r="L719" s="2" t="s">
        <v>8713</v>
      </c>
      <c r="M719" s="2" t="s">
        <v>8714</v>
      </c>
      <c r="N719" s="2" t="s">
        <v>8715</v>
      </c>
      <c r="O719" s="2" t="s">
        <v>8716</v>
      </c>
      <c r="P719" s="2" t="s">
        <v>8703</v>
      </c>
    </row>
    <row r="720" spans="1:16">
      <c r="A720" s="1">
        <v>719</v>
      </c>
      <c r="B720" s="2" t="s">
        <v>8717</v>
      </c>
      <c r="C720" s="2" t="s">
        <v>8718</v>
      </c>
      <c r="D720" s="2" t="s">
        <v>8719</v>
      </c>
      <c r="E720" s="2" t="s">
        <v>25631</v>
      </c>
      <c r="F720" s="2" t="s">
        <v>8720</v>
      </c>
      <c r="G720" s="2" t="s">
        <v>8721</v>
      </c>
      <c r="H720" s="2" t="s">
        <v>8722</v>
      </c>
      <c r="I720" s="2" t="s">
        <v>8723</v>
      </c>
      <c r="J720" s="2" t="s">
        <v>8724</v>
      </c>
      <c r="K720" s="2" t="s">
        <v>8725</v>
      </c>
      <c r="L720" s="2" t="s">
        <v>8726</v>
      </c>
      <c r="M720" s="2" t="s">
        <v>8727</v>
      </c>
      <c r="N720" s="2" t="s">
        <v>8728</v>
      </c>
      <c r="O720" s="2" t="s">
        <v>8729</v>
      </c>
      <c r="P720" s="2" t="s">
        <v>8717</v>
      </c>
    </row>
    <row r="721" spans="1:16">
      <c r="A721" s="1">
        <v>720</v>
      </c>
      <c r="B721" s="2" t="s">
        <v>8730</v>
      </c>
      <c r="C721" s="2" t="s">
        <v>8704</v>
      </c>
      <c r="D721" s="2" t="s">
        <v>8731</v>
      </c>
      <c r="E721" s="2" t="s">
        <v>25632</v>
      </c>
      <c r="F721" s="2" t="s">
        <v>8732</v>
      </c>
      <c r="G721" s="2" t="s">
        <v>8733</v>
      </c>
      <c r="H721" s="2" t="s">
        <v>8734</v>
      </c>
      <c r="I721" s="2" t="s">
        <v>8735</v>
      </c>
      <c r="J721" s="2" t="s">
        <v>8736</v>
      </c>
      <c r="K721" s="2" t="s">
        <v>8737</v>
      </c>
      <c r="L721" s="2" t="s">
        <v>8738</v>
      </c>
      <c r="M721" s="2" t="s">
        <v>8739</v>
      </c>
      <c r="N721" s="2" t="s">
        <v>8740</v>
      </c>
      <c r="O721" s="2" t="s">
        <v>8716</v>
      </c>
      <c r="P721" s="2" t="s">
        <v>8730</v>
      </c>
    </row>
    <row r="722" spans="1:16">
      <c r="A722" s="1">
        <v>721</v>
      </c>
      <c r="B722" s="2" t="s">
        <v>8741</v>
      </c>
      <c r="C722" s="2" t="s">
        <v>8742</v>
      </c>
      <c r="D722" s="2" t="s">
        <v>8743</v>
      </c>
      <c r="E722" s="2" t="s">
        <v>8744</v>
      </c>
      <c r="F722" s="2" t="s">
        <v>8745</v>
      </c>
      <c r="G722" s="2" t="s">
        <v>8746</v>
      </c>
      <c r="H722" s="2" t="s">
        <v>8747</v>
      </c>
      <c r="I722" s="2" t="s">
        <v>8748</v>
      </c>
      <c r="J722" s="2" t="s">
        <v>8749</v>
      </c>
      <c r="K722" s="2" t="s">
        <v>8750</v>
      </c>
      <c r="L722" s="2" t="s">
        <v>8751</v>
      </c>
      <c r="M722" s="2" t="s">
        <v>8752</v>
      </c>
      <c r="N722" s="2" t="s">
        <v>8753</v>
      </c>
      <c r="O722" s="2" t="s">
        <v>8754</v>
      </c>
      <c r="P722" s="2" t="s">
        <v>8741</v>
      </c>
    </row>
    <row r="723" spans="1:16">
      <c r="A723" s="1">
        <v>722</v>
      </c>
      <c r="B723" s="2" t="s">
        <v>8755</v>
      </c>
      <c r="C723" s="2" t="s">
        <v>8756</v>
      </c>
      <c r="D723" s="2" t="s">
        <v>8757</v>
      </c>
      <c r="E723" s="2" t="s">
        <v>8758</v>
      </c>
      <c r="F723" s="2" t="s">
        <v>8759</v>
      </c>
      <c r="G723" s="2" t="s">
        <v>8760</v>
      </c>
      <c r="H723" s="2" t="s">
        <v>8761</v>
      </c>
      <c r="I723" s="2" t="s">
        <v>8762</v>
      </c>
      <c r="J723" s="2" t="s">
        <v>8763</v>
      </c>
      <c r="K723" s="2" t="s">
        <v>8764</v>
      </c>
      <c r="L723" s="2" t="s">
        <v>8765</v>
      </c>
      <c r="M723" s="2" t="s">
        <v>8766</v>
      </c>
      <c r="N723" s="2" t="s">
        <v>8767</v>
      </c>
      <c r="O723" s="2" t="s">
        <v>8768</v>
      </c>
      <c r="P723" s="2" t="s">
        <v>8755</v>
      </c>
    </row>
    <row r="724" spans="1:16">
      <c r="A724" s="1">
        <v>723</v>
      </c>
      <c r="B724" s="2" t="s">
        <v>8769</v>
      </c>
      <c r="C724" s="2" t="s">
        <v>8770</v>
      </c>
      <c r="D724" s="2" t="s">
        <v>8771</v>
      </c>
      <c r="E724" s="2" t="s">
        <v>8772</v>
      </c>
      <c r="F724" s="2" t="s">
        <v>8773</v>
      </c>
      <c r="G724" s="2" t="s">
        <v>8774</v>
      </c>
      <c r="H724" s="2" t="s">
        <v>8775</v>
      </c>
      <c r="I724" s="2" t="s">
        <v>8776</v>
      </c>
      <c r="J724" s="2" t="s">
        <v>8777</v>
      </c>
      <c r="K724" s="2" t="s">
        <v>8778</v>
      </c>
      <c r="L724" s="2" t="s">
        <v>8779</v>
      </c>
      <c r="M724" s="2" t="s">
        <v>8780</v>
      </c>
      <c r="N724" s="2" t="s">
        <v>8781</v>
      </c>
      <c r="O724" s="2" t="s">
        <v>8782</v>
      </c>
      <c r="P724" s="2" t="s">
        <v>8769</v>
      </c>
    </row>
    <row r="725" spans="1:16">
      <c r="A725" s="1">
        <v>724</v>
      </c>
      <c r="B725" s="2" t="s">
        <v>8783</v>
      </c>
      <c r="C725" s="2" t="s">
        <v>8784</v>
      </c>
      <c r="D725" s="2" t="s">
        <v>8785</v>
      </c>
      <c r="E725" s="2" t="s">
        <v>8786</v>
      </c>
      <c r="F725" s="2" t="s">
        <v>8787</v>
      </c>
      <c r="G725" s="2" t="s">
        <v>8788</v>
      </c>
      <c r="H725" s="2" t="s">
        <v>8789</v>
      </c>
      <c r="I725" s="2" t="s">
        <v>8790</v>
      </c>
      <c r="J725" s="2" t="s">
        <v>8791</v>
      </c>
      <c r="K725" s="2" t="s">
        <v>8792</v>
      </c>
      <c r="L725" s="2" t="s">
        <v>8793</v>
      </c>
      <c r="M725" s="2" t="s">
        <v>8794</v>
      </c>
      <c r="N725" s="2" t="s">
        <v>8794</v>
      </c>
      <c r="O725" s="2" t="s">
        <v>8795</v>
      </c>
      <c r="P725" s="2" t="s">
        <v>8783</v>
      </c>
    </row>
    <row r="726" spans="1:16">
      <c r="A726" s="1">
        <v>725</v>
      </c>
      <c r="B726" s="2" t="s">
        <v>8796</v>
      </c>
      <c r="C726" s="2" t="s">
        <v>8797</v>
      </c>
      <c r="D726" s="2" t="s">
        <v>8798</v>
      </c>
      <c r="E726" s="2" t="s">
        <v>8799</v>
      </c>
      <c r="F726" s="2" t="s">
        <v>8800</v>
      </c>
      <c r="G726" s="2" t="s">
        <v>8801</v>
      </c>
      <c r="H726" s="2" t="s">
        <v>8802</v>
      </c>
      <c r="I726" s="2" t="s">
        <v>8803</v>
      </c>
      <c r="J726" s="2" t="s">
        <v>8804</v>
      </c>
      <c r="K726" s="2" t="s">
        <v>8805</v>
      </c>
      <c r="L726" s="2" t="s">
        <v>8806</v>
      </c>
      <c r="M726" s="2" t="s">
        <v>8807</v>
      </c>
      <c r="N726" s="2" t="s">
        <v>8808</v>
      </c>
      <c r="O726" s="2" t="s">
        <v>8809</v>
      </c>
      <c r="P726" s="2" t="s">
        <v>8796</v>
      </c>
    </row>
    <row r="727" spans="1:16">
      <c r="A727" s="1">
        <v>726</v>
      </c>
      <c r="B727" s="2" t="s">
        <v>8810</v>
      </c>
      <c r="C727" s="2" t="s">
        <v>8811</v>
      </c>
      <c r="D727" s="2" t="s">
        <v>8812</v>
      </c>
      <c r="E727" s="2" t="s">
        <v>8813</v>
      </c>
      <c r="F727" s="2" t="s">
        <v>8814</v>
      </c>
      <c r="G727" s="2" t="s">
        <v>8815</v>
      </c>
      <c r="H727" s="2" t="s">
        <v>8816</v>
      </c>
      <c r="I727" s="2" t="s">
        <v>8814</v>
      </c>
      <c r="J727" s="2" t="s">
        <v>8817</v>
      </c>
      <c r="K727" s="2" t="s">
        <v>8818</v>
      </c>
      <c r="L727" s="2" t="s">
        <v>8819</v>
      </c>
      <c r="M727" s="2" t="s">
        <v>8820</v>
      </c>
      <c r="N727" s="2" t="s">
        <v>8821</v>
      </c>
      <c r="O727" s="2" t="s">
        <v>8822</v>
      </c>
      <c r="P727" s="2" t="s">
        <v>8810</v>
      </c>
    </row>
    <row r="728" spans="1:16">
      <c r="A728" s="1">
        <v>727</v>
      </c>
      <c r="B728" s="2" t="s">
        <v>8823</v>
      </c>
      <c r="C728" s="2" t="s">
        <v>8824</v>
      </c>
      <c r="D728" s="2" t="s">
        <v>8825</v>
      </c>
      <c r="E728" s="2" t="s">
        <v>8826</v>
      </c>
      <c r="F728" s="2" t="s">
        <v>8827</v>
      </c>
      <c r="G728" s="2" t="s">
        <v>8828</v>
      </c>
      <c r="H728" s="2" t="s">
        <v>8829</v>
      </c>
      <c r="I728" s="2" t="s">
        <v>8830</v>
      </c>
      <c r="J728" s="2" t="s">
        <v>8831</v>
      </c>
      <c r="K728" s="2" t="s">
        <v>8832</v>
      </c>
      <c r="L728" s="2" t="s">
        <v>8833</v>
      </c>
      <c r="M728" s="2" t="s">
        <v>8834</v>
      </c>
      <c r="N728" s="2" t="s">
        <v>8835</v>
      </c>
      <c r="O728" s="2" t="s">
        <v>8836</v>
      </c>
      <c r="P728" s="2" t="s">
        <v>8823</v>
      </c>
    </row>
    <row r="729" spans="1:16">
      <c r="A729" s="1">
        <v>728</v>
      </c>
      <c r="B729" s="2" t="s">
        <v>8837</v>
      </c>
      <c r="C729" s="2" t="s">
        <v>8838</v>
      </c>
      <c r="D729" s="2" t="s">
        <v>8839</v>
      </c>
      <c r="E729" s="2" t="s">
        <v>8840</v>
      </c>
      <c r="F729" s="2" t="s">
        <v>8841</v>
      </c>
      <c r="G729" s="2" t="s">
        <v>8842</v>
      </c>
      <c r="H729" s="2" t="s">
        <v>8843</v>
      </c>
      <c r="I729" s="2" t="s">
        <v>8844</v>
      </c>
      <c r="J729" s="2" t="s">
        <v>8845</v>
      </c>
      <c r="K729" s="2" t="s">
        <v>8846</v>
      </c>
      <c r="L729" s="2" t="s">
        <v>8847</v>
      </c>
      <c r="M729" s="2" t="s">
        <v>8848</v>
      </c>
      <c r="N729" s="2" t="s">
        <v>8849</v>
      </c>
      <c r="O729" s="2" t="s">
        <v>8850</v>
      </c>
      <c r="P729" s="2" t="s">
        <v>8837</v>
      </c>
    </row>
    <row r="730" spans="1:16">
      <c r="A730" s="1">
        <v>729</v>
      </c>
      <c r="B730" s="2" t="s">
        <v>8851</v>
      </c>
      <c r="C730" s="2" t="s">
        <v>8852</v>
      </c>
      <c r="D730" s="2" t="s">
        <v>8853</v>
      </c>
      <c r="E730" s="2" t="s">
        <v>8854</v>
      </c>
      <c r="F730" s="2" t="s">
        <v>8855</v>
      </c>
      <c r="G730" s="2" t="s">
        <v>8856</v>
      </c>
      <c r="H730" s="2" t="s">
        <v>8857</v>
      </c>
      <c r="I730" s="2" t="s">
        <v>8858</v>
      </c>
      <c r="J730" s="2" t="s">
        <v>8859</v>
      </c>
      <c r="K730" s="2" t="s">
        <v>8860</v>
      </c>
      <c r="L730" s="2" t="s">
        <v>8861</v>
      </c>
      <c r="M730" s="2" t="s">
        <v>8862</v>
      </c>
      <c r="N730" s="2" t="s">
        <v>8863</v>
      </c>
      <c r="O730" s="2" t="s">
        <v>8864</v>
      </c>
      <c r="P730" s="2" t="s">
        <v>8851</v>
      </c>
    </row>
    <row r="731" spans="1:16">
      <c r="A731" s="1">
        <v>730</v>
      </c>
      <c r="B731" s="2" t="s">
        <v>22803</v>
      </c>
      <c r="C731" s="2" t="s">
        <v>8866</v>
      </c>
      <c r="D731" s="2" t="s">
        <v>8867</v>
      </c>
      <c r="E731" s="2" t="s">
        <v>25633</v>
      </c>
      <c r="F731" s="2" t="s">
        <v>8868</v>
      </c>
      <c r="G731" s="2" t="s">
        <v>8869</v>
      </c>
      <c r="H731" s="2" t="s">
        <v>8870</v>
      </c>
      <c r="I731" s="2" t="s">
        <v>8871</v>
      </c>
      <c r="J731" s="2" t="s">
        <v>8872</v>
      </c>
      <c r="K731" s="2" t="s">
        <v>8873</v>
      </c>
      <c r="L731" s="2" t="s">
        <v>8874</v>
      </c>
      <c r="M731" s="2" t="s">
        <v>8875</v>
      </c>
      <c r="N731" s="2" t="s">
        <v>8876</v>
      </c>
      <c r="O731" s="2" t="s">
        <v>8877</v>
      </c>
      <c r="P731" s="2" t="s">
        <v>8865</v>
      </c>
    </row>
    <row r="732" spans="1:16">
      <c r="A732" s="1">
        <v>731</v>
      </c>
      <c r="B732" s="2" t="s">
        <v>8878</v>
      </c>
      <c r="C732" s="2" t="s">
        <v>8879</v>
      </c>
      <c r="D732" s="2" t="s">
        <v>8880</v>
      </c>
      <c r="E732" s="2" t="s">
        <v>8881</v>
      </c>
      <c r="F732" s="2" t="s">
        <v>8882</v>
      </c>
      <c r="G732" s="2" t="s">
        <v>8883</v>
      </c>
      <c r="H732" s="2" t="s">
        <v>8884</v>
      </c>
      <c r="I732" s="2" t="s">
        <v>8885</v>
      </c>
      <c r="J732" s="2" t="s">
        <v>8886</v>
      </c>
      <c r="K732" s="2" t="s">
        <v>8887</v>
      </c>
      <c r="L732" s="2" t="s">
        <v>8888</v>
      </c>
      <c r="M732" s="2" t="s">
        <v>8889</v>
      </c>
      <c r="N732" s="2" t="s">
        <v>8890</v>
      </c>
      <c r="O732" s="2" t="s">
        <v>8891</v>
      </c>
      <c r="P732" s="2" t="s">
        <v>8878</v>
      </c>
    </row>
    <row r="733" spans="1:16">
      <c r="A733" s="1">
        <v>732</v>
      </c>
      <c r="B733" s="2" t="s">
        <v>8892</v>
      </c>
      <c r="C733" s="2" t="s">
        <v>8893</v>
      </c>
      <c r="D733" s="2" t="s">
        <v>8894</v>
      </c>
      <c r="E733" s="2" t="s">
        <v>8895</v>
      </c>
      <c r="F733" s="2" t="s">
        <v>8896</v>
      </c>
      <c r="G733" s="2" t="s">
        <v>8897</v>
      </c>
      <c r="H733" s="2" t="s">
        <v>8898</v>
      </c>
      <c r="I733" s="2" t="s">
        <v>8899</v>
      </c>
      <c r="J733" s="2" t="s">
        <v>8900</v>
      </c>
      <c r="K733" s="2" t="s">
        <v>8901</v>
      </c>
      <c r="L733" s="2" t="s">
        <v>8902</v>
      </c>
      <c r="M733" s="2" t="s">
        <v>8903</v>
      </c>
      <c r="N733" s="2" t="s">
        <v>8904</v>
      </c>
      <c r="O733" s="2" t="s">
        <v>8905</v>
      </c>
      <c r="P733" s="2" t="s">
        <v>8892</v>
      </c>
    </row>
    <row r="734" spans="1:16">
      <c r="A734" s="1">
        <v>733</v>
      </c>
      <c r="B734" s="2" t="s">
        <v>8906</v>
      </c>
      <c r="C734" s="2" t="s">
        <v>8907</v>
      </c>
      <c r="D734" s="2" t="s">
        <v>8908</v>
      </c>
      <c r="E734" s="2" t="s">
        <v>8909</v>
      </c>
      <c r="F734" s="2" t="s">
        <v>8910</v>
      </c>
      <c r="G734" s="2" t="s">
        <v>8911</v>
      </c>
      <c r="H734" s="2" t="s">
        <v>8912</v>
      </c>
      <c r="I734" s="2" t="s">
        <v>8913</v>
      </c>
      <c r="J734" s="2" t="s">
        <v>8914</v>
      </c>
      <c r="K734" s="2" t="s">
        <v>8915</v>
      </c>
      <c r="L734" s="2" t="s">
        <v>8916</v>
      </c>
      <c r="M734" s="2" t="s">
        <v>8917</v>
      </c>
      <c r="N734" s="2" t="s">
        <v>8918</v>
      </c>
      <c r="O734" s="2" t="s">
        <v>8919</v>
      </c>
      <c r="P734" s="2" t="s">
        <v>8906</v>
      </c>
    </row>
    <row r="735" spans="1:16">
      <c r="A735" s="1">
        <v>734</v>
      </c>
      <c r="B735" s="2" t="s">
        <v>22804</v>
      </c>
      <c r="C735" s="2" t="s">
        <v>8921</v>
      </c>
      <c r="D735" s="2" t="s">
        <v>8922</v>
      </c>
      <c r="E735" s="2" t="s">
        <v>25634</v>
      </c>
      <c r="F735" s="2" t="s">
        <v>8923</v>
      </c>
      <c r="G735" s="2" t="s">
        <v>8924</v>
      </c>
      <c r="H735" s="2" t="s">
        <v>8925</v>
      </c>
      <c r="I735" s="2" t="s">
        <v>8926</v>
      </c>
      <c r="J735" s="2" t="s">
        <v>8927</v>
      </c>
      <c r="K735" s="2" t="s">
        <v>8928</v>
      </c>
      <c r="L735" s="2" t="s">
        <v>8929</v>
      </c>
      <c r="M735" s="2" t="s">
        <v>8930</v>
      </c>
      <c r="N735" s="2" t="s">
        <v>8931</v>
      </c>
      <c r="O735" s="2" t="s">
        <v>8932</v>
      </c>
      <c r="P735" s="2" t="s">
        <v>8920</v>
      </c>
    </row>
    <row r="736" spans="1:16">
      <c r="A736" s="1">
        <v>735</v>
      </c>
      <c r="B736" s="2" t="s">
        <v>22805</v>
      </c>
      <c r="C736" s="2" t="s">
        <v>8934</v>
      </c>
      <c r="D736" s="2" t="s">
        <v>8935</v>
      </c>
      <c r="E736" s="2" t="s">
        <v>25635</v>
      </c>
      <c r="F736" s="2" t="s">
        <v>8936</v>
      </c>
      <c r="G736" s="2" t="s">
        <v>8937</v>
      </c>
      <c r="H736" s="2" t="s">
        <v>8938</v>
      </c>
      <c r="I736" s="2" t="s">
        <v>8939</v>
      </c>
      <c r="J736" s="2" t="s">
        <v>8940</v>
      </c>
      <c r="K736" s="2" t="s">
        <v>8941</v>
      </c>
      <c r="L736" s="2" t="s">
        <v>8942</v>
      </c>
      <c r="M736" s="2" t="s">
        <v>8943</v>
      </c>
      <c r="N736" s="2" t="s">
        <v>8944</v>
      </c>
      <c r="O736" s="2" t="s">
        <v>8945</v>
      </c>
      <c r="P736" s="2" t="s">
        <v>8933</v>
      </c>
    </row>
    <row r="737" spans="1:16">
      <c r="A737" s="1">
        <v>736</v>
      </c>
      <c r="B737" s="2" t="s">
        <v>22806</v>
      </c>
      <c r="C737" s="2" t="s">
        <v>8947</v>
      </c>
      <c r="D737" s="2" t="s">
        <v>8948</v>
      </c>
      <c r="E737" s="2" t="s">
        <v>25636</v>
      </c>
      <c r="F737" s="2" t="s">
        <v>8949</v>
      </c>
      <c r="G737" s="2" t="s">
        <v>8950</v>
      </c>
      <c r="H737" s="2" t="s">
        <v>8951</v>
      </c>
      <c r="I737" s="2" t="s">
        <v>8952</v>
      </c>
      <c r="J737" s="2" t="s">
        <v>8953</v>
      </c>
      <c r="K737" s="2" t="s">
        <v>8954</v>
      </c>
      <c r="L737" s="2" t="s">
        <v>8955</v>
      </c>
      <c r="M737" s="2" t="s">
        <v>8956</v>
      </c>
      <c r="N737" s="2" t="s">
        <v>8957</v>
      </c>
      <c r="O737" s="2" t="s">
        <v>8958</v>
      </c>
      <c r="P737" s="2" t="s">
        <v>8946</v>
      </c>
    </row>
    <row r="738" spans="1:16">
      <c r="A738" s="1">
        <v>737</v>
      </c>
      <c r="B738" s="2" t="s">
        <v>22807</v>
      </c>
      <c r="C738" s="2" t="s">
        <v>8960</v>
      </c>
      <c r="D738" s="2" t="s">
        <v>8961</v>
      </c>
      <c r="E738" s="2" t="s">
        <v>25637</v>
      </c>
      <c r="F738" s="2" t="s">
        <v>8962</v>
      </c>
      <c r="G738" s="2" t="s">
        <v>8963</v>
      </c>
      <c r="H738" s="2" t="s">
        <v>8964</v>
      </c>
      <c r="I738" s="2" t="s">
        <v>8965</v>
      </c>
      <c r="J738" s="2" t="s">
        <v>8966</v>
      </c>
      <c r="K738" s="2" t="s">
        <v>8967</v>
      </c>
      <c r="L738" s="2" t="s">
        <v>8968</v>
      </c>
      <c r="M738" s="2" t="s">
        <v>8969</v>
      </c>
      <c r="N738" s="2" t="s">
        <v>8970</v>
      </c>
      <c r="O738" s="2" t="s">
        <v>8971</v>
      </c>
      <c r="P738" s="2" t="s">
        <v>8959</v>
      </c>
    </row>
    <row r="739" spans="1:16">
      <c r="A739" s="1">
        <v>738</v>
      </c>
      <c r="B739" s="2" t="s">
        <v>8972</v>
      </c>
      <c r="C739" s="2" t="s">
        <v>8973</v>
      </c>
      <c r="D739" s="2" t="s">
        <v>8974</v>
      </c>
      <c r="E739" s="2" t="s">
        <v>8975</v>
      </c>
      <c r="F739" s="2" t="s">
        <v>8976</v>
      </c>
      <c r="G739" s="2" t="s">
        <v>8977</v>
      </c>
      <c r="H739" s="2" t="s">
        <v>8978</v>
      </c>
      <c r="I739" s="2" t="s">
        <v>8979</v>
      </c>
      <c r="J739" s="2" t="s">
        <v>8980</v>
      </c>
      <c r="K739" s="2" t="s">
        <v>8981</v>
      </c>
      <c r="L739" s="2" t="s">
        <v>8982</v>
      </c>
      <c r="M739" s="2" t="s">
        <v>8983</v>
      </c>
      <c r="N739" s="2" t="s">
        <v>8984</v>
      </c>
      <c r="O739" s="2" t="s">
        <v>8985</v>
      </c>
      <c r="P739" s="2" t="s">
        <v>8972</v>
      </c>
    </row>
    <row r="740" spans="1:16">
      <c r="A740" s="1">
        <v>739</v>
      </c>
      <c r="B740" s="2" t="s">
        <v>8986</v>
      </c>
      <c r="C740" s="2" t="s">
        <v>8987</v>
      </c>
      <c r="D740" s="2" t="s">
        <v>8988</v>
      </c>
      <c r="E740" s="2" t="s">
        <v>8989</v>
      </c>
      <c r="F740" s="2" t="s">
        <v>8990</v>
      </c>
      <c r="G740" s="2" t="s">
        <v>8991</v>
      </c>
      <c r="H740" s="2" t="s">
        <v>8992</v>
      </c>
      <c r="I740" s="2" t="s">
        <v>8993</v>
      </c>
      <c r="J740" s="2" t="s">
        <v>8994</v>
      </c>
      <c r="K740" s="2" t="s">
        <v>8995</v>
      </c>
      <c r="L740" s="2" t="s">
        <v>8996</v>
      </c>
      <c r="M740" s="2" t="s">
        <v>8997</v>
      </c>
      <c r="N740" s="2" t="s">
        <v>8998</v>
      </c>
      <c r="O740" s="2" t="s">
        <v>8999</v>
      </c>
      <c r="P740" s="2" t="s">
        <v>8986</v>
      </c>
    </row>
    <row r="741" spans="1:16">
      <c r="A741" s="1">
        <v>740</v>
      </c>
      <c r="B741" s="2" t="s">
        <v>9000</v>
      </c>
      <c r="C741" s="2" t="s">
        <v>9001</v>
      </c>
      <c r="D741" s="2" t="s">
        <v>9002</v>
      </c>
      <c r="E741" s="2" t="s">
        <v>9003</v>
      </c>
      <c r="F741" s="2" t="s">
        <v>9004</v>
      </c>
      <c r="G741" s="2" t="s">
        <v>9005</v>
      </c>
      <c r="H741" s="2" t="s">
        <v>9006</v>
      </c>
      <c r="I741" s="2" t="s">
        <v>9007</v>
      </c>
      <c r="J741" s="2" t="s">
        <v>9008</v>
      </c>
      <c r="K741" s="2" t="s">
        <v>9009</v>
      </c>
      <c r="L741" s="2" t="s">
        <v>9010</v>
      </c>
      <c r="M741" s="2" t="s">
        <v>9011</v>
      </c>
      <c r="N741" s="2" t="s">
        <v>9012</v>
      </c>
      <c r="O741" s="2" t="s">
        <v>9013</v>
      </c>
      <c r="P741" s="2" t="s">
        <v>9000</v>
      </c>
    </row>
    <row r="742" spans="1:16">
      <c r="A742" s="1">
        <v>741</v>
      </c>
      <c r="B742" s="2" t="s">
        <v>9014</v>
      </c>
      <c r="C742" s="2" t="s">
        <v>9015</v>
      </c>
      <c r="D742" s="2" t="s">
        <v>9016</v>
      </c>
      <c r="E742" s="2" t="s">
        <v>9017</v>
      </c>
      <c r="F742" s="2" t="s">
        <v>9018</v>
      </c>
      <c r="G742" s="2" t="s">
        <v>9019</v>
      </c>
      <c r="H742" s="2" t="s">
        <v>9020</v>
      </c>
      <c r="I742" s="2" t="s">
        <v>9021</v>
      </c>
      <c r="J742" s="2" t="s">
        <v>9022</v>
      </c>
      <c r="K742" s="2" t="s">
        <v>9023</v>
      </c>
      <c r="L742" s="2" t="s">
        <v>9024</v>
      </c>
      <c r="M742" s="2" t="s">
        <v>9025</v>
      </c>
      <c r="N742" s="2" t="s">
        <v>9026</v>
      </c>
      <c r="O742" s="2" t="s">
        <v>9027</v>
      </c>
      <c r="P742" s="2" t="s">
        <v>9014</v>
      </c>
    </row>
    <row r="743" spans="1:16">
      <c r="A743" s="1">
        <v>742</v>
      </c>
      <c r="B743" s="2" t="s">
        <v>9028</v>
      </c>
      <c r="C743" s="2" t="s">
        <v>9029</v>
      </c>
      <c r="D743" s="2" t="s">
        <v>9030</v>
      </c>
      <c r="E743" s="2" t="s">
        <v>9031</v>
      </c>
      <c r="F743" s="2" t="s">
        <v>9032</v>
      </c>
      <c r="G743" s="2" t="s">
        <v>9033</v>
      </c>
      <c r="H743" s="2" t="s">
        <v>9034</v>
      </c>
      <c r="I743" s="2" t="s">
        <v>9035</v>
      </c>
      <c r="J743" s="2" t="s">
        <v>9036</v>
      </c>
      <c r="K743" s="2" t="s">
        <v>9037</v>
      </c>
      <c r="L743" s="2" t="s">
        <v>9038</v>
      </c>
      <c r="M743" s="2" t="s">
        <v>9039</v>
      </c>
      <c r="N743" s="2" t="s">
        <v>9040</v>
      </c>
      <c r="O743" s="2" t="s">
        <v>9041</v>
      </c>
      <c r="P743" s="2" t="s">
        <v>9028</v>
      </c>
    </row>
    <row r="744" spans="1:16">
      <c r="A744" s="1">
        <v>743</v>
      </c>
      <c r="B744" s="2" t="s">
        <v>9042</v>
      </c>
      <c r="C744" s="2" t="s">
        <v>9043</v>
      </c>
      <c r="D744" s="2" t="s">
        <v>9044</v>
      </c>
      <c r="E744" s="2" t="s">
        <v>9045</v>
      </c>
      <c r="F744" s="2" t="s">
        <v>9046</v>
      </c>
      <c r="G744" s="2" t="s">
        <v>9047</v>
      </c>
      <c r="H744" s="2" t="s">
        <v>9048</v>
      </c>
      <c r="I744" s="2" t="s">
        <v>9049</v>
      </c>
      <c r="J744" s="2" t="s">
        <v>9050</v>
      </c>
      <c r="K744" s="2" t="s">
        <v>9051</v>
      </c>
      <c r="L744" s="2" t="s">
        <v>9052</v>
      </c>
      <c r="M744" s="2" t="s">
        <v>9053</v>
      </c>
      <c r="N744" s="2" t="s">
        <v>9054</v>
      </c>
      <c r="O744" s="2" t="s">
        <v>9055</v>
      </c>
      <c r="P744" s="2" t="s">
        <v>9042</v>
      </c>
    </row>
    <row r="745" spans="1:16">
      <c r="A745" s="1">
        <v>744</v>
      </c>
      <c r="B745" s="2" t="s">
        <v>9056</v>
      </c>
      <c r="C745" s="2" t="s">
        <v>9057</v>
      </c>
      <c r="D745" s="2" t="s">
        <v>9058</v>
      </c>
      <c r="E745" s="2" t="s">
        <v>9059</v>
      </c>
      <c r="F745" s="2" t="s">
        <v>9060</v>
      </c>
      <c r="G745" s="2" t="s">
        <v>9061</v>
      </c>
      <c r="H745" s="2" t="s">
        <v>9062</v>
      </c>
      <c r="I745" s="2" t="s">
        <v>9063</v>
      </c>
      <c r="J745" s="2" t="s">
        <v>9064</v>
      </c>
      <c r="K745" s="2" t="s">
        <v>9065</v>
      </c>
      <c r="L745" s="2" t="s">
        <v>9066</v>
      </c>
      <c r="M745" s="2" t="s">
        <v>9067</v>
      </c>
      <c r="N745" s="2" t="s">
        <v>9068</v>
      </c>
      <c r="O745" s="2" t="s">
        <v>9069</v>
      </c>
      <c r="P745" s="2" t="s">
        <v>9056</v>
      </c>
    </row>
    <row r="746" spans="1:16">
      <c r="A746" s="1">
        <v>745</v>
      </c>
      <c r="B746" s="2" t="s">
        <v>9070</v>
      </c>
      <c r="C746" s="2" t="s">
        <v>9071</v>
      </c>
      <c r="D746" s="2" t="s">
        <v>9072</v>
      </c>
      <c r="E746" s="2" t="s">
        <v>9073</v>
      </c>
      <c r="F746" s="2" t="s">
        <v>9074</v>
      </c>
      <c r="G746" s="2" t="s">
        <v>9075</v>
      </c>
      <c r="H746" s="2" t="s">
        <v>9076</v>
      </c>
      <c r="I746" s="2" t="s">
        <v>9077</v>
      </c>
      <c r="J746" s="2" t="s">
        <v>9078</v>
      </c>
      <c r="K746" s="2" t="s">
        <v>9079</v>
      </c>
      <c r="L746" s="2" t="s">
        <v>9080</v>
      </c>
      <c r="M746" s="2" t="s">
        <v>9081</v>
      </c>
      <c r="N746" s="2" t="s">
        <v>9082</v>
      </c>
      <c r="O746" s="2" t="s">
        <v>9083</v>
      </c>
      <c r="P746" s="2" t="s">
        <v>9070</v>
      </c>
    </row>
    <row r="747" spans="1:16">
      <c r="A747" s="1">
        <v>746</v>
      </c>
      <c r="B747" s="2" t="s">
        <v>9084</v>
      </c>
      <c r="C747" s="2" t="s">
        <v>9085</v>
      </c>
      <c r="D747" s="2" t="s">
        <v>9086</v>
      </c>
      <c r="E747" s="2" t="s">
        <v>9087</v>
      </c>
      <c r="F747" s="2" t="s">
        <v>9088</v>
      </c>
      <c r="G747" s="2" t="s">
        <v>9089</v>
      </c>
      <c r="H747" s="2" t="s">
        <v>9090</v>
      </c>
      <c r="I747" s="2" t="s">
        <v>9091</v>
      </c>
      <c r="J747" s="2" t="s">
        <v>9092</v>
      </c>
      <c r="K747" s="2" t="s">
        <v>9093</v>
      </c>
      <c r="L747" s="2" t="s">
        <v>9094</v>
      </c>
      <c r="M747" s="2" t="s">
        <v>9095</v>
      </c>
      <c r="N747" s="2" t="s">
        <v>9096</v>
      </c>
      <c r="O747" s="2" t="s">
        <v>9097</v>
      </c>
      <c r="P747" s="2" t="s">
        <v>9084</v>
      </c>
    </row>
    <row r="748" spans="1:16">
      <c r="A748" s="1">
        <v>747</v>
      </c>
      <c r="B748" s="2" t="s">
        <v>9098</v>
      </c>
      <c r="C748" s="2" t="s">
        <v>9099</v>
      </c>
      <c r="D748" s="2" t="s">
        <v>9100</v>
      </c>
      <c r="E748" s="2" t="s">
        <v>9101</v>
      </c>
      <c r="F748" s="2" t="s">
        <v>9102</v>
      </c>
      <c r="G748" s="2" t="s">
        <v>9103</v>
      </c>
      <c r="H748" s="2" t="s">
        <v>9104</v>
      </c>
      <c r="I748" s="2" t="s">
        <v>9105</v>
      </c>
      <c r="J748" s="2" t="s">
        <v>9106</v>
      </c>
      <c r="K748" s="2" t="s">
        <v>9107</v>
      </c>
      <c r="L748" s="2" t="s">
        <v>8888</v>
      </c>
      <c r="M748" s="2" t="s">
        <v>9108</v>
      </c>
      <c r="N748" s="2" t="s">
        <v>9109</v>
      </c>
      <c r="O748" s="2" t="s">
        <v>9110</v>
      </c>
      <c r="P748" s="2" t="s">
        <v>9098</v>
      </c>
    </row>
    <row r="749" spans="1:16">
      <c r="A749" s="1">
        <v>748</v>
      </c>
      <c r="B749" s="2" t="s">
        <v>9111</v>
      </c>
      <c r="C749" s="2" t="s">
        <v>9112</v>
      </c>
      <c r="D749" s="2" t="s">
        <v>9113</v>
      </c>
      <c r="E749" s="2" t="s">
        <v>9114</v>
      </c>
      <c r="F749" s="2" t="s">
        <v>9115</v>
      </c>
      <c r="G749" s="2" t="s">
        <v>9116</v>
      </c>
      <c r="H749" s="2" t="s">
        <v>9117</v>
      </c>
      <c r="I749" s="2" t="s">
        <v>9118</v>
      </c>
      <c r="J749" s="2" t="s">
        <v>9119</v>
      </c>
      <c r="K749" s="2" t="s">
        <v>9120</v>
      </c>
      <c r="L749" s="2" t="s">
        <v>9121</v>
      </c>
      <c r="M749" s="2" t="s">
        <v>9122</v>
      </c>
      <c r="N749" s="2" t="s">
        <v>9123</v>
      </c>
      <c r="O749" s="2" t="s">
        <v>9124</v>
      </c>
      <c r="P749" s="2" t="s">
        <v>9111</v>
      </c>
    </row>
    <row r="750" spans="1:16">
      <c r="A750" s="1">
        <v>749</v>
      </c>
      <c r="B750" s="2" t="s">
        <v>9125</v>
      </c>
      <c r="C750" s="2" t="s">
        <v>9126</v>
      </c>
      <c r="D750" s="2" t="s">
        <v>9127</v>
      </c>
      <c r="E750" s="2" t="s">
        <v>9128</v>
      </c>
      <c r="F750" s="2" t="s">
        <v>9129</v>
      </c>
      <c r="G750" s="2" t="s">
        <v>9130</v>
      </c>
      <c r="H750" s="2" t="s">
        <v>9131</v>
      </c>
      <c r="I750" s="2" t="s">
        <v>9132</v>
      </c>
      <c r="J750" s="2" t="s">
        <v>9125</v>
      </c>
      <c r="K750" s="2" t="s">
        <v>9133</v>
      </c>
      <c r="L750" s="2" t="s">
        <v>9134</v>
      </c>
      <c r="M750" s="2" t="s">
        <v>9135</v>
      </c>
      <c r="N750" s="2" t="s">
        <v>9135</v>
      </c>
      <c r="O750" s="2" t="s">
        <v>9136</v>
      </c>
      <c r="P750" s="2" t="s">
        <v>9125</v>
      </c>
    </row>
    <row r="751" spans="1:16">
      <c r="A751" s="1">
        <v>750</v>
      </c>
      <c r="B751" s="2" t="s">
        <v>9137</v>
      </c>
      <c r="C751" s="2" t="s">
        <v>9138</v>
      </c>
      <c r="D751" s="2" t="s">
        <v>9139</v>
      </c>
      <c r="E751" s="2" t="s">
        <v>9140</v>
      </c>
      <c r="F751" s="2" t="s">
        <v>9141</v>
      </c>
      <c r="G751" s="2" t="s">
        <v>9142</v>
      </c>
      <c r="H751" s="2" t="s">
        <v>9143</v>
      </c>
      <c r="I751" s="2" t="s">
        <v>9144</v>
      </c>
      <c r="J751" s="2" t="s">
        <v>9145</v>
      </c>
      <c r="K751" s="2" t="s">
        <v>9146</v>
      </c>
      <c r="L751" s="2" t="s">
        <v>9147</v>
      </c>
      <c r="M751" s="2" t="s">
        <v>9148</v>
      </c>
      <c r="N751" s="2" t="s">
        <v>9149</v>
      </c>
      <c r="O751" s="2" t="s">
        <v>9150</v>
      </c>
      <c r="P751" s="2" t="s">
        <v>9137</v>
      </c>
    </row>
    <row r="752" spans="1:16">
      <c r="A752" s="1">
        <v>751</v>
      </c>
      <c r="B752" s="2" t="s">
        <v>9151</v>
      </c>
      <c r="C752" s="2" t="s">
        <v>9152</v>
      </c>
      <c r="D752" s="2" t="s">
        <v>9153</v>
      </c>
      <c r="E752" s="2" t="s">
        <v>9154</v>
      </c>
      <c r="F752" s="2" t="s">
        <v>9155</v>
      </c>
      <c r="G752" s="2" t="s">
        <v>9156</v>
      </c>
      <c r="H752" s="2" t="s">
        <v>9157</v>
      </c>
      <c r="I752" s="2" t="s">
        <v>9158</v>
      </c>
      <c r="J752" s="2" t="s">
        <v>9159</v>
      </c>
      <c r="K752" s="2" t="s">
        <v>9160</v>
      </c>
      <c r="L752" s="2" t="s">
        <v>9161</v>
      </c>
      <c r="M752" s="2" t="s">
        <v>9162</v>
      </c>
      <c r="N752" s="2" t="s">
        <v>9163</v>
      </c>
      <c r="O752" s="2" t="s">
        <v>9164</v>
      </c>
      <c r="P752" s="2" t="s">
        <v>9151</v>
      </c>
    </row>
    <row r="753" spans="1:16">
      <c r="A753" s="1">
        <v>752</v>
      </c>
      <c r="B753" s="2" t="s">
        <v>9165</v>
      </c>
      <c r="C753" s="2" t="s">
        <v>9166</v>
      </c>
      <c r="D753" s="2" t="s">
        <v>9167</v>
      </c>
      <c r="E753" s="2" t="s">
        <v>9168</v>
      </c>
      <c r="F753" s="2" t="s">
        <v>9169</v>
      </c>
      <c r="G753" s="2" t="s">
        <v>9170</v>
      </c>
      <c r="H753" s="2" t="s">
        <v>9171</v>
      </c>
      <c r="I753" s="2" t="s">
        <v>9172</v>
      </c>
      <c r="J753" s="2" t="s">
        <v>9173</v>
      </c>
      <c r="K753" s="2" t="s">
        <v>9174</v>
      </c>
      <c r="L753" s="2" t="s">
        <v>9175</v>
      </c>
      <c r="M753" s="2" t="s">
        <v>9176</v>
      </c>
      <c r="N753" s="2" t="s">
        <v>9177</v>
      </c>
      <c r="O753" s="2" t="s">
        <v>9178</v>
      </c>
      <c r="P753" s="2" t="s">
        <v>9165</v>
      </c>
    </row>
    <row r="754" spans="1:16">
      <c r="A754" s="1">
        <v>753</v>
      </c>
      <c r="B754" s="2" t="s">
        <v>9179</v>
      </c>
      <c r="C754" s="2" t="s">
        <v>9180</v>
      </c>
      <c r="D754" s="2" t="s">
        <v>9181</v>
      </c>
      <c r="E754" s="2" t="s">
        <v>9182</v>
      </c>
      <c r="F754" s="2" t="s">
        <v>9183</v>
      </c>
      <c r="G754" s="2" t="s">
        <v>9184</v>
      </c>
      <c r="H754" s="2" t="s">
        <v>9185</v>
      </c>
      <c r="I754" s="2" t="s">
        <v>9186</v>
      </c>
      <c r="J754" s="2" t="s">
        <v>9187</v>
      </c>
      <c r="K754" s="2" t="s">
        <v>9188</v>
      </c>
      <c r="L754" s="2" t="s">
        <v>9189</v>
      </c>
      <c r="M754" s="2" t="s">
        <v>9190</v>
      </c>
      <c r="N754" s="2" t="s">
        <v>9191</v>
      </c>
      <c r="O754" s="2" t="s">
        <v>9192</v>
      </c>
      <c r="P754" s="2" t="s">
        <v>9179</v>
      </c>
    </row>
    <row r="755" spans="1:16">
      <c r="A755" s="1">
        <v>754</v>
      </c>
      <c r="B755" s="2" t="s">
        <v>9193</v>
      </c>
      <c r="C755" s="2" t="s">
        <v>9194</v>
      </c>
      <c r="D755" s="2" t="s">
        <v>9195</v>
      </c>
      <c r="E755" s="2" t="s">
        <v>9196</v>
      </c>
      <c r="F755" s="2" t="s">
        <v>9197</v>
      </c>
      <c r="G755" s="2" t="s">
        <v>9198</v>
      </c>
      <c r="H755" s="2" t="s">
        <v>9199</v>
      </c>
      <c r="I755" s="2" t="s">
        <v>9200</v>
      </c>
      <c r="J755" s="2" t="s">
        <v>9201</v>
      </c>
      <c r="K755" s="2" t="s">
        <v>9202</v>
      </c>
      <c r="L755" s="2" t="s">
        <v>9203</v>
      </c>
      <c r="M755" s="2" t="s">
        <v>9204</v>
      </c>
      <c r="N755" s="2" t="s">
        <v>9205</v>
      </c>
      <c r="O755" s="2" t="s">
        <v>9206</v>
      </c>
      <c r="P755" s="2" t="s">
        <v>9193</v>
      </c>
    </row>
    <row r="756" spans="1:16">
      <c r="A756" s="1">
        <v>755</v>
      </c>
      <c r="B756" s="2" t="s">
        <v>9207</v>
      </c>
      <c r="C756" s="2" t="s">
        <v>9208</v>
      </c>
      <c r="D756" s="2" t="s">
        <v>9209</v>
      </c>
      <c r="E756" s="2" t="s">
        <v>9210</v>
      </c>
      <c r="F756" s="2" t="s">
        <v>9211</v>
      </c>
      <c r="G756" s="2" t="s">
        <v>9212</v>
      </c>
      <c r="H756" s="2" t="s">
        <v>9213</v>
      </c>
      <c r="I756" s="2" t="s">
        <v>9214</v>
      </c>
      <c r="J756" s="2" t="s">
        <v>9215</v>
      </c>
      <c r="K756" s="2" t="s">
        <v>9216</v>
      </c>
      <c r="L756" s="2" t="s">
        <v>9217</v>
      </c>
      <c r="M756" s="2" t="s">
        <v>9218</v>
      </c>
      <c r="N756" s="2" t="s">
        <v>9219</v>
      </c>
      <c r="O756" s="2" t="s">
        <v>9220</v>
      </c>
      <c r="P756" s="2" t="s">
        <v>9207</v>
      </c>
    </row>
    <row r="757" spans="1:16">
      <c r="A757" s="1">
        <v>756</v>
      </c>
      <c r="B757" s="2" t="s">
        <v>9221</v>
      </c>
      <c r="C757" s="2" t="s">
        <v>9222</v>
      </c>
      <c r="D757" s="2" t="s">
        <v>9223</v>
      </c>
      <c r="E757" s="2" t="s">
        <v>9224</v>
      </c>
      <c r="F757" s="2" t="s">
        <v>9225</v>
      </c>
      <c r="G757" s="2" t="s">
        <v>9226</v>
      </c>
      <c r="H757" s="2" t="s">
        <v>9227</v>
      </c>
      <c r="I757" s="2" t="s">
        <v>9228</v>
      </c>
      <c r="J757" s="2" t="s">
        <v>9229</v>
      </c>
      <c r="K757" s="2" t="s">
        <v>9230</v>
      </c>
      <c r="L757" s="2" t="s">
        <v>9231</v>
      </c>
      <c r="M757" s="2" t="s">
        <v>9232</v>
      </c>
      <c r="N757" s="2" t="s">
        <v>9233</v>
      </c>
      <c r="O757" s="2" t="s">
        <v>9234</v>
      </c>
      <c r="P757" s="2" t="s">
        <v>9221</v>
      </c>
    </row>
    <row r="758" spans="1:16">
      <c r="A758" s="1">
        <v>757</v>
      </c>
      <c r="B758" s="2" t="s">
        <v>9235</v>
      </c>
      <c r="C758" s="2" t="s">
        <v>9236</v>
      </c>
      <c r="D758" s="2" t="s">
        <v>9237</v>
      </c>
      <c r="E758" s="2" t="s">
        <v>9238</v>
      </c>
      <c r="F758" s="2" t="s">
        <v>9239</v>
      </c>
      <c r="G758" s="2" t="s">
        <v>9240</v>
      </c>
      <c r="H758" s="2" t="s">
        <v>9241</v>
      </c>
      <c r="I758" s="2" t="s">
        <v>9242</v>
      </c>
      <c r="J758" s="2" t="s">
        <v>9243</v>
      </c>
      <c r="K758" s="2" t="s">
        <v>9244</v>
      </c>
      <c r="L758" s="2" t="s">
        <v>9245</v>
      </c>
      <c r="M758" s="2" t="s">
        <v>9246</v>
      </c>
      <c r="N758" s="2" t="s">
        <v>9247</v>
      </c>
      <c r="O758" s="2" t="s">
        <v>9248</v>
      </c>
      <c r="P758" s="2" t="s">
        <v>9235</v>
      </c>
    </row>
    <row r="759" spans="1:16">
      <c r="A759" s="1">
        <v>758</v>
      </c>
      <c r="B759" s="2" t="s">
        <v>9249</v>
      </c>
      <c r="C759" s="2" t="s">
        <v>9250</v>
      </c>
      <c r="D759" s="2" t="s">
        <v>9251</v>
      </c>
      <c r="E759" s="2" t="s">
        <v>25638</v>
      </c>
      <c r="F759" s="2" t="s">
        <v>9252</v>
      </c>
      <c r="G759" s="2" t="s">
        <v>9253</v>
      </c>
      <c r="H759" s="2" t="s">
        <v>9254</v>
      </c>
      <c r="I759" s="2" t="s">
        <v>9255</v>
      </c>
      <c r="J759" s="2" t="s">
        <v>9256</v>
      </c>
      <c r="K759" s="2" t="s">
        <v>9257</v>
      </c>
      <c r="L759" s="2" t="s">
        <v>9258</v>
      </c>
      <c r="M759" s="2" t="s">
        <v>9259</v>
      </c>
      <c r="N759" s="2" t="s">
        <v>9260</v>
      </c>
      <c r="O759" s="2" t="s">
        <v>9261</v>
      </c>
      <c r="P759" s="2" t="s">
        <v>9249</v>
      </c>
    </row>
    <row r="760" spans="1:16">
      <c r="A760" s="1">
        <v>759</v>
      </c>
      <c r="B760" s="2" t="s">
        <v>9262</v>
      </c>
      <c r="C760" s="2" t="s">
        <v>9263</v>
      </c>
      <c r="D760" s="2" t="s">
        <v>9264</v>
      </c>
      <c r="E760" s="2" t="s">
        <v>9265</v>
      </c>
      <c r="F760" s="2" t="s">
        <v>9266</v>
      </c>
      <c r="G760" s="2" t="s">
        <v>9267</v>
      </c>
      <c r="H760" s="2" t="s">
        <v>9268</v>
      </c>
      <c r="I760" s="2" t="s">
        <v>9269</v>
      </c>
      <c r="J760" s="2" t="s">
        <v>9270</v>
      </c>
      <c r="K760" s="2" t="s">
        <v>9271</v>
      </c>
      <c r="L760" s="2" t="s">
        <v>9272</v>
      </c>
      <c r="M760" s="2" t="s">
        <v>9273</v>
      </c>
      <c r="N760" s="2" t="s">
        <v>9274</v>
      </c>
      <c r="O760" s="2" t="s">
        <v>9275</v>
      </c>
      <c r="P760" s="2" t="s">
        <v>9262</v>
      </c>
    </row>
    <row r="761" spans="1:16">
      <c r="A761" s="1">
        <v>760</v>
      </c>
      <c r="B761" s="2" t="s">
        <v>9276</v>
      </c>
      <c r="C761" s="2" t="s">
        <v>9277</v>
      </c>
      <c r="D761" s="2" t="s">
        <v>5319</v>
      </c>
      <c r="E761" s="2" t="s">
        <v>25639</v>
      </c>
      <c r="F761" s="2" t="s">
        <v>9278</v>
      </c>
      <c r="G761" s="2" t="s">
        <v>9279</v>
      </c>
      <c r="H761" s="2" t="s">
        <v>9280</v>
      </c>
      <c r="I761" s="2" t="s">
        <v>9281</v>
      </c>
      <c r="J761" s="2" t="s">
        <v>9282</v>
      </c>
      <c r="K761" s="2" t="s">
        <v>9283</v>
      </c>
      <c r="L761" s="2" t="s">
        <v>9284</v>
      </c>
      <c r="M761" s="2" t="s">
        <v>9285</v>
      </c>
      <c r="N761" s="2" t="s">
        <v>9286</v>
      </c>
      <c r="O761" s="2" t="s">
        <v>9287</v>
      </c>
      <c r="P761" s="2" t="s">
        <v>9276</v>
      </c>
    </row>
    <row r="762" spans="1:16">
      <c r="A762" s="1">
        <v>761</v>
      </c>
      <c r="B762" s="2" t="s">
        <v>9288</v>
      </c>
      <c r="C762" s="2" t="s">
        <v>9289</v>
      </c>
      <c r="D762" s="2" t="s">
        <v>9290</v>
      </c>
      <c r="E762" s="2" t="s">
        <v>25640</v>
      </c>
      <c r="F762" s="2" t="s">
        <v>9291</v>
      </c>
      <c r="G762" s="2" t="s">
        <v>9292</v>
      </c>
      <c r="H762" s="2" t="s">
        <v>9293</v>
      </c>
      <c r="I762" s="2" t="s">
        <v>9294</v>
      </c>
      <c r="J762" s="2" t="s">
        <v>9295</v>
      </c>
      <c r="K762" s="2" t="s">
        <v>9296</v>
      </c>
      <c r="L762" s="2" t="s">
        <v>9297</v>
      </c>
      <c r="M762" s="2" t="s">
        <v>9298</v>
      </c>
      <c r="N762" s="2" t="s">
        <v>9299</v>
      </c>
      <c r="O762" s="2" t="s">
        <v>9300</v>
      </c>
      <c r="P762" s="2" t="s">
        <v>9288</v>
      </c>
    </row>
    <row r="763" spans="1:16">
      <c r="A763" s="1">
        <v>762</v>
      </c>
      <c r="B763" s="2" t="s">
        <v>9301</v>
      </c>
      <c r="C763" s="2" t="s">
        <v>9302</v>
      </c>
      <c r="D763" s="2" t="s">
        <v>9303</v>
      </c>
      <c r="E763" s="2" t="s">
        <v>9304</v>
      </c>
      <c r="F763" s="2" t="s">
        <v>9305</v>
      </c>
      <c r="G763" s="2" t="s">
        <v>9306</v>
      </c>
      <c r="H763" s="2" t="s">
        <v>9307</v>
      </c>
      <c r="I763" s="2" t="s">
        <v>9308</v>
      </c>
      <c r="J763" s="2" t="s">
        <v>3025</v>
      </c>
      <c r="K763" s="2" t="s">
        <v>9309</v>
      </c>
      <c r="L763" s="2" t="s">
        <v>9310</v>
      </c>
      <c r="M763" s="2" t="s">
        <v>9311</v>
      </c>
      <c r="N763" s="2" t="s">
        <v>9312</v>
      </c>
      <c r="O763" s="2" t="s">
        <v>9313</v>
      </c>
      <c r="P763" s="2" t="s">
        <v>9301</v>
      </c>
    </row>
    <row r="764" spans="1:16">
      <c r="A764" s="1">
        <v>763</v>
      </c>
      <c r="B764" s="2" t="s">
        <v>9314</v>
      </c>
      <c r="C764" s="2" t="s">
        <v>9315</v>
      </c>
      <c r="D764" s="2" t="s">
        <v>9316</v>
      </c>
      <c r="E764" s="2" t="s">
        <v>9317</v>
      </c>
      <c r="F764" s="2" t="s">
        <v>9318</v>
      </c>
      <c r="G764" s="2" t="s">
        <v>9319</v>
      </c>
      <c r="H764" s="2" t="s">
        <v>9320</v>
      </c>
      <c r="I764" s="2" t="s">
        <v>9321</v>
      </c>
      <c r="J764" s="2" t="s">
        <v>9322</v>
      </c>
      <c r="K764" s="2" t="s">
        <v>9323</v>
      </c>
      <c r="L764" s="2" t="s">
        <v>9324</v>
      </c>
      <c r="M764" s="2" t="s">
        <v>9325</v>
      </c>
      <c r="N764" s="2" t="s">
        <v>9326</v>
      </c>
      <c r="O764" s="2" t="s">
        <v>9327</v>
      </c>
      <c r="P764" s="2" t="s">
        <v>9314</v>
      </c>
    </row>
    <row r="765" spans="1:16">
      <c r="A765" s="1">
        <v>764</v>
      </c>
      <c r="B765" s="2" t="s">
        <v>9328</v>
      </c>
      <c r="C765" s="2" t="s">
        <v>9329</v>
      </c>
      <c r="D765" s="2" t="s">
        <v>9330</v>
      </c>
      <c r="E765" s="2" t="s">
        <v>9331</v>
      </c>
      <c r="F765" s="2" t="s">
        <v>9332</v>
      </c>
      <c r="G765" s="2" t="s">
        <v>9333</v>
      </c>
      <c r="H765" s="2" t="s">
        <v>9334</v>
      </c>
      <c r="I765" s="2" t="s">
        <v>9335</v>
      </c>
      <c r="J765" s="2" t="s">
        <v>9336</v>
      </c>
      <c r="K765" s="2" t="s">
        <v>9337</v>
      </c>
      <c r="L765" s="2" t="s">
        <v>9338</v>
      </c>
      <c r="M765" s="2" t="s">
        <v>9339</v>
      </c>
      <c r="N765" s="2" t="s">
        <v>9340</v>
      </c>
      <c r="O765" s="2" t="s">
        <v>9341</v>
      </c>
      <c r="P765" s="2" t="s">
        <v>9328</v>
      </c>
    </row>
    <row r="766" spans="1:16">
      <c r="A766" s="1">
        <v>765</v>
      </c>
      <c r="B766" s="2" t="s">
        <v>9342</v>
      </c>
      <c r="C766" s="2" t="s">
        <v>9343</v>
      </c>
      <c r="D766" s="2" t="s">
        <v>9344</v>
      </c>
      <c r="E766" s="2" t="s">
        <v>9345</v>
      </c>
      <c r="F766" s="2" t="s">
        <v>9346</v>
      </c>
      <c r="G766" s="2" t="s">
        <v>9347</v>
      </c>
      <c r="H766" s="2" t="s">
        <v>9348</v>
      </c>
      <c r="I766" s="2" t="s">
        <v>9349</v>
      </c>
      <c r="J766" s="2" t="s">
        <v>9350</v>
      </c>
      <c r="K766" s="2" t="s">
        <v>9351</v>
      </c>
      <c r="L766" s="2" t="s">
        <v>9352</v>
      </c>
      <c r="M766" s="2" t="s">
        <v>9353</v>
      </c>
      <c r="N766" s="2" t="s">
        <v>9354</v>
      </c>
      <c r="O766" s="2" t="s">
        <v>9355</v>
      </c>
      <c r="P766" s="2" t="s">
        <v>9342</v>
      </c>
    </row>
    <row r="767" spans="1:16">
      <c r="A767" s="1">
        <v>766</v>
      </c>
      <c r="B767" s="2" t="s">
        <v>9356</v>
      </c>
      <c r="C767" s="2" t="s">
        <v>9357</v>
      </c>
      <c r="D767" s="2" t="s">
        <v>9358</v>
      </c>
      <c r="E767" s="2" t="s">
        <v>9359</v>
      </c>
      <c r="F767" s="2" t="s">
        <v>9360</v>
      </c>
      <c r="G767" s="2" t="s">
        <v>9361</v>
      </c>
      <c r="H767" s="2" t="s">
        <v>9362</v>
      </c>
      <c r="I767" s="2" t="s">
        <v>9363</v>
      </c>
      <c r="J767" s="2" t="s">
        <v>9364</v>
      </c>
      <c r="K767" s="2" t="s">
        <v>9365</v>
      </c>
      <c r="L767" s="2" t="s">
        <v>9366</v>
      </c>
      <c r="M767" s="2" t="s">
        <v>9367</v>
      </c>
      <c r="N767" s="2" t="s">
        <v>9368</v>
      </c>
      <c r="O767" s="2" t="s">
        <v>9369</v>
      </c>
      <c r="P767" s="2" t="s">
        <v>9356</v>
      </c>
    </row>
    <row r="768" spans="1:16">
      <c r="A768" s="1">
        <v>767</v>
      </c>
      <c r="B768" s="2" t="s">
        <v>9370</v>
      </c>
      <c r="C768" s="2" t="s">
        <v>9371</v>
      </c>
      <c r="D768" s="2" t="s">
        <v>9372</v>
      </c>
      <c r="E768" s="2" t="s">
        <v>9373</v>
      </c>
      <c r="F768" s="2" t="s">
        <v>9374</v>
      </c>
      <c r="G768" s="2" t="s">
        <v>9375</v>
      </c>
      <c r="H768" s="2" t="s">
        <v>9376</v>
      </c>
      <c r="I768" s="2" t="s">
        <v>9377</v>
      </c>
      <c r="J768" s="2" t="s">
        <v>9378</v>
      </c>
      <c r="K768" s="2" t="s">
        <v>9379</v>
      </c>
      <c r="L768" s="2" t="s">
        <v>9380</v>
      </c>
      <c r="M768" s="2" t="s">
        <v>9381</v>
      </c>
      <c r="N768" s="2" t="s">
        <v>9382</v>
      </c>
      <c r="O768" s="2" t="s">
        <v>9383</v>
      </c>
      <c r="P768" s="2" t="s">
        <v>9370</v>
      </c>
    </row>
    <row r="769" spans="1:16">
      <c r="A769" s="1">
        <v>768</v>
      </c>
      <c r="B769" s="2" t="s">
        <v>9384</v>
      </c>
      <c r="C769" s="2" t="s">
        <v>9385</v>
      </c>
      <c r="D769" s="2" t="s">
        <v>9386</v>
      </c>
      <c r="E769" s="2" t="s">
        <v>9387</v>
      </c>
      <c r="F769" s="2" t="s">
        <v>9388</v>
      </c>
      <c r="G769" s="2" t="s">
        <v>9389</v>
      </c>
      <c r="H769" s="2" t="s">
        <v>9390</v>
      </c>
      <c r="I769" s="2" t="s">
        <v>9391</v>
      </c>
      <c r="J769" s="2" t="s">
        <v>9392</v>
      </c>
      <c r="K769" s="2" t="s">
        <v>9393</v>
      </c>
      <c r="L769" s="2" t="s">
        <v>9394</v>
      </c>
      <c r="M769" s="2" t="s">
        <v>9395</v>
      </c>
      <c r="N769" s="2" t="s">
        <v>9396</v>
      </c>
      <c r="O769" s="2" t="s">
        <v>9397</v>
      </c>
      <c r="P769" s="2" t="s">
        <v>9384</v>
      </c>
    </row>
    <row r="770" spans="1:16">
      <c r="A770" s="1">
        <v>769</v>
      </c>
      <c r="B770" s="2" t="s">
        <v>9398</v>
      </c>
      <c r="C770" s="2" t="s">
        <v>9371</v>
      </c>
      <c r="D770" s="2" t="s">
        <v>9372</v>
      </c>
      <c r="E770" s="2" t="s">
        <v>9399</v>
      </c>
      <c r="F770" s="2" t="s">
        <v>3804</v>
      </c>
      <c r="G770" s="2" t="s">
        <v>9375</v>
      </c>
      <c r="H770" s="2" t="s">
        <v>9400</v>
      </c>
      <c r="I770" s="2" t="s">
        <v>9401</v>
      </c>
      <c r="J770" s="2" t="s">
        <v>9402</v>
      </c>
      <c r="K770" s="2" t="s">
        <v>9403</v>
      </c>
      <c r="L770" s="2" t="s">
        <v>9404</v>
      </c>
      <c r="M770" s="2" t="s">
        <v>9405</v>
      </c>
      <c r="N770" s="2" t="s">
        <v>9406</v>
      </c>
      <c r="O770" s="2" t="s">
        <v>9407</v>
      </c>
      <c r="P770" s="2" t="s">
        <v>9398</v>
      </c>
    </row>
    <row r="771" spans="1:16">
      <c r="A771" s="1">
        <v>770</v>
      </c>
      <c r="B771" s="2" t="s">
        <v>9408</v>
      </c>
      <c r="C771" s="2" t="s">
        <v>9409</v>
      </c>
      <c r="D771" s="2" t="s">
        <v>9410</v>
      </c>
      <c r="E771" s="2" t="s">
        <v>9411</v>
      </c>
      <c r="F771" s="2" t="s">
        <v>9412</v>
      </c>
      <c r="G771" s="2" t="s">
        <v>9413</v>
      </c>
      <c r="H771" s="2" t="s">
        <v>9414</v>
      </c>
      <c r="I771" s="2" t="s">
        <v>9415</v>
      </c>
      <c r="J771" s="2" t="s">
        <v>9416</v>
      </c>
      <c r="K771" s="2" t="s">
        <v>9417</v>
      </c>
      <c r="L771" s="2" t="s">
        <v>9418</v>
      </c>
      <c r="M771" s="2" t="s">
        <v>9419</v>
      </c>
      <c r="N771" s="2" t="s">
        <v>9420</v>
      </c>
      <c r="O771" s="2" t="s">
        <v>9421</v>
      </c>
      <c r="P771" s="2" t="s">
        <v>9408</v>
      </c>
    </row>
    <row r="772" spans="1:16">
      <c r="A772" s="1">
        <v>771</v>
      </c>
      <c r="B772" s="2" t="s">
        <v>9422</v>
      </c>
      <c r="C772" s="2" t="s">
        <v>9423</v>
      </c>
      <c r="D772" s="2" t="s">
        <v>9424</v>
      </c>
      <c r="E772" s="2" t="s">
        <v>9425</v>
      </c>
      <c r="F772" s="2" t="s">
        <v>9426</v>
      </c>
      <c r="G772" s="2" t="s">
        <v>9427</v>
      </c>
      <c r="H772" s="2" t="s">
        <v>9428</v>
      </c>
      <c r="I772" s="2" t="s">
        <v>9429</v>
      </c>
      <c r="J772" s="2" t="s">
        <v>9430</v>
      </c>
      <c r="K772" s="2" t="s">
        <v>9431</v>
      </c>
      <c r="L772" s="2" t="s">
        <v>9432</v>
      </c>
      <c r="M772" s="2" t="s">
        <v>9433</v>
      </c>
      <c r="N772" s="2" t="s">
        <v>9434</v>
      </c>
      <c r="O772" s="2" t="s">
        <v>9435</v>
      </c>
      <c r="P772" s="2" t="s">
        <v>9422</v>
      </c>
    </row>
    <row r="773" spans="1:16">
      <c r="A773" s="1">
        <v>772</v>
      </c>
      <c r="B773" s="2" t="s">
        <v>9436</v>
      </c>
      <c r="C773" s="2" t="s">
        <v>9437</v>
      </c>
      <c r="D773" s="2" t="s">
        <v>9438</v>
      </c>
      <c r="E773" s="2" t="s">
        <v>9439</v>
      </c>
      <c r="F773" s="2" t="s">
        <v>9440</v>
      </c>
      <c r="G773" s="2" t="s">
        <v>9441</v>
      </c>
      <c r="H773" s="2" t="s">
        <v>9442</v>
      </c>
      <c r="I773" s="2" t="s">
        <v>9443</v>
      </c>
      <c r="J773" s="2" t="s">
        <v>9444</v>
      </c>
      <c r="K773" s="2" t="s">
        <v>9445</v>
      </c>
      <c r="L773" s="2" t="s">
        <v>9446</v>
      </c>
      <c r="M773" s="2" t="s">
        <v>9447</v>
      </c>
      <c r="N773" s="2" t="s">
        <v>9448</v>
      </c>
      <c r="O773" s="2" t="s">
        <v>9449</v>
      </c>
      <c r="P773" s="2" t="s">
        <v>9436</v>
      </c>
    </row>
    <row r="774" spans="1:16">
      <c r="A774" s="1">
        <v>773</v>
      </c>
      <c r="B774" s="2" t="s">
        <v>9450</v>
      </c>
      <c r="C774" s="2" t="s">
        <v>9451</v>
      </c>
      <c r="D774" s="2" t="s">
        <v>9452</v>
      </c>
      <c r="E774" s="2" t="s">
        <v>9453</v>
      </c>
      <c r="F774" s="2" t="s">
        <v>9454</v>
      </c>
      <c r="G774" s="2" t="s">
        <v>9455</v>
      </c>
      <c r="H774" s="2" t="s">
        <v>9456</v>
      </c>
      <c r="I774" s="2" t="s">
        <v>9457</v>
      </c>
      <c r="J774" s="2" t="s">
        <v>9458</v>
      </c>
      <c r="K774" s="2" t="s">
        <v>9459</v>
      </c>
      <c r="L774" s="2" t="s">
        <v>9460</v>
      </c>
      <c r="M774" s="2" t="s">
        <v>9461</v>
      </c>
      <c r="N774" s="2" t="s">
        <v>9462</v>
      </c>
      <c r="O774" s="2" t="s">
        <v>9463</v>
      </c>
      <c r="P774" s="2" t="s">
        <v>9450</v>
      </c>
    </row>
    <row r="775" spans="1:16">
      <c r="A775" s="1">
        <v>774</v>
      </c>
      <c r="B775" s="2" t="s">
        <v>9464</v>
      </c>
      <c r="C775" s="2" t="s">
        <v>9465</v>
      </c>
      <c r="D775" s="2" t="s">
        <v>9466</v>
      </c>
      <c r="E775" s="2" t="s">
        <v>9467</v>
      </c>
      <c r="F775" s="2" t="s">
        <v>9468</v>
      </c>
      <c r="G775" s="2" t="s">
        <v>9469</v>
      </c>
      <c r="H775" s="2" t="s">
        <v>9470</v>
      </c>
      <c r="I775" s="2" t="s">
        <v>9471</v>
      </c>
      <c r="J775" s="2" t="s">
        <v>9472</v>
      </c>
      <c r="K775" s="2" t="s">
        <v>9473</v>
      </c>
      <c r="L775" s="2" t="s">
        <v>9474</v>
      </c>
      <c r="M775" s="2" t="s">
        <v>9475</v>
      </c>
      <c r="N775" s="2" t="s">
        <v>9476</v>
      </c>
      <c r="O775" s="2" t="s">
        <v>9477</v>
      </c>
      <c r="P775" s="2" t="s">
        <v>9464</v>
      </c>
    </row>
    <row r="776" spans="1:16">
      <c r="A776" s="1">
        <v>775</v>
      </c>
      <c r="B776" s="2" t="s">
        <v>9478</v>
      </c>
      <c r="C776" s="2" t="s">
        <v>9479</v>
      </c>
      <c r="D776" s="2" t="s">
        <v>9480</v>
      </c>
      <c r="E776" s="2" t="s">
        <v>9481</v>
      </c>
      <c r="F776" s="2" t="s">
        <v>9482</v>
      </c>
      <c r="G776" s="2" t="s">
        <v>9483</v>
      </c>
      <c r="H776" s="2" t="s">
        <v>9484</v>
      </c>
      <c r="I776" s="2" t="s">
        <v>9485</v>
      </c>
      <c r="J776" s="2" t="s">
        <v>9486</v>
      </c>
      <c r="K776" s="2" t="s">
        <v>9487</v>
      </c>
      <c r="L776" s="2" t="s">
        <v>9488</v>
      </c>
      <c r="M776" s="2" t="s">
        <v>9489</v>
      </c>
      <c r="N776" s="2" t="s">
        <v>9490</v>
      </c>
      <c r="O776" s="2" t="s">
        <v>9491</v>
      </c>
      <c r="P776" s="2" t="s">
        <v>9478</v>
      </c>
    </row>
    <row r="777" spans="1:16">
      <c r="A777" s="1">
        <v>776</v>
      </c>
      <c r="B777" s="2" t="s">
        <v>9492</v>
      </c>
      <c r="C777" s="2" t="s">
        <v>9493</v>
      </c>
      <c r="D777" s="2" t="s">
        <v>9494</v>
      </c>
      <c r="E777" s="2" t="s">
        <v>9495</v>
      </c>
      <c r="F777" s="2" t="s">
        <v>9496</v>
      </c>
      <c r="G777" s="2" t="s">
        <v>9497</v>
      </c>
      <c r="H777" s="2" t="s">
        <v>9498</v>
      </c>
      <c r="I777" s="2" t="s">
        <v>9499</v>
      </c>
      <c r="J777" s="2" t="s">
        <v>9500</v>
      </c>
      <c r="K777" s="2" t="s">
        <v>9501</v>
      </c>
      <c r="L777" s="2" t="s">
        <v>9502</v>
      </c>
      <c r="M777" s="2" t="s">
        <v>9503</v>
      </c>
      <c r="N777" s="2" t="s">
        <v>9504</v>
      </c>
      <c r="O777" s="2" t="s">
        <v>9505</v>
      </c>
      <c r="P777" s="2" t="s">
        <v>9492</v>
      </c>
    </row>
    <row r="778" spans="1:16">
      <c r="A778" s="1">
        <v>777</v>
      </c>
      <c r="B778" s="2" t="s">
        <v>9506</v>
      </c>
      <c r="C778" s="2" t="s">
        <v>9507</v>
      </c>
      <c r="D778" s="2" t="s">
        <v>9508</v>
      </c>
      <c r="E778" s="2" t="s">
        <v>9509</v>
      </c>
      <c r="F778" s="2" t="s">
        <v>9510</v>
      </c>
      <c r="G778" s="2" t="s">
        <v>9511</v>
      </c>
      <c r="H778" s="2" t="s">
        <v>9512</v>
      </c>
      <c r="I778" s="2" t="s">
        <v>9513</v>
      </c>
      <c r="J778" s="2" t="s">
        <v>9514</v>
      </c>
      <c r="K778" s="2" t="s">
        <v>9515</v>
      </c>
      <c r="L778" s="2" t="s">
        <v>9516</v>
      </c>
      <c r="M778" s="2" t="s">
        <v>9517</v>
      </c>
      <c r="N778" s="2" t="s">
        <v>9518</v>
      </c>
      <c r="O778" s="2" t="s">
        <v>9519</v>
      </c>
      <c r="P778" s="2" t="s">
        <v>9506</v>
      </c>
    </row>
    <row r="779" spans="1:16">
      <c r="A779" s="1">
        <v>778</v>
      </c>
      <c r="B779" s="2" t="s">
        <v>9520</v>
      </c>
      <c r="C779" s="2" t="s">
        <v>9521</v>
      </c>
      <c r="D779" s="2" t="s">
        <v>9522</v>
      </c>
      <c r="E779" s="2" t="s">
        <v>9523</v>
      </c>
      <c r="F779" s="2" t="s">
        <v>9524</v>
      </c>
      <c r="G779" s="2" t="s">
        <v>9525</v>
      </c>
      <c r="H779" s="2" t="s">
        <v>9526</v>
      </c>
      <c r="I779" s="2" t="s">
        <v>9527</v>
      </c>
      <c r="J779" s="2" t="s">
        <v>9528</v>
      </c>
      <c r="K779" s="2" t="s">
        <v>9529</v>
      </c>
      <c r="L779" s="2" t="s">
        <v>9530</v>
      </c>
      <c r="M779" s="2" t="s">
        <v>9531</v>
      </c>
      <c r="N779" s="2" t="s">
        <v>9532</v>
      </c>
      <c r="O779" s="2" t="s">
        <v>9533</v>
      </c>
      <c r="P779" s="2" t="s">
        <v>9520</v>
      </c>
    </row>
    <row r="780" spans="1:16">
      <c r="A780" s="1">
        <v>779</v>
      </c>
      <c r="B780" s="2" t="s">
        <v>9534</v>
      </c>
      <c r="C780" s="2" t="s">
        <v>9535</v>
      </c>
      <c r="D780" s="2" t="s">
        <v>9536</v>
      </c>
      <c r="E780" s="2" t="s">
        <v>9537</v>
      </c>
      <c r="F780" s="2" t="s">
        <v>9538</v>
      </c>
      <c r="G780" s="2" t="s">
        <v>9539</v>
      </c>
      <c r="H780" s="2" t="s">
        <v>9540</v>
      </c>
      <c r="I780" s="2" t="s">
        <v>9541</v>
      </c>
      <c r="J780" s="2" t="s">
        <v>9542</v>
      </c>
      <c r="K780" s="2" t="s">
        <v>9543</v>
      </c>
      <c r="L780" s="2" t="s">
        <v>9544</v>
      </c>
      <c r="M780" s="2" t="s">
        <v>9545</v>
      </c>
      <c r="N780" s="2" t="s">
        <v>9546</v>
      </c>
      <c r="O780" s="2" t="s">
        <v>9547</v>
      </c>
      <c r="P780" s="2" t="s">
        <v>9534</v>
      </c>
    </row>
    <row r="781" spans="1:16">
      <c r="A781" s="1">
        <v>780</v>
      </c>
      <c r="B781" s="2" t="s">
        <v>9548</v>
      </c>
      <c r="C781" s="2" t="s">
        <v>9549</v>
      </c>
      <c r="D781" s="2" t="s">
        <v>9550</v>
      </c>
      <c r="E781" s="2" t="s">
        <v>9359</v>
      </c>
      <c r="F781" s="2" t="s">
        <v>9551</v>
      </c>
      <c r="G781" s="2" t="s">
        <v>9552</v>
      </c>
      <c r="H781" s="2" t="s">
        <v>9553</v>
      </c>
      <c r="I781" s="2" t="s">
        <v>9554</v>
      </c>
      <c r="J781" s="2" t="s">
        <v>9555</v>
      </c>
      <c r="K781" s="2" t="s">
        <v>9556</v>
      </c>
      <c r="L781" s="2" t="s">
        <v>9557</v>
      </c>
      <c r="M781" s="2" t="s">
        <v>9558</v>
      </c>
      <c r="N781" s="2" t="s">
        <v>9559</v>
      </c>
      <c r="O781" s="2" t="s">
        <v>9560</v>
      </c>
      <c r="P781" s="2" t="s">
        <v>9548</v>
      </c>
    </row>
    <row r="782" spans="1:16">
      <c r="A782" s="1">
        <v>781</v>
      </c>
      <c r="B782" s="2" t="s">
        <v>9561</v>
      </c>
      <c r="C782" s="2" t="s">
        <v>9562</v>
      </c>
      <c r="D782" s="2" t="s">
        <v>9563</v>
      </c>
      <c r="E782" s="2" t="s">
        <v>9564</v>
      </c>
      <c r="F782" s="2" t="s">
        <v>9978</v>
      </c>
      <c r="G782" s="2" t="s">
        <v>9566</v>
      </c>
      <c r="H782" s="2" t="s">
        <v>9567</v>
      </c>
      <c r="I782" s="2" t="s">
        <v>9568</v>
      </c>
      <c r="J782" s="2" t="s">
        <v>9569</v>
      </c>
      <c r="K782" s="2" t="s">
        <v>9570</v>
      </c>
      <c r="L782" s="2" t="s">
        <v>9571</v>
      </c>
      <c r="M782" s="2" t="s">
        <v>9572</v>
      </c>
      <c r="N782" s="2" t="s">
        <v>9573</v>
      </c>
      <c r="O782" s="2" t="s">
        <v>9574</v>
      </c>
      <c r="P782" s="2" t="s">
        <v>9561</v>
      </c>
    </row>
    <row r="783" spans="1:16">
      <c r="A783" s="1">
        <v>782</v>
      </c>
      <c r="B783" s="2" t="s">
        <v>9575</v>
      </c>
      <c r="C783" s="2" t="s">
        <v>9576</v>
      </c>
      <c r="D783" s="2" t="s">
        <v>9577</v>
      </c>
      <c r="E783" s="2" t="s">
        <v>9578</v>
      </c>
      <c r="F783" s="2" t="s">
        <v>9579</v>
      </c>
      <c r="G783" s="2" t="s">
        <v>9580</v>
      </c>
      <c r="H783" s="2" t="s">
        <v>9581</v>
      </c>
      <c r="I783" s="2" t="s">
        <v>9582</v>
      </c>
      <c r="J783" s="2" t="s">
        <v>9583</v>
      </c>
      <c r="K783" s="2" t="s">
        <v>9584</v>
      </c>
      <c r="L783" s="2" t="s">
        <v>9585</v>
      </c>
      <c r="M783" s="2" t="s">
        <v>9586</v>
      </c>
      <c r="N783" s="2" t="s">
        <v>9587</v>
      </c>
      <c r="O783" s="2" t="s">
        <v>9588</v>
      </c>
      <c r="P783" s="2" t="s">
        <v>9575</v>
      </c>
    </row>
    <row r="784" spans="1:16">
      <c r="A784" s="1">
        <v>783</v>
      </c>
      <c r="B784" s="2" t="s">
        <v>9589</v>
      </c>
      <c r="C784" s="2" t="s">
        <v>9590</v>
      </c>
      <c r="D784" s="2" t="s">
        <v>9591</v>
      </c>
      <c r="E784" s="2" t="s">
        <v>9592</v>
      </c>
      <c r="F784" s="2" t="s">
        <v>9593</v>
      </c>
      <c r="G784" s="2" t="s">
        <v>9594</v>
      </c>
      <c r="H784" s="2" t="s">
        <v>9595</v>
      </c>
      <c r="I784" s="2" t="s">
        <v>9589</v>
      </c>
      <c r="J784" s="2" t="s">
        <v>9596</v>
      </c>
      <c r="K784" s="2" t="s">
        <v>9597</v>
      </c>
      <c r="L784" s="2" t="s">
        <v>9598</v>
      </c>
      <c r="M784" s="2" t="s">
        <v>9599</v>
      </c>
      <c r="N784" s="2" t="s">
        <v>9600</v>
      </c>
      <c r="O784" s="2" t="s">
        <v>9601</v>
      </c>
      <c r="P784" s="2" t="s">
        <v>9589</v>
      </c>
    </row>
    <row r="785" spans="1:16">
      <c r="A785" s="1">
        <v>784</v>
      </c>
      <c r="B785" s="2" t="s">
        <v>9602</v>
      </c>
      <c r="C785" s="2" t="s">
        <v>9603</v>
      </c>
      <c r="D785" s="2" t="s">
        <v>9591</v>
      </c>
      <c r="E785" s="2" t="s">
        <v>9604</v>
      </c>
      <c r="F785" s="2" t="s">
        <v>9605</v>
      </c>
      <c r="G785" s="2" t="s">
        <v>9606</v>
      </c>
      <c r="H785" s="2" t="s">
        <v>9607</v>
      </c>
      <c r="I785" s="2" t="s">
        <v>9608</v>
      </c>
      <c r="J785" s="2" t="s">
        <v>9609</v>
      </c>
      <c r="K785" s="2" t="s">
        <v>9597</v>
      </c>
      <c r="L785" s="2" t="s">
        <v>9610</v>
      </c>
      <c r="M785" s="2" t="s">
        <v>9611</v>
      </c>
      <c r="N785" s="2" t="s">
        <v>9612</v>
      </c>
      <c r="O785" s="2" t="s">
        <v>9613</v>
      </c>
      <c r="P785" s="2" t="s">
        <v>9602</v>
      </c>
    </row>
    <row r="786" spans="1:16">
      <c r="A786" s="1">
        <v>785</v>
      </c>
      <c r="B786" s="2" t="s">
        <v>9614</v>
      </c>
      <c r="C786" s="2" t="s">
        <v>9615</v>
      </c>
      <c r="D786" s="2" t="s">
        <v>9616</v>
      </c>
      <c r="E786" s="2" t="s">
        <v>4897</v>
      </c>
      <c r="F786" s="2" t="s">
        <v>9617</v>
      </c>
      <c r="G786" s="2" t="s">
        <v>9618</v>
      </c>
      <c r="H786" s="2" t="s">
        <v>9619</v>
      </c>
      <c r="I786" s="2" t="s">
        <v>9620</v>
      </c>
      <c r="J786" s="2" t="s">
        <v>9621</v>
      </c>
      <c r="K786" s="2" t="s">
        <v>9622</v>
      </c>
      <c r="L786" s="2" t="s">
        <v>9623</v>
      </c>
      <c r="M786" s="2" t="s">
        <v>9624</v>
      </c>
      <c r="N786" s="2" t="s">
        <v>9624</v>
      </c>
      <c r="O786" s="2" t="s">
        <v>9625</v>
      </c>
      <c r="P786" s="2" t="s">
        <v>9614</v>
      </c>
    </row>
    <row r="787" spans="1:16">
      <c r="A787" s="1">
        <v>786</v>
      </c>
      <c r="B787" s="2" t="s">
        <v>9626</v>
      </c>
      <c r="C787" s="2" t="s">
        <v>9627</v>
      </c>
      <c r="D787" s="2" t="s">
        <v>9628</v>
      </c>
      <c r="E787" s="2" t="s">
        <v>9629</v>
      </c>
      <c r="F787" s="2" t="s">
        <v>22808</v>
      </c>
      <c r="G787" s="2" t="s">
        <v>9631</v>
      </c>
      <c r="H787" s="2" t="s">
        <v>9632</v>
      </c>
      <c r="I787" s="2" t="s">
        <v>9633</v>
      </c>
      <c r="J787" s="2" t="s">
        <v>9634</v>
      </c>
      <c r="K787" s="2" t="s">
        <v>9635</v>
      </c>
      <c r="L787" s="2" t="s">
        <v>9636</v>
      </c>
      <c r="M787" s="2" t="s">
        <v>9637</v>
      </c>
      <c r="N787" s="2" t="s">
        <v>9638</v>
      </c>
      <c r="O787" s="2" t="s">
        <v>9639</v>
      </c>
      <c r="P787" s="2" t="s">
        <v>9626</v>
      </c>
    </row>
    <row r="788" spans="1:16">
      <c r="A788" s="1">
        <v>787</v>
      </c>
      <c r="B788" s="2" t="s">
        <v>9640</v>
      </c>
      <c r="C788" s="2" t="s">
        <v>9641</v>
      </c>
      <c r="D788" s="2" t="s">
        <v>9642</v>
      </c>
      <c r="E788" s="2" t="s">
        <v>9643</v>
      </c>
      <c r="F788" s="2" t="s">
        <v>9644</v>
      </c>
      <c r="G788" s="2" t="s">
        <v>9645</v>
      </c>
      <c r="H788" s="2" t="s">
        <v>9646</v>
      </c>
      <c r="I788" s="2" t="s">
        <v>9647</v>
      </c>
      <c r="J788" s="2" t="s">
        <v>9648</v>
      </c>
      <c r="K788" s="2" t="s">
        <v>9649</v>
      </c>
      <c r="L788" s="2" t="s">
        <v>9650</v>
      </c>
      <c r="M788" s="2" t="s">
        <v>9651</v>
      </c>
      <c r="N788" s="2" t="s">
        <v>9652</v>
      </c>
      <c r="O788" s="2" t="s">
        <v>9653</v>
      </c>
      <c r="P788" s="2" t="s">
        <v>9640</v>
      </c>
    </row>
    <row r="789" spans="1:16">
      <c r="A789" s="1">
        <v>788</v>
      </c>
      <c r="B789" s="2" t="s">
        <v>9654</v>
      </c>
      <c r="C789" s="2" t="s">
        <v>9655</v>
      </c>
      <c r="D789" s="2" t="s">
        <v>9656</v>
      </c>
      <c r="E789" s="2" t="s">
        <v>9657</v>
      </c>
      <c r="F789" s="2" t="s">
        <v>9658</v>
      </c>
      <c r="G789" s="2" t="s">
        <v>9659</v>
      </c>
      <c r="H789" s="2" t="s">
        <v>9660</v>
      </c>
      <c r="I789" s="2" t="s">
        <v>9661</v>
      </c>
      <c r="J789" s="2" t="s">
        <v>9662</v>
      </c>
      <c r="K789" s="2" t="s">
        <v>9663</v>
      </c>
      <c r="L789" s="2" t="s">
        <v>9664</v>
      </c>
      <c r="M789" s="2" t="s">
        <v>9665</v>
      </c>
      <c r="N789" s="2" t="s">
        <v>9666</v>
      </c>
      <c r="O789" s="2" t="s">
        <v>9667</v>
      </c>
      <c r="P789" s="2" t="s">
        <v>9654</v>
      </c>
    </row>
    <row r="790" spans="1:16">
      <c r="A790" s="1">
        <v>789</v>
      </c>
      <c r="B790" s="2" t="s">
        <v>9668</v>
      </c>
      <c r="C790" s="2" t="s">
        <v>9669</v>
      </c>
      <c r="D790" s="2" t="s">
        <v>9670</v>
      </c>
      <c r="E790" s="2" t="s">
        <v>9671</v>
      </c>
      <c r="F790" s="2" t="s">
        <v>9672</v>
      </c>
      <c r="G790" s="2" t="s">
        <v>9673</v>
      </c>
      <c r="H790" s="2" t="s">
        <v>9674</v>
      </c>
      <c r="I790" s="2" t="s">
        <v>9675</v>
      </c>
      <c r="J790" s="2" t="s">
        <v>9676</v>
      </c>
      <c r="K790" s="2" t="s">
        <v>9677</v>
      </c>
      <c r="L790" s="2" t="s">
        <v>9678</v>
      </c>
      <c r="M790" s="2" t="s">
        <v>9679</v>
      </c>
      <c r="N790" s="2" t="s">
        <v>9680</v>
      </c>
      <c r="O790" s="2" t="s">
        <v>9681</v>
      </c>
      <c r="P790" s="2" t="s">
        <v>9668</v>
      </c>
    </row>
    <row r="791" spans="1:16">
      <c r="A791" s="1">
        <v>790</v>
      </c>
      <c r="B791" s="2" t="s">
        <v>9682</v>
      </c>
      <c r="C791" s="2" t="s">
        <v>9683</v>
      </c>
      <c r="D791" s="2" t="s">
        <v>9684</v>
      </c>
      <c r="E791" s="2" t="s">
        <v>25641</v>
      </c>
      <c r="F791" s="2" t="s">
        <v>9686</v>
      </c>
      <c r="G791" s="2" t="s">
        <v>9687</v>
      </c>
      <c r="H791" s="2" t="s">
        <v>9688</v>
      </c>
      <c r="I791" s="2" t="s">
        <v>9689</v>
      </c>
      <c r="J791" s="2" t="s">
        <v>9690</v>
      </c>
      <c r="K791" s="2" t="s">
        <v>9691</v>
      </c>
      <c r="L791" s="2" t="s">
        <v>9692</v>
      </c>
      <c r="M791" s="2" t="s">
        <v>9693</v>
      </c>
      <c r="N791" s="2" t="s">
        <v>9694</v>
      </c>
      <c r="O791" s="2" t="s">
        <v>9695</v>
      </c>
      <c r="P791" s="2" t="s">
        <v>9682</v>
      </c>
    </row>
    <row r="792" spans="1:16">
      <c r="A792" s="1">
        <v>791</v>
      </c>
      <c r="B792" s="2" t="s">
        <v>9696</v>
      </c>
      <c r="C792" s="2" t="s">
        <v>9697</v>
      </c>
      <c r="D792" s="2" t="s">
        <v>9698</v>
      </c>
      <c r="E792" s="2" t="s">
        <v>9699</v>
      </c>
      <c r="F792" s="2" t="s">
        <v>9700</v>
      </c>
      <c r="G792" s="2" t="s">
        <v>9701</v>
      </c>
      <c r="H792" s="2" t="s">
        <v>9702</v>
      </c>
      <c r="I792" s="2" t="s">
        <v>9703</v>
      </c>
      <c r="J792" s="2" t="s">
        <v>9704</v>
      </c>
      <c r="K792" s="2" t="s">
        <v>1501</v>
      </c>
      <c r="L792" s="2" t="s">
        <v>9705</v>
      </c>
      <c r="M792" s="2" t="s">
        <v>9706</v>
      </c>
      <c r="N792" s="2" t="s">
        <v>9707</v>
      </c>
      <c r="O792" s="2" t="s">
        <v>9708</v>
      </c>
      <c r="P792" s="2" t="s">
        <v>9696</v>
      </c>
    </row>
    <row r="793" spans="1:16">
      <c r="A793" s="1">
        <v>792</v>
      </c>
      <c r="B793" s="2" t="s">
        <v>9709</v>
      </c>
      <c r="C793" s="2" t="s">
        <v>9710</v>
      </c>
      <c r="D793" s="2" t="s">
        <v>9711</v>
      </c>
      <c r="E793" s="2" t="s">
        <v>9712</v>
      </c>
      <c r="F793" s="2" t="s">
        <v>9713</v>
      </c>
      <c r="G793" s="2" t="s">
        <v>9714</v>
      </c>
      <c r="H793" s="2" t="s">
        <v>9715</v>
      </c>
      <c r="I793" s="2" t="s">
        <v>9716</v>
      </c>
      <c r="J793" s="2" t="s">
        <v>9717</v>
      </c>
      <c r="K793" s="2" t="s">
        <v>9718</v>
      </c>
      <c r="L793" s="2" t="s">
        <v>9719</v>
      </c>
      <c r="M793" s="2" t="s">
        <v>9720</v>
      </c>
      <c r="N793" s="2" t="s">
        <v>9721</v>
      </c>
      <c r="O793" s="2" t="s">
        <v>9722</v>
      </c>
      <c r="P793" s="2" t="s">
        <v>9709</v>
      </c>
    </row>
    <row r="794" spans="1:16">
      <c r="A794" s="1">
        <v>793</v>
      </c>
      <c r="B794" s="2" t="s">
        <v>9723</v>
      </c>
      <c r="C794" s="2" t="s">
        <v>9724</v>
      </c>
      <c r="D794" s="2" t="s">
        <v>9725</v>
      </c>
      <c r="E794" s="2" t="s">
        <v>9726</v>
      </c>
      <c r="F794" s="2" t="s">
        <v>9727</v>
      </c>
      <c r="G794" s="2" t="s">
        <v>9728</v>
      </c>
      <c r="H794" s="2" t="s">
        <v>9729</v>
      </c>
      <c r="I794" s="2" t="s">
        <v>9730</v>
      </c>
      <c r="J794" s="2" t="s">
        <v>9731</v>
      </c>
      <c r="K794" s="2" t="s">
        <v>9732</v>
      </c>
      <c r="L794" s="2" t="s">
        <v>9733</v>
      </c>
      <c r="M794" s="2" t="s">
        <v>9734</v>
      </c>
      <c r="N794" s="2" t="s">
        <v>9735</v>
      </c>
      <c r="O794" s="2" t="s">
        <v>9736</v>
      </c>
      <c r="P794" s="2" t="s">
        <v>9723</v>
      </c>
    </row>
    <row r="795" spans="1:16">
      <c r="A795" s="1">
        <v>794</v>
      </c>
      <c r="B795" s="2" t="s">
        <v>9737</v>
      </c>
      <c r="C795" s="2" t="s">
        <v>9738</v>
      </c>
      <c r="D795" s="2" t="s">
        <v>9739</v>
      </c>
      <c r="E795" s="2" t="s">
        <v>9740</v>
      </c>
      <c r="F795" s="2" t="s">
        <v>9741</v>
      </c>
      <c r="G795" s="2" t="s">
        <v>9742</v>
      </c>
      <c r="H795" s="2" t="s">
        <v>9743</v>
      </c>
      <c r="I795" s="2" t="s">
        <v>4004</v>
      </c>
      <c r="J795" s="2" t="s">
        <v>9744</v>
      </c>
      <c r="K795" s="2" t="s">
        <v>4006</v>
      </c>
      <c r="L795" s="2" t="s">
        <v>9745</v>
      </c>
      <c r="M795" s="2" t="s">
        <v>9746</v>
      </c>
      <c r="N795" s="2" t="s">
        <v>9747</v>
      </c>
      <c r="O795" s="2" t="s">
        <v>9748</v>
      </c>
      <c r="P795" s="2" t="s">
        <v>9737</v>
      </c>
    </row>
    <row r="796" spans="1:16">
      <c r="A796" s="1">
        <v>795</v>
      </c>
      <c r="B796" s="2" t="s">
        <v>9749</v>
      </c>
      <c r="C796" s="2" t="s">
        <v>9750</v>
      </c>
      <c r="D796" s="2" t="s">
        <v>9751</v>
      </c>
      <c r="E796" s="2" t="s">
        <v>25642</v>
      </c>
      <c r="F796" s="2" t="s">
        <v>9752</v>
      </c>
      <c r="G796" s="2" t="s">
        <v>9753</v>
      </c>
      <c r="H796" s="2" t="s">
        <v>9754</v>
      </c>
      <c r="I796" s="2" t="s">
        <v>9755</v>
      </c>
      <c r="J796" s="2" t="s">
        <v>9756</v>
      </c>
      <c r="K796" s="2" t="s">
        <v>9757</v>
      </c>
      <c r="L796" s="2" t="s">
        <v>9758</v>
      </c>
      <c r="M796" s="2" t="s">
        <v>9759</v>
      </c>
      <c r="N796" s="2" t="s">
        <v>9760</v>
      </c>
      <c r="O796" s="2" t="s">
        <v>9761</v>
      </c>
      <c r="P796" s="2" t="s">
        <v>9749</v>
      </c>
    </row>
    <row r="797" spans="1:16">
      <c r="A797" s="1">
        <v>796</v>
      </c>
      <c r="B797" s="2" t="s">
        <v>9762</v>
      </c>
      <c r="C797" s="2" t="s">
        <v>9763</v>
      </c>
      <c r="D797" s="2" t="s">
        <v>9764</v>
      </c>
      <c r="E797" s="2" t="s">
        <v>9765</v>
      </c>
      <c r="F797" s="2" t="s">
        <v>9766</v>
      </c>
      <c r="G797" s="2" t="s">
        <v>9767</v>
      </c>
      <c r="H797" s="2" t="s">
        <v>9768</v>
      </c>
      <c r="I797" s="2" t="s">
        <v>9769</v>
      </c>
      <c r="J797" s="2" t="s">
        <v>9770</v>
      </c>
      <c r="K797" s="2" t="s">
        <v>9771</v>
      </c>
      <c r="L797" s="2" t="s">
        <v>9772</v>
      </c>
      <c r="M797" s="2" t="s">
        <v>9773</v>
      </c>
      <c r="N797" s="2" t="s">
        <v>9774</v>
      </c>
      <c r="O797" s="2" t="s">
        <v>9775</v>
      </c>
      <c r="P797" s="2" t="s">
        <v>9762</v>
      </c>
    </row>
    <row r="798" spans="1:16">
      <c r="A798" s="1">
        <v>797</v>
      </c>
      <c r="B798" s="2" t="s">
        <v>9776</v>
      </c>
      <c r="C798" s="2" t="s">
        <v>9777</v>
      </c>
      <c r="D798" s="2" t="s">
        <v>9778</v>
      </c>
      <c r="E798" s="2" t="s">
        <v>9779</v>
      </c>
      <c r="F798" s="2" t="s">
        <v>9780</v>
      </c>
      <c r="G798" s="2" t="s">
        <v>9781</v>
      </c>
      <c r="H798" s="2" t="s">
        <v>9782</v>
      </c>
      <c r="I798" s="2" t="s">
        <v>9783</v>
      </c>
      <c r="J798" s="2" t="s">
        <v>9784</v>
      </c>
      <c r="K798" s="2" t="s">
        <v>9785</v>
      </c>
      <c r="L798" s="2" t="s">
        <v>9786</v>
      </c>
      <c r="M798" s="2" t="s">
        <v>9787</v>
      </c>
      <c r="N798" s="2" t="s">
        <v>9788</v>
      </c>
      <c r="O798" s="2" t="s">
        <v>9789</v>
      </c>
      <c r="P798" s="2" t="s">
        <v>9776</v>
      </c>
    </row>
    <row r="799" spans="1:16">
      <c r="A799" s="1">
        <v>798</v>
      </c>
      <c r="B799" s="2" t="s">
        <v>22809</v>
      </c>
      <c r="C799" s="2" t="s">
        <v>22810</v>
      </c>
      <c r="D799" s="2" t="s">
        <v>22811</v>
      </c>
      <c r="E799" s="2" t="s">
        <v>25643</v>
      </c>
      <c r="F799" s="2" t="s">
        <v>22812</v>
      </c>
      <c r="G799" s="2" t="s">
        <v>22813</v>
      </c>
      <c r="H799" s="2" t="s">
        <v>22814</v>
      </c>
      <c r="I799" s="2" t="s">
        <v>22815</v>
      </c>
      <c r="J799" s="2" t="s">
        <v>22816</v>
      </c>
      <c r="K799" s="2" t="s">
        <v>22817</v>
      </c>
      <c r="L799" s="2" t="s">
        <v>22818</v>
      </c>
      <c r="M799" s="2" t="s">
        <v>22819</v>
      </c>
      <c r="N799" s="2" t="s">
        <v>22820</v>
      </c>
      <c r="O799" s="2" t="s">
        <v>22821</v>
      </c>
      <c r="P799" s="2" t="s">
        <v>22809</v>
      </c>
    </row>
    <row r="800" spans="1:16">
      <c r="A800" s="1">
        <v>799</v>
      </c>
      <c r="B800" s="2" t="s">
        <v>9790</v>
      </c>
      <c r="C800" s="2" t="s">
        <v>9791</v>
      </c>
      <c r="D800" s="2" t="s">
        <v>9792</v>
      </c>
      <c r="E800" s="2" t="s">
        <v>9793</v>
      </c>
      <c r="F800" s="2" t="s">
        <v>9794</v>
      </c>
      <c r="G800" s="2" t="s">
        <v>9795</v>
      </c>
      <c r="H800" s="2" t="s">
        <v>9796</v>
      </c>
      <c r="I800" s="2" t="s">
        <v>9797</v>
      </c>
      <c r="J800" s="2" t="s">
        <v>9798</v>
      </c>
      <c r="K800" s="2" t="s">
        <v>9799</v>
      </c>
      <c r="L800" s="2" t="s">
        <v>9800</v>
      </c>
      <c r="M800" s="2" t="s">
        <v>9801</v>
      </c>
      <c r="N800" s="2" t="s">
        <v>9802</v>
      </c>
      <c r="O800" s="2" t="s">
        <v>9803</v>
      </c>
      <c r="P800" s="2" t="s">
        <v>9790</v>
      </c>
    </row>
    <row r="801" spans="1:16">
      <c r="A801" s="1">
        <v>800</v>
      </c>
      <c r="B801" s="2" t="s">
        <v>9804</v>
      </c>
      <c r="C801" s="2" t="s">
        <v>9805</v>
      </c>
      <c r="D801" s="2" t="s">
        <v>9806</v>
      </c>
      <c r="E801" s="2" t="s">
        <v>9807</v>
      </c>
      <c r="F801" s="2" t="s">
        <v>9808</v>
      </c>
      <c r="G801" s="2" t="s">
        <v>9809</v>
      </c>
      <c r="H801" s="2" t="s">
        <v>9810</v>
      </c>
      <c r="I801" s="2" t="s">
        <v>9811</v>
      </c>
      <c r="J801" s="2" t="s">
        <v>9812</v>
      </c>
      <c r="K801" s="2" t="s">
        <v>9813</v>
      </c>
      <c r="L801" s="2" t="s">
        <v>9814</v>
      </c>
      <c r="M801" s="2" t="s">
        <v>9815</v>
      </c>
      <c r="N801" s="2" t="s">
        <v>9816</v>
      </c>
      <c r="O801" s="2" t="s">
        <v>9817</v>
      </c>
      <c r="P801" s="2" t="s">
        <v>9804</v>
      </c>
    </row>
    <row r="802" spans="1:16">
      <c r="A802" s="1">
        <v>801</v>
      </c>
      <c r="B802" s="2" t="s">
        <v>9804</v>
      </c>
      <c r="C802" s="2" t="s">
        <v>9818</v>
      </c>
      <c r="D802" s="2" t="s">
        <v>9806</v>
      </c>
      <c r="E802" s="2" t="s">
        <v>9807</v>
      </c>
      <c r="F802" s="2" t="s">
        <v>9819</v>
      </c>
      <c r="G802" s="2" t="s">
        <v>9820</v>
      </c>
      <c r="H802" s="2" t="s">
        <v>9821</v>
      </c>
      <c r="I802" s="2" t="s">
        <v>9822</v>
      </c>
      <c r="J802" s="2" t="s">
        <v>9823</v>
      </c>
      <c r="K802" s="2" t="s">
        <v>9824</v>
      </c>
      <c r="L802" s="2" t="s">
        <v>9825</v>
      </c>
      <c r="M802" s="2" t="s">
        <v>9826</v>
      </c>
      <c r="N802" s="2" t="s">
        <v>9827</v>
      </c>
      <c r="O802" s="2" t="s">
        <v>9817</v>
      </c>
      <c r="P802" s="2" t="s">
        <v>9804</v>
      </c>
    </row>
    <row r="803" spans="1:16">
      <c r="A803" s="1">
        <v>802</v>
      </c>
      <c r="B803" s="2" t="s">
        <v>9828</v>
      </c>
      <c r="C803" s="2" t="s">
        <v>9829</v>
      </c>
      <c r="D803" s="2" t="s">
        <v>9830</v>
      </c>
      <c r="E803" s="2" t="s">
        <v>9831</v>
      </c>
      <c r="F803" s="2" t="s">
        <v>9832</v>
      </c>
      <c r="G803" s="2" t="s">
        <v>9833</v>
      </c>
      <c r="H803" s="2" t="s">
        <v>9834</v>
      </c>
      <c r="I803" s="2" t="s">
        <v>9835</v>
      </c>
      <c r="J803" s="2" t="s">
        <v>9836</v>
      </c>
      <c r="K803" s="2" t="s">
        <v>9837</v>
      </c>
      <c r="L803" s="2" t="s">
        <v>9838</v>
      </c>
      <c r="M803" s="2" t="s">
        <v>9839</v>
      </c>
      <c r="N803" s="2" t="s">
        <v>9840</v>
      </c>
      <c r="O803" s="2" t="s">
        <v>9841</v>
      </c>
      <c r="P803" s="2" t="s">
        <v>9828</v>
      </c>
    </row>
    <row r="804" spans="1:16">
      <c r="A804" s="1">
        <v>803</v>
      </c>
      <c r="B804" s="2" t="s">
        <v>9828</v>
      </c>
      <c r="C804" s="2" t="s">
        <v>9842</v>
      </c>
      <c r="D804" s="2" t="s">
        <v>9830</v>
      </c>
      <c r="E804" s="2" t="s">
        <v>9831</v>
      </c>
      <c r="F804" s="2" t="s">
        <v>9843</v>
      </c>
      <c r="G804" s="2" t="s">
        <v>9844</v>
      </c>
      <c r="H804" s="2" t="s">
        <v>9845</v>
      </c>
      <c r="I804" s="2" t="s">
        <v>9846</v>
      </c>
      <c r="J804" s="2" t="s">
        <v>9847</v>
      </c>
      <c r="K804" s="2" t="s">
        <v>9848</v>
      </c>
      <c r="L804" s="2" t="s">
        <v>9849</v>
      </c>
      <c r="M804" s="2" t="s">
        <v>9850</v>
      </c>
      <c r="N804" s="2" t="s">
        <v>9851</v>
      </c>
      <c r="O804" s="2" t="s">
        <v>9841</v>
      </c>
      <c r="P804" s="2" t="s">
        <v>9828</v>
      </c>
    </row>
    <row r="805" spans="1:16">
      <c r="A805" s="1">
        <v>804</v>
      </c>
      <c r="B805" s="2" t="s">
        <v>9828</v>
      </c>
      <c r="C805" s="2" t="s">
        <v>9842</v>
      </c>
      <c r="D805" s="2" t="s">
        <v>9830</v>
      </c>
      <c r="E805" s="2" t="s">
        <v>9831</v>
      </c>
      <c r="F805" s="2" t="s">
        <v>9852</v>
      </c>
      <c r="G805" s="2" t="s">
        <v>9853</v>
      </c>
      <c r="H805" s="2" t="s">
        <v>9845</v>
      </c>
      <c r="I805" s="2" t="s">
        <v>9846</v>
      </c>
      <c r="J805" s="2" t="s">
        <v>9847</v>
      </c>
      <c r="K805" s="2" t="s">
        <v>9848</v>
      </c>
      <c r="L805" s="2" t="s">
        <v>9849</v>
      </c>
      <c r="M805" s="2" t="s">
        <v>9850</v>
      </c>
      <c r="N805" s="2" t="s">
        <v>9851</v>
      </c>
      <c r="O805" s="2" t="s">
        <v>9841</v>
      </c>
      <c r="P805" s="2" t="s">
        <v>9828</v>
      </c>
    </row>
    <row r="806" spans="1:16">
      <c r="A806" s="1">
        <v>805</v>
      </c>
      <c r="B806" s="2" t="s">
        <v>9854</v>
      </c>
      <c r="C806" s="2" t="s">
        <v>9855</v>
      </c>
      <c r="D806" s="2" t="s">
        <v>9856</v>
      </c>
      <c r="E806" s="2" t="s">
        <v>9857</v>
      </c>
      <c r="F806" s="2" t="s">
        <v>9858</v>
      </c>
      <c r="G806" s="2" t="s">
        <v>9859</v>
      </c>
      <c r="H806" s="2" t="s">
        <v>9860</v>
      </c>
      <c r="I806" s="2" t="s">
        <v>9861</v>
      </c>
      <c r="J806" s="2" t="s">
        <v>9862</v>
      </c>
      <c r="K806" s="2" t="s">
        <v>9863</v>
      </c>
      <c r="L806" s="2" t="s">
        <v>9864</v>
      </c>
      <c r="M806" s="2" t="s">
        <v>9865</v>
      </c>
      <c r="N806" s="2" t="s">
        <v>9866</v>
      </c>
      <c r="O806" s="2" t="s">
        <v>9867</v>
      </c>
      <c r="P806" s="2" t="s">
        <v>9854</v>
      </c>
    </row>
    <row r="807" spans="1:16">
      <c r="A807" s="1">
        <v>806</v>
      </c>
      <c r="B807" s="2" t="s">
        <v>9854</v>
      </c>
      <c r="C807" s="2" t="s">
        <v>9868</v>
      </c>
      <c r="D807" s="2" t="s">
        <v>9856</v>
      </c>
      <c r="E807" s="2" t="s">
        <v>9857</v>
      </c>
      <c r="F807" s="2" t="s">
        <v>9869</v>
      </c>
      <c r="G807" s="2" t="s">
        <v>9870</v>
      </c>
      <c r="H807" s="2" t="s">
        <v>9871</v>
      </c>
      <c r="I807" s="2" t="s">
        <v>9872</v>
      </c>
      <c r="J807" s="2" t="s">
        <v>9873</v>
      </c>
      <c r="K807" s="2" t="s">
        <v>9874</v>
      </c>
      <c r="L807" s="2" t="s">
        <v>9875</v>
      </c>
      <c r="M807" s="2" t="s">
        <v>9876</v>
      </c>
      <c r="N807" s="2" t="s">
        <v>9877</v>
      </c>
      <c r="O807" s="2" t="s">
        <v>9867</v>
      </c>
      <c r="P807" s="2" t="s">
        <v>9854</v>
      </c>
    </row>
    <row r="808" spans="1:16">
      <c r="A808" s="1">
        <v>807</v>
      </c>
      <c r="B808" s="2" t="s">
        <v>9878</v>
      </c>
      <c r="C808" s="2" t="s">
        <v>9879</v>
      </c>
      <c r="D808" s="2" t="s">
        <v>9880</v>
      </c>
      <c r="E808" s="2" t="s">
        <v>9881</v>
      </c>
      <c r="F808" s="2" t="s">
        <v>9882</v>
      </c>
      <c r="G808" s="2" t="s">
        <v>9883</v>
      </c>
      <c r="H808" s="2" t="s">
        <v>9884</v>
      </c>
      <c r="I808" s="2" t="s">
        <v>9885</v>
      </c>
      <c r="J808" s="2" t="s">
        <v>9886</v>
      </c>
      <c r="K808" s="2" t="s">
        <v>9887</v>
      </c>
      <c r="L808" s="2" t="s">
        <v>9888</v>
      </c>
      <c r="M808" s="2" t="s">
        <v>9889</v>
      </c>
      <c r="N808" s="2" t="s">
        <v>9890</v>
      </c>
      <c r="O808" s="2" t="s">
        <v>9891</v>
      </c>
      <c r="P808" s="2" t="s">
        <v>9878</v>
      </c>
    </row>
    <row r="809" spans="1:16">
      <c r="A809" s="1">
        <v>808</v>
      </c>
      <c r="B809" s="2" t="s">
        <v>9892</v>
      </c>
      <c r="C809" s="2" t="s">
        <v>9893</v>
      </c>
      <c r="D809" s="2" t="s">
        <v>9894</v>
      </c>
      <c r="E809" s="2" t="s">
        <v>25644</v>
      </c>
      <c r="F809" s="2" t="s">
        <v>9895</v>
      </c>
      <c r="G809" s="2" t="s">
        <v>9896</v>
      </c>
      <c r="H809" s="2" t="s">
        <v>9897</v>
      </c>
      <c r="I809" s="2" t="s">
        <v>9898</v>
      </c>
      <c r="J809" s="2" t="s">
        <v>9899</v>
      </c>
      <c r="K809" s="2" t="s">
        <v>9900</v>
      </c>
      <c r="L809" s="2" t="s">
        <v>9901</v>
      </c>
      <c r="M809" s="2" t="s">
        <v>9902</v>
      </c>
      <c r="N809" s="2" t="s">
        <v>9903</v>
      </c>
      <c r="O809" s="2" t="s">
        <v>9904</v>
      </c>
      <c r="P809" s="2" t="s">
        <v>9892</v>
      </c>
    </row>
    <row r="810" spans="1:16">
      <c r="A810" s="1">
        <v>809</v>
      </c>
      <c r="B810" s="2" t="s">
        <v>9905</v>
      </c>
      <c r="C810" s="2" t="s">
        <v>9906</v>
      </c>
      <c r="D810" s="2" t="s">
        <v>9907</v>
      </c>
      <c r="E810" s="2" t="s">
        <v>9908</v>
      </c>
      <c r="F810" s="2" t="s">
        <v>9909</v>
      </c>
      <c r="G810" s="2" t="s">
        <v>9910</v>
      </c>
      <c r="H810" s="2" t="s">
        <v>9911</v>
      </c>
      <c r="I810" s="2" t="s">
        <v>9912</v>
      </c>
      <c r="J810" s="2" t="s">
        <v>9913</v>
      </c>
      <c r="K810" s="2" t="s">
        <v>9914</v>
      </c>
      <c r="L810" s="2" t="s">
        <v>9915</v>
      </c>
      <c r="M810" s="2" t="s">
        <v>6991</v>
      </c>
      <c r="N810" s="2" t="s">
        <v>9916</v>
      </c>
      <c r="O810" s="2" t="s">
        <v>9917</v>
      </c>
      <c r="P810" s="2" t="s">
        <v>9905</v>
      </c>
    </row>
    <row r="811" spans="1:16">
      <c r="A811" s="1">
        <v>810</v>
      </c>
      <c r="B811" s="2" t="s">
        <v>25645</v>
      </c>
      <c r="C811" s="2" t="s">
        <v>25646</v>
      </c>
      <c r="D811" s="2" t="s">
        <v>9918</v>
      </c>
      <c r="E811" s="2" t="s">
        <v>25647</v>
      </c>
      <c r="F811" s="2" t="s">
        <v>25648</v>
      </c>
      <c r="G811" s="2" t="s">
        <v>25649</v>
      </c>
      <c r="H811" s="2" t="s">
        <v>25650</v>
      </c>
      <c r="I811" s="2" t="s">
        <v>25651</v>
      </c>
      <c r="J811" s="2" t="s">
        <v>25652</v>
      </c>
      <c r="K811" s="2" t="s">
        <v>25653</v>
      </c>
      <c r="L811" s="2" t="s">
        <v>25654</v>
      </c>
      <c r="M811" s="2" t="s">
        <v>25655</v>
      </c>
      <c r="N811" s="2" t="s">
        <v>25656</v>
      </c>
      <c r="O811" s="2" t="s">
        <v>25657</v>
      </c>
      <c r="P811" s="2" t="s">
        <v>25645</v>
      </c>
    </row>
    <row r="812" spans="1:16">
      <c r="A812" s="1">
        <v>811</v>
      </c>
      <c r="B812" s="2" t="s">
        <v>9919</v>
      </c>
      <c r="C812" s="2" t="s">
        <v>9920</v>
      </c>
      <c r="D812" s="2" t="s">
        <v>9921</v>
      </c>
      <c r="E812" s="2" t="s">
        <v>9922</v>
      </c>
      <c r="F812" s="2" t="s">
        <v>10031</v>
      </c>
      <c r="G812" s="2" t="s">
        <v>9924</v>
      </c>
      <c r="H812" s="2" t="s">
        <v>9925</v>
      </c>
      <c r="I812" s="2" t="s">
        <v>9926</v>
      </c>
      <c r="J812" s="2" t="s">
        <v>9927</v>
      </c>
      <c r="K812" s="2" t="s">
        <v>9928</v>
      </c>
      <c r="L812" s="2" t="s">
        <v>9929</v>
      </c>
      <c r="M812" s="2" t="s">
        <v>9930</v>
      </c>
      <c r="N812" s="2" t="s">
        <v>9931</v>
      </c>
      <c r="O812" s="2" t="s">
        <v>9932</v>
      </c>
      <c r="P812" s="2" t="s">
        <v>9919</v>
      </c>
    </row>
    <row r="813" spans="1:16">
      <c r="A813" s="1">
        <v>812</v>
      </c>
      <c r="B813" s="2" t="s">
        <v>9933</v>
      </c>
      <c r="C813" s="2" t="s">
        <v>9934</v>
      </c>
      <c r="D813" s="2" t="s">
        <v>9935</v>
      </c>
      <c r="E813" s="2" t="s">
        <v>9936</v>
      </c>
      <c r="F813" s="2" t="s">
        <v>9937</v>
      </c>
      <c r="G813" s="2" t="s">
        <v>9938</v>
      </c>
      <c r="H813" s="2" t="s">
        <v>9939</v>
      </c>
      <c r="I813" s="2" t="s">
        <v>9940</v>
      </c>
      <c r="J813" s="2" t="s">
        <v>9941</v>
      </c>
      <c r="K813" s="2" t="s">
        <v>9942</v>
      </c>
      <c r="L813" s="2" t="s">
        <v>9943</v>
      </c>
      <c r="M813" s="2" t="s">
        <v>9944</v>
      </c>
      <c r="N813" s="2" t="s">
        <v>9945</v>
      </c>
      <c r="O813" s="2" t="s">
        <v>9946</v>
      </c>
      <c r="P813" s="2" t="s">
        <v>9933</v>
      </c>
    </row>
    <row r="814" spans="1:16">
      <c r="A814" s="1">
        <v>813</v>
      </c>
      <c r="B814" s="2" t="s">
        <v>9947</v>
      </c>
      <c r="C814" s="2" t="s">
        <v>9948</v>
      </c>
      <c r="D814" s="2" t="s">
        <v>9949</v>
      </c>
      <c r="E814" s="2" t="s">
        <v>9950</v>
      </c>
      <c r="F814" s="2" t="s">
        <v>9951</v>
      </c>
      <c r="G814" s="2" t="s">
        <v>9952</v>
      </c>
      <c r="H814" s="2" t="s">
        <v>9953</v>
      </c>
      <c r="I814" s="2" t="s">
        <v>9954</v>
      </c>
      <c r="J814" s="2" t="s">
        <v>9955</v>
      </c>
      <c r="K814" s="2" t="s">
        <v>9956</v>
      </c>
      <c r="L814" s="2" t="s">
        <v>9943</v>
      </c>
      <c r="M814" s="2" t="s">
        <v>9957</v>
      </c>
      <c r="N814" s="2" t="s">
        <v>9958</v>
      </c>
      <c r="O814" s="2" t="s">
        <v>9959</v>
      </c>
      <c r="P814" s="2" t="s">
        <v>9947</v>
      </c>
    </row>
    <row r="815" spans="1:16">
      <c r="A815" s="1">
        <v>814</v>
      </c>
      <c r="B815" s="2" t="s">
        <v>9960</v>
      </c>
      <c r="C815" s="2" t="s">
        <v>9961</v>
      </c>
      <c r="D815" s="2" t="s">
        <v>9962</v>
      </c>
      <c r="E815" s="2" t="s">
        <v>9963</v>
      </c>
      <c r="F815" s="2" t="s">
        <v>9964</v>
      </c>
      <c r="G815" s="2" t="s">
        <v>9965</v>
      </c>
      <c r="H815" s="2" t="s">
        <v>9966</v>
      </c>
      <c r="I815" s="2" t="s">
        <v>9967</v>
      </c>
      <c r="J815" s="2" t="s">
        <v>9968</v>
      </c>
      <c r="K815" s="2" t="s">
        <v>9969</v>
      </c>
      <c r="L815" s="2" t="s">
        <v>9970</v>
      </c>
      <c r="M815" s="2" t="s">
        <v>9971</v>
      </c>
      <c r="N815" s="2" t="s">
        <v>9972</v>
      </c>
      <c r="O815" s="2" t="s">
        <v>9973</v>
      </c>
      <c r="P815" s="2" t="s">
        <v>9960</v>
      </c>
    </row>
    <row r="816" spans="1:16">
      <c r="A816" s="1">
        <v>815</v>
      </c>
      <c r="B816" s="2" t="s">
        <v>9974</v>
      </c>
      <c r="C816" s="2" t="s">
        <v>9975</v>
      </c>
      <c r="D816" s="2" t="s">
        <v>9976</v>
      </c>
      <c r="E816" s="2" t="s">
        <v>9977</v>
      </c>
      <c r="F816" s="2" t="s">
        <v>9565</v>
      </c>
      <c r="G816" s="2" t="s">
        <v>9979</v>
      </c>
      <c r="H816" s="2" t="s">
        <v>9980</v>
      </c>
      <c r="I816" s="2" t="s">
        <v>9981</v>
      </c>
      <c r="J816" s="2" t="s">
        <v>9982</v>
      </c>
      <c r="K816" s="2" t="s">
        <v>9983</v>
      </c>
      <c r="L816" s="2" t="s">
        <v>9984</v>
      </c>
      <c r="M816" s="2" t="s">
        <v>9985</v>
      </c>
      <c r="N816" s="2" t="s">
        <v>9986</v>
      </c>
      <c r="O816" s="2" t="s">
        <v>9987</v>
      </c>
      <c r="P816" s="2" t="s">
        <v>9974</v>
      </c>
    </row>
    <row r="817" spans="1:16">
      <c r="A817" s="1">
        <v>816</v>
      </c>
      <c r="B817" s="2" t="s">
        <v>9988</v>
      </c>
      <c r="C817" s="2" t="s">
        <v>9989</v>
      </c>
      <c r="D817" s="2" t="s">
        <v>9990</v>
      </c>
      <c r="E817" s="2" t="s">
        <v>9991</v>
      </c>
      <c r="F817" s="2" t="s">
        <v>22822</v>
      </c>
      <c r="G817" s="2" t="s">
        <v>9992</v>
      </c>
      <c r="H817" s="2" t="s">
        <v>9993</v>
      </c>
      <c r="I817" s="2" t="s">
        <v>9994</v>
      </c>
      <c r="J817" s="2" t="s">
        <v>9995</v>
      </c>
      <c r="K817" s="2" t="s">
        <v>9996</v>
      </c>
      <c r="L817" s="2" t="s">
        <v>9997</v>
      </c>
      <c r="M817" s="2" t="s">
        <v>9998</v>
      </c>
      <c r="N817" s="2" t="s">
        <v>9999</v>
      </c>
      <c r="O817" s="2" t="s">
        <v>10000</v>
      </c>
      <c r="P817" s="2" t="s">
        <v>9988</v>
      </c>
    </row>
    <row r="818" spans="1:16">
      <c r="A818" s="1">
        <v>817</v>
      </c>
      <c r="B818" s="2" t="s">
        <v>10001</v>
      </c>
      <c r="C818" s="2" t="s">
        <v>10002</v>
      </c>
      <c r="D818" s="2" t="s">
        <v>10003</v>
      </c>
      <c r="E818" s="2" t="s">
        <v>10004</v>
      </c>
      <c r="F818" s="2" t="s">
        <v>9630</v>
      </c>
      <c r="G818" s="2" t="s">
        <v>10005</v>
      </c>
      <c r="H818" s="2" t="s">
        <v>10006</v>
      </c>
      <c r="I818" s="2" t="s">
        <v>10007</v>
      </c>
      <c r="J818" s="2" t="s">
        <v>10008</v>
      </c>
      <c r="K818" s="2" t="s">
        <v>10009</v>
      </c>
      <c r="L818" s="2" t="s">
        <v>10010</v>
      </c>
      <c r="M818" s="2" t="s">
        <v>10011</v>
      </c>
      <c r="N818" s="2" t="s">
        <v>10012</v>
      </c>
      <c r="O818" s="2" t="s">
        <v>10013</v>
      </c>
      <c r="P818" s="2" t="s">
        <v>10001</v>
      </c>
    </row>
    <row r="819" spans="1:16">
      <c r="A819" s="1">
        <v>818</v>
      </c>
      <c r="B819" s="2" t="s">
        <v>10014</v>
      </c>
      <c r="C819" s="2" t="s">
        <v>10015</v>
      </c>
      <c r="D819" s="2" t="s">
        <v>10016</v>
      </c>
      <c r="E819" s="2" t="s">
        <v>10017</v>
      </c>
      <c r="F819" s="2" t="s">
        <v>9882</v>
      </c>
      <c r="G819" s="2" t="s">
        <v>10018</v>
      </c>
      <c r="H819" s="2" t="s">
        <v>10019</v>
      </c>
      <c r="I819" s="2" t="s">
        <v>10020</v>
      </c>
      <c r="J819" s="2" t="s">
        <v>10021</v>
      </c>
      <c r="K819" s="2" t="s">
        <v>10022</v>
      </c>
      <c r="L819" s="2" t="s">
        <v>10023</v>
      </c>
      <c r="M819" s="2" t="s">
        <v>10024</v>
      </c>
      <c r="N819" s="2" t="s">
        <v>10025</v>
      </c>
      <c r="O819" s="2" t="s">
        <v>10026</v>
      </c>
      <c r="P819" s="2" t="s">
        <v>10014</v>
      </c>
    </row>
    <row r="820" spans="1:16">
      <c r="A820" s="1">
        <v>819</v>
      </c>
      <c r="B820" s="2" t="s">
        <v>22823</v>
      </c>
      <c r="C820" s="2" t="s">
        <v>10028</v>
      </c>
      <c r="D820" s="2" t="s">
        <v>10029</v>
      </c>
      <c r="E820" s="2" t="s">
        <v>10030</v>
      </c>
      <c r="F820" s="2" t="s">
        <v>9923</v>
      </c>
      <c r="G820" s="2" t="s">
        <v>10032</v>
      </c>
      <c r="H820" s="2" t="s">
        <v>10033</v>
      </c>
      <c r="I820" s="2" t="s">
        <v>10034</v>
      </c>
      <c r="J820" s="2" t="s">
        <v>10035</v>
      </c>
      <c r="K820" s="2" t="s">
        <v>10036</v>
      </c>
      <c r="L820" s="2" t="s">
        <v>10037</v>
      </c>
      <c r="M820" s="2" t="s">
        <v>10038</v>
      </c>
      <c r="N820" s="2" t="s">
        <v>10039</v>
      </c>
      <c r="O820" s="2" t="s">
        <v>10040</v>
      </c>
      <c r="P820" s="2" t="s">
        <v>10027</v>
      </c>
    </row>
    <row r="821" spans="1:16">
      <c r="A821" s="1">
        <v>820</v>
      </c>
      <c r="B821" s="2" t="s">
        <v>10041</v>
      </c>
      <c r="C821" s="2" t="s">
        <v>10041</v>
      </c>
      <c r="D821" s="2" t="s">
        <v>10042</v>
      </c>
      <c r="E821" s="2" t="s">
        <v>10043</v>
      </c>
      <c r="F821" s="2" t="s">
        <v>22824</v>
      </c>
      <c r="G821" s="2" t="s">
        <v>10044</v>
      </c>
      <c r="H821" s="2" t="s">
        <v>10045</v>
      </c>
      <c r="I821" s="2" t="s">
        <v>10046</v>
      </c>
      <c r="J821" s="2" t="s">
        <v>10041</v>
      </c>
      <c r="K821" s="2" t="s">
        <v>10047</v>
      </c>
      <c r="L821" s="2" t="s">
        <v>10041</v>
      </c>
      <c r="M821" s="2" t="s">
        <v>10041</v>
      </c>
      <c r="N821" s="2" t="s">
        <v>10041</v>
      </c>
      <c r="O821" s="2" t="s">
        <v>10048</v>
      </c>
      <c r="P821" s="2" t="s">
        <v>10041</v>
      </c>
    </row>
    <row r="822" spans="1:16">
      <c r="A822" s="1">
        <v>821</v>
      </c>
      <c r="B822" s="2" t="s">
        <v>10049</v>
      </c>
      <c r="C822" s="2" t="s">
        <v>10050</v>
      </c>
      <c r="D822" s="2" t="s">
        <v>10050</v>
      </c>
      <c r="E822" s="2" t="s">
        <v>10051</v>
      </c>
      <c r="F822" s="2" t="s">
        <v>10052</v>
      </c>
      <c r="G822" s="2" t="s">
        <v>6172</v>
      </c>
      <c r="H822" s="2" t="s">
        <v>3818</v>
      </c>
      <c r="I822" s="2" t="s">
        <v>10052</v>
      </c>
      <c r="J822" s="2" t="s">
        <v>10049</v>
      </c>
      <c r="K822" s="2" t="s">
        <v>10053</v>
      </c>
      <c r="L822" s="2" t="s">
        <v>10054</v>
      </c>
      <c r="M822" s="2" t="s">
        <v>10055</v>
      </c>
      <c r="N822" s="2" t="s">
        <v>10056</v>
      </c>
      <c r="O822" s="2" t="s">
        <v>10049</v>
      </c>
      <c r="P822" s="2" t="s">
        <v>10049</v>
      </c>
    </row>
    <row r="823" spans="1:16">
      <c r="A823" s="1">
        <v>822</v>
      </c>
      <c r="B823" s="2" t="s">
        <v>10057</v>
      </c>
      <c r="C823" s="2" t="s">
        <v>10058</v>
      </c>
      <c r="D823" s="2" t="s">
        <v>10059</v>
      </c>
      <c r="E823" s="2" t="s">
        <v>10060</v>
      </c>
      <c r="F823" s="2" t="s">
        <v>10061</v>
      </c>
      <c r="G823" s="2" t="s">
        <v>10062</v>
      </c>
      <c r="H823" s="2" t="s">
        <v>10063</v>
      </c>
      <c r="I823" s="2" t="s">
        <v>10064</v>
      </c>
      <c r="J823" s="2" t="s">
        <v>10065</v>
      </c>
      <c r="K823" s="2" t="s">
        <v>10066</v>
      </c>
      <c r="L823" s="2" t="s">
        <v>10067</v>
      </c>
      <c r="M823" s="2" t="s">
        <v>10068</v>
      </c>
      <c r="N823" s="2" t="s">
        <v>10069</v>
      </c>
      <c r="O823" s="2" t="s">
        <v>10070</v>
      </c>
      <c r="P823" s="2" t="s">
        <v>10057</v>
      </c>
    </row>
    <row r="824" spans="1:16">
      <c r="A824" s="1">
        <v>823</v>
      </c>
      <c r="B824" s="2" t="s">
        <v>8008</v>
      </c>
      <c r="C824" s="2" t="s">
        <v>8009</v>
      </c>
      <c r="D824" s="2" t="s">
        <v>8010</v>
      </c>
      <c r="E824" s="2" t="s">
        <v>8011</v>
      </c>
      <c r="F824" s="2" t="s">
        <v>8012</v>
      </c>
      <c r="G824" s="2" t="s">
        <v>8013</v>
      </c>
      <c r="H824" s="2" t="s">
        <v>8014</v>
      </c>
      <c r="I824" s="2" t="s">
        <v>8015</v>
      </c>
      <c r="J824" s="2" t="s">
        <v>8016</v>
      </c>
      <c r="K824" s="2" t="s">
        <v>8017</v>
      </c>
      <c r="L824" s="2" t="s">
        <v>8018</v>
      </c>
      <c r="M824" s="2" t="s">
        <v>8019</v>
      </c>
      <c r="N824" s="2" t="s">
        <v>8020</v>
      </c>
      <c r="O824" s="2" t="s">
        <v>8021</v>
      </c>
      <c r="P824" s="2" t="s">
        <v>8008</v>
      </c>
    </row>
    <row r="825" spans="1:16">
      <c r="A825" s="1">
        <v>824</v>
      </c>
      <c r="B825" s="2" t="s">
        <v>8008</v>
      </c>
      <c r="C825" s="2" t="s">
        <v>8009</v>
      </c>
      <c r="D825" s="2" t="s">
        <v>8010</v>
      </c>
      <c r="E825" s="2" t="s">
        <v>8011</v>
      </c>
      <c r="F825" s="2" t="s">
        <v>8012</v>
      </c>
      <c r="G825" s="2" t="s">
        <v>8013</v>
      </c>
      <c r="H825" s="2" t="s">
        <v>8014</v>
      </c>
      <c r="I825" s="2" t="s">
        <v>8015</v>
      </c>
      <c r="J825" s="2" t="s">
        <v>8016</v>
      </c>
      <c r="K825" s="2" t="s">
        <v>8017</v>
      </c>
      <c r="L825" s="2" t="s">
        <v>8018</v>
      </c>
      <c r="M825" s="2" t="s">
        <v>8019</v>
      </c>
      <c r="N825" s="2" t="s">
        <v>8020</v>
      </c>
      <c r="O825" s="2" t="s">
        <v>8021</v>
      </c>
      <c r="P825" s="2" t="s">
        <v>8008</v>
      </c>
    </row>
    <row r="826" spans="1:16">
      <c r="A826" s="1">
        <v>825</v>
      </c>
      <c r="B826" s="2" t="s">
        <v>10071</v>
      </c>
      <c r="C826" s="2" t="s">
        <v>10072</v>
      </c>
      <c r="D826" s="2" t="s">
        <v>10073</v>
      </c>
      <c r="E826" s="2" t="s">
        <v>10074</v>
      </c>
      <c r="F826" s="2" t="s">
        <v>10075</v>
      </c>
      <c r="G826" s="2" t="s">
        <v>10076</v>
      </c>
      <c r="H826" s="2" t="s">
        <v>10077</v>
      </c>
      <c r="I826" s="2" t="s">
        <v>10078</v>
      </c>
      <c r="J826" s="2" t="s">
        <v>10079</v>
      </c>
      <c r="K826" s="2" t="s">
        <v>10080</v>
      </c>
      <c r="L826" s="2" t="s">
        <v>10081</v>
      </c>
      <c r="M826" s="2" t="s">
        <v>10082</v>
      </c>
      <c r="N826" s="2" t="s">
        <v>10083</v>
      </c>
      <c r="O826" s="2" t="s">
        <v>10084</v>
      </c>
      <c r="P826" s="2" t="s">
        <v>10071</v>
      </c>
    </row>
    <row r="827" spans="1:16">
      <c r="A827" s="1">
        <v>826</v>
      </c>
      <c r="B827" s="2" t="s">
        <v>10085</v>
      </c>
      <c r="C827" s="2" t="s">
        <v>10086</v>
      </c>
      <c r="D827" s="2" t="s">
        <v>10087</v>
      </c>
      <c r="E827" s="2" t="s">
        <v>10088</v>
      </c>
      <c r="F827" s="2" t="s">
        <v>10089</v>
      </c>
      <c r="G827" s="2" t="s">
        <v>10090</v>
      </c>
      <c r="H827" s="2" t="s">
        <v>10091</v>
      </c>
      <c r="I827" s="2" t="s">
        <v>10092</v>
      </c>
      <c r="J827" s="2" t="s">
        <v>10093</v>
      </c>
      <c r="K827" s="2" t="s">
        <v>10094</v>
      </c>
      <c r="L827" s="2" t="s">
        <v>10095</v>
      </c>
      <c r="M827" s="2" t="s">
        <v>10096</v>
      </c>
      <c r="N827" s="2" t="s">
        <v>10097</v>
      </c>
      <c r="O827" s="2" t="s">
        <v>10098</v>
      </c>
      <c r="P827" s="2" t="s">
        <v>10085</v>
      </c>
    </row>
    <row r="828" spans="1:16">
      <c r="A828" s="1">
        <v>827</v>
      </c>
      <c r="B828" s="2" t="s">
        <v>10099</v>
      </c>
      <c r="C828" s="2" t="s">
        <v>10100</v>
      </c>
      <c r="D828" s="2" t="s">
        <v>10101</v>
      </c>
      <c r="E828" s="2" t="s">
        <v>10102</v>
      </c>
      <c r="F828" s="2" t="s">
        <v>10103</v>
      </c>
      <c r="G828" s="2" t="s">
        <v>10104</v>
      </c>
      <c r="H828" s="2" t="s">
        <v>10105</v>
      </c>
      <c r="I828" s="2" t="s">
        <v>10106</v>
      </c>
      <c r="J828" s="2" t="s">
        <v>10107</v>
      </c>
      <c r="K828" s="2" t="s">
        <v>10108</v>
      </c>
      <c r="L828" s="2" t="s">
        <v>10109</v>
      </c>
      <c r="M828" s="2" t="s">
        <v>10110</v>
      </c>
      <c r="N828" s="2" t="s">
        <v>10111</v>
      </c>
      <c r="O828" s="2" t="s">
        <v>10112</v>
      </c>
      <c r="P828" s="2" t="s">
        <v>10099</v>
      </c>
    </row>
    <row r="829" spans="1:16">
      <c r="A829" s="1">
        <v>828</v>
      </c>
      <c r="B829" s="2" t="s">
        <v>10113</v>
      </c>
      <c r="C829" s="2" t="s">
        <v>10114</v>
      </c>
      <c r="D829" s="2" t="s">
        <v>10115</v>
      </c>
      <c r="E829" s="2" t="s">
        <v>10116</v>
      </c>
      <c r="F829" s="2" t="s">
        <v>10117</v>
      </c>
      <c r="G829" s="2" t="s">
        <v>10118</v>
      </c>
      <c r="H829" s="2" t="s">
        <v>10119</v>
      </c>
      <c r="I829" s="2" t="s">
        <v>10120</v>
      </c>
      <c r="J829" s="2" t="s">
        <v>10121</v>
      </c>
      <c r="K829" s="2" t="s">
        <v>10122</v>
      </c>
      <c r="L829" s="2" t="s">
        <v>10123</v>
      </c>
      <c r="M829" s="2" t="s">
        <v>10124</v>
      </c>
      <c r="N829" s="2" t="s">
        <v>10125</v>
      </c>
      <c r="O829" s="2" t="s">
        <v>10126</v>
      </c>
      <c r="P829" s="2" t="s">
        <v>10113</v>
      </c>
    </row>
    <row r="830" spans="1:16">
      <c r="A830" s="1">
        <v>829</v>
      </c>
      <c r="B830" s="2" t="s">
        <v>1547</v>
      </c>
      <c r="C830" s="2" t="s">
        <v>1548</v>
      </c>
      <c r="D830" s="2" t="s">
        <v>1547</v>
      </c>
      <c r="E830" s="2" t="s">
        <v>1549</v>
      </c>
      <c r="F830" s="2" t="s">
        <v>1547</v>
      </c>
      <c r="G830" s="2" t="s">
        <v>1547</v>
      </c>
      <c r="H830" s="2" t="s">
        <v>1547</v>
      </c>
      <c r="I830" s="2" t="s">
        <v>1547</v>
      </c>
      <c r="J830" s="2" t="s">
        <v>1547</v>
      </c>
      <c r="K830" s="2" t="s">
        <v>1547</v>
      </c>
      <c r="L830" s="2" t="s">
        <v>1550</v>
      </c>
      <c r="M830" s="2" t="s">
        <v>1547</v>
      </c>
      <c r="N830" s="2" t="s">
        <v>1547</v>
      </c>
      <c r="O830" s="2" t="s">
        <v>1551</v>
      </c>
      <c r="P830" s="2" t="s">
        <v>1547</v>
      </c>
    </row>
    <row r="831" spans="1:16">
      <c r="A831" s="1">
        <v>830</v>
      </c>
      <c r="B831" s="2" t="s">
        <v>1547</v>
      </c>
      <c r="C831" s="2" t="s">
        <v>10127</v>
      </c>
      <c r="D831" s="2" t="s">
        <v>10127</v>
      </c>
      <c r="E831" s="2" t="s">
        <v>1549</v>
      </c>
      <c r="F831" s="2" t="s">
        <v>10128</v>
      </c>
      <c r="G831" s="2" t="s">
        <v>10127</v>
      </c>
      <c r="H831" s="2" t="s">
        <v>10127</v>
      </c>
      <c r="I831" s="2" t="s">
        <v>10128</v>
      </c>
      <c r="J831" s="2" t="s">
        <v>10127</v>
      </c>
      <c r="K831" s="2" t="s">
        <v>10127</v>
      </c>
      <c r="L831" s="2" t="s">
        <v>10129</v>
      </c>
      <c r="M831" s="2" t="s">
        <v>10127</v>
      </c>
      <c r="N831" s="2" t="s">
        <v>10130</v>
      </c>
      <c r="O831" s="2" t="s">
        <v>10131</v>
      </c>
      <c r="P831" s="2" t="s">
        <v>10127</v>
      </c>
    </row>
    <row r="832" spans="1:16">
      <c r="A832" s="1">
        <v>831</v>
      </c>
      <c r="B832" s="2" t="s">
        <v>10132</v>
      </c>
      <c r="C832" s="2" t="s">
        <v>10133</v>
      </c>
      <c r="D832" s="2" t="s">
        <v>10132</v>
      </c>
      <c r="E832" s="2" t="s">
        <v>10134</v>
      </c>
      <c r="F832" s="2" t="s">
        <v>10135</v>
      </c>
      <c r="G832" s="2" t="s">
        <v>10136</v>
      </c>
      <c r="H832" s="2" t="s">
        <v>10137</v>
      </c>
      <c r="I832" s="2" t="s">
        <v>10138</v>
      </c>
      <c r="J832" s="2" t="s">
        <v>10139</v>
      </c>
      <c r="K832" s="2" t="s">
        <v>10140</v>
      </c>
      <c r="L832" s="2" t="s">
        <v>10141</v>
      </c>
      <c r="M832" s="2" t="s">
        <v>10142</v>
      </c>
      <c r="N832" s="2" t="s">
        <v>10142</v>
      </c>
      <c r="O832" s="2" t="s">
        <v>10143</v>
      </c>
      <c r="P832" s="2" t="s">
        <v>10132</v>
      </c>
    </row>
    <row r="833" spans="1:16">
      <c r="A833" s="1">
        <v>832</v>
      </c>
      <c r="B833" s="2" t="s">
        <v>10144</v>
      </c>
      <c r="C833" s="2" t="s">
        <v>10145</v>
      </c>
      <c r="D833" s="2" t="s">
        <v>10146</v>
      </c>
      <c r="E833" s="2" t="s">
        <v>10147</v>
      </c>
      <c r="F833" s="2" t="s">
        <v>10148</v>
      </c>
      <c r="G833" s="2" t="s">
        <v>10149</v>
      </c>
      <c r="H833" s="2" t="s">
        <v>10150</v>
      </c>
      <c r="I833" s="2" t="s">
        <v>10151</v>
      </c>
      <c r="J833" s="2" t="s">
        <v>10152</v>
      </c>
      <c r="K833" s="2" t="s">
        <v>10153</v>
      </c>
      <c r="L833" s="2" t="s">
        <v>10154</v>
      </c>
      <c r="M833" s="2" t="s">
        <v>10155</v>
      </c>
      <c r="N833" s="2" t="s">
        <v>10156</v>
      </c>
      <c r="O833" s="2" t="s">
        <v>10157</v>
      </c>
      <c r="P833" s="2" t="s">
        <v>10144</v>
      </c>
    </row>
    <row r="834" spans="1:16">
      <c r="A834" s="1">
        <v>833</v>
      </c>
      <c r="B834" s="2" t="s">
        <v>10158</v>
      </c>
      <c r="C834" s="2" t="s">
        <v>10159</v>
      </c>
      <c r="D834" s="2" t="s">
        <v>10160</v>
      </c>
      <c r="E834" s="2" t="s">
        <v>10161</v>
      </c>
      <c r="F834" s="2" t="s">
        <v>10162</v>
      </c>
      <c r="G834" s="2" t="s">
        <v>10163</v>
      </c>
      <c r="H834" s="2" t="s">
        <v>10164</v>
      </c>
      <c r="I834" s="2" t="s">
        <v>10165</v>
      </c>
      <c r="J834" s="2" t="s">
        <v>10166</v>
      </c>
      <c r="K834" s="2" t="s">
        <v>10167</v>
      </c>
      <c r="L834" s="2" t="s">
        <v>10168</v>
      </c>
      <c r="M834" s="2" t="s">
        <v>10169</v>
      </c>
      <c r="N834" s="2" t="s">
        <v>10170</v>
      </c>
      <c r="O834" s="2" t="s">
        <v>10171</v>
      </c>
      <c r="P834" s="2" t="s">
        <v>10158</v>
      </c>
    </row>
    <row r="835" spans="1:16">
      <c r="A835" s="1">
        <v>834</v>
      </c>
      <c r="B835" s="2" t="s">
        <v>10172</v>
      </c>
      <c r="C835" s="2" t="s">
        <v>10173</v>
      </c>
      <c r="D835" s="2" t="s">
        <v>10174</v>
      </c>
      <c r="E835" s="2" t="s">
        <v>10175</v>
      </c>
      <c r="F835" s="2" t="s">
        <v>10176</v>
      </c>
      <c r="G835" s="2" t="s">
        <v>10177</v>
      </c>
      <c r="H835" s="2" t="s">
        <v>10178</v>
      </c>
      <c r="I835" s="2" t="s">
        <v>10179</v>
      </c>
      <c r="J835" s="2" t="s">
        <v>10180</v>
      </c>
      <c r="K835" s="2" t="s">
        <v>10181</v>
      </c>
      <c r="L835" s="2" t="s">
        <v>10182</v>
      </c>
      <c r="M835" s="2" t="s">
        <v>10172</v>
      </c>
      <c r="N835" s="2" t="s">
        <v>10172</v>
      </c>
      <c r="O835" s="2" t="s">
        <v>10183</v>
      </c>
      <c r="P835" s="2" t="s">
        <v>10172</v>
      </c>
    </row>
    <row r="836" spans="1:16">
      <c r="A836" s="1">
        <v>835</v>
      </c>
      <c r="B836" s="2" t="s">
        <v>10184</v>
      </c>
      <c r="C836" s="2" t="s">
        <v>10185</v>
      </c>
      <c r="D836" s="2" t="s">
        <v>10186</v>
      </c>
      <c r="E836" s="2" t="s">
        <v>10187</v>
      </c>
      <c r="F836" s="2" t="s">
        <v>10188</v>
      </c>
      <c r="G836" s="2" t="s">
        <v>10189</v>
      </c>
      <c r="H836" s="2" t="s">
        <v>10190</v>
      </c>
      <c r="I836" s="2" t="s">
        <v>10191</v>
      </c>
      <c r="J836" s="2" t="s">
        <v>10192</v>
      </c>
      <c r="K836" s="2" t="s">
        <v>10193</v>
      </c>
      <c r="L836" s="2" t="s">
        <v>10194</v>
      </c>
      <c r="M836" s="2" t="s">
        <v>10195</v>
      </c>
      <c r="N836" s="2" t="s">
        <v>10196</v>
      </c>
      <c r="O836" s="2" t="s">
        <v>10197</v>
      </c>
      <c r="P836" s="2" t="s">
        <v>10184</v>
      </c>
    </row>
    <row r="837" spans="1:16">
      <c r="A837" s="1">
        <v>836</v>
      </c>
      <c r="B837" s="2" t="s">
        <v>22825</v>
      </c>
      <c r="C837" s="2" t="s">
        <v>10199</v>
      </c>
      <c r="D837" s="2" t="s">
        <v>10200</v>
      </c>
      <c r="E837" s="2" t="s">
        <v>25658</v>
      </c>
      <c r="F837" s="2" t="s">
        <v>10201</v>
      </c>
      <c r="G837" s="2" t="s">
        <v>10202</v>
      </c>
      <c r="H837" s="2" t="s">
        <v>10203</v>
      </c>
      <c r="I837" s="2" t="s">
        <v>10204</v>
      </c>
      <c r="J837" s="2" t="s">
        <v>10205</v>
      </c>
      <c r="K837" s="2" t="s">
        <v>10206</v>
      </c>
      <c r="L837" s="2" t="s">
        <v>10207</v>
      </c>
      <c r="M837" s="2" t="s">
        <v>10208</v>
      </c>
      <c r="N837" s="2" t="s">
        <v>10209</v>
      </c>
      <c r="O837" s="2" t="s">
        <v>10210</v>
      </c>
      <c r="P837" s="2" t="s">
        <v>10198</v>
      </c>
    </row>
    <row r="838" spans="1:16">
      <c r="A838" s="1">
        <v>837</v>
      </c>
      <c r="B838" s="2" t="s">
        <v>10211</v>
      </c>
      <c r="C838" s="2" t="s">
        <v>10211</v>
      </c>
      <c r="D838" s="2" t="s">
        <v>10211</v>
      </c>
      <c r="E838" s="2" t="s">
        <v>10212</v>
      </c>
      <c r="F838" s="2" t="s">
        <v>10213</v>
      </c>
      <c r="G838" s="2" t="s">
        <v>10211</v>
      </c>
      <c r="H838" s="2" t="s">
        <v>10211</v>
      </c>
      <c r="I838" s="2" t="s">
        <v>10213</v>
      </c>
      <c r="J838" s="2" t="s">
        <v>10211</v>
      </c>
      <c r="K838" s="2" t="s">
        <v>10211</v>
      </c>
      <c r="L838" s="2" t="s">
        <v>10214</v>
      </c>
      <c r="M838" s="2" t="s">
        <v>10211</v>
      </c>
      <c r="N838" s="2" t="s">
        <v>10215</v>
      </c>
      <c r="O838" s="2" t="s">
        <v>10211</v>
      </c>
      <c r="P838" s="2" t="s">
        <v>10211</v>
      </c>
    </row>
    <row r="839" spans="1:16">
      <c r="A839" s="1">
        <v>838</v>
      </c>
      <c r="B839" s="2" t="s">
        <v>10216</v>
      </c>
      <c r="C839" s="2" t="s">
        <v>10217</v>
      </c>
      <c r="D839" s="2" t="s">
        <v>10218</v>
      </c>
      <c r="E839" s="2" t="s">
        <v>10219</v>
      </c>
      <c r="F839" s="2" t="s">
        <v>10220</v>
      </c>
      <c r="G839" s="2" t="s">
        <v>10221</v>
      </c>
      <c r="H839" s="2" t="s">
        <v>10222</v>
      </c>
      <c r="I839" s="2" t="s">
        <v>10223</v>
      </c>
      <c r="J839" s="2" t="s">
        <v>10224</v>
      </c>
      <c r="K839" s="2" t="s">
        <v>10225</v>
      </c>
      <c r="L839" s="2" t="s">
        <v>10226</v>
      </c>
      <c r="M839" s="2" t="s">
        <v>10227</v>
      </c>
      <c r="N839" s="2" t="s">
        <v>10228</v>
      </c>
      <c r="O839" s="2" t="s">
        <v>10229</v>
      </c>
      <c r="P839" s="2" t="s">
        <v>10216</v>
      </c>
    </row>
    <row r="840" spans="1:16">
      <c r="A840" s="1">
        <v>839</v>
      </c>
      <c r="B840" s="2" t="s">
        <v>10230</v>
      </c>
      <c r="C840" s="2" t="s">
        <v>10231</v>
      </c>
      <c r="D840" s="2" t="s">
        <v>10232</v>
      </c>
      <c r="E840" s="2" t="s">
        <v>10233</v>
      </c>
      <c r="F840" s="2" t="s">
        <v>10234</v>
      </c>
      <c r="G840" s="2" t="s">
        <v>10235</v>
      </c>
      <c r="H840" s="2" t="s">
        <v>10236</v>
      </c>
      <c r="I840" s="2" t="s">
        <v>10237</v>
      </c>
      <c r="J840" s="2" t="s">
        <v>10238</v>
      </c>
      <c r="K840" s="2" t="s">
        <v>10239</v>
      </c>
      <c r="L840" s="2" t="s">
        <v>10240</v>
      </c>
      <c r="M840" s="2" t="s">
        <v>10241</v>
      </c>
      <c r="N840" s="2" t="s">
        <v>10242</v>
      </c>
      <c r="O840" s="2" t="s">
        <v>10243</v>
      </c>
      <c r="P840" s="2" t="s">
        <v>10230</v>
      </c>
    </row>
    <row r="841" spans="1:16">
      <c r="A841" s="1">
        <v>840</v>
      </c>
      <c r="B841" s="2" t="s">
        <v>22826</v>
      </c>
      <c r="C841" s="2" t="s">
        <v>10245</v>
      </c>
      <c r="D841" s="2" t="s">
        <v>10246</v>
      </c>
      <c r="E841" s="2" t="s">
        <v>25659</v>
      </c>
      <c r="F841" s="2" t="s">
        <v>10247</v>
      </c>
      <c r="G841" s="2" t="s">
        <v>10230</v>
      </c>
      <c r="H841" s="2" t="s">
        <v>10248</v>
      </c>
      <c r="I841" s="2" t="s">
        <v>10249</v>
      </c>
      <c r="J841" s="2" t="s">
        <v>10250</v>
      </c>
      <c r="K841" s="2" t="s">
        <v>10251</v>
      </c>
      <c r="L841" s="2" t="s">
        <v>10252</v>
      </c>
      <c r="M841" s="2" t="s">
        <v>10253</v>
      </c>
      <c r="N841" s="2" t="s">
        <v>10254</v>
      </c>
      <c r="O841" s="2" t="s">
        <v>10255</v>
      </c>
      <c r="P841" s="2" t="s">
        <v>10244</v>
      </c>
    </row>
    <row r="842" spans="1:16">
      <c r="A842" s="1">
        <v>841</v>
      </c>
      <c r="B842" s="2" t="s">
        <v>22827</v>
      </c>
      <c r="C842" s="2" t="s">
        <v>10257</v>
      </c>
      <c r="D842" s="2" t="s">
        <v>10258</v>
      </c>
      <c r="E842" s="2" t="s">
        <v>25660</v>
      </c>
      <c r="F842" s="2" t="s">
        <v>10259</v>
      </c>
      <c r="G842" s="2" t="s">
        <v>10260</v>
      </c>
      <c r="H842" s="2" t="s">
        <v>10261</v>
      </c>
      <c r="I842" s="2" t="s">
        <v>10262</v>
      </c>
      <c r="J842" s="2" t="s">
        <v>10263</v>
      </c>
      <c r="K842" s="2" t="s">
        <v>10264</v>
      </c>
      <c r="L842" s="2" t="s">
        <v>10265</v>
      </c>
      <c r="M842" s="2" t="s">
        <v>10266</v>
      </c>
      <c r="N842" s="2" t="s">
        <v>10267</v>
      </c>
      <c r="O842" s="2" t="s">
        <v>10268</v>
      </c>
      <c r="P842" s="2" t="s">
        <v>10256</v>
      </c>
    </row>
    <row r="843" spans="1:16">
      <c r="A843" s="1">
        <v>842</v>
      </c>
      <c r="B843" s="2" t="s">
        <v>25661</v>
      </c>
      <c r="C843" s="2" t="s">
        <v>25662</v>
      </c>
      <c r="D843" s="2" t="s">
        <v>10269</v>
      </c>
      <c r="E843" s="2" t="s">
        <v>25663</v>
      </c>
      <c r="F843" s="2" t="s">
        <v>25664</v>
      </c>
      <c r="G843" s="2" t="s">
        <v>25665</v>
      </c>
      <c r="H843" s="2" t="s">
        <v>25666</v>
      </c>
      <c r="I843" s="2" t="s">
        <v>25667</v>
      </c>
      <c r="J843" s="2" t="s">
        <v>25668</v>
      </c>
      <c r="K843" s="2" t="s">
        <v>25669</v>
      </c>
      <c r="L843" s="2" t="s">
        <v>25670</v>
      </c>
      <c r="M843" s="2" t="s">
        <v>25671</v>
      </c>
      <c r="N843" s="2" t="s">
        <v>25672</v>
      </c>
      <c r="O843" s="2" t="s">
        <v>25673</v>
      </c>
      <c r="P843" s="2" t="s">
        <v>25661</v>
      </c>
    </row>
    <row r="844" spans="1:16">
      <c r="A844" s="1">
        <v>843</v>
      </c>
      <c r="B844" s="2" t="s">
        <v>10270</v>
      </c>
      <c r="C844" s="2" t="s">
        <v>10271</v>
      </c>
      <c r="D844" s="2" t="s">
        <v>10272</v>
      </c>
      <c r="E844" s="2" t="s">
        <v>10273</v>
      </c>
      <c r="F844" s="2" t="s">
        <v>10274</v>
      </c>
      <c r="G844" s="2" t="s">
        <v>10275</v>
      </c>
      <c r="H844" s="2" t="s">
        <v>10276</v>
      </c>
      <c r="I844" s="2" t="s">
        <v>10277</v>
      </c>
      <c r="J844" s="2" t="s">
        <v>10278</v>
      </c>
      <c r="K844" s="2" t="s">
        <v>10279</v>
      </c>
      <c r="L844" s="2" t="s">
        <v>10280</v>
      </c>
      <c r="M844" s="2" t="s">
        <v>10281</v>
      </c>
      <c r="N844" s="2" t="s">
        <v>10282</v>
      </c>
      <c r="O844" s="2" t="s">
        <v>10283</v>
      </c>
      <c r="P844" s="2" t="s">
        <v>10270</v>
      </c>
    </row>
    <row r="845" spans="1:16">
      <c r="A845" s="1">
        <v>844</v>
      </c>
      <c r="B845" s="2" t="s">
        <v>10284</v>
      </c>
      <c r="C845" s="2" t="s">
        <v>10285</v>
      </c>
      <c r="D845" s="2" t="s">
        <v>10286</v>
      </c>
      <c r="E845" s="2" t="s">
        <v>10287</v>
      </c>
      <c r="F845" s="2" t="s">
        <v>10288</v>
      </c>
      <c r="G845" s="2" t="s">
        <v>6936</v>
      </c>
      <c r="H845" s="2" t="s">
        <v>10289</v>
      </c>
      <c r="I845" s="2" t="s">
        <v>10290</v>
      </c>
      <c r="J845" s="2" t="s">
        <v>10291</v>
      </c>
      <c r="K845" s="2" t="s">
        <v>10292</v>
      </c>
      <c r="L845" s="2" t="s">
        <v>10293</v>
      </c>
      <c r="M845" s="2" t="s">
        <v>10284</v>
      </c>
      <c r="N845" s="2" t="s">
        <v>10294</v>
      </c>
      <c r="O845" s="2" t="s">
        <v>10295</v>
      </c>
      <c r="P845" s="2" t="s">
        <v>10284</v>
      </c>
    </row>
    <row r="846" spans="1:16">
      <c r="A846" s="1">
        <v>845</v>
      </c>
      <c r="B846" s="2" t="s">
        <v>10296</v>
      </c>
      <c r="C846" s="2" t="s">
        <v>10297</v>
      </c>
      <c r="D846" s="2" t="s">
        <v>10298</v>
      </c>
      <c r="E846" s="2" t="s">
        <v>10299</v>
      </c>
      <c r="F846" s="2" t="s">
        <v>10300</v>
      </c>
      <c r="G846" s="2" t="s">
        <v>10301</v>
      </c>
      <c r="H846" s="2" t="s">
        <v>10302</v>
      </c>
      <c r="I846" s="2" t="s">
        <v>10303</v>
      </c>
      <c r="J846" s="2" t="s">
        <v>10304</v>
      </c>
      <c r="K846" s="2" t="s">
        <v>10305</v>
      </c>
      <c r="L846" s="2" t="s">
        <v>10306</v>
      </c>
      <c r="M846" s="2" t="s">
        <v>10307</v>
      </c>
      <c r="N846" s="2" t="s">
        <v>10308</v>
      </c>
      <c r="O846" s="2" t="s">
        <v>10309</v>
      </c>
      <c r="P846" s="2" t="s">
        <v>10296</v>
      </c>
    </row>
    <row r="847" spans="1:16">
      <c r="A847" s="1">
        <v>846</v>
      </c>
      <c r="B847" s="2" t="s">
        <v>22828</v>
      </c>
      <c r="C847" s="2" t="s">
        <v>10311</v>
      </c>
      <c r="D847" s="2" t="s">
        <v>10312</v>
      </c>
      <c r="E847" s="2" t="s">
        <v>25674</v>
      </c>
      <c r="F847" s="2" t="s">
        <v>10313</v>
      </c>
      <c r="G847" s="2" t="s">
        <v>10314</v>
      </c>
      <c r="H847" s="2" t="s">
        <v>10315</v>
      </c>
      <c r="I847" s="2" t="s">
        <v>10316</v>
      </c>
      <c r="J847" s="2" t="s">
        <v>10317</v>
      </c>
      <c r="K847" s="2" t="s">
        <v>10318</v>
      </c>
      <c r="L847" s="2" t="s">
        <v>10319</v>
      </c>
      <c r="M847" s="2" t="s">
        <v>10320</v>
      </c>
      <c r="N847" s="2" t="s">
        <v>10321</v>
      </c>
      <c r="O847" s="2" t="s">
        <v>10322</v>
      </c>
      <c r="P847" s="2" t="s">
        <v>10310</v>
      </c>
    </row>
    <row r="848" spans="1:16">
      <c r="A848" s="1">
        <v>847</v>
      </c>
      <c r="B848" s="2" t="s">
        <v>22829</v>
      </c>
      <c r="C848" s="2" t="s">
        <v>10324</v>
      </c>
      <c r="D848" s="2" t="s">
        <v>10325</v>
      </c>
      <c r="E848" s="2" t="s">
        <v>25675</v>
      </c>
      <c r="F848" s="2" t="s">
        <v>10326</v>
      </c>
      <c r="G848" s="2" t="s">
        <v>10327</v>
      </c>
      <c r="H848" s="2" t="s">
        <v>10328</v>
      </c>
      <c r="I848" s="2" t="s">
        <v>10329</v>
      </c>
      <c r="J848" s="2" t="s">
        <v>10330</v>
      </c>
      <c r="K848" s="2" t="s">
        <v>10331</v>
      </c>
      <c r="L848" s="2" t="s">
        <v>10332</v>
      </c>
      <c r="M848" s="2" t="s">
        <v>10333</v>
      </c>
      <c r="N848" s="2" t="s">
        <v>10334</v>
      </c>
      <c r="O848" s="2" t="s">
        <v>10335</v>
      </c>
      <c r="P848" s="2" t="s">
        <v>10323</v>
      </c>
    </row>
    <row r="849" spans="1:16">
      <c r="A849" s="1">
        <v>848</v>
      </c>
      <c r="B849" s="2" t="s">
        <v>10336</v>
      </c>
      <c r="C849" s="2" t="s">
        <v>10337</v>
      </c>
      <c r="D849" s="2" t="s">
        <v>10338</v>
      </c>
      <c r="E849" s="2" t="s">
        <v>25676</v>
      </c>
      <c r="F849" s="2" t="s">
        <v>3118</v>
      </c>
      <c r="G849" s="2" t="s">
        <v>10339</v>
      </c>
      <c r="H849" s="2" t="s">
        <v>10340</v>
      </c>
      <c r="I849" s="2" t="s">
        <v>3121</v>
      </c>
      <c r="J849" s="2" t="s">
        <v>10341</v>
      </c>
      <c r="K849" s="2" t="s">
        <v>10342</v>
      </c>
      <c r="L849" s="2" t="s">
        <v>3124</v>
      </c>
      <c r="M849" s="2" t="s">
        <v>10343</v>
      </c>
      <c r="N849" s="2" t="s">
        <v>10344</v>
      </c>
      <c r="O849" s="2" t="s">
        <v>10345</v>
      </c>
      <c r="P849" s="2" t="s">
        <v>10336</v>
      </c>
    </row>
    <row r="850" spans="1:16">
      <c r="A850" s="1">
        <v>849</v>
      </c>
      <c r="B850" s="2" t="s">
        <v>10346</v>
      </c>
      <c r="C850" s="2" t="s">
        <v>10347</v>
      </c>
      <c r="D850" s="2" t="s">
        <v>10348</v>
      </c>
      <c r="E850" s="2" t="s">
        <v>25677</v>
      </c>
      <c r="F850" s="2" t="s">
        <v>10349</v>
      </c>
      <c r="G850" s="2" t="s">
        <v>10350</v>
      </c>
      <c r="H850" s="2" t="s">
        <v>10351</v>
      </c>
      <c r="I850" s="2" t="s">
        <v>10352</v>
      </c>
      <c r="J850" s="2" t="s">
        <v>10353</v>
      </c>
      <c r="K850" s="2" t="s">
        <v>10354</v>
      </c>
      <c r="L850" s="2" t="s">
        <v>10355</v>
      </c>
      <c r="M850" s="2" t="s">
        <v>10356</v>
      </c>
      <c r="N850" s="2" t="s">
        <v>10357</v>
      </c>
      <c r="O850" s="2" t="s">
        <v>10358</v>
      </c>
      <c r="P850" s="2" t="s">
        <v>10346</v>
      </c>
    </row>
    <row r="851" spans="1:16">
      <c r="A851" s="1">
        <v>850</v>
      </c>
      <c r="B851" s="2" t="s">
        <v>10359</v>
      </c>
      <c r="C851" s="2" t="s">
        <v>10360</v>
      </c>
      <c r="D851" s="2" t="s">
        <v>10361</v>
      </c>
      <c r="E851" s="2" t="s">
        <v>10362</v>
      </c>
      <c r="F851" s="2" t="s">
        <v>10363</v>
      </c>
      <c r="G851" s="2" t="s">
        <v>10364</v>
      </c>
      <c r="H851" s="2" t="s">
        <v>10365</v>
      </c>
      <c r="I851" s="2" t="s">
        <v>10366</v>
      </c>
      <c r="J851" s="2" t="s">
        <v>10367</v>
      </c>
      <c r="K851" s="2" t="s">
        <v>10368</v>
      </c>
      <c r="L851" s="2" t="s">
        <v>10369</v>
      </c>
      <c r="M851" s="2" t="s">
        <v>10370</v>
      </c>
      <c r="N851" s="2" t="s">
        <v>10371</v>
      </c>
      <c r="O851" s="2" t="s">
        <v>10372</v>
      </c>
      <c r="P851" s="2" t="s">
        <v>10359</v>
      </c>
    </row>
    <row r="852" spans="1:16">
      <c r="A852" s="1">
        <v>851</v>
      </c>
      <c r="B852" s="2" t="s">
        <v>10373</v>
      </c>
      <c r="C852" s="2" t="s">
        <v>10374</v>
      </c>
      <c r="D852" s="2" t="s">
        <v>10375</v>
      </c>
      <c r="E852" s="2" t="s">
        <v>10376</v>
      </c>
      <c r="F852" s="2" t="s">
        <v>10377</v>
      </c>
      <c r="G852" s="2" t="s">
        <v>10378</v>
      </c>
      <c r="H852" s="2" t="s">
        <v>10379</v>
      </c>
      <c r="I852" s="2" t="s">
        <v>10380</v>
      </c>
      <c r="J852" s="2" t="s">
        <v>10381</v>
      </c>
      <c r="K852" s="2" t="s">
        <v>10382</v>
      </c>
      <c r="L852" s="2" t="s">
        <v>10383</v>
      </c>
      <c r="M852" s="2" t="s">
        <v>10384</v>
      </c>
      <c r="N852" s="2" t="s">
        <v>10385</v>
      </c>
      <c r="O852" s="2" t="s">
        <v>10386</v>
      </c>
      <c r="P852" s="2" t="s">
        <v>10373</v>
      </c>
    </row>
    <row r="853" spans="1:16">
      <c r="A853" s="1">
        <v>852</v>
      </c>
      <c r="B853" s="2" t="s">
        <v>10387</v>
      </c>
      <c r="C853" s="2" t="s">
        <v>10388</v>
      </c>
      <c r="D853" s="2" t="s">
        <v>10389</v>
      </c>
      <c r="E853" s="2" t="s">
        <v>10390</v>
      </c>
      <c r="F853" s="2" t="s">
        <v>10391</v>
      </c>
      <c r="G853" s="2" t="s">
        <v>10392</v>
      </c>
      <c r="H853" s="2" t="s">
        <v>10393</v>
      </c>
      <c r="I853" s="2" t="s">
        <v>10394</v>
      </c>
      <c r="J853" s="2" t="s">
        <v>10395</v>
      </c>
      <c r="K853" s="2" t="s">
        <v>10396</v>
      </c>
      <c r="L853" s="2" t="s">
        <v>10397</v>
      </c>
      <c r="M853" s="2" t="s">
        <v>10398</v>
      </c>
      <c r="N853" s="2" t="s">
        <v>10399</v>
      </c>
      <c r="O853" s="2" t="s">
        <v>10400</v>
      </c>
      <c r="P853" s="2" t="s">
        <v>10387</v>
      </c>
    </row>
    <row r="854" spans="1:16">
      <c r="A854" s="1">
        <v>853</v>
      </c>
      <c r="B854" s="2" t="s">
        <v>10401</v>
      </c>
      <c r="C854" s="2" t="s">
        <v>10402</v>
      </c>
      <c r="D854" s="2" t="s">
        <v>10403</v>
      </c>
      <c r="E854" s="2" t="s">
        <v>10404</v>
      </c>
      <c r="F854" s="2" t="s">
        <v>10405</v>
      </c>
      <c r="G854" s="2" t="s">
        <v>10406</v>
      </c>
      <c r="H854" s="2" t="s">
        <v>10407</v>
      </c>
      <c r="I854" s="2" t="s">
        <v>10408</v>
      </c>
      <c r="J854" s="2" t="s">
        <v>10409</v>
      </c>
      <c r="K854" s="2" t="s">
        <v>10410</v>
      </c>
      <c r="L854" s="2" t="s">
        <v>10411</v>
      </c>
      <c r="M854" s="2" t="s">
        <v>10412</v>
      </c>
      <c r="N854" s="2" t="s">
        <v>10411</v>
      </c>
      <c r="O854" s="2" t="s">
        <v>10413</v>
      </c>
      <c r="P854" s="2" t="s">
        <v>10401</v>
      </c>
    </row>
    <row r="855" spans="1:16">
      <c r="A855" s="1">
        <v>854</v>
      </c>
      <c r="B855" s="2" t="s">
        <v>10414</v>
      </c>
      <c r="C855" s="2" t="s">
        <v>10415</v>
      </c>
      <c r="D855" s="2" t="s">
        <v>10416</v>
      </c>
      <c r="E855" s="2" t="s">
        <v>10417</v>
      </c>
      <c r="F855" s="2" t="s">
        <v>10418</v>
      </c>
      <c r="G855" s="2" t="s">
        <v>10419</v>
      </c>
      <c r="H855" s="2" t="s">
        <v>10420</v>
      </c>
      <c r="I855" s="2" t="s">
        <v>10421</v>
      </c>
      <c r="J855" s="2" t="s">
        <v>10422</v>
      </c>
      <c r="K855" s="2" t="s">
        <v>10423</v>
      </c>
      <c r="L855" s="2" t="s">
        <v>10424</v>
      </c>
      <c r="M855" s="2" t="s">
        <v>10425</v>
      </c>
      <c r="N855" s="2" t="s">
        <v>10426</v>
      </c>
      <c r="O855" s="2" t="s">
        <v>10427</v>
      </c>
      <c r="P855" s="2" t="s">
        <v>10414</v>
      </c>
    </row>
    <row r="856" spans="1:16">
      <c r="A856" s="1">
        <v>855</v>
      </c>
      <c r="B856" s="2" t="s">
        <v>10428</v>
      </c>
      <c r="C856" s="2" t="s">
        <v>10429</v>
      </c>
      <c r="D856" s="2" t="s">
        <v>10430</v>
      </c>
      <c r="E856" s="2" t="s">
        <v>10431</v>
      </c>
      <c r="F856" s="2" t="s">
        <v>10432</v>
      </c>
      <c r="G856" s="2" t="s">
        <v>10433</v>
      </c>
      <c r="H856" s="2" t="s">
        <v>10434</v>
      </c>
      <c r="I856" s="2" t="s">
        <v>10435</v>
      </c>
      <c r="J856" s="2" t="s">
        <v>10436</v>
      </c>
      <c r="K856" s="2" t="s">
        <v>10437</v>
      </c>
      <c r="L856" s="2" t="s">
        <v>10438</v>
      </c>
      <c r="M856" s="2" t="s">
        <v>10439</v>
      </c>
      <c r="N856" s="2" t="s">
        <v>10440</v>
      </c>
      <c r="O856" s="2" t="s">
        <v>10441</v>
      </c>
      <c r="P856" s="2" t="s">
        <v>10428</v>
      </c>
    </row>
    <row r="857" spans="1:16">
      <c r="A857" s="1">
        <v>856</v>
      </c>
      <c r="B857" s="2" t="s">
        <v>10442</v>
      </c>
      <c r="C857" s="2" t="s">
        <v>10443</v>
      </c>
      <c r="D857" s="2" t="s">
        <v>10444</v>
      </c>
      <c r="E857" s="2" t="s">
        <v>10445</v>
      </c>
      <c r="F857" s="2" t="s">
        <v>10446</v>
      </c>
      <c r="G857" s="2" t="s">
        <v>10447</v>
      </c>
      <c r="H857" s="2" t="s">
        <v>10448</v>
      </c>
      <c r="I857" s="2" t="s">
        <v>10446</v>
      </c>
      <c r="J857" s="2" t="s">
        <v>10449</v>
      </c>
      <c r="K857" s="2" t="s">
        <v>10450</v>
      </c>
      <c r="L857" s="2" t="s">
        <v>10451</v>
      </c>
      <c r="M857" s="2" t="s">
        <v>10442</v>
      </c>
      <c r="N857" s="2" t="s">
        <v>10442</v>
      </c>
      <c r="O857" s="2" t="s">
        <v>10452</v>
      </c>
      <c r="P857" s="2" t="s">
        <v>10442</v>
      </c>
    </row>
    <row r="858" spans="1:16">
      <c r="A858" s="1">
        <v>857</v>
      </c>
      <c r="B858" s="2" t="s">
        <v>10442</v>
      </c>
      <c r="C858" s="2" t="s">
        <v>10454</v>
      </c>
      <c r="D858" s="2" t="s">
        <v>10455</v>
      </c>
      <c r="E858" s="2" t="s">
        <v>10445</v>
      </c>
      <c r="F858" s="2" t="s">
        <v>10456</v>
      </c>
      <c r="G858" s="2" t="s">
        <v>10457</v>
      </c>
      <c r="H858" s="2" t="s">
        <v>10458</v>
      </c>
      <c r="I858" s="2" t="s">
        <v>10456</v>
      </c>
      <c r="J858" s="2" t="s">
        <v>10459</v>
      </c>
      <c r="K858" s="2" t="s">
        <v>10453</v>
      </c>
      <c r="L858" s="2" t="s">
        <v>10460</v>
      </c>
      <c r="M858" s="2" t="s">
        <v>10454</v>
      </c>
      <c r="N858" s="2" t="s">
        <v>10453</v>
      </c>
      <c r="O858" s="2" t="s">
        <v>10461</v>
      </c>
      <c r="P858" s="2" t="s">
        <v>10453</v>
      </c>
    </row>
    <row r="859" spans="1:16">
      <c r="A859" s="1">
        <v>858</v>
      </c>
      <c r="B859" s="2" t="s">
        <v>10442</v>
      </c>
      <c r="C859" s="2" t="s">
        <v>10443</v>
      </c>
      <c r="D859" s="2" t="s">
        <v>10444</v>
      </c>
      <c r="E859" s="2" t="s">
        <v>10445</v>
      </c>
      <c r="F859" s="2" t="s">
        <v>10446</v>
      </c>
      <c r="G859" s="2" t="s">
        <v>10447</v>
      </c>
      <c r="H859" s="2" t="s">
        <v>10448</v>
      </c>
      <c r="I859" s="2" t="s">
        <v>10446</v>
      </c>
      <c r="J859" s="2" t="s">
        <v>10462</v>
      </c>
      <c r="K859" s="2" t="s">
        <v>10463</v>
      </c>
      <c r="L859" s="2" t="s">
        <v>10450</v>
      </c>
      <c r="M859" s="2" t="s">
        <v>10443</v>
      </c>
      <c r="N859" s="2" t="s">
        <v>10442</v>
      </c>
      <c r="O859" s="2" t="s">
        <v>10464</v>
      </c>
      <c r="P859" s="2" t="s">
        <v>10442</v>
      </c>
    </row>
    <row r="860" spans="1:16">
      <c r="A860" s="1">
        <v>859</v>
      </c>
      <c r="B860" s="2" t="s">
        <v>10465</v>
      </c>
      <c r="C860" s="2" t="s">
        <v>10466</v>
      </c>
      <c r="D860" s="2" t="s">
        <v>10467</v>
      </c>
      <c r="E860" s="2" t="s">
        <v>10468</v>
      </c>
      <c r="F860" s="2" t="s">
        <v>10469</v>
      </c>
      <c r="G860" s="2" t="s">
        <v>10470</v>
      </c>
      <c r="H860" s="2" t="s">
        <v>10471</v>
      </c>
      <c r="I860" s="2" t="s">
        <v>10472</v>
      </c>
      <c r="J860" s="2" t="s">
        <v>10473</v>
      </c>
      <c r="K860" s="2" t="s">
        <v>10474</v>
      </c>
      <c r="L860" s="2" t="s">
        <v>10475</v>
      </c>
      <c r="M860" s="2" t="s">
        <v>10476</v>
      </c>
      <c r="N860" s="2" t="s">
        <v>10477</v>
      </c>
      <c r="O860" s="2" t="s">
        <v>10478</v>
      </c>
      <c r="P860" s="2" t="s">
        <v>10465</v>
      </c>
    </row>
    <row r="861" spans="1:16">
      <c r="A861" s="1">
        <v>860</v>
      </c>
      <c r="B861" s="2" t="s">
        <v>10479</v>
      </c>
      <c r="C861" s="2" t="s">
        <v>10480</v>
      </c>
      <c r="D861" s="2" t="s">
        <v>10481</v>
      </c>
      <c r="E861" s="2" t="s">
        <v>10482</v>
      </c>
      <c r="F861" s="2" t="s">
        <v>10483</v>
      </c>
      <c r="G861" s="2" t="s">
        <v>10484</v>
      </c>
      <c r="H861" s="2" t="s">
        <v>10485</v>
      </c>
      <c r="I861" s="2" t="s">
        <v>10486</v>
      </c>
      <c r="J861" s="2" t="s">
        <v>10487</v>
      </c>
      <c r="K861" s="2" t="s">
        <v>10488</v>
      </c>
      <c r="L861" s="2" t="s">
        <v>10489</v>
      </c>
      <c r="M861" s="2" t="s">
        <v>10490</v>
      </c>
      <c r="N861" s="2" t="s">
        <v>10491</v>
      </c>
      <c r="O861" s="2" t="s">
        <v>10492</v>
      </c>
      <c r="P861" s="2" t="s">
        <v>10479</v>
      </c>
    </row>
    <row r="862" spans="1:16">
      <c r="A862" s="1">
        <v>861</v>
      </c>
      <c r="B862" s="2" t="s">
        <v>10493</v>
      </c>
      <c r="C862" s="2" t="s">
        <v>10494</v>
      </c>
      <c r="D862" s="2" t="s">
        <v>8974</v>
      </c>
      <c r="E862" s="2" t="s">
        <v>10495</v>
      </c>
      <c r="F862" s="2" t="s">
        <v>9018</v>
      </c>
      <c r="G862" s="2" t="s">
        <v>10496</v>
      </c>
      <c r="H862" s="2" t="s">
        <v>10497</v>
      </c>
      <c r="I862" s="2" t="s">
        <v>10498</v>
      </c>
      <c r="J862" s="2" t="s">
        <v>10499</v>
      </c>
      <c r="K862" s="2" t="s">
        <v>10500</v>
      </c>
      <c r="L862" s="2" t="s">
        <v>10501</v>
      </c>
      <c r="M862" s="2" t="s">
        <v>10502</v>
      </c>
      <c r="N862" s="2" t="s">
        <v>10503</v>
      </c>
      <c r="O862" s="2" t="s">
        <v>10504</v>
      </c>
      <c r="P862" s="2" t="s">
        <v>10493</v>
      </c>
    </row>
    <row r="863" spans="1:16">
      <c r="A863" s="1">
        <v>862</v>
      </c>
      <c r="B863" s="2" t="s">
        <v>10505</v>
      </c>
      <c r="C863" s="2" t="s">
        <v>10506</v>
      </c>
      <c r="D863" s="2" t="s">
        <v>10507</v>
      </c>
      <c r="E863" s="2" t="s">
        <v>10508</v>
      </c>
      <c r="F863" s="2" t="s">
        <v>10509</v>
      </c>
      <c r="G863" s="2" t="s">
        <v>10510</v>
      </c>
      <c r="H863" s="2" t="s">
        <v>10511</v>
      </c>
      <c r="I863" s="2" t="s">
        <v>10512</v>
      </c>
      <c r="J863" s="2" t="s">
        <v>10513</v>
      </c>
      <c r="K863" s="2" t="s">
        <v>10514</v>
      </c>
      <c r="L863" s="2" t="s">
        <v>10515</v>
      </c>
      <c r="M863" s="2" t="s">
        <v>10516</v>
      </c>
      <c r="N863" s="2" t="s">
        <v>10517</v>
      </c>
      <c r="O863" s="2" t="s">
        <v>10518</v>
      </c>
      <c r="P863" s="2" t="s">
        <v>10505</v>
      </c>
    </row>
    <row r="864" spans="1:16">
      <c r="A864" s="1">
        <v>863</v>
      </c>
      <c r="B864" s="2" t="s">
        <v>10519</v>
      </c>
      <c r="C864" s="2" t="s">
        <v>10520</v>
      </c>
      <c r="D864" s="2" t="s">
        <v>10521</v>
      </c>
      <c r="E864" s="2" t="s">
        <v>10522</v>
      </c>
      <c r="F864" s="2" t="s">
        <v>10523</v>
      </c>
      <c r="G864" s="2" t="s">
        <v>10524</v>
      </c>
      <c r="H864" s="2" t="s">
        <v>10525</v>
      </c>
      <c r="I864" s="2" t="s">
        <v>10526</v>
      </c>
      <c r="J864" s="2" t="s">
        <v>10527</v>
      </c>
      <c r="K864" s="2" t="s">
        <v>10528</v>
      </c>
      <c r="L864" s="2" t="s">
        <v>10529</v>
      </c>
      <c r="M864" s="2" t="s">
        <v>10530</v>
      </c>
      <c r="N864" s="2" t="s">
        <v>10531</v>
      </c>
      <c r="O864" s="2" t="s">
        <v>10532</v>
      </c>
      <c r="P864" s="2" t="s">
        <v>10519</v>
      </c>
    </row>
    <row r="865" spans="1:16">
      <c r="A865" s="1">
        <v>864</v>
      </c>
      <c r="B865" s="2" t="s">
        <v>10533</v>
      </c>
      <c r="C865" s="2" t="s">
        <v>10534</v>
      </c>
      <c r="D865" s="2" t="s">
        <v>10535</v>
      </c>
      <c r="E865" s="2" t="s">
        <v>10536</v>
      </c>
      <c r="F865" s="2" t="s">
        <v>10537</v>
      </c>
      <c r="G865" s="2" t="s">
        <v>10538</v>
      </c>
      <c r="H865" s="2" t="s">
        <v>10539</v>
      </c>
      <c r="I865" s="2" t="s">
        <v>10540</v>
      </c>
      <c r="J865" s="2" t="s">
        <v>10541</v>
      </c>
      <c r="K865" s="2" t="s">
        <v>10542</v>
      </c>
      <c r="L865" s="2" t="s">
        <v>10543</v>
      </c>
      <c r="M865" s="2" t="s">
        <v>10544</v>
      </c>
      <c r="N865" s="2" t="s">
        <v>10545</v>
      </c>
      <c r="O865" s="2" t="s">
        <v>10546</v>
      </c>
      <c r="P865" s="2" t="s">
        <v>10533</v>
      </c>
    </row>
    <row r="866" spans="1:16">
      <c r="A866" s="1">
        <v>865</v>
      </c>
      <c r="B866" s="2" t="s">
        <v>10547</v>
      </c>
      <c r="C866" s="2" t="s">
        <v>10548</v>
      </c>
      <c r="D866" s="2" t="s">
        <v>10549</v>
      </c>
      <c r="E866" s="2" t="s">
        <v>25678</v>
      </c>
      <c r="F866" s="2" t="s">
        <v>10550</v>
      </c>
      <c r="G866" s="2" t="s">
        <v>10551</v>
      </c>
      <c r="H866" s="2" t="s">
        <v>10552</v>
      </c>
      <c r="I866" s="2" t="s">
        <v>10553</v>
      </c>
      <c r="J866" s="2" t="s">
        <v>10554</v>
      </c>
      <c r="K866" s="2" t="s">
        <v>10555</v>
      </c>
      <c r="L866" s="2" t="s">
        <v>10556</v>
      </c>
      <c r="M866" s="2" t="s">
        <v>10557</v>
      </c>
      <c r="N866" s="2" t="s">
        <v>10558</v>
      </c>
      <c r="O866" s="2" t="s">
        <v>10559</v>
      </c>
      <c r="P866" s="2" t="s">
        <v>10547</v>
      </c>
    </row>
    <row r="867" spans="1:16">
      <c r="A867" s="1">
        <v>866</v>
      </c>
      <c r="B867" s="2" t="s">
        <v>10560</v>
      </c>
      <c r="C867" s="2" t="s">
        <v>10561</v>
      </c>
      <c r="D867" s="2" t="s">
        <v>10562</v>
      </c>
      <c r="E867" s="2" t="s">
        <v>25679</v>
      </c>
      <c r="F867" s="2" t="s">
        <v>10563</v>
      </c>
      <c r="G867" s="2" t="s">
        <v>10564</v>
      </c>
      <c r="H867" s="2" t="s">
        <v>10565</v>
      </c>
      <c r="I867" s="2" t="s">
        <v>10566</v>
      </c>
      <c r="J867" s="2" t="s">
        <v>10567</v>
      </c>
      <c r="K867" s="2" t="s">
        <v>10568</v>
      </c>
      <c r="L867" s="2" t="s">
        <v>10569</v>
      </c>
      <c r="M867" s="2" t="s">
        <v>10570</v>
      </c>
      <c r="N867" s="2" t="s">
        <v>10571</v>
      </c>
      <c r="O867" s="2" t="s">
        <v>10572</v>
      </c>
      <c r="P867" s="2" t="s">
        <v>10560</v>
      </c>
    </row>
    <row r="868" spans="1:16">
      <c r="A868" s="1">
        <v>867</v>
      </c>
      <c r="B868" s="2" t="s">
        <v>10573</v>
      </c>
      <c r="C868" s="2" t="s">
        <v>10574</v>
      </c>
      <c r="D868" s="2" t="s">
        <v>10575</v>
      </c>
      <c r="E868" s="2" t="s">
        <v>25680</v>
      </c>
      <c r="F868" s="2" t="s">
        <v>10576</v>
      </c>
      <c r="G868" s="2" t="s">
        <v>10577</v>
      </c>
      <c r="H868" s="2" t="s">
        <v>10578</v>
      </c>
      <c r="I868" s="2" t="s">
        <v>10579</v>
      </c>
      <c r="J868" s="2" t="s">
        <v>10580</v>
      </c>
      <c r="K868" s="2" t="s">
        <v>10581</v>
      </c>
      <c r="L868" s="2" t="s">
        <v>10582</v>
      </c>
      <c r="M868" s="2" t="s">
        <v>10583</v>
      </c>
      <c r="N868" s="2" t="s">
        <v>10584</v>
      </c>
      <c r="O868" s="2" t="s">
        <v>10585</v>
      </c>
      <c r="P868" s="2" t="s">
        <v>10573</v>
      </c>
    </row>
    <row r="869" spans="1:16">
      <c r="A869" s="1">
        <v>868</v>
      </c>
      <c r="B869" s="2" t="s">
        <v>10614</v>
      </c>
      <c r="C869" s="2" t="s">
        <v>10615</v>
      </c>
      <c r="D869" s="2" t="s">
        <v>10616</v>
      </c>
      <c r="E869" s="2" t="s">
        <v>22830</v>
      </c>
      <c r="F869" s="2" t="s">
        <v>22831</v>
      </c>
      <c r="G869" s="2" t="s">
        <v>10618</v>
      </c>
      <c r="H869" s="2" t="s">
        <v>10619</v>
      </c>
      <c r="I869" s="2" t="s">
        <v>22832</v>
      </c>
      <c r="J869" s="2" t="s">
        <v>22833</v>
      </c>
      <c r="K869" s="2" t="s">
        <v>10622</v>
      </c>
      <c r="L869" s="2" t="s">
        <v>10623</v>
      </c>
      <c r="M869" s="2" t="s">
        <v>22834</v>
      </c>
      <c r="N869" s="2" t="s">
        <v>22835</v>
      </c>
      <c r="O869" s="2" t="s">
        <v>10625</v>
      </c>
      <c r="P869" s="2" t="s">
        <v>10614</v>
      </c>
    </row>
    <row r="870" spans="1:16">
      <c r="A870" s="1">
        <v>869</v>
      </c>
      <c r="B870" s="2" t="s">
        <v>10586</v>
      </c>
      <c r="C870" s="2" t="s">
        <v>10587</v>
      </c>
      <c r="D870" s="2" t="s">
        <v>10588</v>
      </c>
      <c r="E870" s="2" t="s">
        <v>10589</v>
      </c>
      <c r="F870" s="2" t="s">
        <v>10590</v>
      </c>
      <c r="G870" s="2" t="s">
        <v>10591</v>
      </c>
      <c r="H870" s="2" t="s">
        <v>10592</v>
      </c>
      <c r="I870" s="2" t="s">
        <v>10593</v>
      </c>
      <c r="J870" s="2" t="s">
        <v>10594</v>
      </c>
      <c r="K870" s="2" t="s">
        <v>10595</v>
      </c>
      <c r="L870" s="2" t="s">
        <v>10596</v>
      </c>
      <c r="M870" s="2" t="s">
        <v>10597</v>
      </c>
      <c r="N870" s="2" t="s">
        <v>10598</v>
      </c>
      <c r="O870" s="2" t="s">
        <v>10599</v>
      </c>
      <c r="P870" s="2" t="s">
        <v>10586</v>
      </c>
    </row>
    <row r="871" spans="1:16">
      <c r="A871" s="1">
        <v>870</v>
      </c>
      <c r="B871" s="2" t="s">
        <v>10600</v>
      </c>
      <c r="C871" s="2" t="s">
        <v>10601</v>
      </c>
      <c r="D871" s="2" t="s">
        <v>10602</v>
      </c>
      <c r="E871" s="2" t="s">
        <v>10603</v>
      </c>
      <c r="F871" s="2" t="s">
        <v>10604</v>
      </c>
      <c r="G871" s="2" t="s">
        <v>10605</v>
      </c>
      <c r="H871" s="2" t="s">
        <v>10606</v>
      </c>
      <c r="I871" s="2" t="s">
        <v>10607</v>
      </c>
      <c r="J871" s="2" t="s">
        <v>10608</v>
      </c>
      <c r="K871" s="2" t="s">
        <v>10609</v>
      </c>
      <c r="L871" s="2" t="s">
        <v>10610</v>
      </c>
      <c r="M871" s="2" t="s">
        <v>10611</v>
      </c>
      <c r="N871" s="2" t="s">
        <v>10612</v>
      </c>
      <c r="O871" s="2" t="s">
        <v>10613</v>
      </c>
      <c r="P871" s="2" t="s">
        <v>10600</v>
      </c>
    </row>
    <row r="872" spans="1:16">
      <c r="A872" s="1">
        <v>871</v>
      </c>
      <c r="B872" s="2" t="s">
        <v>10614</v>
      </c>
      <c r="C872" s="2" t="s">
        <v>10615</v>
      </c>
      <c r="D872" s="2" t="s">
        <v>10616</v>
      </c>
      <c r="E872" s="2" t="s">
        <v>22830</v>
      </c>
      <c r="F872" s="2" t="s">
        <v>10617</v>
      </c>
      <c r="G872" s="2" t="s">
        <v>10618</v>
      </c>
      <c r="H872" s="2" t="s">
        <v>10619</v>
      </c>
      <c r="I872" s="2" t="s">
        <v>10620</v>
      </c>
      <c r="J872" s="2" t="s">
        <v>10621</v>
      </c>
      <c r="K872" s="2" t="s">
        <v>10622</v>
      </c>
      <c r="L872" s="2" t="s">
        <v>10623</v>
      </c>
      <c r="M872" s="2" t="s">
        <v>10623</v>
      </c>
      <c r="N872" s="2" t="s">
        <v>10624</v>
      </c>
      <c r="O872" s="2" t="s">
        <v>10625</v>
      </c>
      <c r="P872" s="2" t="s">
        <v>10614</v>
      </c>
    </row>
    <row r="873" spans="1:16">
      <c r="A873" s="1">
        <v>872</v>
      </c>
      <c r="B873" s="2" t="s">
        <v>10626</v>
      </c>
      <c r="C873" s="2" t="s">
        <v>24967</v>
      </c>
      <c r="D873" s="2" t="s">
        <v>10627</v>
      </c>
      <c r="E873" s="2" t="s">
        <v>10628</v>
      </c>
      <c r="F873" s="2" t="s">
        <v>10629</v>
      </c>
      <c r="G873" s="2" t="s">
        <v>10630</v>
      </c>
      <c r="H873" s="2" t="s">
        <v>10631</v>
      </c>
      <c r="I873" s="2" t="s">
        <v>10632</v>
      </c>
      <c r="J873" s="2" t="s">
        <v>10633</v>
      </c>
      <c r="K873" s="2" t="s">
        <v>10634</v>
      </c>
      <c r="L873" s="2" t="s">
        <v>10635</v>
      </c>
      <c r="M873" s="2" t="s">
        <v>10636</v>
      </c>
      <c r="N873" s="2" t="s">
        <v>10637</v>
      </c>
      <c r="O873" s="2" t="s">
        <v>10638</v>
      </c>
      <c r="P873" s="2" t="s">
        <v>10626</v>
      </c>
    </row>
    <row r="874" spans="1:16">
      <c r="A874" s="1">
        <v>873</v>
      </c>
      <c r="B874" s="2" t="s">
        <v>10639</v>
      </c>
      <c r="C874" s="2" t="s">
        <v>24968</v>
      </c>
      <c r="D874" s="2" t="s">
        <v>10640</v>
      </c>
      <c r="E874" s="2" t="s">
        <v>25681</v>
      </c>
      <c r="F874" s="2" t="s">
        <v>10641</v>
      </c>
      <c r="G874" s="2" t="s">
        <v>10642</v>
      </c>
      <c r="H874" s="2" t="s">
        <v>10643</v>
      </c>
      <c r="I874" s="2" t="s">
        <v>10644</v>
      </c>
      <c r="J874" s="2" t="s">
        <v>10645</v>
      </c>
      <c r="K874" s="2" t="s">
        <v>10646</v>
      </c>
      <c r="L874" s="2" t="s">
        <v>10647</v>
      </c>
      <c r="M874" s="2" t="s">
        <v>10648</v>
      </c>
      <c r="N874" s="2" t="s">
        <v>10649</v>
      </c>
      <c r="O874" s="2" t="s">
        <v>10650</v>
      </c>
      <c r="P874" s="2" t="s">
        <v>10639</v>
      </c>
    </row>
    <row r="875" spans="1:16">
      <c r="A875" s="1">
        <v>874</v>
      </c>
      <c r="B875" s="2" t="s">
        <v>10651</v>
      </c>
      <c r="C875" s="2" t="s">
        <v>10652</v>
      </c>
      <c r="D875" s="2" t="s">
        <v>10653</v>
      </c>
      <c r="E875" s="2" t="s">
        <v>10654</v>
      </c>
      <c r="F875" s="2" t="s">
        <v>10655</v>
      </c>
      <c r="G875" s="2" t="s">
        <v>10656</v>
      </c>
      <c r="H875" s="2" t="s">
        <v>10657</v>
      </c>
      <c r="I875" s="2" t="s">
        <v>22836</v>
      </c>
      <c r="J875" s="2" t="s">
        <v>10658</v>
      </c>
      <c r="K875" s="2" t="s">
        <v>10659</v>
      </c>
      <c r="L875" s="2" t="s">
        <v>10660</v>
      </c>
      <c r="M875" s="2" t="s">
        <v>10661</v>
      </c>
      <c r="N875" s="2" t="s">
        <v>10662</v>
      </c>
      <c r="O875" s="2" t="s">
        <v>10663</v>
      </c>
      <c r="P875" s="2" t="s">
        <v>10651</v>
      </c>
    </row>
    <row r="876" spans="1:16">
      <c r="A876" s="1">
        <v>875</v>
      </c>
      <c r="B876" s="2" t="s">
        <v>10664</v>
      </c>
      <c r="C876" s="2" t="s">
        <v>10665</v>
      </c>
      <c r="D876" s="2" t="s">
        <v>10666</v>
      </c>
      <c r="E876" s="2" t="s">
        <v>10667</v>
      </c>
      <c r="F876" s="2" t="s">
        <v>10668</v>
      </c>
      <c r="G876" s="2" t="s">
        <v>10669</v>
      </c>
      <c r="H876" s="2" t="s">
        <v>10670</v>
      </c>
      <c r="I876" s="2" t="s">
        <v>10671</v>
      </c>
      <c r="J876" s="2" t="s">
        <v>10672</v>
      </c>
      <c r="K876" s="2" t="s">
        <v>10673</v>
      </c>
      <c r="L876" s="2" t="s">
        <v>10674</v>
      </c>
      <c r="M876" s="2" t="s">
        <v>10675</v>
      </c>
      <c r="N876" s="2" t="s">
        <v>10676</v>
      </c>
      <c r="O876" s="2" t="s">
        <v>10677</v>
      </c>
      <c r="P876" s="2" t="s">
        <v>10664</v>
      </c>
    </row>
    <row r="877" spans="1:16">
      <c r="A877" s="1">
        <v>876</v>
      </c>
      <c r="B877" s="2" t="s">
        <v>10678</v>
      </c>
      <c r="C877" s="2" t="s">
        <v>10679</v>
      </c>
      <c r="D877" s="2" t="s">
        <v>10680</v>
      </c>
      <c r="E877" s="2" t="s">
        <v>10681</v>
      </c>
      <c r="F877" s="2" t="s">
        <v>10682</v>
      </c>
      <c r="G877" s="2" t="s">
        <v>10683</v>
      </c>
      <c r="H877" s="2" t="s">
        <v>10684</v>
      </c>
      <c r="I877" s="2" t="s">
        <v>10685</v>
      </c>
      <c r="J877" s="2" t="s">
        <v>10686</v>
      </c>
      <c r="K877" s="2" t="s">
        <v>10687</v>
      </c>
      <c r="L877" s="2" t="s">
        <v>10688</v>
      </c>
      <c r="M877" s="2" t="s">
        <v>10689</v>
      </c>
      <c r="N877" s="2" t="s">
        <v>10690</v>
      </c>
      <c r="O877" s="2" t="s">
        <v>10691</v>
      </c>
      <c r="P877" s="2" t="s">
        <v>10678</v>
      </c>
    </row>
    <row r="878" spans="1:16">
      <c r="A878" s="1">
        <v>877</v>
      </c>
      <c r="B878" s="2" t="s">
        <v>10692</v>
      </c>
      <c r="C878" s="2" t="s">
        <v>10693</v>
      </c>
      <c r="D878" s="2" t="s">
        <v>10694</v>
      </c>
      <c r="E878" s="2" t="s">
        <v>10695</v>
      </c>
      <c r="F878" s="2" t="s">
        <v>10696</v>
      </c>
      <c r="G878" s="2" t="s">
        <v>10697</v>
      </c>
      <c r="H878" s="2" t="s">
        <v>10698</v>
      </c>
      <c r="I878" s="2" t="s">
        <v>10699</v>
      </c>
      <c r="J878" s="2" t="s">
        <v>10700</v>
      </c>
      <c r="K878" s="2" t="s">
        <v>10701</v>
      </c>
      <c r="L878" s="2" t="s">
        <v>10702</v>
      </c>
      <c r="M878" s="2" t="s">
        <v>10703</v>
      </c>
      <c r="N878" s="2" t="s">
        <v>10704</v>
      </c>
      <c r="O878" s="2" t="s">
        <v>10705</v>
      </c>
      <c r="P878" s="2" t="s">
        <v>10692</v>
      </c>
    </row>
    <row r="879" spans="1:16">
      <c r="A879" s="1">
        <v>878</v>
      </c>
      <c r="B879" s="2" t="s">
        <v>10706</v>
      </c>
      <c r="C879" s="2" t="s">
        <v>10707</v>
      </c>
      <c r="D879" s="2" t="s">
        <v>10707</v>
      </c>
      <c r="E879" s="2" t="s">
        <v>10708</v>
      </c>
      <c r="F879" s="2" t="s">
        <v>10709</v>
      </c>
      <c r="G879" s="2" t="s">
        <v>10710</v>
      </c>
      <c r="H879" s="2" t="s">
        <v>10711</v>
      </c>
      <c r="I879" s="2" t="s">
        <v>10712</v>
      </c>
      <c r="J879" s="2" t="s">
        <v>10713</v>
      </c>
      <c r="K879" s="2" t="s">
        <v>10714</v>
      </c>
      <c r="L879" s="2" t="s">
        <v>10715</v>
      </c>
      <c r="M879" s="2" t="s">
        <v>10716</v>
      </c>
      <c r="N879" s="2" t="s">
        <v>10706</v>
      </c>
      <c r="O879" s="2" t="s">
        <v>10717</v>
      </c>
      <c r="P879" s="2" t="s">
        <v>10706</v>
      </c>
    </row>
    <row r="880" spans="1:16">
      <c r="A880" s="1">
        <v>879</v>
      </c>
      <c r="B880" s="2" t="s">
        <v>10718</v>
      </c>
      <c r="C880" s="2" t="s">
        <v>10719</v>
      </c>
      <c r="D880" s="2" t="s">
        <v>10720</v>
      </c>
      <c r="E880" s="2" t="s">
        <v>10721</v>
      </c>
      <c r="F880" s="2" t="s">
        <v>10722</v>
      </c>
      <c r="G880" s="2" t="s">
        <v>10723</v>
      </c>
      <c r="H880" s="2" t="s">
        <v>10724</v>
      </c>
      <c r="I880" s="2" t="s">
        <v>10725</v>
      </c>
      <c r="J880" s="2" t="s">
        <v>10726</v>
      </c>
      <c r="K880" s="2" t="s">
        <v>10727</v>
      </c>
      <c r="L880" s="2" t="s">
        <v>10728</v>
      </c>
      <c r="M880" s="2" t="s">
        <v>10729</v>
      </c>
      <c r="N880" s="2" t="s">
        <v>10730</v>
      </c>
      <c r="O880" s="2" t="s">
        <v>10731</v>
      </c>
      <c r="P880" s="2" t="s">
        <v>10718</v>
      </c>
    </row>
    <row r="881" spans="1:16">
      <c r="A881" s="1">
        <v>880</v>
      </c>
      <c r="B881" s="2" t="s">
        <v>10732</v>
      </c>
      <c r="C881" s="2" t="s">
        <v>10733</v>
      </c>
      <c r="D881" s="2" t="s">
        <v>10734</v>
      </c>
      <c r="E881" s="2" t="s">
        <v>10735</v>
      </c>
      <c r="F881" s="2" t="s">
        <v>10736</v>
      </c>
      <c r="G881" s="2" t="s">
        <v>10737</v>
      </c>
      <c r="H881" s="2" t="s">
        <v>10738</v>
      </c>
      <c r="I881" s="2" t="s">
        <v>10739</v>
      </c>
      <c r="J881" s="2" t="s">
        <v>10740</v>
      </c>
      <c r="K881" s="2" t="s">
        <v>10741</v>
      </c>
      <c r="L881" s="2" t="s">
        <v>10742</v>
      </c>
      <c r="M881" s="2" t="s">
        <v>10743</v>
      </c>
      <c r="N881" s="2" t="s">
        <v>10744</v>
      </c>
      <c r="O881" s="2" t="s">
        <v>10745</v>
      </c>
      <c r="P881" s="2" t="s">
        <v>10732</v>
      </c>
    </row>
    <row r="882" spans="1:16">
      <c r="A882" s="1">
        <v>881</v>
      </c>
      <c r="B882" s="2" t="s">
        <v>10746</v>
      </c>
      <c r="C882" s="2" t="s">
        <v>10747</v>
      </c>
      <c r="D882" s="2" t="s">
        <v>10748</v>
      </c>
      <c r="E882" s="2" t="s">
        <v>10749</v>
      </c>
      <c r="F882" s="2" t="s">
        <v>10750</v>
      </c>
      <c r="G882" s="2" t="s">
        <v>10751</v>
      </c>
      <c r="H882" s="2" t="s">
        <v>10752</v>
      </c>
      <c r="I882" s="2" t="s">
        <v>10753</v>
      </c>
      <c r="J882" s="2" t="s">
        <v>10754</v>
      </c>
      <c r="K882" s="2" t="s">
        <v>10755</v>
      </c>
      <c r="L882" s="2" t="s">
        <v>10756</v>
      </c>
      <c r="M882" s="2" t="s">
        <v>10757</v>
      </c>
      <c r="N882" s="2" t="s">
        <v>10758</v>
      </c>
      <c r="O882" s="2" t="s">
        <v>10759</v>
      </c>
      <c r="P882" s="2" t="s">
        <v>10746</v>
      </c>
    </row>
    <row r="883" spans="1:16">
      <c r="A883" s="1">
        <v>882</v>
      </c>
      <c r="B883" s="2" t="s">
        <v>10760</v>
      </c>
      <c r="C883" s="2" t="s">
        <v>10761</v>
      </c>
      <c r="D883" s="2" t="s">
        <v>10762</v>
      </c>
      <c r="E883" s="2" t="s">
        <v>10763</v>
      </c>
      <c r="F883" s="2" t="s">
        <v>10764</v>
      </c>
      <c r="G883" s="2" t="s">
        <v>10765</v>
      </c>
      <c r="H883" s="2" t="s">
        <v>10766</v>
      </c>
      <c r="I883" s="2" t="s">
        <v>10767</v>
      </c>
      <c r="J883" s="2" t="s">
        <v>10768</v>
      </c>
      <c r="K883" s="2" t="s">
        <v>10769</v>
      </c>
      <c r="L883" s="2" t="s">
        <v>10770</v>
      </c>
      <c r="M883" s="2" t="s">
        <v>10771</v>
      </c>
      <c r="N883" s="2" t="s">
        <v>10772</v>
      </c>
      <c r="O883" s="2" t="s">
        <v>10773</v>
      </c>
      <c r="P883" s="2" t="s">
        <v>10760</v>
      </c>
    </row>
    <row r="884" spans="1:16">
      <c r="A884" s="1">
        <v>883</v>
      </c>
      <c r="B884" s="2" t="s">
        <v>10774</v>
      </c>
      <c r="C884" s="2" t="s">
        <v>10775</v>
      </c>
      <c r="D884" s="2" t="s">
        <v>10776</v>
      </c>
      <c r="E884" s="2" t="s">
        <v>10777</v>
      </c>
      <c r="F884" s="2" t="s">
        <v>10778</v>
      </c>
      <c r="G884" s="2" t="s">
        <v>10779</v>
      </c>
      <c r="H884" s="2" t="s">
        <v>10780</v>
      </c>
      <c r="I884" s="2" t="s">
        <v>10781</v>
      </c>
      <c r="J884" s="2" t="s">
        <v>10782</v>
      </c>
      <c r="K884" s="2" t="s">
        <v>10783</v>
      </c>
      <c r="L884" s="2" t="s">
        <v>10784</v>
      </c>
      <c r="M884" s="2" t="s">
        <v>10785</v>
      </c>
      <c r="N884" s="2" t="s">
        <v>10786</v>
      </c>
      <c r="O884" s="2" t="s">
        <v>10787</v>
      </c>
      <c r="P884" s="2" t="s">
        <v>10774</v>
      </c>
    </row>
    <row r="885" spans="1:16">
      <c r="A885" s="1">
        <v>884</v>
      </c>
      <c r="B885" s="2" t="s">
        <v>10788</v>
      </c>
      <c r="C885" s="2" t="s">
        <v>10789</v>
      </c>
      <c r="D885" s="2" t="s">
        <v>10790</v>
      </c>
      <c r="E885" s="2" t="s">
        <v>10791</v>
      </c>
      <c r="F885" s="2" t="s">
        <v>10792</v>
      </c>
      <c r="G885" s="2" t="s">
        <v>10793</v>
      </c>
      <c r="H885" s="2" t="s">
        <v>10794</v>
      </c>
      <c r="I885" s="2" t="s">
        <v>10793</v>
      </c>
      <c r="J885" s="2" t="s">
        <v>10795</v>
      </c>
      <c r="K885" s="2" t="s">
        <v>10796</v>
      </c>
      <c r="L885" s="2" t="s">
        <v>10797</v>
      </c>
      <c r="M885" s="2" t="s">
        <v>10798</v>
      </c>
      <c r="N885" s="2" t="s">
        <v>10799</v>
      </c>
      <c r="O885" s="2" t="s">
        <v>10793</v>
      </c>
      <c r="P885" s="2" t="s">
        <v>10788</v>
      </c>
    </row>
    <row r="886" spans="1:16">
      <c r="A886" s="1">
        <v>885</v>
      </c>
      <c r="B886" s="2" t="s">
        <v>10800</v>
      </c>
      <c r="C886" s="2" t="s">
        <v>10801</v>
      </c>
      <c r="D886" s="2" t="s">
        <v>10802</v>
      </c>
      <c r="E886" s="2" t="s">
        <v>25682</v>
      </c>
      <c r="F886" s="2" t="s">
        <v>10803</v>
      </c>
      <c r="G886" s="2" t="s">
        <v>10804</v>
      </c>
      <c r="H886" s="2" t="s">
        <v>10805</v>
      </c>
      <c r="I886" s="2" t="s">
        <v>10806</v>
      </c>
      <c r="J886" s="2" t="s">
        <v>10807</v>
      </c>
      <c r="K886" s="2" t="s">
        <v>10808</v>
      </c>
      <c r="L886" s="2" t="s">
        <v>10809</v>
      </c>
      <c r="M886" s="2" t="s">
        <v>10810</v>
      </c>
      <c r="N886" s="2" t="s">
        <v>10800</v>
      </c>
      <c r="O886" s="2" t="s">
        <v>10811</v>
      </c>
      <c r="P886" s="2" t="s">
        <v>10800</v>
      </c>
    </row>
    <row r="887" spans="1:16">
      <c r="A887" s="1">
        <v>886</v>
      </c>
      <c r="B887" s="2" t="s">
        <v>10812</v>
      </c>
      <c r="C887" s="2" t="s">
        <v>10813</v>
      </c>
      <c r="D887" s="2" t="s">
        <v>10812</v>
      </c>
      <c r="E887" s="2" t="s">
        <v>10814</v>
      </c>
      <c r="F887" s="2" t="s">
        <v>10812</v>
      </c>
      <c r="G887" s="2" t="s">
        <v>10813</v>
      </c>
      <c r="H887" s="2" t="s">
        <v>10815</v>
      </c>
      <c r="I887" s="2" t="s">
        <v>10812</v>
      </c>
      <c r="J887" s="2" t="s">
        <v>10813</v>
      </c>
      <c r="K887" s="2" t="s">
        <v>10813</v>
      </c>
      <c r="L887" s="2" t="s">
        <v>10816</v>
      </c>
      <c r="M887" s="2" t="s">
        <v>10813</v>
      </c>
      <c r="N887" s="2" t="s">
        <v>10813</v>
      </c>
      <c r="O887" s="2" t="s">
        <v>10813</v>
      </c>
      <c r="P887" s="2" t="s">
        <v>10812</v>
      </c>
    </row>
    <row r="888" spans="1:16">
      <c r="A888" s="1">
        <v>887</v>
      </c>
      <c r="B888" s="2" t="s">
        <v>10817</v>
      </c>
      <c r="C888" s="2" t="s">
        <v>10818</v>
      </c>
      <c r="D888" s="2" t="s">
        <v>10819</v>
      </c>
      <c r="E888" s="2" t="s">
        <v>10820</v>
      </c>
      <c r="F888" s="2" t="s">
        <v>10821</v>
      </c>
      <c r="G888" s="2" t="s">
        <v>10822</v>
      </c>
      <c r="H888" s="2" t="s">
        <v>10823</v>
      </c>
      <c r="I888" s="2" t="s">
        <v>10824</v>
      </c>
      <c r="J888" s="2" t="s">
        <v>10825</v>
      </c>
      <c r="K888" s="2" t="s">
        <v>10826</v>
      </c>
      <c r="L888" s="2" t="s">
        <v>10827</v>
      </c>
      <c r="M888" s="2" t="s">
        <v>10828</v>
      </c>
      <c r="N888" s="2" t="s">
        <v>10829</v>
      </c>
      <c r="O888" s="2" t="s">
        <v>10830</v>
      </c>
      <c r="P888" s="2" t="s">
        <v>10817</v>
      </c>
    </row>
    <row r="889" spans="1:16">
      <c r="A889" s="1">
        <v>888</v>
      </c>
      <c r="B889" s="2" t="s">
        <v>10831</v>
      </c>
      <c r="C889" s="2" t="s">
        <v>10832</v>
      </c>
      <c r="D889" s="2" t="s">
        <v>10833</v>
      </c>
      <c r="E889" s="2" t="s">
        <v>10834</v>
      </c>
      <c r="F889" s="2" t="s">
        <v>10835</v>
      </c>
      <c r="G889" s="2" t="s">
        <v>10836</v>
      </c>
      <c r="H889" s="2" t="s">
        <v>10837</v>
      </c>
      <c r="I889" s="2" t="s">
        <v>10838</v>
      </c>
      <c r="J889" s="2" t="s">
        <v>10839</v>
      </c>
      <c r="K889" s="2" t="s">
        <v>10840</v>
      </c>
      <c r="L889" s="2" t="s">
        <v>10841</v>
      </c>
      <c r="M889" s="2" t="s">
        <v>10842</v>
      </c>
      <c r="N889" s="2" t="s">
        <v>10842</v>
      </c>
      <c r="O889" s="2" t="s">
        <v>10843</v>
      </c>
      <c r="P889" s="2" t="s">
        <v>10831</v>
      </c>
    </row>
    <row r="890" spans="1:16">
      <c r="A890" s="1">
        <v>889</v>
      </c>
      <c r="B890" s="2" t="s">
        <v>10844</v>
      </c>
      <c r="C890" s="2" t="s">
        <v>10832</v>
      </c>
      <c r="D890" s="2" t="s">
        <v>10833</v>
      </c>
      <c r="E890" s="2" t="s">
        <v>10845</v>
      </c>
      <c r="F890" s="2" t="s">
        <v>10846</v>
      </c>
      <c r="G890" s="2" t="s">
        <v>10847</v>
      </c>
      <c r="H890" s="2" t="s">
        <v>10848</v>
      </c>
      <c r="I890" s="2" t="s">
        <v>10849</v>
      </c>
      <c r="J890" s="2" t="s">
        <v>10850</v>
      </c>
      <c r="K890" s="2" t="s">
        <v>10851</v>
      </c>
      <c r="L890" s="2" t="s">
        <v>10852</v>
      </c>
      <c r="M890" s="2" t="s">
        <v>10853</v>
      </c>
      <c r="N890" s="2" t="s">
        <v>10853</v>
      </c>
      <c r="O890" s="2" t="s">
        <v>10854</v>
      </c>
      <c r="P890" s="2" t="s">
        <v>10844</v>
      </c>
    </row>
    <row r="891" spans="1:16">
      <c r="A891" s="1">
        <v>890</v>
      </c>
      <c r="B891" s="2" t="s">
        <v>10855</v>
      </c>
      <c r="C891" s="2" t="s">
        <v>10856</v>
      </c>
      <c r="D891" s="2" t="s">
        <v>10857</v>
      </c>
      <c r="E891" s="2" t="s">
        <v>10858</v>
      </c>
      <c r="F891" s="2" t="s">
        <v>10859</v>
      </c>
      <c r="G891" s="2" t="s">
        <v>10860</v>
      </c>
      <c r="H891" s="2" t="s">
        <v>10861</v>
      </c>
      <c r="I891" s="2" t="s">
        <v>10862</v>
      </c>
      <c r="J891" s="2" t="s">
        <v>10863</v>
      </c>
      <c r="K891" s="2" t="s">
        <v>10864</v>
      </c>
      <c r="L891" s="2" t="s">
        <v>10865</v>
      </c>
      <c r="M891" s="2" t="s">
        <v>10866</v>
      </c>
      <c r="N891" s="2" t="s">
        <v>10867</v>
      </c>
      <c r="O891" s="2" t="s">
        <v>10868</v>
      </c>
      <c r="P891" s="2" t="s">
        <v>10855</v>
      </c>
    </row>
    <row r="892" spans="1:16">
      <c r="A892" s="1">
        <v>891</v>
      </c>
      <c r="B892" s="2" t="s">
        <v>10869</v>
      </c>
      <c r="C892" s="2" t="s">
        <v>9357</v>
      </c>
      <c r="D892" s="2" t="s">
        <v>9550</v>
      </c>
      <c r="E892" s="2" t="s">
        <v>10870</v>
      </c>
      <c r="F892" s="2" t="s">
        <v>9363</v>
      </c>
      <c r="G892" s="2" t="s">
        <v>10871</v>
      </c>
      <c r="H892" s="2" t="s">
        <v>10872</v>
      </c>
      <c r="I892" s="2" t="s">
        <v>9363</v>
      </c>
      <c r="J892" s="2" t="s">
        <v>10873</v>
      </c>
      <c r="K892" s="2" t="s">
        <v>10874</v>
      </c>
      <c r="L892" s="2" t="s">
        <v>10875</v>
      </c>
      <c r="M892" s="2" t="s">
        <v>10876</v>
      </c>
      <c r="N892" s="2" t="s">
        <v>10877</v>
      </c>
      <c r="O892" s="2" t="s">
        <v>1400</v>
      </c>
      <c r="P892" s="2" t="s">
        <v>10869</v>
      </c>
    </row>
    <row r="893" spans="1:16">
      <c r="A893" s="1">
        <v>892</v>
      </c>
      <c r="B893" s="2" t="s">
        <v>10878</v>
      </c>
      <c r="C893" s="2" t="s">
        <v>10879</v>
      </c>
      <c r="D893" s="2" t="s">
        <v>10880</v>
      </c>
      <c r="E893" s="2" t="s">
        <v>10881</v>
      </c>
      <c r="F893" s="2" t="s">
        <v>10882</v>
      </c>
      <c r="G893" s="2" t="s">
        <v>10883</v>
      </c>
      <c r="H893" s="2" t="s">
        <v>10884</v>
      </c>
      <c r="I893" s="2" t="s">
        <v>10885</v>
      </c>
      <c r="J893" s="2" t="s">
        <v>10886</v>
      </c>
      <c r="K893" s="2" t="s">
        <v>10887</v>
      </c>
      <c r="L893" s="2" t="s">
        <v>10888</v>
      </c>
      <c r="M893" s="2" t="s">
        <v>10889</v>
      </c>
      <c r="N893" s="2" t="s">
        <v>10890</v>
      </c>
      <c r="O893" s="2" t="s">
        <v>10891</v>
      </c>
      <c r="P893" s="2" t="s">
        <v>10878</v>
      </c>
    </row>
    <row r="894" spans="1:16">
      <c r="A894" s="1">
        <v>893</v>
      </c>
      <c r="B894" s="2" t="s">
        <v>10892</v>
      </c>
      <c r="C894" s="2" t="s">
        <v>10893</v>
      </c>
      <c r="D894" s="2" t="s">
        <v>10894</v>
      </c>
      <c r="E894" s="2" t="s">
        <v>10895</v>
      </c>
      <c r="F894" s="2" t="s">
        <v>10896</v>
      </c>
      <c r="G894" s="2" t="s">
        <v>10897</v>
      </c>
      <c r="H894" s="2" t="s">
        <v>10898</v>
      </c>
      <c r="I894" s="2" t="s">
        <v>10899</v>
      </c>
      <c r="J894" s="2" t="s">
        <v>10900</v>
      </c>
      <c r="K894" s="2" t="s">
        <v>10901</v>
      </c>
      <c r="L894" s="2" t="s">
        <v>10902</v>
      </c>
      <c r="M894" s="2" t="s">
        <v>10903</v>
      </c>
      <c r="N894" s="2" t="s">
        <v>10904</v>
      </c>
      <c r="O894" s="2" t="s">
        <v>10905</v>
      </c>
      <c r="P894" s="2" t="s">
        <v>10892</v>
      </c>
    </row>
    <row r="895" spans="1:16">
      <c r="A895" s="1">
        <v>894</v>
      </c>
      <c r="B895" s="2" t="s">
        <v>10906</v>
      </c>
      <c r="C895" s="2" t="s">
        <v>10906</v>
      </c>
      <c r="D895" s="2" t="s">
        <v>10906</v>
      </c>
      <c r="E895" s="2" t="s">
        <v>10906</v>
      </c>
      <c r="F895" s="2" t="s">
        <v>10906</v>
      </c>
      <c r="G895" s="2" t="s">
        <v>10906</v>
      </c>
      <c r="H895" s="2" t="s">
        <v>10906</v>
      </c>
      <c r="I895" s="2" t="s">
        <v>10906</v>
      </c>
      <c r="J895" s="2" t="s">
        <v>10906</v>
      </c>
      <c r="K895" s="2" t="s">
        <v>10906</v>
      </c>
      <c r="L895" s="2" t="s">
        <v>10906</v>
      </c>
      <c r="M895" s="2" t="s">
        <v>10906</v>
      </c>
      <c r="N895" s="2" t="s">
        <v>10906</v>
      </c>
      <c r="O895" s="2" t="s">
        <v>10906</v>
      </c>
      <c r="P895" s="2" t="s">
        <v>10906</v>
      </c>
    </row>
    <row r="896" spans="1:16">
      <c r="A896" s="1">
        <v>895</v>
      </c>
      <c r="B896" s="2" t="s">
        <v>10907</v>
      </c>
      <c r="C896" s="2" t="s">
        <v>10907</v>
      </c>
      <c r="D896" s="2" t="s">
        <v>10907</v>
      </c>
      <c r="E896" s="2" t="s">
        <v>10907</v>
      </c>
      <c r="F896" s="2" t="s">
        <v>10907</v>
      </c>
      <c r="G896" s="2" t="s">
        <v>10907</v>
      </c>
      <c r="H896" s="2" t="s">
        <v>10907</v>
      </c>
      <c r="I896" s="2" t="s">
        <v>10907</v>
      </c>
      <c r="J896" s="2" t="s">
        <v>10907</v>
      </c>
      <c r="K896" s="2" t="s">
        <v>10907</v>
      </c>
      <c r="L896" s="2" t="s">
        <v>10907</v>
      </c>
      <c r="M896" s="2" t="s">
        <v>10907</v>
      </c>
      <c r="N896" s="2" t="s">
        <v>10907</v>
      </c>
      <c r="O896" s="2" t="s">
        <v>10907</v>
      </c>
      <c r="P896" s="2" t="s">
        <v>10907</v>
      </c>
    </row>
    <row r="897" spans="1:16">
      <c r="A897" s="1">
        <v>896</v>
      </c>
      <c r="B897" s="2" t="s">
        <v>10908</v>
      </c>
      <c r="C897" s="2" t="s">
        <v>10909</v>
      </c>
      <c r="D897" s="2" t="s">
        <v>10910</v>
      </c>
      <c r="E897" s="2" t="s">
        <v>10911</v>
      </c>
      <c r="F897" s="2" t="s">
        <v>10912</v>
      </c>
      <c r="G897" s="2" t="s">
        <v>10913</v>
      </c>
      <c r="H897" s="2" t="s">
        <v>10914</v>
      </c>
      <c r="I897" s="2" t="s">
        <v>10915</v>
      </c>
      <c r="J897" s="2" t="s">
        <v>10916</v>
      </c>
      <c r="K897" s="2" t="s">
        <v>10917</v>
      </c>
      <c r="L897" s="2" t="s">
        <v>10918</v>
      </c>
      <c r="M897" s="2" t="s">
        <v>10919</v>
      </c>
      <c r="N897" s="2" t="s">
        <v>10920</v>
      </c>
      <c r="O897" s="2" t="s">
        <v>10917</v>
      </c>
      <c r="P897" s="2" t="s">
        <v>10908</v>
      </c>
    </row>
    <row r="898" spans="1:16">
      <c r="A898" s="1">
        <v>897</v>
      </c>
      <c r="B898" s="2" t="s">
        <v>10921</v>
      </c>
      <c r="C898" s="2" t="s">
        <v>10922</v>
      </c>
      <c r="D898" s="2" t="s">
        <v>10923</v>
      </c>
      <c r="E898" s="2" t="s">
        <v>10924</v>
      </c>
      <c r="F898" s="2" t="s">
        <v>10925</v>
      </c>
      <c r="G898" s="2" t="s">
        <v>10926</v>
      </c>
      <c r="H898" s="2" t="s">
        <v>10927</v>
      </c>
      <c r="I898" s="2" t="s">
        <v>10928</v>
      </c>
      <c r="J898" s="2" t="s">
        <v>10929</v>
      </c>
      <c r="K898" s="2" t="s">
        <v>10930</v>
      </c>
      <c r="L898" s="2" t="s">
        <v>10931</v>
      </c>
      <c r="M898" s="2" t="s">
        <v>10932</v>
      </c>
      <c r="N898" s="2" t="s">
        <v>10933</v>
      </c>
      <c r="O898" s="2" t="s">
        <v>10934</v>
      </c>
      <c r="P898" s="2" t="s">
        <v>10921</v>
      </c>
    </row>
    <row r="899" spans="1:16">
      <c r="A899" s="1">
        <v>898</v>
      </c>
      <c r="B899" s="2" t="s">
        <v>10935</v>
      </c>
      <c r="C899" s="2" t="s">
        <v>10936</v>
      </c>
      <c r="D899" s="2" t="s">
        <v>10923</v>
      </c>
      <c r="E899" s="2" t="s">
        <v>10937</v>
      </c>
      <c r="F899" s="2" t="s">
        <v>10938</v>
      </c>
      <c r="G899" s="2" t="s">
        <v>10939</v>
      </c>
      <c r="H899" s="2" t="s">
        <v>10940</v>
      </c>
      <c r="I899" s="2" t="s">
        <v>10941</v>
      </c>
      <c r="J899" s="2" t="s">
        <v>10942</v>
      </c>
      <c r="K899" s="2" t="s">
        <v>10943</v>
      </c>
      <c r="L899" s="2" t="s">
        <v>10944</v>
      </c>
      <c r="M899" s="2" t="s">
        <v>10945</v>
      </c>
      <c r="N899" s="2" t="s">
        <v>10946</v>
      </c>
      <c r="O899" s="2" t="s">
        <v>10947</v>
      </c>
      <c r="P899" s="2" t="s">
        <v>10935</v>
      </c>
    </row>
    <row r="900" spans="1:16">
      <c r="A900" s="1">
        <v>899</v>
      </c>
      <c r="B900" s="2" t="s">
        <v>25683</v>
      </c>
      <c r="C900" s="2" t="s">
        <v>25684</v>
      </c>
      <c r="D900" s="2" t="s">
        <v>10948</v>
      </c>
      <c r="E900" s="2" t="s">
        <v>25685</v>
      </c>
      <c r="F900" s="2" t="s">
        <v>25686</v>
      </c>
      <c r="G900" s="2" t="s">
        <v>25687</v>
      </c>
      <c r="H900" s="2" t="s">
        <v>25688</v>
      </c>
      <c r="I900" s="2" t="s">
        <v>25689</v>
      </c>
      <c r="J900" s="2" t="s">
        <v>25690</v>
      </c>
      <c r="K900" s="2" t="s">
        <v>25691</v>
      </c>
      <c r="L900" s="2" t="s">
        <v>25692</v>
      </c>
      <c r="M900" s="2" t="s">
        <v>25693</v>
      </c>
      <c r="N900" s="2" t="s">
        <v>25694</v>
      </c>
      <c r="O900" s="2" t="s">
        <v>25695</v>
      </c>
      <c r="P900" s="2" t="s">
        <v>25683</v>
      </c>
    </row>
    <row r="901" spans="1:16">
      <c r="A901" s="1">
        <v>900</v>
      </c>
      <c r="B901" s="2" t="s">
        <v>10949</v>
      </c>
      <c r="C901" s="2" t="s">
        <v>10950</v>
      </c>
      <c r="D901" s="2" t="s">
        <v>10951</v>
      </c>
      <c r="E901" s="2" t="s">
        <v>10952</v>
      </c>
      <c r="F901" s="2" t="s">
        <v>10953</v>
      </c>
      <c r="G901" s="2" t="s">
        <v>10954</v>
      </c>
      <c r="H901" s="2" t="s">
        <v>10955</v>
      </c>
      <c r="I901" s="2" t="s">
        <v>10956</v>
      </c>
      <c r="J901" s="2" t="s">
        <v>10957</v>
      </c>
      <c r="K901" s="2" t="s">
        <v>10958</v>
      </c>
      <c r="L901" s="2" t="s">
        <v>10959</v>
      </c>
      <c r="M901" s="2" t="s">
        <v>10960</v>
      </c>
      <c r="N901" s="2" t="s">
        <v>10961</v>
      </c>
      <c r="O901" s="2" t="s">
        <v>10962</v>
      </c>
      <c r="P901" s="2" t="s">
        <v>10949</v>
      </c>
    </row>
    <row r="902" spans="1:16">
      <c r="A902" s="1">
        <v>901</v>
      </c>
      <c r="B902" s="2" t="s">
        <v>10963</v>
      </c>
      <c r="C902" s="2" t="s">
        <v>10964</v>
      </c>
      <c r="D902" s="2" t="s">
        <v>10965</v>
      </c>
      <c r="E902" s="2" t="s">
        <v>10966</v>
      </c>
      <c r="F902" s="2" t="s">
        <v>10963</v>
      </c>
      <c r="G902" s="2" t="s">
        <v>10963</v>
      </c>
      <c r="H902" s="2" t="s">
        <v>10963</v>
      </c>
      <c r="I902" s="2" t="s">
        <v>10967</v>
      </c>
      <c r="J902" s="2" t="s">
        <v>10968</v>
      </c>
      <c r="K902" s="2" t="s">
        <v>10969</v>
      </c>
      <c r="L902" s="2" t="s">
        <v>10963</v>
      </c>
      <c r="M902" s="2" t="s">
        <v>10963</v>
      </c>
      <c r="N902" s="2" t="s">
        <v>10963</v>
      </c>
      <c r="O902" s="2" t="s">
        <v>10963</v>
      </c>
      <c r="P902" s="2" t="s">
        <v>10963</v>
      </c>
    </row>
    <row r="903" spans="1:16">
      <c r="A903" s="1">
        <v>902</v>
      </c>
      <c r="B903" s="2" t="s">
        <v>10970</v>
      </c>
      <c r="C903" s="2" t="s">
        <v>10971</v>
      </c>
      <c r="D903" s="2" t="s">
        <v>10972</v>
      </c>
      <c r="E903" s="2" t="s">
        <v>10973</v>
      </c>
      <c r="F903" s="2" t="s">
        <v>10974</v>
      </c>
      <c r="G903" s="2" t="s">
        <v>10975</v>
      </c>
      <c r="H903" s="2" t="s">
        <v>10976</v>
      </c>
      <c r="I903" s="2" t="s">
        <v>10977</v>
      </c>
      <c r="J903" s="2" t="s">
        <v>10978</v>
      </c>
      <c r="K903" s="2" t="s">
        <v>10979</v>
      </c>
      <c r="L903" s="2" t="s">
        <v>10980</v>
      </c>
      <c r="M903" s="2" t="s">
        <v>10981</v>
      </c>
      <c r="N903" s="2" t="s">
        <v>10982</v>
      </c>
      <c r="O903" s="2" t="s">
        <v>10983</v>
      </c>
      <c r="P903" s="2" t="s">
        <v>10970</v>
      </c>
    </row>
    <row r="904" spans="1:16">
      <c r="A904" s="1">
        <v>903</v>
      </c>
      <c r="B904" s="2" t="s">
        <v>10984</v>
      </c>
      <c r="C904" s="2" t="s">
        <v>10984</v>
      </c>
      <c r="D904" s="2" t="s">
        <v>10984</v>
      </c>
      <c r="E904" s="2" t="s">
        <v>10985</v>
      </c>
      <c r="F904" s="2" t="s">
        <v>10986</v>
      </c>
      <c r="G904" s="2" t="s">
        <v>10987</v>
      </c>
      <c r="H904" s="2" t="s">
        <v>10988</v>
      </c>
      <c r="I904" s="2" t="s">
        <v>10989</v>
      </c>
      <c r="J904" s="2" t="s">
        <v>10990</v>
      </c>
      <c r="K904" s="2" t="s">
        <v>10991</v>
      </c>
      <c r="L904" s="2" t="s">
        <v>10992</v>
      </c>
      <c r="M904" s="2" t="s">
        <v>10993</v>
      </c>
      <c r="N904" s="2" t="s">
        <v>10992</v>
      </c>
      <c r="O904" s="2" t="s">
        <v>10994</v>
      </c>
      <c r="P904" s="2" t="s">
        <v>10984</v>
      </c>
    </row>
    <row r="905" spans="1:16">
      <c r="A905" s="1">
        <v>904</v>
      </c>
      <c r="B905" s="2" t="s">
        <v>10995</v>
      </c>
      <c r="C905" s="2" t="s">
        <v>10996</v>
      </c>
      <c r="D905" s="2" t="s">
        <v>10997</v>
      </c>
      <c r="E905" s="2" t="s">
        <v>10998</v>
      </c>
      <c r="F905" s="2" t="s">
        <v>10999</v>
      </c>
      <c r="G905" s="2" t="s">
        <v>11000</v>
      </c>
      <c r="H905" s="2" t="s">
        <v>11001</v>
      </c>
      <c r="I905" s="2" t="s">
        <v>10999</v>
      </c>
      <c r="J905" s="2" t="s">
        <v>11002</v>
      </c>
      <c r="K905" s="2" t="s">
        <v>11003</v>
      </c>
      <c r="L905" s="2" t="s">
        <v>11004</v>
      </c>
      <c r="M905" s="2" t="s">
        <v>11005</v>
      </c>
      <c r="N905" s="2" t="s">
        <v>11006</v>
      </c>
      <c r="O905" s="2" t="s">
        <v>11007</v>
      </c>
      <c r="P905" s="2" t="s">
        <v>10995</v>
      </c>
    </row>
    <row r="906" spans="1:16">
      <c r="A906" s="1">
        <v>905</v>
      </c>
      <c r="B906" s="2" t="s">
        <v>11008</v>
      </c>
      <c r="C906" s="2" t="s">
        <v>11009</v>
      </c>
      <c r="D906" s="2" t="s">
        <v>11010</v>
      </c>
      <c r="E906" s="2" t="s">
        <v>11011</v>
      </c>
      <c r="F906" s="2" t="s">
        <v>10859</v>
      </c>
      <c r="G906" s="2" t="s">
        <v>11012</v>
      </c>
      <c r="H906" s="2" t="s">
        <v>11013</v>
      </c>
      <c r="I906" s="2" t="s">
        <v>11014</v>
      </c>
      <c r="J906" s="2" t="s">
        <v>11015</v>
      </c>
      <c r="K906" s="2" t="s">
        <v>11016</v>
      </c>
      <c r="L906" s="2" t="s">
        <v>11017</v>
      </c>
      <c r="M906" s="2" t="s">
        <v>11018</v>
      </c>
      <c r="N906" s="2" t="s">
        <v>11019</v>
      </c>
      <c r="O906" s="2" t="s">
        <v>11020</v>
      </c>
      <c r="P906" s="2" t="s">
        <v>11008</v>
      </c>
    </row>
    <row r="907" spans="1:16">
      <c r="A907" s="1">
        <v>906</v>
      </c>
      <c r="B907" s="2" t="s">
        <v>11021</v>
      </c>
      <c r="C907" s="2" t="s">
        <v>11022</v>
      </c>
      <c r="D907" s="2" t="s">
        <v>11023</v>
      </c>
      <c r="E907" s="2" t="s">
        <v>11024</v>
      </c>
      <c r="F907" s="2" t="s">
        <v>11025</v>
      </c>
      <c r="G907" s="2" t="s">
        <v>11026</v>
      </c>
      <c r="H907" s="2" t="s">
        <v>11027</v>
      </c>
      <c r="I907" s="2" t="s">
        <v>11028</v>
      </c>
      <c r="J907" s="2" t="s">
        <v>11029</v>
      </c>
      <c r="K907" s="2" t="s">
        <v>11030</v>
      </c>
      <c r="L907" s="2" t="s">
        <v>11031</v>
      </c>
      <c r="M907" s="2" t="s">
        <v>11032</v>
      </c>
      <c r="N907" s="2" t="s">
        <v>11033</v>
      </c>
      <c r="O907" s="2" t="s">
        <v>11034</v>
      </c>
      <c r="P907" s="2" t="s">
        <v>11021</v>
      </c>
    </row>
    <row r="908" spans="1:16">
      <c r="A908" s="1">
        <v>907</v>
      </c>
      <c r="B908" s="2" t="s">
        <v>11035</v>
      </c>
      <c r="C908" s="2" t="s">
        <v>11036</v>
      </c>
      <c r="D908" s="2" t="s">
        <v>11037</v>
      </c>
      <c r="E908" s="2" t="s">
        <v>11038</v>
      </c>
      <c r="F908" s="2" t="s">
        <v>11039</v>
      </c>
      <c r="G908" s="2" t="s">
        <v>11040</v>
      </c>
      <c r="H908" s="2" t="s">
        <v>11041</v>
      </c>
      <c r="I908" s="2" t="s">
        <v>11042</v>
      </c>
      <c r="J908" s="2" t="s">
        <v>11043</v>
      </c>
      <c r="K908" s="2" t="s">
        <v>11044</v>
      </c>
      <c r="L908" s="2" t="s">
        <v>11045</v>
      </c>
      <c r="M908" s="2" t="s">
        <v>11046</v>
      </c>
      <c r="N908" s="2" t="s">
        <v>11047</v>
      </c>
      <c r="O908" s="2" t="s">
        <v>11048</v>
      </c>
      <c r="P908" s="2" t="s">
        <v>11035</v>
      </c>
    </row>
    <row r="909" spans="1:16">
      <c r="A909" s="1">
        <v>908</v>
      </c>
      <c r="B909" s="2" t="s">
        <v>11049</v>
      </c>
      <c r="C909" s="2" t="s">
        <v>11050</v>
      </c>
      <c r="D909" s="2" t="s">
        <v>11051</v>
      </c>
      <c r="E909" s="2" t="s">
        <v>11052</v>
      </c>
      <c r="F909" s="2" t="s">
        <v>11053</v>
      </c>
      <c r="G909" s="2" t="s">
        <v>11054</v>
      </c>
      <c r="H909" s="2" t="s">
        <v>11055</v>
      </c>
      <c r="I909" s="2" t="s">
        <v>11056</v>
      </c>
      <c r="J909" s="2" t="s">
        <v>11057</v>
      </c>
      <c r="K909" s="2" t="s">
        <v>11058</v>
      </c>
      <c r="L909" s="2" t="s">
        <v>11059</v>
      </c>
      <c r="M909" s="2" t="s">
        <v>11060</v>
      </c>
      <c r="N909" s="2" t="s">
        <v>11061</v>
      </c>
      <c r="O909" s="2" t="s">
        <v>11062</v>
      </c>
      <c r="P909" s="2" t="s">
        <v>11049</v>
      </c>
    </row>
    <row r="910" spans="1:16">
      <c r="A910" s="1">
        <v>909</v>
      </c>
      <c r="B910" s="2" t="s">
        <v>11063</v>
      </c>
      <c r="C910" s="2" t="s">
        <v>11064</v>
      </c>
      <c r="D910" s="2" t="s">
        <v>11065</v>
      </c>
      <c r="E910" s="2" t="s">
        <v>11066</v>
      </c>
      <c r="F910" s="2" t="s">
        <v>11067</v>
      </c>
      <c r="G910" s="2" t="s">
        <v>11068</v>
      </c>
      <c r="H910" s="2" t="s">
        <v>11069</v>
      </c>
      <c r="I910" s="2" t="s">
        <v>11070</v>
      </c>
      <c r="J910" s="2" t="s">
        <v>11071</v>
      </c>
      <c r="K910" s="2" t="s">
        <v>11072</v>
      </c>
      <c r="L910" s="2" t="s">
        <v>11073</v>
      </c>
      <c r="M910" s="2" t="s">
        <v>11074</v>
      </c>
      <c r="N910" s="2" t="s">
        <v>11075</v>
      </c>
      <c r="O910" s="2" t="s">
        <v>11076</v>
      </c>
      <c r="P910" s="2" t="s">
        <v>11063</v>
      </c>
    </row>
    <row r="911" spans="1:16">
      <c r="A911" s="1">
        <v>910</v>
      </c>
      <c r="B911" s="2" t="s">
        <v>11077</v>
      </c>
      <c r="C911" s="2" t="s">
        <v>11078</v>
      </c>
      <c r="D911" s="2" t="s">
        <v>11079</v>
      </c>
      <c r="E911" s="2" t="s">
        <v>11080</v>
      </c>
      <c r="F911" s="2" t="s">
        <v>11081</v>
      </c>
      <c r="G911" s="2" t="s">
        <v>11082</v>
      </c>
      <c r="H911" s="2" t="s">
        <v>11083</v>
      </c>
      <c r="I911" s="2" t="s">
        <v>11084</v>
      </c>
      <c r="J911" s="2" t="s">
        <v>11085</v>
      </c>
      <c r="K911" s="2" t="s">
        <v>11086</v>
      </c>
      <c r="L911" s="2" t="s">
        <v>11087</v>
      </c>
      <c r="M911" s="2" t="s">
        <v>11088</v>
      </c>
      <c r="N911" s="2" t="s">
        <v>11089</v>
      </c>
      <c r="O911" s="2" t="s">
        <v>11090</v>
      </c>
      <c r="P911" s="2" t="s">
        <v>11077</v>
      </c>
    </row>
    <row r="912" spans="1:16">
      <c r="A912" s="1">
        <v>911</v>
      </c>
      <c r="B912" s="2" t="s">
        <v>11091</v>
      </c>
      <c r="C912" s="2" t="s">
        <v>11092</v>
      </c>
      <c r="D912" s="2" t="s">
        <v>11093</v>
      </c>
      <c r="E912" s="2" t="s">
        <v>25696</v>
      </c>
      <c r="F912" s="2" t="s">
        <v>11094</v>
      </c>
      <c r="G912" s="2" t="s">
        <v>11095</v>
      </c>
      <c r="H912" s="2" t="s">
        <v>11096</v>
      </c>
      <c r="I912" s="2" t="s">
        <v>11097</v>
      </c>
      <c r="J912" s="2" t="s">
        <v>11098</v>
      </c>
      <c r="K912" s="2" t="s">
        <v>11099</v>
      </c>
      <c r="L912" s="2" t="s">
        <v>11100</v>
      </c>
      <c r="M912" s="2" t="s">
        <v>11101</v>
      </c>
      <c r="N912" s="2" t="s">
        <v>11102</v>
      </c>
      <c r="O912" s="2" t="s">
        <v>11103</v>
      </c>
      <c r="P912" s="2" t="s">
        <v>11091</v>
      </c>
    </row>
    <row r="913" spans="1:16">
      <c r="A913" s="1">
        <v>912</v>
      </c>
      <c r="B913" s="2" t="s">
        <v>11104</v>
      </c>
      <c r="C913" s="2" t="s">
        <v>11105</v>
      </c>
      <c r="D913" s="2" t="s">
        <v>11106</v>
      </c>
      <c r="E913" s="2" t="s">
        <v>25697</v>
      </c>
      <c r="F913" s="2" t="s">
        <v>11107</v>
      </c>
      <c r="G913" s="2" t="s">
        <v>11108</v>
      </c>
      <c r="H913" s="2" t="s">
        <v>11109</v>
      </c>
      <c r="I913" s="2" t="s">
        <v>11110</v>
      </c>
      <c r="J913" s="2" t="s">
        <v>11111</v>
      </c>
      <c r="K913" s="2" t="s">
        <v>11112</v>
      </c>
      <c r="L913" s="2" t="s">
        <v>11113</v>
      </c>
      <c r="M913" s="2" t="s">
        <v>11114</v>
      </c>
      <c r="N913" s="2" t="s">
        <v>11115</v>
      </c>
      <c r="O913" s="2" t="s">
        <v>11116</v>
      </c>
      <c r="P913" s="2" t="s">
        <v>11104</v>
      </c>
    </row>
    <row r="914" spans="1:16">
      <c r="A914" s="1">
        <v>913</v>
      </c>
      <c r="B914" s="2" t="s">
        <v>11117</v>
      </c>
      <c r="C914" s="2" t="s">
        <v>11118</v>
      </c>
      <c r="D914" s="2" t="s">
        <v>11119</v>
      </c>
      <c r="E914" s="2" t="s">
        <v>25698</v>
      </c>
      <c r="F914" s="2" t="s">
        <v>11120</v>
      </c>
      <c r="G914" s="2" t="s">
        <v>11121</v>
      </c>
      <c r="H914" s="2" t="s">
        <v>11122</v>
      </c>
      <c r="I914" s="2" t="s">
        <v>11123</v>
      </c>
      <c r="J914" s="2" t="s">
        <v>11124</v>
      </c>
      <c r="K914" s="2" t="s">
        <v>11125</v>
      </c>
      <c r="L914" s="2" t="s">
        <v>11126</v>
      </c>
      <c r="M914" s="2" t="s">
        <v>11127</v>
      </c>
      <c r="N914" s="2" t="s">
        <v>11128</v>
      </c>
      <c r="O914" s="2" t="s">
        <v>11129</v>
      </c>
      <c r="P914" s="2" t="s">
        <v>11117</v>
      </c>
    </row>
    <row r="915" spans="1:16">
      <c r="A915" s="1">
        <v>914</v>
      </c>
      <c r="B915" s="2" t="s">
        <v>11130</v>
      </c>
      <c r="C915" s="2" t="s">
        <v>11131</v>
      </c>
      <c r="D915" s="2" t="s">
        <v>11132</v>
      </c>
      <c r="E915" s="2" t="s">
        <v>11133</v>
      </c>
      <c r="F915" s="2" t="s">
        <v>11134</v>
      </c>
      <c r="G915" s="2" t="s">
        <v>11135</v>
      </c>
      <c r="H915" s="2" t="s">
        <v>11136</v>
      </c>
      <c r="I915" s="2" t="s">
        <v>11137</v>
      </c>
      <c r="J915" s="2" t="s">
        <v>11138</v>
      </c>
      <c r="K915" s="2" t="s">
        <v>11139</v>
      </c>
      <c r="L915" s="2" t="s">
        <v>11140</v>
      </c>
      <c r="M915" s="2" t="s">
        <v>11141</v>
      </c>
      <c r="N915" s="2" t="s">
        <v>11142</v>
      </c>
      <c r="O915" s="2" t="s">
        <v>11143</v>
      </c>
      <c r="P915" s="2" t="s">
        <v>11130</v>
      </c>
    </row>
    <row r="916" spans="1:16">
      <c r="A916" s="1">
        <v>915</v>
      </c>
      <c r="B916" s="2" t="s">
        <v>11144</v>
      </c>
      <c r="C916" s="2" t="s">
        <v>11145</v>
      </c>
      <c r="D916" s="2" t="s">
        <v>11146</v>
      </c>
      <c r="E916" s="2" t="s">
        <v>11147</v>
      </c>
      <c r="F916" s="2" t="s">
        <v>11134</v>
      </c>
      <c r="G916" s="2" t="s">
        <v>11148</v>
      </c>
      <c r="H916" s="2" t="s">
        <v>11149</v>
      </c>
      <c r="I916" s="2" t="s">
        <v>11150</v>
      </c>
      <c r="J916" s="2" t="s">
        <v>11151</v>
      </c>
      <c r="K916" s="2" t="s">
        <v>11152</v>
      </c>
      <c r="L916" s="2" t="s">
        <v>11153</v>
      </c>
      <c r="M916" s="2" t="s">
        <v>11154</v>
      </c>
      <c r="N916" s="2" t="s">
        <v>11155</v>
      </c>
      <c r="O916" s="2" t="s">
        <v>11156</v>
      </c>
      <c r="P916" s="2" t="s">
        <v>11144</v>
      </c>
    </row>
    <row r="917" spans="1:16">
      <c r="A917" s="1">
        <v>916</v>
      </c>
      <c r="B917" s="2" t="s">
        <v>11157</v>
      </c>
      <c r="C917" s="2" t="s">
        <v>11158</v>
      </c>
      <c r="D917" s="2" t="s">
        <v>11159</v>
      </c>
      <c r="E917" s="2" t="s">
        <v>11160</v>
      </c>
      <c r="F917" s="2" t="s">
        <v>11161</v>
      </c>
      <c r="G917" s="2" t="s">
        <v>11162</v>
      </c>
      <c r="H917" s="2" t="s">
        <v>11163</v>
      </c>
      <c r="I917" s="2" t="s">
        <v>11164</v>
      </c>
      <c r="J917" s="2" t="s">
        <v>11165</v>
      </c>
      <c r="K917" s="2" t="s">
        <v>11166</v>
      </c>
      <c r="L917" s="2" t="s">
        <v>11167</v>
      </c>
      <c r="M917" s="2" t="s">
        <v>11168</v>
      </c>
      <c r="N917" s="2" t="s">
        <v>11169</v>
      </c>
      <c r="O917" s="2" t="s">
        <v>11170</v>
      </c>
      <c r="P917" s="2" t="s">
        <v>11157</v>
      </c>
    </row>
    <row r="918" spans="1:16">
      <c r="A918" s="1">
        <v>917</v>
      </c>
      <c r="B918" s="2" t="s">
        <v>11171</v>
      </c>
      <c r="C918" s="2" t="s">
        <v>3852</v>
      </c>
      <c r="D918" s="2" t="s">
        <v>9372</v>
      </c>
      <c r="E918" s="2" t="s">
        <v>3827</v>
      </c>
      <c r="F918" s="2" t="s">
        <v>3804</v>
      </c>
      <c r="G918" s="2" t="s">
        <v>11172</v>
      </c>
      <c r="H918" s="2" t="s">
        <v>11173</v>
      </c>
      <c r="I918" s="2" t="s">
        <v>11174</v>
      </c>
      <c r="J918" s="2" t="s">
        <v>11175</v>
      </c>
      <c r="K918" s="2" t="s">
        <v>11176</v>
      </c>
      <c r="L918" s="2" t="s">
        <v>11177</v>
      </c>
      <c r="M918" s="2" t="s">
        <v>11178</v>
      </c>
      <c r="N918" s="2" t="s">
        <v>11179</v>
      </c>
      <c r="O918" s="2" t="s">
        <v>11180</v>
      </c>
      <c r="P918" s="2" t="s">
        <v>11171</v>
      </c>
    </row>
    <row r="919" spans="1:16">
      <c r="A919" s="1">
        <v>918</v>
      </c>
      <c r="B919" s="2" t="s">
        <v>11181</v>
      </c>
      <c r="C919" s="2" t="s">
        <v>3852</v>
      </c>
      <c r="D919" s="2" t="s">
        <v>9372</v>
      </c>
      <c r="E919" s="2" t="s">
        <v>3827</v>
      </c>
      <c r="F919" s="2" t="s">
        <v>3804</v>
      </c>
      <c r="G919" s="2" t="s">
        <v>11182</v>
      </c>
      <c r="H919" s="2" t="s">
        <v>11173</v>
      </c>
      <c r="I919" s="2" t="s">
        <v>11183</v>
      </c>
      <c r="J919" s="2" t="s">
        <v>11184</v>
      </c>
      <c r="K919" s="2" t="s">
        <v>11176</v>
      </c>
      <c r="L919" s="2" t="s">
        <v>11185</v>
      </c>
      <c r="M919" s="2" t="s">
        <v>11178</v>
      </c>
      <c r="N919" s="2" t="s">
        <v>11186</v>
      </c>
      <c r="O919" s="2" t="s">
        <v>11187</v>
      </c>
      <c r="P919" s="2" t="s">
        <v>11181</v>
      </c>
    </row>
    <row r="920" spans="1:16">
      <c r="A920" s="1">
        <v>919</v>
      </c>
      <c r="B920" s="2" t="s">
        <v>11188</v>
      </c>
      <c r="C920" s="2" t="s">
        <v>11189</v>
      </c>
      <c r="D920" s="2" t="s">
        <v>11190</v>
      </c>
      <c r="E920" s="2" t="s">
        <v>11191</v>
      </c>
      <c r="F920" s="2" t="s">
        <v>2588</v>
      </c>
      <c r="G920" s="2" t="s">
        <v>11192</v>
      </c>
      <c r="H920" s="2" t="s">
        <v>11193</v>
      </c>
      <c r="I920" s="2" t="s">
        <v>11194</v>
      </c>
      <c r="J920" s="2" t="s">
        <v>11195</v>
      </c>
      <c r="K920" s="2" t="s">
        <v>11196</v>
      </c>
      <c r="L920" s="2" t="s">
        <v>11197</v>
      </c>
      <c r="M920" s="2" t="s">
        <v>11198</v>
      </c>
      <c r="N920" s="2" t="s">
        <v>11199</v>
      </c>
      <c r="O920" s="2" t="s">
        <v>11200</v>
      </c>
      <c r="P920" s="2" t="s">
        <v>11188</v>
      </c>
    </row>
    <row r="921" spans="1:16">
      <c r="A921" s="1">
        <v>920</v>
      </c>
      <c r="B921" s="2" t="s">
        <v>11201</v>
      </c>
      <c r="C921" s="2" t="s">
        <v>11202</v>
      </c>
      <c r="D921" s="2" t="s">
        <v>11203</v>
      </c>
      <c r="E921" s="2" t="s">
        <v>11204</v>
      </c>
      <c r="F921" s="2" t="s">
        <v>11205</v>
      </c>
      <c r="G921" s="2" t="s">
        <v>11206</v>
      </c>
      <c r="H921" s="2" t="s">
        <v>11207</v>
      </c>
      <c r="I921" s="2" t="s">
        <v>11208</v>
      </c>
      <c r="J921" s="2" t="s">
        <v>11209</v>
      </c>
      <c r="K921" s="2" t="s">
        <v>11210</v>
      </c>
      <c r="L921" s="2" t="s">
        <v>11211</v>
      </c>
      <c r="M921" s="2" t="s">
        <v>9285</v>
      </c>
      <c r="N921" s="2" t="s">
        <v>11212</v>
      </c>
      <c r="O921" s="2" t="s">
        <v>11213</v>
      </c>
      <c r="P921" s="2" t="s">
        <v>11201</v>
      </c>
    </row>
    <row r="922" spans="1:16">
      <c r="A922" s="1">
        <v>921</v>
      </c>
      <c r="B922" s="2" t="s">
        <v>11214</v>
      </c>
      <c r="C922" s="2" t="s">
        <v>11215</v>
      </c>
      <c r="D922" s="2" t="s">
        <v>11216</v>
      </c>
      <c r="E922" s="2" t="s">
        <v>11217</v>
      </c>
      <c r="F922" s="2" t="s">
        <v>11218</v>
      </c>
      <c r="G922" s="2" t="s">
        <v>11219</v>
      </c>
      <c r="H922" s="2" t="s">
        <v>11220</v>
      </c>
      <c r="I922" s="2" t="s">
        <v>11221</v>
      </c>
      <c r="J922" s="2" t="s">
        <v>11222</v>
      </c>
      <c r="K922" s="2" t="s">
        <v>11223</v>
      </c>
      <c r="L922" s="2" t="s">
        <v>11224</v>
      </c>
      <c r="M922" s="2" t="s">
        <v>11225</v>
      </c>
      <c r="N922" s="2" t="s">
        <v>11226</v>
      </c>
      <c r="O922" s="2" t="s">
        <v>11227</v>
      </c>
      <c r="P922" s="2" t="s">
        <v>11214</v>
      </c>
    </row>
    <row r="923" spans="1:16">
      <c r="A923" s="1">
        <v>922</v>
      </c>
      <c r="B923" s="2" t="s">
        <v>11228</v>
      </c>
      <c r="C923" s="2" t="s">
        <v>11229</v>
      </c>
      <c r="D923" s="2" t="s">
        <v>11230</v>
      </c>
      <c r="E923" s="2" t="s">
        <v>11231</v>
      </c>
      <c r="F923" s="2" t="s">
        <v>11232</v>
      </c>
      <c r="G923" s="2" t="s">
        <v>11233</v>
      </c>
      <c r="H923" s="2" t="s">
        <v>11234</v>
      </c>
      <c r="I923" s="2" t="s">
        <v>11235</v>
      </c>
      <c r="J923" s="2" t="s">
        <v>11236</v>
      </c>
      <c r="K923" s="2" t="s">
        <v>11237</v>
      </c>
      <c r="L923" s="2" t="s">
        <v>11238</v>
      </c>
      <c r="M923" s="2" t="s">
        <v>11239</v>
      </c>
      <c r="N923" s="2" t="s">
        <v>11240</v>
      </c>
      <c r="O923" s="2" t="s">
        <v>11241</v>
      </c>
      <c r="P923" s="2" t="s">
        <v>11228</v>
      </c>
    </row>
    <row r="924" spans="1:16">
      <c r="A924" s="1">
        <v>923</v>
      </c>
      <c r="B924" s="2" t="s">
        <v>11242</v>
      </c>
      <c r="C924" s="2" t="s">
        <v>11243</v>
      </c>
      <c r="D924" s="2" t="s">
        <v>11244</v>
      </c>
      <c r="E924" s="2" t="s">
        <v>11245</v>
      </c>
      <c r="F924" s="2" t="s">
        <v>11246</v>
      </c>
      <c r="G924" s="2" t="s">
        <v>11247</v>
      </c>
      <c r="H924" s="2" t="s">
        <v>11248</v>
      </c>
      <c r="I924" s="2" t="s">
        <v>11249</v>
      </c>
      <c r="J924" s="2" t="s">
        <v>11250</v>
      </c>
      <c r="K924" s="2" t="s">
        <v>11251</v>
      </c>
      <c r="L924" s="2" t="s">
        <v>11252</v>
      </c>
      <c r="M924" s="2" t="s">
        <v>11253</v>
      </c>
      <c r="N924" s="2" t="s">
        <v>11250</v>
      </c>
      <c r="O924" s="2" t="s">
        <v>11254</v>
      </c>
      <c r="P924" s="2" t="s">
        <v>11242</v>
      </c>
    </row>
    <row r="925" spans="1:16">
      <c r="A925" s="1">
        <v>924</v>
      </c>
      <c r="B925" s="2" t="s">
        <v>11255</v>
      </c>
      <c r="C925" s="2" t="s">
        <v>11256</v>
      </c>
      <c r="D925" s="2" t="s">
        <v>11257</v>
      </c>
      <c r="E925" s="2" t="s">
        <v>11258</v>
      </c>
      <c r="F925" s="2" t="s">
        <v>11259</v>
      </c>
      <c r="G925" s="2" t="s">
        <v>11260</v>
      </c>
      <c r="H925" s="2" t="s">
        <v>11261</v>
      </c>
      <c r="I925" s="2" t="s">
        <v>11262</v>
      </c>
      <c r="J925" s="2" t="s">
        <v>11263</v>
      </c>
      <c r="K925" s="2" t="s">
        <v>11264</v>
      </c>
      <c r="L925" s="2" t="s">
        <v>11265</v>
      </c>
      <c r="M925" s="2" t="s">
        <v>11266</v>
      </c>
      <c r="N925" s="2" t="s">
        <v>11267</v>
      </c>
      <c r="O925" s="2" t="s">
        <v>11268</v>
      </c>
      <c r="P925" s="2" t="s">
        <v>11255</v>
      </c>
    </row>
    <row r="926" spans="1:16">
      <c r="A926" s="1">
        <v>925</v>
      </c>
      <c r="B926" s="2" t="s">
        <v>11269</v>
      </c>
      <c r="C926" s="2" t="s">
        <v>11270</v>
      </c>
      <c r="D926" s="2" t="s">
        <v>11271</v>
      </c>
      <c r="E926" s="2" t="s">
        <v>11272</v>
      </c>
      <c r="F926" s="2" t="s">
        <v>11273</v>
      </c>
      <c r="G926" s="2" t="s">
        <v>11274</v>
      </c>
      <c r="H926" s="2" t="s">
        <v>11275</v>
      </c>
      <c r="I926" s="2" t="s">
        <v>11276</v>
      </c>
      <c r="J926" s="2" t="s">
        <v>11277</v>
      </c>
      <c r="K926" s="2" t="s">
        <v>11278</v>
      </c>
      <c r="L926" s="2" t="s">
        <v>11279</v>
      </c>
      <c r="M926" s="2" t="s">
        <v>11280</v>
      </c>
      <c r="N926" s="2" t="s">
        <v>11281</v>
      </c>
      <c r="O926" s="2" t="s">
        <v>11282</v>
      </c>
      <c r="P926" s="2" t="s">
        <v>11269</v>
      </c>
    </row>
    <row r="927" spans="1:16">
      <c r="A927" s="1">
        <v>926</v>
      </c>
      <c r="B927" s="2" t="s">
        <v>11283</v>
      </c>
      <c r="C927" s="2" t="s">
        <v>11284</v>
      </c>
      <c r="D927" s="2" t="s">
        <v>11285</v>
      </c>
      <c r="E927" s="2" t="s">
        <v>11286</v>
      </c>
      <c r="F927" s="2" t="s">
        <v>11287</v>
      </c>
      <c r="G927" s="2" t="s">
        <v>11288</v>
      </c>
      <c r="H927" s="2" t="s">
        <v>11289</v>
      </c>
      <c r="I927" s="2" t="s">
        <v>11290</v>
      </c>
      <c r="J927" s="2" t="s">
        <v>11291</v>
      </c>
      <c r="K927" s="2" t="s">
        <v>11292</v>
      </c>
      <c r="L927" s="2" t="s">
        <v>11293</v>
      </c>
      <c r="M927" s="2" t="s">
        <v>11294</v>
      </c>
      <c r="N927" s="2" t="s">
        <v>11295</v>
      </c>
      <c r="O927" s="2" t="s">
        <v>11296</v>
      </c>
      <c r="P927" s="2" t="s">
        <v>11283</v>
      </c>
    </row>
    <row r="928" spans="1:16">
      <c r="A928" s="1">
        <v>927</v>
      </c>
      <c r="B928" s="2" t="s">
        <v>11297</v>
      </c>
      <c r="C928" s="2" t="s">
        <v>11298</v>
      </c>
      <c r="D928" s="2" t="s">
        <v>11299</v>
      </c>
      <c r="E928" s="2" t="s">
        <v>11300</v>
      </c>
      <c r="F928" s="2" t="s">
        <v>11301</v>
      </c>
      <c r="G928" s="2" t="s">
        <v>11302</v>
      </c>
      <c r="H928" s="2" t="s">
        <v>11303</v>
      </c>
      <c r="I928" s="2" t="s">
        <v>11304</v>
      </c>
      <c r="J928" s="2" t="s">
        <v>11305</v>
      </c>
      <c r="K928" s="2" t="s">
        <v>11306</v>
      </c>
      <c r="L928" s="2" t="s">
        <v>11307</v>
      </c>
      <c r="M928" s="2" t="s">
        <v>11308</v>
      </c>
      <c r="N928" s="2" t="s">
        <v>11309</v>
      </c>
      <c r="O928" s="2" t="s">
        <v>11310</v>
      </c>
      <c r="P928" s="2" t="s">
        <v>11297</v>
      </c>
    </row>
    <row r="929" spans="1:16">
      <c r="A929" s="1">
        <v>928</v>
      </c>
      <c r="B929" s="2" t="s">
        <v>11311</v>
      </c>
      <c r="C929" s="2" t="s">
        <v>11312</v>
      </c>
      <c r="D929" s="2" t="s">
        <v>11313</v>
      </c>
      <c r="E929" s="2" t="s">
        <v>11314</v>
      </c>
      <c r="F929" s="2" t="s">
        <v>11315</v>
      </c>
      <c r="G929" s="2" t="s">
        <v>11316</v>
      </c>
      <c r="H929" s="2" t="s">
        <v>11317</v>
      </c>
      <c r="I929" s="2" t="s">
        <v>11318</v>
      </c>
      <c r="J929" s="2" t="s">
        <v>11319</v>
      </c>
      <c r="K929" s="2" t="s">
        <v>11320</v>
      </c>
      <c r="L929" s="2" t="s">
        <v>11321</v>
      </c>
      <c r="M929" s="2" t="s">
        <v>11322</v>
      </c>
      <c r="N929" s="2" t="s">
        <v>11323</v>
      </c>
      <c r="O929" s="2" t="s">
        <v>11324</v>
      </c>
      <c r="P929" s="2" t="s">
        <v>11311</v>
      </c>
    </row>
    <row r="930" spans="1:16">
      <c r="A930" s="1">
        <v>929</v>
      </c>
      <c r="B930" s="2" t="s">
        <v>11325</v>
      </c>
      <c r="C930" s="2" t="s">
        <v>11326</v>
      </c>
      <c r="D930" s="2" t="s">
        <v>11327</v>
      </c>
      <c r="E930" s="2" t="s">
        <v>11328</v>
      </c>
      <c r="F930" s="2" t="s">
        <v>11329</v>
      </c>
      <c r="G930" s="2" t="s">
        <v>11330</v>
      </c>
      <c r="H930" s="2" t="s">
        <v>11331</v>
      </c>
      <c r="I930" s="2" t="s">
        <v>9377</v>
      </c>
      <c r="J930" s="2" t="s">
        <v>11332</v>
      </c>
      <c r="K930" s="2" t="s">
        <v>11333</v>
      </c>
      <c r="L930" s="2" t="s">
        <v>11334</v>
      </c>
      <c r="M930" s="2" t="s">
        <v>11335</v>
      </c>
      <c r="N930" s="2" t="s">
        <v>11336</v>
      </c>
      <c r="O930" s="2" t="s">
        <v>11337</v>
      </c>
      <c r="P930" s="2" t="s">
        <v>11325</v>
      </c>
    </row>
    <row r="931" spans="1:16">
      <c r="A931" s="1">
        <v>930</v>
      </c>
      <c r="B931" s="2" t="s">
        <v>11338</v>
      </c>
      <c r="C931" s="2" t="s">
        <v>11339</v>
      </c>
      <c r="D931" s="2" t="s">
        <v>11340</v>
      </c>
      <c r="E931" s="2" t="s">
        <v>11341</v>
      </c>
      <c r="F931" s="2" t="s">
        <v>11342</v>
      </c>
      <c r="G931" s="2" t="s">
        <v>11343</v>
      </c>
      <c r="H931" s="2" t="s">
        <v>11344</v>
      </c>
      <c r="I931" s="2" t="s">
        <v>11345</v>
      </c>
      <c r="J931" s="2" t="s">
        <v>11346</v>
      </c>
      <c r="K931" s="2" t="s">
        <v>11347</v>
      </c>
      <c r="L931" s="2" t="s">
        <v>11348</v>
      </c>
      <c r="M931" s="2" t="s">
        <v>11349</v>
      </c>
      <c r="N931" s="2" t="s">
        <v>11350</v>
      </c>
      <c r="O931" s="2" t="s">
        <v>11351</v>
      </c>
      <c r="P931" s="2" t="s">
        <v>11338</v>
      </c>
    </row>
    <row r="932" spans="1:16">
      <c r="A932" s="1">
        <v>931</v>
      </c>
      <c r="B932" s="2" t="s">
        <v>11352</v>
      </c>
      <c r="C932" s="2" t="s">
        <v>11353</v>
      </c>
      <c r="D932" s="2" t="s">
        <v>11354</v>
      </c>
      <c r="E932" s="2" t="s">
        <v>11355</v>
      </c>
      <c r="F932" s="2" t="s">
        <v>11356</v>
      </c>
      <c r="G932" s="2" t="s">
        <v>11357</v>
      </c>
      <c r="H932" s="2" t="s">
        <v>11358</v>
      </c>
      <c r="I932" s="2" t="s">
        <v>11359</v>
      </c>
      <c r="J932" s="2" t="s">
        <v>11360</v>
      </c>
      <c r="K932" s="2" t="s">
        <v>11361</v>
      </c>
      <c r="L932" s="2" t="s">
        <v>11362</v>
      </c>
      <c r="M932" s="2" t="s">
        <v>11363</v>
      </c>
      <c r="N932" s="2" t="s">
        <v>11364</v>
      </c>
      <c r="O932" s="2" t="s">
        <v>11365</v>
      </c>
      <c r="P932" s="2" t="s">
        <v>11352</v>
      </c>
    </row>
    <row r="933" spans="1:16">
      <c r="A933" s="1">
        <v>932</v>
      </c>
      <c r="B933" s="2" t="s">
        <v>11366</v>
      </c>
      <c r="C933" s="2" t="s">
        <v>11367</v>
      </c>
      <c r="D933" s="2" t="s">
        <v>11368</v>
      </c>
      <c r="E933" s="2" t="s">
        <v>11369</v>
      </c>
      <c r="F933" s="2" t="s">
        <v>11370</v>
      </c>
      <c r="G933" s="2" t="s">
        <v>11371</v>
      </c>
      <c r="H933" s="2" t="s">
        <v>11372</v>
      </c>
      <c r="I933" s="2" t="s">
        <v>11373</v>
      </c>
      <c r="J933" s="2" t="s">
        <v>11374</v>
      </c>
      <c r="K933" s="2" t="s">
        <v>11375</v>
      </c>
      <c r="L933" s="2" t="s">
        <v>11376</v>
      </c>
      <c r="M933" s="2" t="s">
        <v>11377</v>
      </c>
      <c r="N933" s="2" t="s">
        <v>11378</v>
      </c>
      <c r="O933" s="2" t="s">
        <v>11379</v>
      </c>
      <c r="P933" s="2" t="s">
        <v>11366</v>
      </c>
    </row>
    <row r="934" spans="1:16">
      <c r="A934" s="1">
        <v>933</v>
      </c>
      <c r="B934" s="2" t="s">
        <v>11380</v>
      </c>
      <c r="C934" s="2" t="s">
        <v>11381</v>
      </c>
      <c r="D934" s="2" t="s">
        <v>11382</v>
      </c>
      <c r="E934" s="2" t="s">
        <v>11383</v>
      </c>
      <c r="F934" s="2" t="s">
        <v>11384</v>
      </c>
      <c r="G934" s="2" t="s">
        <v>11385</v>
      </c>
      <c r="H934" s="2" t="s">
        <v>11386</v>
      </c>
      <c r="I934" s="2" t="s">
        <v>11387</v>
      </c>
      <c r="J934" s="2" t="s">
        <v>11388</v>
      </c>
      <c r="K934" s="2" t="s">
        <v>11389</v>
      </c>
      <c r="L934" s="2" t="s">
        <v>11390</v>
      </c>
      <c r="M934" s="2" t="s">
        <v>11391</v>
      </c>
      <c r="N934" s="2" t="s">
        <v>11392</v>
      </c>
      <c r="O934" s="2" t="s">
        <v>11393</v>
      </c>
      <c r="P934" s="2" t="s">
        <v>11380</v>
      </c>
    </row>
    <row r="935" spans="1:16">
      <c r="A935" s="1">
        <v>934</v>
      </c>
      <c r="B935" s="2" t="s">
        <v>11394</v>
      </c>
      <c r="C935" s="2" t="s">
        <v>11395</v>
      </c>
      <c r="D935" s="2" t="s">
        <v>11327</v>
      </c>
      <c r="E935" s="2" t="s">
        <v>11396</v>
      </c>
      <c r="F935" s="2" t="s">
        <v>11397</v>
      </c>
      <c r="G935" s="2" t="s">
        <v>11398</v>
      </c>
      <c r="H935" s="2" t="s">
        <v>11399</v>
      </c>
      <c r="I935" s="2" t="s">
        <v>9377</v>
      </c>
      <c r="J935" s="2" t="s">
        <v>11400</v>
      </c>
      <c r="K935" s="2" t="s">
        <v>11401</v>
      </c>
      <c r="L935" s="2" t="s">
        <v>11402</v>
      </c>
      <c r="M935" s="2" t="s">
        <v>11403</v>
      </c>
      <c r="N935" s="2" t="s">
        <v>11336</v>
      </c>
      <c r="O935" s="2" t="s">
        <v>11404</v>
      </c>
      <c r="P935" s="2" t="s">
        <v>11394</v>
      </c>
    </row>
    <row r="936" spans="1:16">
      <c r="A936" s="1">
        <v>935</v>
      </c>
      <c r="B936" s="2" t="s">
        <v>11405</v>
      </c>
      <c r="C936" s="2" t="s">
        <v>11406</v>
      </c>
      <c r="D936" s="2" t="s">
        <v>11407</v>
      </c>
      <c r="E936" s="2" t="s">
        <v>11408</v>
      </c>
      <c r="F936" s="2" t="s">
        <v>11409</v>
      </c>
      <c r="G936" s="2" t="s">
        <v>11410</v>
      </c>
      <c r="H936" s="2" t="s">
        <v>9280</v>
      </c>
      <c r="I936" s="2" t="s">
        <v>11411</v>
      </c>
      <c r="J936" s="2" t="s">
        <v>11412</v>
      </c>
      <c r="K936" s="2" t="s">
        <v>11413</v>
      </c>
      <c r="L936" s="2" t="s">
        <v>11414</v>
      </c>
      <c r="M936" s="2" t="s">
        <v>11415</v>
      </c>
      <c r="N936" s="2" t="s">
        <v>11416</v>
      </c>
      <c r="O936" s="2" t="s">
        <v>11417</v>
      </c>
      <c r="P936" s="2" t="s">
        <v>11405</v>
      </c>
    </row>
    <row r="937" spans="1:16">
      <c r="A937" s="1">
        <v>936</v>
      </c>
      <c r="B937" s="2" t="s">
        <v>11418</v>
      </c>
      <c r="C937" s="2" t="s">
        <v>11419</v>
      </c>
      <c r="D937" s="2" t="s">
        <v>11420</v>
      </c>
      <c r="E937" s="2" t="s">
        <v>11421</v>
      </c>
      <c r="F937" s="2" t="s">
        <v>11422</v>
      </c>
      <c r="G937" s="2" t="s">
        <v>11423</v>
      </c>
      <c r="H937" s="2" t="s">
        <v>11424</v>
      </c>
      <c r="I937" s="2" t="s">
        <v>11425</v>
      </c>
      <c r="J937" s="2" t="s">
        <v>11426</v>
      </c>
      <c r="K937" s="2" t="s">
        <v>11427</v>
      </c>
      <c r="L937" s="2" t="s">
        <v>11428</v>
      </c>
      <c r="M937" s="2" t="s">
        <v>11429</v>
      </c>
      <c r="N937" s="2" t="s">
        <v>11430</v>
      </c>
      <c r="O937" s="2" t="s">
        <v>11431</v>
      </c>
      <c r="P937" s="2" t="s">
        <v>11418</v>
      </c>
    </row>
    <row r="938" spans="1:16">
      <c r="A938" s="1">
        <v>937</v>
      </c>
      <c r="B938" s="2" t="s">
        <v>11432</v>
      </c>
      <c r="C938" s="2" t="s">
        <v>11433</v>
      </c>
      <c r="D938" s="2" t="s">
        <v>11434</v>
      </c>
      <c r="E938" s="2" t="s">
        <v>11435</v>
      </c>
      <c r="F938" s="2" t="s">
        <v>11436</v>
      </c>
      <c r="G938" s="2" t="s">
        <v>11437</v>
      </c>
      <c r="H938" s="2" t="s">
        <v>11438</v>
      </c>
      <c r="I938" s="2" t="s">
        <v>11439</v>
      </c>
      <c r="J938" s="2" t="s">
        <v>11440</v>
      </c>
      <c r="K938" s="2" t="s">
        <v>11441</v>
      </c>
      <c r="L938" s="2" t="s">
        <v>11442</v>
      </c>
      <c r="M938" s="2" t="s">
        <v>11443</v>
      </c>
      <c r="N938" s="2" t="s">
        <v>11444</v>
      </c>
      <c r="O938" s="2" t="s">
        <v>11445</v>
      </c>
      <c r="P938" s="2" t="s">
        <v>11432</v>
      </c>
    </row>
    <row r="939" spans="1:16">
      <c r="A939" s="1">
        <v>938</v>
      </c>
      <c r="B939" s="2" t="s">
        <v>11446</v>
      </c>
      <c r="C939" s="2" t="s">
        <v>11447</v>
      </c>
      <c r="D939" s="2" t="s">
        <v>11448</v>
      </c>
      <c r="E939" s="2" t="s">
        <v>11449</v>
      </c>
      <c r="F939" s="2" t="s">
        <v>11450</v>
      </c>
      <c r="G939" s="2" t="s">
        <v>11451</v>
      </c>
      <c r="H939" s="2" t="s">
        <v>11452</v>
      </c>
      <c r="I939" s="2" t="s">
        <v>11453</v>
      </c>
      <c r="J939" s="2" t="s">
        <v>11454</v>
      </c>
      <c r="K939" s="2" t="s">
        <v>11455</v>
      </c>
      <c r="L939" s="2" t="s">
        <v>11456</v>
      </c>
      <c r="M939" s="2" t="s">
        <v>11457</v>
      </c>
      <c r="N939" s="2" t="s">
        <v>11458</v>
      </c>
      <c r="O939" s="2" t="s">
        <v>11459</v>
      </c>
      <c r="P939" s="2" t="s">
        <v>11446</v>
      </c>
    </row>
    <row r="940" spans="1:16">
      <c r="A940" s="1">
        <v>939</v>
      </c>
      <c r="B940" s="2" t="s">
        <v>11460</v>
      </c>
      <c r="C940" s="2" t="s">
        <v>11461</v>
      </c>
      <c r="D940" s="2" t="s">
        <v>11462</v>
      </c>
      <c r="E940" s="2" t="s">
        <v>11463</v>
      </c>
      <c r="F940" s="2" t="s">
        <v>11464</v>
      </c>
      <c r="G940" s="2" t="s">
        <v>11464</v>
      </c>
      <c r="H940" s="2" t="s">
        <v>11465</v>
      </c>
      <c r="I940" s="2" t="s">
        <v>11465</v>
      </c>
      <c r="J940" s="2" t="s">
        <v>11466</v>
      </c>
      <c r="K940" s="2" t="s">
        <v>11465</v>
      </c>
      <c r="L940" s="2" t="s">
        <v>11465</v>
      </c>
      <c r="M940" s="2" t="s">
        <v>11465</v>
      </c>
      <c r="N940" s="2" t="s">
        <v>11465</v>
      </c>
      <c r="O940" s="2" t="s">
        <v>11467</v>
      </c>
      <c r="P940" s="2" t="s">
        <v>11460</v>
      </c>
    </row>
    <row r="941" spans="1:16">
      <c r="A941" s="1">
        <v>940</v>
      </c>
      <c r="B941" s="2" t="s">
        <v>11468</v>
      </c>
      <c r="C941" s="2" t="s">
        <v>11469</v>
      </c>
      <c r="D941" s="2" t="s">
        <v>11470</v>
      </c>
      <c r="E941" s="2" t="s">
        <v>11468</v>
      </c>
      <c r="F941" s="2" t="s">
        <v>11471</v>
      </c>
      <c r="G941" s="2" t="s">
        <v>11472</v>
      </c>
      <c r="H941" s="2" t="s">
        <v>11473</v>
      </c>
      <c r="I941" s="2" t="s">
        <v>11469</v>
      </c>
      <c r="J941" s="2" t="s">
        <v>11474</v>
      </c>
      <c r="K941" s="2" t="s">
        <v>11475</v>
      </c>
      <c r="L941" s="2" t="s">
        <v>11469</v>
      </c>
      <c r="M941" s="2" t="s">
        <v>11476</v>
      </c>
      <c r="N941" s="2" t="s">
        <v>11476</v>
      </c>
      <c r="O941" s="2" t="s">
        <v>11477</v>
      </c>
      <c r="P941" s="2" t="s">
        <v>11468</v>
      </c>
    </row>
    <row r="942" spans="1:16">
      <c r="A942" s="1">
        <v>941</v>
      </c>
      <c r="B942" s="2" t="s">
        <v>11478</v>
      </c>
      <c r="C942" s="2" t="s">
        <v>11479</v>
      </c>
      <c r="D942" s="2" t="s">
        <v>11480</v>
      </c>
      <c r="E942" s="2" t="s">
        <v>11481</v>
      </c>
      <c r="F942" s="2" t="s">
        <v>11482</v>
      </c>
      <c r="G942" s="2" t="s">
        <v>11483</v>
      </c>
      <c r="H942" s="2" t="s">
        <v>11484</v>
      </c>
      <c r="I942" s="2" t="s">
        <v>11485</v>
      </c>
      <c r="J942" s="2" t="s">
        <v>11486</v>
      </c>
      <c r="K942" s="2" t="s">
        <v>11487</v>
      </c>
      <c r="L942" s="2" t="s">
        <v>11488</v>
      </c>
      <c r="M942" s="2" t="s">
        <v>11489</v>
      </c>
      <c r="N942" s="2" t="s">
        <v>11490</v>
      </c>
      <c r="O942" s="2" t="s">
        <v>11491</v>
      </c>
      <c r="P942" s="2" t="s">
        <v>11478</v>
      </c>
    </row>
    <row r="943" spans="1:16">
      <c r="A943" s="1">
        <v>942</v>
      </c>
      <c r="B943" s="2" t="s">
        <v>11492</v>
      </c>
      <c r="C943" s="2" t="s">
        <v>11493</v>
      </c>
      <c r="D943" s="2" t="s">
        <v>11494</v>
      </c>
      <c r="E943" s="2" t="s">
        <v>11492</v>
      </c>
      <c r="F943" s="2" t="s">
        <v>11495</v>
      </c>
      <c r="G943" s="2" t="s">
        <v>11496</v>
      </c>
      <c r="H943" s="2" t="s">
        <v>11497</v>
      </c>
      <c r="I943" s="2" t="s">
        <v>11493</v>
      </c>
      <c r="J943" s="2" t="s">
        <v>11498</v>
      </c>
      <c r="K943" s="2" t="s">
        <v>11499</v>
      </c>
      <c r="L943" s="2" t="s">
        <v>11498</v>
      </c>
      <c r="M943" s="2" t="s">
        <v>11498</v>
      </c>
      <c r="N943" s="2" t="s">
        <v>11498</v>
      </c>
      <c r="O943" s="2" t="s">
        <v>11500</v>
      </c>
      <c r="P943" s="2" t="s">
        <v>11492</v>
      </c>
    </row>
    <row r="944" spans="1:16">
      <c r="A944" s="1">
        <v>943</v>
      </c>
      <c r="B944" s="2" t="s">
        <v>11501</v>
      </c>
      <c r="C944" s="2" t="s">
        <v>11502</v>
      </c>
      <c r="D944" s="2" t="s">
        <v>11503</v>
      </c>
      <c r="E944" s="2" t="s">
        <v>11504</v>
      </c>
      <c r="F944" s="2" t="s">
        <v>11505</v>
      </c>
      <c r="G944" s="2" t="s">
        <v>11506</v>
      </c>
      <c r="H944" s="2" t="s">
        <v>11507</v>
      </c>
      <c r="I944" s="2" t="s">
        <v>11508</v>
      </c>
      <c r="J944" s="2" t="s">
        <v>11509</v>
      </c>
      <c r="K944" s="2" t="s">
        <v>11510</v>
      </c>
      <c r="L944" s="2" t="s">
        <v>11511</v>
      </c>
      <c r="M944" s="2" t="s">
        <v>11512</v>
      </c>
      <c r="N944" s="2" t="s">
        <v>11513</v>
      </c>
      <c r="O944" s="2" t="s">
        <v>11514</v>
      </c>
      <c r="P944" s="2" t="s">
        <v>11501</v>
      </c>
    </row>
    <row r="945" spans="1:16">
      <c r="A945" s="1">
        <v>944</v>
      </c>
      <c r="B945" s="2" t="s">
        <v>11515</v>
      </c>
      <c r="C945" s="2" t="s">
        <v>11516</v>
      </c>
      <c r="D945" s="2" t="s">
        <v>11517</v>
      </c>
      <c r="E945" s="2" t="s">
        <v>11518</v>
      </c>
      <c r="F945" s="2" t="s">
        <v>11519</v>
      </c>
      <c r="G945" s="2" t="s">
        <v>11520</v>
      </c>
      <c r="H945" s="2" t="s">
        <v>11521</v>
      </c>
      <c r="I945" s="2" t="s">
        <v>11522</v>
      </c>
      <c r="J945" s="2" t="s">
        <v>11523</v>
      </c>
      <c r="K945" s="2" t="s">
        <v>11524</v>
      </c>
      <c r="L945" s="2" t="s">
        <v>11525</v>
      </c>
      <c r="M945" s="2" t="s">
        <v>11526</v>
      </c>
      <c r="N945" s="2" t="s">
        <v>11527</v>
      </c>
      <c r="O945" s="2" t="s">
        <v>11528</v>
      </c>
      <c r="P945" s="2" t="s">
        <v>11515</v>
      </c>
    </row>
    <row r="946" spans="1:16">
      <c r="A946" s="1">
        <v>945</v>
      </c>
      <c r="B946" s="2" t="s">
        <v>11529</v>
      </c>
      <c r="C946" s="2" t="s">
        <v>11530</v>
      </c>
      <c r="D946" s="2" t="s">
        <v>11531</v>
      </c>
      <c r="E946" s="2" t="s">
        <v>11532</v>
      </c>
      <c r="F946" s="2" t="s">
        <v>11533</v>
      </c>
      <c r="G946" s="2" t="s">
        <v>11534</v>
      </c>
      <c r="H946" s="2" t="s">
        <v>11535</v>
      </c>
      <c r="I946" s="2" t="s">
        <v>11536</v>
      </c>
      <c r="J946" s="2" t="s">
        <v>11537</v>
      </c>
      <c r="K946" s="2" t="s">
        <v>11538</v>
      </c>
      <c r="L946" s="2" t="s">
        <v>11539</v>
      </c>
      <c r="M946" s="2" t="s">
        <v>11540</v>
      </c>
      <c r="N946" s="2" t="s">
        <v>11541</v>
      </c>
      <c r="O946" s="2" t="s">
        <v>11542</v>
      </c>
      <c r="P946" s="2" t="s">
        <v>11529</v>
      </c>
    </row>
    <row r="947" spans="1:16">
      <c r="A947" s="1">
        <v>946</v>
      </c>
      <c r="B947" s="2" t="s">
        <v>11543</v>
      </c>
      <c r="C947" s="2" t="s">
        <v>11544</v>
      </c>
      <c r="D947" s="2" t="s">
        <v>11545</v>
      </c>
      <c r="E947" s="2" t="s">
        <v>11546</v>
      </c>
      <c r="F947" s="2" t="s">
        <v>11547</v>
      </c>
      <c r="G947" s="2" t="s">
        <v>11548</v>
      </c>
      <c r="H947" s="2" t="s">
        <v>11549</v>
      </c>
      <c r="I947" s="2" t="s">
        <v>11550</v>
      </c>
      <c r="J947" s="2" t="s">
        <v>11551</v>
      </c>
      <c r="K947" s="2" t="s">
        <v>11552</v>
      </c>
      <c r="L947" s="2" t="s">
        <v>11553</v>
      </c>
      <c r="M947" s="2" t="s">
        <v>11554</v>
      </c>
      <c r="N947" s="2" t="s">
        <v>11555</v>
      </c>
      <c r="O947" s="2" t="s">
        <v>11556</v>
      </c>
      <c r="P947" s="2" t="s">
        <v>11543</v>
      </c>
    </row>
    <row r="948" spans="1:16">
      <c r="A948" s="1">
        <v>947</v>
      </c>
      <c r="B948" s="2" t="s">
        <v>11557</v>
      </c>
      <c r="C948" s="2" t="s">
        <v>11558</v>
      </c>
      <c r="D948" s="2" t="s">
        <v>11559</v>
      </c>
      <c r="E948" s="2" t="s">
        <v>11560</v>
      </c>
      <c r="F948" s="2" t="s">
        <v>11561</v>
      </c>
      <c r="G948" s="2" t="s">
        <v>11562</v>
      </c>
      <c r="H948" s="2" t="s">
        <v>11563</v>
      </c>
      <c r="I948" s="2" t="s">
        <v>11564</v>
      </c>
      <c r="J948" s="2" t="s">
        <v>11565</v>
      </c>
      <c r="K948" s="2" t="s">
        <v>11566</v>
      </c>
      <c r="L948" s="2" t="s">
        <v>11567</v>
      </c>
      <c r="M948" s="2" t="s">
        <v>11568</v>
      </c>
      <c r="N948" s="2" t="s">
        <v>11569</v>
      </c>
      <c r="O948" s="2" t="s">
        <v>11570</v>
      </c>
      <c r="P948" s="2" t="s">
        <v>11557</v>
      </c>
    </row>
    <row r="949" spans="1:16">
      <c r="A949" s="1">
        <v>948</v>
      </c>
      <c r="B949" s="2" t="s">
        <v>11571</v>
      </c>
      <c r="C949" s="2" t="s">
        <v>11572</v>
      </c>
      <c r="D949" s="2" t="s">
        <v>11573</v>
      </c>
      <c r="E949" s="2" t="s">
        <v>11574</v>
      </c>
      <c r="F949" s="2" t="s">
        <v>11575</v>
      </c>
      <c r="G949" s="2" t="s">
        <v>11576</v>
      </c>
      <c r="H949" s="2" t="s">
        <v>11577</v>
      </c>
      <c r="I949" s="2" t="s">
        <v>11578</v>
      </c>
      <c r="J949" s="2" t="s">
        <v>11579</v>
      </c>
      <c r="K949" s="2" t="s">
        <v>11580</v>
      </c>
      <c r="L949" s="2" t="s">
        <v>11581</v>
      </c>
      <c r="M949" s="2" t="s">
        <v>11582</v>
      </c>
      <c r="N949" s="2" t="s">
        <v>11583</v>
      </c>
      <c r="O949" s="2" t="s">
        <v>11584</v>
      </c>
      <c r="P949" s="2" t="s">
        <v>11571</v>
      </c>
    </row>
    <row r="950" spans="1:16">
      <c r="A950" s="1">
        <v>949</v>
      </c>
      <c r="B950" s="2" t="s">
        <v>11585</v>
      </c>
      <c r="C950" s="2" t="s">
        <v>11586</v>
      </c>
      <c r="D950" s="2" t="s">
        <v>11587</v>
      </c>
      <c r="E950" s="2" t="s">
        <v>11588</v>
      </c>
      <c r="F950" s="2" t="s">
        <v>11589</v>
      </c>
      <c r="G950" s="2" t="s">
        <v>11590</v>
      </c>
      <c r="H950" s="2" t="s">
        <v>11591</v>
      </c>
      <c r="I950" s="2" t="s">
        <v>11592</v>
      </c>
      <c r="J950" s="2" t="s">
        <v>11593</v>
      </c>
      <c r="K950" s="2" t="s">
        <v>11594</v>
      </c>
      <c r="L950" s="2" t="s">
        <v>11595</v>
      </c>
      <c r="M950" s="2" t="s">
        <v>11596</v>
      </c>
      <c r="N950" s="2" t="s">
        <v>11597</v>
      </c>
      <c r="O950" s="2" t="s">
        <v>11598</v>
      </c>
      <c r="P950" s="2" t="s">
        <v>11585</v>
      </c>
    </row>
    <row r="951" spans="1:16">
      <c r="A951" s="1">
        <v>950</v>
      </c>
      <c r="B951" s="2" t="s">
        <v>11599</v>
      </c>
      <c r="C951" s="2" t="s">
        <v>11600</v>
      </c>
      <c r="D951" s="2" t="s">
        <v>11601</v>
      </c>
      <c r="E951" s="2" t="s">
        <v>11602</v>
      </c>
      <c r="F951" s="2" t="s">
        <v>11603</v>
      </c>
      <c r="G951" s="2" t="s">
        <v>11604</v>
      </c>
      <c r="H951" s="2" t="s">
        <v>11605</v>
      </c>
      <c r="I951" s="2" t="s">
        <v>11606</v>
      </c>
      <c r="J951" s="2" t="s">
        <v>11607</v>
      </c>
      <c r="K951" s="2" t="s">
        <v>11608</v>
      </c>
      <c r="L951" s="2" t="s">
        <v>11609</v>
      </c>
      <c r="M951" s="2" t="s">
        <v>11610</v>
      </c>
      <c r="N951" s="2" t="s">
        <v>11611</v>
      </c>
      <c r="O951" s="2" t="s">
        <v>11612</v>
      </c>
      <c r="P951" s="2" t="s">
        <v>11599</v>
      </c>
    </row>
    <row r="952" spans="1:16">
      <c r="A952" s="1">
        <v>951</v>
      </c>
      <c r="B952" s="2" t="s">
        <v>11613</v>
      </c>
      <c r="C952" s="2" t="s">
        <v>11614</v>
      </c>
      <c r="D952" s="2" t="s">
        <v>11615</v>
      </c>
      <c r="E952" s="2" t="s">
        <v>11616</v>
      </c>
      <c r="F952" s="2" t="s">
        <v>11617</v>
      </c>
      <c r="G952" s="2" t="s">
        <v>11618</v>
      </c>
      <c r="H952" s="2" t="s">
        <v>11619</v>
      </c>
      <c r="I952" s="2" t="s">
        <v>11620</v>
      </c>
      <c r="J952" s="2" t="s">
        <v>11621</v>
      </c>
      <c r="K952" s="2" t="s">
        <v>11622</v>
      </c>
      <c r="L952" s="2" t="s">
        <v>11623</v>
      </c>
      <c r="M952" s="2" t="s">
        <v>11624</v>
      </c>
      <c r="N952" s="2" t="s">
        <v>11625</v>
      </c>
      <c r="O952" s="2" t="s">
        <v>11626</v>
      </c>
      <c r="P952" s="2" t="s">
        <v>11613</v>
      </c>
    </row>
    <row r="953" spans="1:16">
      <c r="A953" s="1">
        <v>952</v>
      </c>
      <c r="B953" s="2" t="s">
        <v>11627</v>
      </c>
      <c r="C953" s="2" t="s">
        <v>11628</v>
      </c>
      <c r="D953" s="2" t="s">
        <v>11629</v>
      </c>
      <c r="E953" s="2" t="s">
        <v>11630</v>
      </c>
      <c r="F953" s="2" t="s">
        <v>11631</v>
      </c>
      <c r="G953" s="2" t="s">
        <v>11632</v>
      </c>
      <c r="H953" s="2" t="s">
        <v>11633</v>
      </c>
      <c r="I953" s="2" t="s">
        <v>11634</v>
      </c>
      <c r="J953" s="2" t="s">
        <v>11635</v>
      </c>
      <c r="K953" s="2" t="s">
        <v>11636</v>
      </c>
      <c r="L953" s="2" t="s">
        <v>11637</v>
      </c>
      <c r="M953" s="2" t="s">
        <v>11638</v>
      </c>
      <c r="N953" s="2" t="s">
        <v>11639</v>
      </c>
      <c r="O953" s="2" t="s">
        <v>11640</v>
      </c>
      <c r="P953" s="2" t="s">
        <v>11627</v>
      </c>
    </row>
    <row r="954" spans="1:16">
      <c r="A954" s="1">
        <v>953</v>
      </c>
      <c r="B954" s="2" t="s">
        <v>11641</v>
      </c>
      <c r="C954" s="2" t="s">
        <v>11642</v>
      </c>
      <c r="D954" s="2" t="s">
        <v>11643</v>
      </c>
      <c r="E954" s="2" t="s">
        <v>11644</v>
      </c>
      <c r="F954" s="2" t="s">
        <v>11645</v>
      </c>
      <c r="G954" s="2" t="s">
        <v>11646</v>
      </c>
      <c r="H954" s="2" t="s">
        <v>11647</v>
      </c>
      <c r="I954" s="2" t="s">
        <v>11648</v>
      </c>
      <c r="J954" s="2" t="s">
        <v>11649</v>
      </c>
      <c r="K954" s="2" t="s">
        <v>11650</v>
      </c>
      <c r="L954" s="2" t="s">
        <v>11651</v>
      </c>
      <c r="M954" s="2" t="s">
        <v>11652</v>
      </c>
      <c r="N954" s="2" t="s">
        <v>11653</v>
      </c>
      <c r="O954" s="2" t="s">
        <v>11654</v>
      </c>
      <c r="P954" s="2" t="s">
        <v>11641</v>
      </c>
    </row>
    <row r="955" spans="1:16">
      <c r="A955" s="1">
        <v>954</v>
      </c>
      <c r="B955" s="2" t="s">
        <v>11655</v>
      </c>
      <c r="C955" s="2" t="s">
        <v>11656</v>
      </c>
      <c r="D955" s="2" t="s">
        <v>11657</v>
      </c>
      <c r="E955" s="2" t="s">
        <v>11658</v>
      </c>
      <c r="F955" s="2" t="s">
        <v>11659</v>
      </c>
      <c r="G955" s="2" t="s">
        <v>11660</v>
      </c>
      <c r="H955" s="2" t="s">
        <v>11661</v>
      </c>
      <c r="I955" s="2" t="s">
        <v>11662</v>
      </c>
      <c r="J955" s="2" t="s">
        <v>11663</v>
      </c>
      <c r="K955" s="2" t="s">
        <v>11664</v>
      </c>
      <c r="L955" s="2" t="s">
        <v>11665</v>
      </c>
      <c r="M955" s="2" t="s">
        <v>11666</v>
      </c>
      <c r="N955" s="2" t="s">
        <v>11667</v>
      </c>
      <c r="O955" s="2" t="s">
        <v>11668</v>
      </c>
      <c r="P955" s="2" t="s">
        <v>11655</v>
      </c>
    </row>
    <row r="956" spans="1:16">
      <c r="A956" s="1">
        <v>955</v>
      </c>
      <c r="B956" s="2" t="s">
        <v>11669</v>
      </c>
      <c r="C956" s="2" t="s">
        <v>11670</v>
      </c>
      <c r="D956" s="2" t="s">
        <v>11671</v>
      </c>
      <c r="E956" s="2" t="s">
        <v>11672</v>
      </c>
      <c r="F956" s="2" t="s">
        <v>11673</v>
      </c>
      <c r="G956" s="2" t="s">
        <v>11674</v>
      </c>
      <c r="H956" s="2" t="s">
        <v>11675</v>
      </c>
      <c r="I956" s="2" t="s">
        <v>11676</v>
      </c>
      <c r="J956" s="2" t="s">
        <v>11677</v>
      </c>
      <c r="K956" s="2" t="s">
        <v>11678</v>
      </c>
      <c r="L956" s="2" t="s">
        <v>11679</v>
      </c>
      <c r="M956" s="2" t="s">
        <v>11680</v>
      </c>
      <c r="N956" s="2" t="s">
        <v>11681</v>
      </c>
      <c r="O956" s="2" t="s">
        <v>11682</v>
      </c>
      <c r="P956" s="2" t="s">
        <v>11669</v>
      </c>
    </row>
    <row r="957" spans="1:16">
      <c r="A957" s="1">
        <v>956</v>
      </c>
      <c r="B957" s="2" t="s">
        <v>11683</v>
      </c>
      <c r="C957" s="2" t="s">
        <v>11684</v>
      </c>
      <c r="D957" s="2" t="s">
        <v>11685</v>
      </c>
      <c r="E957" s="2" t="s">
        <v>11686</v>
      </c>
      <c r="F957" s="2" t="s">
        <v>11687</v>
      </c>
      <c r="G957" s="2" t="s">
        <v>11688</v>
      </c>
      <c r="H957" s="2" t="s">
        <v>11689</v>
      </c>
      <c r="I957" s="2" t="s">
        <v>11690</v>
      </c>
      <c r="J957" s="2" t="s">
        <v>11691</v>
      </c>
      <c r="K957" s="2" t="s">
        <v>11692</v>
      </c>
      <c r="L957" s="2" t="s">
        <v>11693</v>
      </c>
      <c r="M957" s="2" t="s">
        <v>11694</v>
      </c>
      <c r="N957" s="2" t="s">
        <v>11695</v>
      </c>
      <c r="O957" s="2" t="s">
        <v>11696</v>
      </c>
      <c r="P957" s="2" t="s">
        <v>11683</v>
      </c>
    </row>
    <row r="958" spans="1:16">
      <c r="A958" s="1">
        <v>957</v>
      </c>
      <c r="B958" s="2" t="s">
        <v>11697</v>
      </c>
      <c r="C958" s="2" t="s">
        <v>11698</v>
      </c>
      <c r="D958" s="2" t="s">
        <v>11699</v>
      </c>
      <c r="E958" s="2" t="s">
        <v>11700</v>
      </c>
      <c r="F958" s="2" t="s">
        <v>11701</v>
      </c>
      <c r="G958" s="2" t="s">
        <v>11702</v>
      </c>
      <c r="H958" s="2" t="s">
        <v>11703</v>
      </c>
      <c r="I958" s="2" t="s">
        <v>11704</v>
      </c>
      <c r="J958" s="2" t="s">
        <v>11705</v>
      </c>
      <c r="K958" s="2" t="s">
        <v>11706</v>
      </c>
      <c r="L958" s="2" t="s">
        <v>11707</v>
      </c>
      <c r="M958" s="2" t="s">
        <v>11708</v>
      </c>
      <c r="N958" s="2" t="s">
        <v>11709</v>
      </c>
      <c r="O958" s="2" t="s">
        <v>11706</v>
      </c>
      <c r="P958" s="2" t="s">
        <v>11697</v>
      </c>
    </row>
    <row r="959" spans="1:16">
      <c r="A959" s="1">
        <v>958</v>
      </c>
      <c r="B959" s="2" t="s">
        <v>22837</v>
      </c>
      <c r="C959" s="2" t="s">
        <v>11711</v>
      </c>
      <c r="D959" s="2" t="s">
        <v>11712</v>
      </c>
      <c r="E959" s="2" t="s">
        <v>11713</v>
      </c>
      <c r="F959" s="2" t="s">
        <v>11714</v>
      </c>
      <c r="G959" s="2" t="s">
        <v>11715</v>
      </c>
      <c r="H959" s="2" t="s">
        <v>11716</v>
      </c>
      <c r="I959" s="2" t="s">
        <v>11717</v>
      </c>
      <c r="J959" s="2" t="s">
        <v>11718</v>
      </c>
      <c r="K959" s="2" t="s">
        <v>11719</v>
      </c>
      <c r="L959" s="2" t="s">
        <v>11720</v>
      </c>
      <c r="M959" s="2" t="s">
        <v>11721</v>
      </c>
      <c r="N959" s="2" t="s">
        <v>11722</v>
      </c>
      <c r="O959" s="2" t="s">
        <v>11723</v>
      </c>
      <c r="P959" s="2" t="s">
        <v>11710</v>
      </c>
    </row>
    <row r="960" spans="1:16">
      <c r="A960" s="1">
        <v>959</v>
      </c>
      <c r="B960" s="2" t="s">
        <v>11724</v>
      </c>
      <c r="C960" s="2" t="s">
        <v>11725</v>
      </c>
      <c r="D960" s="2" t="s">
        <v>25699</v>
      </c>
      <c r="E960" s="2" t="s">
        <v>11726</v>
      </c>
      <c r="F960" s="2" t="s">
        <v>11727</v>
      </c>
      <c r="G960" s="2" t="s">
        <v>11728</v>
      </c>
      <c r="H960" s="2" t="s">
        <v>11729</v>
      </c>
      <c r="I960" s="2" t="s">
        <v>11727</v>
      </c>
      <c r="J960" s="2" t="s">
        <v>11730</v>
      </c>
      <c r="K960" s="2" t="s">
        <v>11731</v>
      </c>
      <c r="L960" s="2" t="s">
        <v>11730</v>
      </c>
      <c r="M960" s="2" t="s">
        <v>11732</v>
      </c>
      <c r="N960" s="2" t="s">
        <v>11733</v>
      </c>
      <c r="O960" s="2" t="s">
        <v>11734</v>
      </c>
      <c r="P960" s="2" t="s">
        <v>11724</v>
      </c>
    </row>
    <row r="961" spans="1:16" ht="16.5">
      <c r="A961" s="1">
        <v>960</v>
      </c>
      <c r="B961" s="2" t="s">
        <v>11735</v>
      </c>
      <c r="C961" s="2" t="s">
        <v>11736</v>
      </c>
      <c r="D961" s="2" t="s">
        <v>11737</v>
      </c>
      <c r="E961" s="2" t="s">
        <v>11738</v>
      </c>
      <c r="F961" s="2" t="s">
        <v>11739</v>
      </c>
      <c r="G961" s="2" t="s">
        <v>11740</v>
      </c>
      <c r="H961" s="2" t="s">
        <v>11741</v>
      </c>
      <c r="I961" s="2" t="s">
        <v>11742</v>
      </c>
      <c r="J961" s="2" t="s">
        <v>11743</v>
      </c>
      <c r="K961" s="2" t="s">
        <v>11744</v>
      </c>
      <c r="L961" s="2" t="s">
        <v>11745</v>
      </c>
      <c r="M961" s="2" t="s">
        <v>11746</v>
      </c>
      <c r="N961" s="2" t="s">
        <v>11747</v>
      </c>
      <c r="O961" s="2" t="s">
        <v>11748</v>
      </c>
      <c r="P961" s="2" t="s">
        <v>11735</v>
      </c>
    </row>
    <row r="962" spans="1:16">
      <c r="A962" s="1">
        <v>961</v>
      </c>
      <c r="B962" s="2" t="s">
        <v>11749</v>
      </c>
      <c r="C962" s="2" t="s">
        <v>11750</v>
      </c>
      <c r="D962" s="2" t="s">
        <v>11751</v>
      </c>
      <c r="E962" s="2" t="s">
        <v>11752</v>
      </c>
      <c r="F962" s="2" t="s">
        <v>11753</v>
      </c>
      <c r="G962" s="2" t="s">
        <v>11754</v>
      </c>
      <c r="H962" s="2" t="s">
        <v>11755</v>
      </c>
      <c r="I962" s="2" t="s">
        <v>11756</v>
      </c>
      <c r="J962" s="2" t="s">
        <v>11757</v>
      </c>
      <c r="K962" s="2" t="s">
        <v>11758</v>
      </c>
      <c r="L962" s="2" t="s">
        <v>11759</v>
      </c>
      <c r="M962" s="2" t="s">
        <v>11760</v>
      </c>
      <c r="N962" s="2" t="s">
        <v>11761</v>
      </c>
      <c r="O962" s="2" t="s">
        <v>11762</v>
      </c>
      <c r="P962" s="2" t="s">
        <v>11749</v>
      </c>
    </row>
    <row r="963" spans="1:16">
      <c r="A963" s="1">
        <v>962</v>
      </c>
      <c r="B963" s="2" t="s">
        <v>25700</v>
      </c>
      <c r="C963" s="2" t="s">
        <v>25701</v>
      </c>
      <c r="D963" s="2" t="s">
        <v>11763</v>
      </c>
      <c r="E963" s="2" t="s">
        <v>25702</v>
      </c>
      <c r="F963" s="2" t="s">
        <v>25703</v>
      </c>
      <c r="G963" s="2" t="s">
        <v>25704</v>
      </c>
      <c r="H963" s="2" t="s">
        <v>25705</v>
      </c>
      <c r="I963" s="2" t="s">
        <v>25706</v>
      </c>
      <c r="J963" s="2" t="s">
        <v>25707</v>
      </c>
      <c r="K963" s="2" t="s">
        <v>25708</v>
      </c>
      <c r="L963" s="2" t="s">
        <v>25709</v>
      </c>
      <c r="M963" s="2" t="s">
        <v>25710</v>
      </c>
      <c r="N963" s="2" t="s">
        <v>25711</v>
      </c>
      <c r="O963" s="2" t="s">
        <v>25712</v>
      </c>
      <c r="P963" s="2" t="s">
        <v>25713</v>
      </c>
    </row>
    <row r="964" spans="1:16">
      <c r="A964" s="1">
        <v>963</v>
      </c>
      <c r="B964" s="2" t="s">
        <v>11764</v>
      </c>
      <c r="C964" s="2" t="s">
        <v>11765</v>
      </c>
      <c r="D964" s="2" t="s">
        <v>11766</v>
      </c>
      <c r="E964" s="2" t="s">
        <v>11767</v>
      </c>
      <c r="F964" s="2" t="s">
        <v>11768</v>
      </c>
      <c r="G964" s="2" t="s">
        <v>11769</v>
      </c>
      <c r="H964" s="2" t="s">
        <v>11770</v>
      </c>
      <c r="I964" s="2" t="s">
        <v>11771</v>
      </c>
      <c r="J964" s="2" t="s">
        <v>11772</v>
      </c>
      <c r="K964" s="2" t="s">
        <v>11773</v>
      </c>
      <c r="L964" s="2" t="s">
        <v>11774</v>
      </c>
      <c r="M964" s="2" t="s">
        <v>11775</v>
      </c>
      <c r="N964" s="2" t="s">
        <v>11776</v>
      </c>
      <c r="O964" s="2" t="s">
        <v>11777</v>
      </c>
      <c r="P964" s="2" t="s">
        <v>11764</v>
      </c>
    </row>
    <row r="965" spans="1:16">
      <c r="A965" s="1">
        <v>964</v>
      </c>
      <c r="B965" s="2" t="s">
        <v>11778</v>
      </c>
      <c r="C965" s="2" t="s">
        <v>11779</v>
      </c>
      <c r="D965" s="2" t="s">
        <v>11780</v>
      </c>
      <c r="E965" s="2" t="s">
        <v>11781</v>
      </c>
      <c r="F965" s="2" t="s">
        <v>11782</v>
      </c>
      <c r="G965" s="2" t="s">
        <v>11783</v>
      </c>
      <c r="H965" s="2" t="s">
        <v>11784</v>
      </c>
      <c r="I965" s="2" t="s">
        <v>11785</v>
      </c>
      <c r="J965" s="2" t="s">
        <v>11786</v>
      </c>
      <c r="K965" s="2" t="s">
        <v>11787</v>
      </c>
      <c r="L965" s="2" t="s">
        <v>11788</v>
      </c>
      <c r="M965" s="2" t="s">
        <v>11789</v>
      </c>
      <c r="N965" s="2" t="s">
        <v>11790</v>
      </c>
      <c r="O965" s="2" t="s">
        <v>11791</v>
      </c>
      <c r="P965" s="2" t="s">
        <v>11778</v>
      </c>
    </row>
    <row r="966" spans="1:16">
      <c r="A966" s="1">
        <v>965</v>
      </c>
      <c r="B966" s="2" t="s">
        <v>11792</v>
      </c>
      <c r="C966" s="2" t="s">
        <v>11793</v>
      </c>
      <c r="D966" s="2" t="s">
        <v>11794</v>
      </c>
      <c r="E966" s="2" t="s">
        <v>11795</v>
      </c>
      <c r="F966" s="2" t="s">
        <v>11796</v>
      </c>
      <c r="G966" s="2" t="s">
        <v>11797</v>
      </c>
      <c r="H966" s="2" t="s">
        <v>11798</v>
      </c>
      <c r="I966" s="2" t="s">
        <v>11799</v>
      </c>
      <c r="J966" s="2" t="s">
        <v>11800</v>
      </c>
      <c r="K966" s="2" t="s">
        <v>11801</v>
      </c>
      <c r="L966" s="2" t="s">
        <v>11802</v>
      </c>
      <c r="M966" s="2" t="s">
        <v>11803</v>
      </c>
      <c r="N966" s="2" t="s">
        <v>11804</v>
      </c>
      <c r="O966" s="2" t="s">
        <v>11805</v>
      </c>
      <c r="P966" s="2" t="s">
        <v>11792</v>
      </c>
    </row>
    <row r="967" spans="1:16">
      <c r="A967" s="1">
        <v>966</v>
      </c>
      <c r="B967" s="2" t="s">
        <v>11806</v>
      </c>
      <c r="C967" s="2" t="s">
        <v>11807</v>
      </c>
      <c r="D967" s="2" t="s">
        <v>11808</v>
      </c>
      <c r="E967" s="2" t="s">
        <v>11809</v>
      </c>
      <c r="F967" s="2" t="s">
        <v>11810</v>
      </c>
      <c r="G967" s="2" t="s">
        <v>11811</v>
      </c>
      <c r="H967" s="2" t="s">
        <v>11812</v>
      </c>
      <c r="I967" s="2" t="s">
        <v>11813</v>
      </c>
      <c r="J967" s="2" t="s">
        <v>11814</v>
      </c>
      <c r="K967" s="2" t="s">
        <v>11815</v>
      </c>
      <c r="L967" s="2" t="s">
        <v>11816</v>
      </c>
      <c r="M967" s="2" t="s">
        <v>11817</v>
      </c>
      <c r="N967" s="2" t="s">
        <v>11818</v>
      </c>
      <c r="O967" s="2" t="s">
        <v>11819</v>
      </c>
      <c r="P967" s="2" t="s">
        <v>11806</v>
      </c>
    </row>
    <row r="968" spans="1:16">
      <c r="A968" s="1">
        <v>967</v>
      </c>
      <c r="B968" s="2" t="s">
        <v>11820</v>
      </c>
      <c r="C968" s="2" t="s">
        <v>11821</v>
      </c>
      <c r="D968" s="2" t="s">
        <v>11822</v>
      </c>
      <c r="E968" s="2" t="s">
        <v>25714</v>
      </c>
      <c r="F968" s="2" t="s">
        <v>11823</v>
      </c>
      <c r="G968" s="2" t="s">
        <v>11824</v>
      </c>
      <c r="H968" s="2" t="s">
        <v>11825</v>
      </c>
      <c r="I968" s="2" t="s">
        <v>11826</v>
      </c>
      <c r="J968" s="2" t="s">
        <v>11827</v>
      </c>
      <c r="K968" s="2" t="s">
        <v>11828</v>
      </c>
      <c r="L968" s="2" t="s">
        <v>11829</v>
      </c>
      <c r="M968" s="2" t="s">
        <v>11830</v>
      </c>
      <c r="N968" s="2" t="s">
        <v>11831</v>
      </c>
      <c r="O968" s="2" t="s">
        <v>11832</v>
      </c>
      <c r="P968" s="2" t="s">
        <v>11820</v>
      </c>
    </row>
    <row r="969" spans="1:16">
      <c r="A969" s="1">
        <v>968</v>
      </c>
      <c r="B969" s="2" t="s">
        <v>11833</v>
      </c>
      <c r="C969" s="2" t="s">
        <v>11834</v>
      </c>
      <c r="D969" s="2" t="s">
        <v>11835</v>
      </c>
      <c r="E969" s="2" t="s">
        <v>25715</v>
      </c>
      <c r="F969" s="2" t="s">
        <v>11836</v>
      </c>
      <c r="G969" s="2" t="s">
        <v>11837</v>
      </c>
      <c r="H969" s="2" t="s">
        <v>11838</v>
      </c>
      <c r="I969" s="2" t="s">
        <v>11839</v>
      </c>
      <c r="J969" s="2" t="s">
        <v>11840</v>
      </c>
      <c r="K969" s="2" t="s">
        <v>11841</v>
      </c>
      <c r="L969" s="2" t="s">
        <v>11842</v>
      </c>
      <c r="M969" s="2" t="s">
        <v>11843</v>
      </c>
      <c r="N969" s="2" t="s">
        <v>11844</v>
      </c>
      <c r="O969" s="2" t="s">
        <v>11845</v>
      </c>
      <c r="P969" s="2" t="s">
        <v>11833</v>
      </c>
    </row>
    <row r="970" spans="1:16">
      <c r="A970" s="1">
        <v>969</v>
      </c>
      <c r="B970" s="2" t="s">
        <v>11846</v>
      </c>
      <c r="C970" s="2" t="s">
        <v>11847</v>
      </c>
      <c r="D970" s="2" t="s">
        <v>11848</v>
      </c>
      <c r="E970" s="2" t="s">
        <v>11849</v>
      </c>
      <c r="F970" s="2" t="s">
        <v>11850</v>
      </c>
      <c r="G970" s="2" t="s">
        <v>11851</v>
      </c>
      <c r="H970" s="2" t="s">
        <v>11852</v>
      </c>
      <c r="I970" s="2" t="s">
        <v>11853</v>
      </c>
      <c r="J970" s="2" t="s">
        <v>11854</v>
      </c>
      <c r="K970" s="2" t="s">
        <v>11855</v>
      </c>
      <c r="L970" s="2" t="s">
        <v>11856</v>
      </c>
      <c r="M970" s="2" t="s">
        <v>11857</v>
      </c>
      <c r="N970" s="2" t="s">
        <v>11858</v>
      </c>
      <c r="O970" s="2" t="s">
        <v>11859</v>
      </c>
      <c r="P970" s="2" t="s">
        <v>11846</v>
      </c>
    </row>
    <row r="971" spans="1:16">
      <c r="A971" s="1">
        <v>970</v>
      </c>
      <c r="B971" s="2" t="s">
        <v>11860</v>
      </c>
      <c r="C971" s="2" t="s">
        <v>11861</v>
      </c>
      <c r="D971" s="2" t="s">
        <v>11862</v>
      </c>
      <c r="E971" s="2" t="s">
        <v>11863</v>
      </c>
      <c r="F971" s="2" t="s">
        <v>11864</v>
      </c>
      <c r="G971" s="2" t="s">
        <v>11865</v>
      </c>
      <c r="H971" s="2" t="s">
        <v>11866</v>
      </c>
      <c r="I971" s="2" t="s">
        <v>11867</v>
      </c>
      <c r="J971" s="2" t="s">
        <v>11868</v>
      </c>
      <c r="K971" s="2" t="s">
        <v>11869</v>
      </c>
      <c r="L971" s="2" t="s">
        <v>11870</v>
      </c>
      <c r="M971" s="2" t="s">
        <v>11871</v>
      </c>
      <c r="N971" s="2" t="s">
        <v>11872</v>
      </c>
      <c r="O971" s="2" t="s">
        <v>11873</v>
      </c>
      <c r="P971" s="2" t="s">
        <v>11860</v>
      </c>
    </row>
    <row r="972" spans="1:16">
      <c r="A972" s="1">
        <v>971</v>
      </c>
      <c r="B972" s="2" t="s">
        <v>11874</v>
      </c>
      <c r="C972" s="2" t="s">
        <v>11875</v>
      </c>
      <c r="D972" s="2" t="s">
        <v>11876</v>
      </c>
      <c r="E972" s="2" t="s">
        <v>11877</v>
      </c>
      <c r="F972" s="2" t="s">
        <v>11878</v>
      </c>
      <c r="G972" s="2" t="s">
        <v>11879</v>
      </c>
      <c r="H972" s="2" t="s">
        <v>11880</v>
      </c>
      <c r="I972" s="2" t="s">
        <v>11881</v>
      </c>
      <c r="J972" s="2" t="s">
        <v>11882</v>
      </c>
      <c r="K972" s="2" t="s">
        <v>11883</v>
      </c>
      <c r="L972" s="2" t="s">
        <v>11884</v>
      </c>
      <c r="M972" s="2" t="s">
        <v>11885</v>
      </c>
      <c r="N972" s="2" t="s">
        <v>11886</v>
      </c>
      <c r="O972" s="2" t="s">
        <v>11887</v>
      </c>
      <c r="P972" s="2" t="s">
        <v>11874</v>
      </c>
    </row>
    <row r="973" spans="1:16">
      <c r="A973" s="1">
        <v>972</v>
      </c>
      <c r="B973" s="2" t="s">
        <v>11888</v>
      </c>
      <c r="C973" s="2" t="s">
        <v>11889</v>
      </c>
      <c r="D973" s="2" t="s">
        <v>11890</v>
      </c>
      <c r="E973" s="2" t="s">
        <v>11891</v>
      </c>
      <c r="F973" s="2" t="s">
        <v>11892</v>
      </c>
      <c r="G973" s="2" t="s">
        <v>11893</v>
      </c>
      <c r="H973" s="2" t="s">
        <v>11894</v>
      </c>
      <c r="I973" s="2" t="s">
        <v>11895</v>
      </c>
      <c r="J973" s="2" t="s">
        <v>11896</v>
      </c>
      <c r="K973" s="2" t="s">
        <v>11897</v>
      </c>
      <c r="L973" s="2" t="s">
        <v>11898</v>
      </c>
      <c r="M973" s="2" t="s">
        <v>11899</v>
      </c>
      <c r="N973" s="2" t="s">
        <v>11900</v>
      </c>
      <c r="O973" s="2" t="s">
        <v>11901</v>
      </c>
      <c r="P973" s="2" t="s">
        <v>11888</v>
      </c>
    </row>
    <row r="974" spans="1:16">
      <c r="A974" s="1">
        <v>973</v>
      </c>
      <c r="B974" s="2" t="s">
        <v>11902</v>
      </c>
      <c r="C974" s="2" t="s">
        <v>11903</v>
      </c>
      <c r="D974" s="2" t="s">
        <v>11904</v>
      </c>
      <c r="E974" s="2" t="s">
        <v>11905</v>
      </c>
      <c r="F974" s="2" t="s">
        <v>11906</v>
      </c>
      <c r="G974" s="2" t="s">
        <v>11907</v>
      </c>
      <c r="H974" s="2" t="s">
        <v>11908</v>
      </c>
      <c r="I974" s="2" t="s">
        <v>11909</v>
      </c>
      <c r="J974" s="2" t="s">
        <v>11910</v>
      </c>
      <c r="K974" s="2" t="s">
        <v>11911</v>
      </c>
      <c r="L974" s="2" t="s">
        <v>11912</v>
      </c>
      <c r="M974" s="2" t="s">
        <v>11913</v>
      </c>
      <c r="N974" s="2" t="s">
        <v>11914</v>
      </c>
      <c r="O974" s="2" t="s">
        <v>11915</v>
      </c>
      <c r="P974" s="2" t="s">
        <v>11902</v>
      </c>
    </row>
    <row r="975" spans="1:16">
      <c r="A975" s="1">
        <v>974</v>
      </c>
      <c r="B975" s="2" t="s">
        <v>11916</v>
      </c>
      <c r="C975" s="2" t="s">
        <v>11917</v>
      </c>
      <c r="D975" s="2" t="s">
        <v>11918</v>
      </c>
      <c r="E975" s="2" t="s">
        <v>11919</v>
      </c>
      <c r="F975" s="2" t="s">
        <v>11920</v>
      </c>
      <c r="G975" s="2" t="s">
        <v>11921</v>
      </c>
      <c r="H975" s="2" t="s">
        <v>11922</v>
      </c>
      <c r="I975" s="2" t="s">
        <v>11923</v>
      </c>
      <c r="J975" s="2" t="s">
        <v>11924</v>
      </c>
      <c r="K975" s="2" t="s">
        <v>11925</v>
      </c>
      <c r="L975" s="2" t="s">
        <v>11926</v>
      </c>
      <c r="M975" s="2" t="s">
        <v>11927</v>
      </c>
      <c r="N975" s="2" t="s">
        <v>11928</v>
      </c>
      <c r="O975" s="2" t="s">
        <v>11929</v>
      </c>
      <c r="P975" s="2" t="s">
        <v>11916</v>
      </c>
    </row>
    <row r="976" spans="1:16">
      <c r="A976" s="1">
        <v>975</v>
      </c>
      <c r="B976" s="2" t="s">
        <v>11930</v>
      </c>
      <c r="C976" s="2" t="s">
        <v>11931</v>
      </c>
      <c r="D976" s="2" t="s">
        <v>11932</v>
      </c>
      <c r="E976" s="2" t="s">
        <v>11933</v>
      </c>
      <c r="F976" s="2" t="s">
        <v>11934</v>
      </c>
      <c r="G976" s="2" t="s">
        <v>11935</v>
      </c>
      <c r="H976" s="2" t="s">
        <v>11936</v>
      </c>
      <c r="I976" s="2" t="s">
        <v>11937</v>
      </c>
      <c r="J976" s="2" t="s">
        <v>11938</v>
      </c>
      <c r="K976" s="2" t="s">
        <v>11939</v>
      </c>
      <c r="L976" s="2" t="s">
        <v>11940</v>
      </c>
      <c r="M976" s="2" t="s">
        <v>11941</v>
      </c>
      <c r="N976" s="2" t="s">
        <v>11942</v>
      </c>
      <c r="O976" s="2" t="s">
        <v>11943</v>
      </c>
      <c r="P976" s="2" t="s">
        <v>11930</v>
      </c>
    </row>
    <row r="977" spans="1:16">
      <c r="A977" s="1">
        <v>976</v>
      </c>
      <c r="B977" s="2" t="s">
        <v>11944</v>
      </c>
      <c r="C977" s="2" t="s">
        <v>11945</v>
      </c>
      <c r="D977" s="2" t="s">
        <v>11946</v>
      </c>
      <c r="E977" s="2" t="s">
        <v>11947</v>
      </c>
      <c r="F977" s="2" t="s">
        <v>11948</v>
      </c>
      <c r="G977" s="2" t="s">
        <v>11949</v>
      </c>
      <c r="H977" s="2" t="s">
        <v>11950</v>
      </c>
      <c r="I977" s="2" t="s">
        <v>11951</v>
      </c>
      <c r="J977" s="2" t="s">
        <v>11952</v>
      </c>
      <c r="K977" s="2" t="s">
        <v>11953</v>
      </c>
      <c r="L977" s="2" t="s">
        <v>11954</v>
      </c>
      <c r="M977" s="2" t="s">
        <v>11955</v>
      </c>
      <c r="N977" s="2" t="s">
        <v>11956</v>
      </c>
      <c r="O977" s="2" t="s">
        <v>11957</v>
      </c>
      <c r="P977" s="2" t="s">
        <v>11944</v>
      </c>
    </row>
    <row r="978" spans="1:16">
      <c r="A978" s="1">
        <v>977</v>
      </c>
      <c r="B978" s="2" t="s">
        <v>11958</v>
      </c>
      <c r="C978" s="2" t="s">
        <v>11959</v>
      </c>
      <c r="D978" s="2" t="s">
        <v>11960</v>
      </c>
      <c r="E978" s="2" t="s">
        <v>11961</v>
      </c>
      <c r="F978" s="2" t="s">
        <v>11962</v>
      </c>
      <c r="G978" s="2" t="s">
        <v>11963</v>
      </c>
      <c r="H978" s="2" t="s">
        <v>11964</v>
      </c>
      <c r="I978" s="2" t="s">
        <v>11965</v>
      </c>
      <c r="J978" s="2" t="s">
        <v>11966</v>
      </c>
      <c r="K978" s="2" t="s">
        <v>11967</v>
      </c>
      <c r="L978" s="2" t="s">
        <v>11968</v>
      </c>
      <c r="M978" s="2" t="s">
        <v>11969</v>
      </c>
      <c r="N978" s="2" t="s">
        <v>11970</v>
      </c>
      <c r="O978" s="2" t="s">
        <v>11971</v>
      </c>
      <c r="P978" s="2" t="s">
        <v>11958</v>
      </c>
    </row>
    <row r="979" spans="1:16">
      <c r="A979" s="1">
        <v>978</v>
      </c>
      <c r="B979" s="2" t="s">
        <v>11972</v>
      </c>
      <c r="C979" s="2" t="s">
        <v>11973</v>
      </c>
      <c r="D979" s="2" t="s">
        <v>11974</v>
      </c>
      <c r="E979" s="2" t="s">
        <v>25716</v>
      </c>
      <c r="F979" s="2" t="s">
        <v>11975</v>
      </c>
      <c r="G979" s="2" t="s">
        <v>11976</v>
      </c>
      <c r="H979" s="2" t="s">
        <v>11977</v>
      </c>
      <c r="I979" s="2" t="s">
        <v>11978</v>
      </c>
      <c r="J979" s="2" t="s">
        <v>11979</v>
      </c>
      <c r="K979" s="2" t="s">
        <v>11980</v>
      </c>
      <c r="L979" s="2" t="s">
        <v>11981</v>
      </c>
      <c r="M979" s="2" t="s">
        <v>11982</v>
      </c>
      <c r="N979" s="2" t="s">
        <v>11983</v>
      </c>
      <c r="O979" s="2" t="s">
        <v>11984</v>
      </c>
      <c r="P979" s="2" t="s">
        <v>11972</v>
      </c>
    </row>
    <row r="980" spans="1:16">
      <c r="A980" s="1">
        <v>979</v>
      </c>
      <c r="B980" s="2" t="s">
        <v>11985</v>
      </c>
      <c r="C980" s="2" t="s">
        <v>11986</v>
      </c>
      <c r="D980" s="2" t="s">
        <v>11987</v>
      </c>
      <c r="E980" s="2" t="s">
        <v>11988</v>
      </c>
      <c r="F980" s="2" t="s">
        <v>11989</v>
      </c>
      <c r="G980" s="2" t="s">
        <v>11990</v>
      </c>
      <c r="H980" s="2" t="s">
        <v>11991</v>
      </c>
      <c r="I980" s="2" t="s">
        <v>11992</v>
      </c>
      <c r="J980" s="2" t="s">
        <v>11993</v>
      </c>
      <c r="K980" s="2" t="s">
        <v>11994</v>
      </c>
      <c r="L980" s="2" t="s">
        <v>11995</v>
      </c>
      <c r="M980" s="2" t="s">
        <v>11996</v>
      </c>
      <c r="N980" s="2" t="s">
        <v>11997</v>
      </c>
      <c r="O980" s="2" t="s">
        <v>11998</v>
      </c>
      <c r="P980" s="2" t="s">
        <v>11985</v>
      </c>
    </row>
    <row r="981" spans="1:16">
      <c r="A981" s="1">
        <v>980</v>
      </c>
      <c r="B981" s="2" t="s">
        <v>11999</v>
      </c>
      <c r="C981" s="2" t="s">
        <v>12000</v>
      </c>
      <c r="D981" s="2" t="s">
        <v>12001</v>
      </c>
      <c r="E981" s="2" t="s">
        <v>12002</v>
      </c>
      <c r="F981" s="2" t="s">
        <v>12003</v>
      </c>
      <c r="G981" s="2" t="s">
        <v>12004</v>
      </c>
      <c r="H981" s="2" t="s">
        <v>12005</v>
      </c>
      <c r="I981" s="2" t="s">
        <v>12006</v>
      </c>
      <c r="J981" s="2" t="s">
        <v>12007</v>
      </c>
      <c r="K981" s="2" t="s">
        <v>12008</v>
      </c>
      <c r="L981" s="2" t="s">
        <v>12009</v>
      </c>
      <c r="M981" s="2" t="s">
        <v>12010</v>
      </c>
      <c r="N981" s="2" t="s">
        <v>12011</v>
      </c>
      <c r="O981" s="2" t="s">
        <v>12012</v>
      </c>
      <c r="P981" s="2" t="s">
        <v>11999</v>
      </c>
    </row>
    <row r="982" spans="1:16">
      <c r="A982" s="1">
        <v>981</v>
      </c>
      <c r="B982" s="2" t="s">
        <v>12013</v>
      </c>
      <c r="C982" s="2" t="s">
        <v>12014</v>
      </c>
      <c r="D982" s="2" t="s">
        <v>12015</v>
      </c>
      <c r="E982" s="2" t="s">
        <v>12016</v>
      </c>
      <c r="F982" s="2" t="s">
        <v>12017</v>
      </c>
      <c r="G982" s="2" t="s">
        <v>12018</v>
      </c>
      <c r="H982" s="2" t="s">
        <v>12019</v>
      </c>
      <c r="I982" s="2" t="s">
        <v>12020</v>
      </c>
      <c r="J982" s="2" t="s">
        <v>12021</v>
      </c>
      <c r="K982" s="2" t="s">
        <v>12022</v>
      </c>
      <c r="L982" s="2" t="s">
        <v>12023</v>
      </c>
      <c r="M982" s="2" t="s">
        <v>12024</v>
      </c>
      <c r="N982" s="2" t="s">
        <v>12025</v>
      </c>
      <c r="O982" s="2" t="s">
        <v>12026</v>
      </c>
      <c r="P982" s="2" t="s">
        <v>12013</v>
      </c>
    </row>
    <row r="983" spans="1:16">
      <c r="A983" s="1">
        <v>982</v>
      </c>
      <c r="B983" s="2" t="s">
        <v>11806</v>
      </c>
      <c r="C983" s="2" t="s">
        <v>12027</v>
      </c>
      <c r="D983" s="2" t="s">
        <v>11808</v>
      </c>
      <c r="E983" s="2" t="s">
        <v>11809</v>
      </c>
      <c r="F983" s="2" t="s">
        <v>11810</v>
      </c>
      <c r="G983" s="2" t="s">
        <v>11811</v>
      </c>
      <c r="H983" s="2" t="s">
        <v>11812</v>
      </c>
      <c r="I983" s="2" t="s">
        <v>11813</v>
      </c>
      <c r="J983" s="2" t="s">
        <v>11814</v>
      </c>
      <c r="K983" s="2" t="s">
        <v>11815</v>
      </c>
      <c r="L983" s="2" t="s">
        <v>11816</v>
      </c>
      <c r="M983" s="2" t="s">
        <v>11817</v>
      </c>
      <c r="N983" s="2" t="s">
        <v>11818</v>
      </c>
      <c r="O983" s="2" t="s">
        <v>11819</v>
      </c>
      <c r="P983" s="2" t="s">
        <v>11806</v>
      </c>
    </row>
    <row r="984" spans="1:16">
      <c r="A984" s="1">
        <v>983</v>
      </c>
      <c r="B984" s="2" t="s">
        <v>12028</v>
      </c>
      <c r="C984" s="2" t="s">
        <v>12029</v>
      </c>
      <c r="D984" s="2" t="s">
        <v>12030</v>
      </c>
      <c r="E984" s="2" t="s">
        <v>12031</v>
      </c>
      <c r="F984" s="2" t="s">
        <v>12032</v>
      </c>
      <c r="G984" s="2" t="s">
        <v>12033</v>
      </c>
      <c r="H984" s="2" t="s">
        <v>12034</v>
      </c>
      <c r="I984" s="2" t="s">
        <v>12035</v>
      </c>
      <c r="J984" s="2" t="s">
        <v>12036</v>
      </c>
      <c r="K984" s="2" t="s">
        <v>12037</v>
      </c>
      <c r="L984" s="2" t="s">
        <v>12038</v>
      </c>
      <c r="M984" s="2" t="s">
        <v>12039</v>
      </c>
      <c r="N984" s="2" t="s">
        <v>12040</v>
      </c>
      <c r="O984" s="2" t="s">
        <v>12041</v>
      </c>
      <c r="P984" s="2" t="s">
        <v>12028</v>
      </c>
    </row>
    <row r="985" spans="1:16">
      <c r="A985" s="1">
        <v>984</v>
      </c>
      <c r="B985" s="2" t="s">
        <v>12042</v>
      </c>
      <c r="C985" s="2" t="s">
        <v>12043</v>
      </c>
      <c r="D985" s="2" t="s">
        <v>12044</v>
      </c>
      <c r="E985" s="2" t="s">
        <v>12045</v>
      </c>
      <c r="F985" s="2" t="s">
        <v>12046</v>
      </c>
      <c r="G985" s="2" t="s">
        <v>12047</v>
      </c>
      <c r="H985" s="2" t="s">
        <v>12048</v>
      </c>
      <c r="I985" s="2" t="s">
        <v>12049</v>
      </c>
      <c r="J985" s="2" t="s">
        <v>12050</v>
      </c>
      <c r="K985" s="2" t="s">
        <v>12051</v>
      </c>
      <c r="L985" s="2" t="s">
        <v>12052</v>
      </c>
      <c r="M985" s="2" t="s">
        <v>12053</v>
      </c>
      <c r="N985" s="2" t="s">
        <v>12054</v>
      </c>
      <c r="O985" s="2" t="s">
        <v>12055</v>
      </c>
      <c r="P985" s="2" t="s">
        <v>12042</v>
      </c>
    </row>
    <row r="986" spans="1:16">
      <c r="A986" s="1">
        <v>985</v>
      </c>
      <c r="B986" s="2" t="s">
        <v>12056</v>
      </c>
      <c r="C986" s="2" t="s">
        <v>12057</v>
      </c>
      <c r="D986" s="2" t="s">
        <v>12058</v>
      </c>
      <c r="E986" s="2" t="s">
        <v>12059</v>
      </c>
      <c r="F986" s="2" t="s">
        <v>12060</v>
      </c>
      <c r="G986" s="2" t="s">
        <v>12061</v>
      </c>
      <c r="H986" s="2" t="s">
        <v>12062</v>
      </c>
      <c r="I986" s="2" t="s">
        <v>12063</v>
      </c>
      <c r="J986" s="2" t="s">
        <v>12064</v>
      </c>
      <c r="K986" s="2" t="s">
        <v>12065</v>
      </c>
      <c r="L986" s="2" t="s">
        <v>12066</v>
      </c>
      <c r="M986" s="2" t="s">
        <v>12067</v>
      </c>
      <c r="N986" s="2" t="s">
        <v>12068</v>
      </c>
      <c r="O986" s="2" t="s">
        <v>12069</v>
      </c>
      <c r="P986" s="2" t="s">
        <v>12056</v>
      </c>
    </row>
    <row r="987" spans="1:16">
      <c r="A987" s="1">
        <v>986</v>
      </c>
      <c r="B987" s="2" t="s">
        <v>12070</v>
      </c>
      <c r="C987" s="2" t="s">
        <v>12071</v>
      </c>
      <c r="D987" s="2" t="s">
        <v>12072</v>
      </c>
      <c r="E987" s="2" t="s">
        <v>12073</v>
      </c>
      <c r="F987" s="2" t="s">
        <v>12074</v>
      </c>
      <c r="G987" s="2" t="s">
        <v>12075</v>
      </c>
      <c r="H987" s="2" t="s">
        <v>12076</v>
      </c>
      <c r="I987" s="2" t="s">
        <v>12077</v>
      </c>
      <c r="J987" s="2" t="s">
        <v>12078</v>
      </c>
      <c r="K987" s="2" t="s">
        <v>12065</v>
      </c>
      <c r="L987" s="2" t="s">
        <v>12079</v>
      </c>
      <c r="M987" s="2" t="s">
        <v>12080</v>
      </c>
      <c r="N987" s="2" t="s">
        <v>12081</v>
      </c>
      <c r="O987" s="2" t="s">
        <v>12082</v>
      </c>
      <c r="P987" s="2" t="s">
        <v>12070</v>
      </c>
    </row>
    <row r="988" spans="1:16">
      <c r="A988" s="1">
        <v>987</v>
      </c>
      <c r="B988" s="2" t="s">
        <v>12083</v>
      </c>
      <c r="C988" s="2" t="s">
        <v>22838</v>
      </c>
      <c r="D988" s="2" t="s">
        <v>12084</v>
      </c>
      <c r="E988" s="2" t="s">
        <v>12085</v>
      </c>
      <c r="F988" s="2" t="s">
        <v>12086</v>
      </c>
      <c r="G988" s="2" t="s">
        <v>12087</v>
      </c>
      <c r="H988" s="2" t="s">
        <v>12088</v>
      </c>
      <c r="I988" s="2" t="s">
        <v>12089</v>
      </c>
      <c r="J988" s="2" t="s">
        <v>12090</v>
      </c>
      <c r="K988" s="2" t="s">
        <v>12091</v>
      </c>
      <c r="L988" s="2" t="s">
        <v>12092</v>
      </c>
      <c r="M988" s="2" t="s">
        <v>12093</v>
      </c>
      <c r="N988" s="2" t="s">
        <v>12094</v>
      </c>
      <c r="O988" s="2" t="s">
        <v>12095</v>
      </c>
      <c r="P988" s="2" t="s">
        <v>12083</v>
      </c>
    </row>
    <row r="989" spans="1:16">
      <c r="A989" s="1">
        <v>988</v>
      </c>
      <c r="B989" s="2" t="s">
        <v>12096</v>
      </c>
      <c r="C989" s="2" t="s">
        <v>12097</v>
      </c>
      <c r="D989" s="2" t="s">
        <v>12098</v>
      </c>
      <c r="E989" s="2" t="s">
        <v>12099</v>
      </c>
      <c r="F989" s="2" t="s">
        <v>3202</v>
      </c>
      <c r="G989" s="2" t="s">
        <v>12100</v>
      </c>
      <c r="H989" s="2" t="s">
        <v>12101</v>
      </c>
      <c r="I989" s="2" t="s">
        <v>12102</v>
      </c>
      <c r="J989" s="2" t="s">
        <v>12103</v>
      </c>
      <c r="K989" s="2" t="s">
        <v>12104</v>
      </c>
      <c r="L989" s="2" t="s">
        <v>12105</v>
      </c>
      <c r="M989" s="2" t="s">
        <v>12106</v>
      </c>
      <c r="N989" s="2" t="s">
        <v>12107</v>
      </c>
      <c r="O989" s="2" t="s">
        <v>12108</v>
      </c>
      <c r="P989" s="2" t="s">
        <v>12096</v>
      </c>
    </row>
    <row r="990" spans="1:16">
      <c r="A990" s="1">
        <v>989</v>
      </c>
      <c r="B990" s="2" t="s">
        <v>12109</v>
      </c>
      <c r="C990" s="2" t="s">
        <v>12110</v>
      </c>
      <c r="D990" s="2" t="s">
        <v>12111</v>
      </c>
      <c r="E990" s="2" t="s">
        <v>12112</v>
      </c>
      <c r="F990" s="2" t="s">
        <v>11329</v>
      </c>
      <c r="G990" s="2" t="s">
        <v>12113</v>
      </c>
      <c r="H990" s="2" t="s">
        <v>12114</v>
      </c>
      <c r="I990" s="2" t="s">
        <v>12115</v>
      </c>
      <c r="J990" s="2" t="s">
        <v>12116</v>
      </c>
      <c r="K990" s="2" t="s">
        <v>12117</v>
      </c>
      <c r="L990" s="2" t="s">
        <v>12118</v>
      </c>
      <c r="M990" s="2" t="s">
        <v>12119</v>
      </c>
      <c r="N990" s="2" t="s">
        <v>12120</v>
      </c>
      <c r="O990" s="2" t="s">
        <v>12121</v>
      </c>
      <c r="P990" s="2" t="s">
        <v>12109</v>
      </c>
    </row>
    <row r="991" spans="1:16">
      <c r="A991" s="1">
        <v>990</v>
      </c>
      <c r="B991" s="2" t="s">
        <v>12122</v>
      </c>
      <c r="C991" s="2" t="s">
        <v>12123</v>
      </c>
      <c r="D991" s="2" t="s">
        <v>12124</v>
      </c>
      <c r="E991" s="2" t="s">
        <v>12125</v>
      </c>
      <c r="F991" s="2" t="s">
        <v>12126</v>
      </c>
      <c r="G991" s="2" t="s">
        <v>12127</v>
      </c>
      <c r="H991" s="2" t="s">
        <v>12128</v>
      </c>
      <c r="I991" s="2" t="s">
        <v>12129</v>
      </c>
      <c r="J991" s="2" t="s">
        <v>12130</v>
      </c>
      <c r="K991" s="2" t="s">
        <v>12131</v>
      </c>
      <c r="L991" s="2" t="s">
        <v>12132</v>
      </c>
      <c r="M991" s="2" t="s">
        <v>12133</v>
      </c>
      <c r="N991" s="2" t="s">
        <v>12134</v>
      </c>
      <c r="O991" s="2" t="s">
        <v>12135</v>
      </c>
      <c r="P991" s="2" t="s">
        <v>12122</v>
      </c>
    </row>
    <row r="992" spans="1:16">
      <c r="A992" s="1">
        <v>991</v>
      </c>
      <c r="B992" s="2" t="s">
        <v>12136</v>
      </c>
      <c r="C992" s="2" t="s">
        <v>12137</v>
      </c>
      <c r="D992" s="2" t="s">
        <v>5319</v>
      </c>
      <c r="E992" s="2" t="s">
        <v>12138</v>
      </c>
      <c r="F992" s="2" t="s">
        <v>12139</v>
      </c>
      <c r="G992" s="2" t="s">
        <v>10737</v>
      </c>
      <c r="H992" s="2" t="s">
        <v>12140</v>
      </c>
      <c r="I992" s="2" t="s">
        <v>12141</v>
      </c>
      <c r="J992" s="2" t="s">
        <v>12142</v>
      </c>
      <c r="K992" s="2" t="s">
        <v>12143</v>
      </c>
      <c r="L992" s="2" t="s">
        <v>12144</v>
      </c>
      <c r="M992" s="2" t="s">
        <v>12145</v>
      </c>
      <c r="N992" s="2" t="s">
        <v>12146</v>
      </c>
      <c r="O992" s="2" t="s">
        <v>12147</v>
      </c>
      <c r="P992" s="2" t="s">
        <v>12136</v>
      </c>
    </row>
    <row r="993" spans="1:16">
      <c r="A993" s="1">
        <v>992</v>
      </c>
      <c r="B993" s="2" t="s">
        <v>12148</v>
      </c>
      <c r="C993" s="2" t="s">
        <v>12149</v>
      </c>
      <c r="D993" s="2" t="s">
        <v>12150</v>
      </c>
      <c r="E993" s="2" t="s">
        <v>12151</v>
      </c>
      <c r="F993" s="2" t="s">
        <v>12152</v>
      </c>
      <c r="G993" s="2" t="s">
        <v>12149</v>
      </c>
      <c r="H993" s="2" t="s">
        <v>12153</v>
      </c>
      <c r="I993" s="2" t="s">
        <v>12154</v>
      </c>
      <c r="J993" s="2" t="s">
        <v>12155</v>
      </c>
      <c r="K993" s="2" t="s">
        <v>12156</v>
      </c>
      <c r="L993" s="2" t="s">
        <v>12157</v>
      </c>
      <c r="M993" s="2" t="s">
        <v>12158</v>
      </c>
      <c r="N993" s="2" t="s">
        <v>12159</v>
      </c>
      <c r="O993" s="2" t="s">
        <v>12160</v>
      </c>
      <c r="P993" s="2" t="s">
        <v>12148</v>
      </c>
    </row>
    <row r="994" spans="1:16">
      <c r="A994" s="1">
        <v>993</v>
      </c>
      <c r="B994" s="2" t="s">
        <v>12161</v>
      </c>
      <c r="C994" s="2" t="s">
        <v>12161</v>
      </c>
      <c r="D994" s="2" t="s">
        <v>12161</v>
      </c>
      <c r="E994" s="2" t="s">
        <v>12161</v>
      </c>
      <c r="F994" s="2" t="s">
        <v>12161</v>
      </c>
      <c r="G994" s="2" t="s">
        <v>12161</v>
      </c>
      <c r="H994" s="2" t="s">
        <v>12161</v>
      </c>
      <c r="I994" s="2" t="s">
        <v>12161</v>
      </c>
      <c r="J994" s="2" t="s">
        <v>12161</v>
      </c>
      <c r="K994" s="2" t="s">
        <v>12161</v>
      </c>
      <c r="L994" s="2" t="s">
        <v>12161</v>
      </c>
      <c r="M994" s="2" t="s">
        <v>12161</v>
      </c>
      <c r="N994" s="2" t="s">
        <v>12161</v>
      </c>
      <c r="O994" s="2" t="s">
        <v>12161</v>
      </c>
      <c r="P994" s="2" t="s">
        <v>12161</v>
      </c>
    </row>
    <row r="995" spans="1:16">
      <c r="A995" s="1">
        <v>994</v>
      </c>
      <c r="B995" s="2" t="s">
        <v>12162</v>
      </c>
      <c r="C995" s="2" t="s">
        <v>12162</v>
      </c>
      <c r="D995" s="2" t="s">
        <v>12162</v>
      </c>
      <c r="E995" s="2" t="s">
        <v>12162</v>
      </c>
      <c r="F995" s="2" t="s">
        <v>12162</v>
      </c>
      <c r="G995" s="2" t="s">
        <v>12162</v>
      </c>
      <c r="H995" s="2" t="s">
        <v>12162</v>
      </c>
      <c r="I995" s="2" t="s">
        <v>12162</v>
      </c>
      <c r="J995" s="2" t="s">
        <v>12162</v>
      </c>
      <c r="K995" s="2" t="s">
        <v>12162</v>
      </c>
      <c r="L995" s="2" t="s">
        <v>12162</v>
      </c>
      <c r="M995" s="2" t="s">
        <v>12162</v>
      </c>
      <c r="N995" s="2" t="s">
        <v>12162</v>
      </c>
      <c r="O995" s="2" t="s">
        <v>12162</v>
      </c>
      <c r="P995" s="2" t="s">
        <v>12162</v>
      </c>
    </row>
    <row r="996" spans="1:16">
      <c r="A996" s="1">
        <v>995</v>
      </c>
      <c r="B996" s="2" t="s">
        <v>12163</v>
      </c>
      <c r="C996" s="2" t="s">
        <v>12163</v>
      </c>
      <c r="D996" s="2" t="s">
        <v>12163</v>
      </c>
      <c r="E996" s="2" t="s">
        <v>12163</v>
      </c>
      <c r="F996" s="2" t="s">
        <v>12163</v>
      </c>
      <c r="G996" s="2" t="s">
        <v>12163</v>
      </c>
      <c r="H996" s="2" t="s">
        <v>12163</v>
      </c>
      <c r="I996" s="2" t="s">
        <v>12163</v>
      </c>
      <c r="J996" s="2" t="s">
        <v>12163</v>
      </c>
      <c r="K996" s="2" t="s">
        <v>12163</v>
      </c>
      <c r="L996" s="2" t="s">
        <v>12163</v>
      </c>
      <c r="M996" s="2" t="s">
        <v>12163</v>
      </c>
      <c r="N996" s="2" t="s">
        <v>12163</v>
      </c>
      <c r="O996" s="2" t="s">
        <v>12163</v>
      </c>
      <c r="P996" s="2" t="s">
        <v>12163</v>
      </c>
    </row>
    <row r="997" spans="1:16">
      <c r="A997" s="1">
        <v>996</v>
      </c>
      <c r="B997" s="2" t="s">
        <v>12164</v>
      </c>
      <c r="C997" s="2" t="s">
        <v>12164</v>
      </c>
      <c r="D997" s="2" t="s">
        <v>12164</v>
      </c>
      <c r="E997" s="2" t="s">
        <v>12164</v>
      </c>
      <c r="F997" s="2" t="s">
        <v>12164</v>
      </c>
      <c r="G997" s="2" t="s">
        <v>12164</v>
      </c>
      <c r="H997" s="2" t="s">
        <v>12164</v>
      </c>
      <c r="I997" s="2" t="s">
        <v>12164</v>
      </c>
      <c r="J997" s="2" t="s">
        <v>12164</v>
      </c>
      <c r="K997" s="2" t="s">
        <v>12164</v>
      </c>
      <c r="L997" s="2" t="s">
        <v>12164</v>
      </c>
      <c r="M997" s="2" t="s">
        <v>12164</v>
      </c>
      <c r="N997" s="2" t="s">
        <v>12164</v>
      </c>
      <c r="O997" s="2" t="s">
        <v>12164</v>
      </c>
      <c r="P997" s="2" t="s">
        <v>12164</v>
      </c>
    </row>
    <row r="998" spans="1:16">
      <c r="A998" s="1">
        <v>997</v>
      </c>
      <c r="B998" s="2" t="s">
        <v>12165</v>
      </c>
      <c r="C998" s="2" t="s">
        <v>12166</v>
      </c>
      <c r="D998" s="2" t="s">
        <v>12167</v>
      </c>
      <c r="E998" s="2" t="s">
        <v>12168</v>
      </c>
      <c r="F998" s="2" t="s">
        <v>12169</v>
      </c>
      <c r="G998" s="2" t="s">
        <v>12170</v>
      </c>
      <c r="H998" s="2" t="s">
        <v>12171</v>
      </c>
      <c r="I998" s="2" t="s">
        <v>12172</v>
      </c>
      <c r="J998" s="2" t="s">
        <v>12173</v>
      </c>
      <c r="K998" s="2" t="s">
        <v>12174</v>
      </c>
      <c r="L998" s="2" t="s">
        <v>10369</v>
      </c>
      <c r="M998" s="2" t="s">
        <v>12175</v>
      </c>
      <c r="N998" s="2" t="s">
        <v>12176</v>
      </c>
      <c r="O998" s="2" t="s">
        <v>12177</v>
      </c>
      <c r="P998" s="2" t="s">
        <v>12165</v>
      </c>
    </row>
    <row r="999" spans="1:16">
      <c r="A999" s="1">
        <v>998</v>
      </c>
      <c r="B999" s="2" t="s">
        <v>12178</v>
      </c>
      <c r="C999" s="2" t="s">
        <v>12179</v>
      </c>
      <c r="D999" s="2" t="s">
        <v>12180</v>
      </c>
      <c r="E999" s="2" t="s">
        <v>12181</v>
      </c>
      <c r="F999" s="2" t="s">
        <v>12182</v>
      </c>
      <c r="G999" s="2" t="s">
        <v>12183</v>
      </c>
      <c r="H999" s="2" t="s">
        <v>12184</v>
      </c>
      <c r="I999" s="2" t="s">
        <v>12185</v>
      </c>
      <c r="J999" s="2" t="s">
        <v>12186</v>
      </c>
      <c r="K999" s="2" t="s">
        <v>12187</v>
      </c>
      <c r="L999" s="2" t="s">
        <v>12188</v>
      </c>
      <c r="M999" s="2" t="s">
        <v>12189</v>
      </c>
      <c r="N999" s="2" t="s">
        <v>12190</v>
      </c>
      <c r="O999" s="2" t="s">
        <v>12191</v>
      </c>
      <c r="P999" s="2" t="s">
        <v>12178</v>
      </c>
    </row>
    <row r="1000" spans="1:16">
      <c r="A1000" s="1">
        <v>999</v>
      </c>
      <c r="B1000" s="2" t="s">
        <v>12192</v>
      </c>
      <c r="C1000" s="2" t="s">
        <v>12193</v>
      </c>
      <c r="D1000" s="2" t="s">
        <v>12167</v>
      </c>
      <c r="E1000" s="2" t="s">
        <v>12194</v>
      </c>
      <c r="F1000" s="2" t="s">
        <v>12169</v>
      </c>
      <c r="G1000" s="2" t="s">
        <v>12195</v>
      </c>
      <c r="H1000" s="2" t="s">
        <v>12196</v>
      </c>
      <c r="I1000" s="2" t="s">
        <v>12197</v>
      </c>
      <c r="J1000" s="2" t="s">
        <v>12198</v>
      </c>
      <c r="K1000" s="2" t="s">
        <v>12199</v>
      </c>
      <c r="L1000" s="2" t="s">
        <v>12200</v>
      </c>
      <c r="M1000" s="2" t="s">
        <v>12201</v>
      </c>
      <c r="N1000" s="2" t="s">
        <v>12202</v>
      </c>
      <c r="O1000" s="2" t="s">
        <v>12203</v>
      </c>
      <c r="P1000" s="2" t="s">
        <v>12192</v>
      </c>
    </row>
    <row r="1001" spans="1:16">
      <c r="A1001" s="1">
        <v>1000</v>
      </c>
      <c r="B1001" s="2" t="s">
        <v>12204</v>
      </c>
      <c r="C1001" s="2" t="s">
        <v>12205</v>
      </c>
      <c r="D1001" s="2" t="s">
        <v>12167</v>
      </c>
      <c r="E1001" s="2" t="s">
        <v>12206</v>
      </c>
      <c r="F1001" s="2" t="s">
        <v>12169</v>
      </c>
      <c r="G1001" s="2" t="s">
        <v>12207</v>
      </c>
      <c r="H1001" s="2" t="s">
        <v>12208</v>
      </c>
      <c r="I1001" s="2" t="s">
        <v>12209</v>
      </c>
      <c r="J1001" s="2" t="s">
        <v>12210</v>
      </c>
      <c r="K1001" s="2" t="s">
        <v>12211</v>
      </c>
      <c r="L1001" s="2" t="s">
        <v>12212</v>
      </c>
      <c r="M1001" s="2" t="s">
        <v>12213</v>
      </c>
      <c r="N1001" s="2" t="s">
        <v>12214</v>
      </c>
      <c r="O1001" s="2" t="s">
        <v>12215</v>
      </c>
      <c r="P1001" s="2" t="s">
        <v>12204</v>
      </c>
    </row>
    <row r="1002" spans="1:16">
      <c r="A1002" s="1">
        <v>1001</v>
      </c>
      <c r="B1002" s="2" t="s">
        <v>12216</v>
      </c>
      <c r="C1002" s="2" t="s">
        <v>12217</v>
      </c>
      <c r="D1002" s="2" t="s">
        <v>12218</v>
      </c>
      <c r="E1002" s="2" t="s">
        <v>12219</v>
      </c>
      <c r="F1002" s="2" t="s">
        <v>12220</v>
      </c>
      <c r="G1002" s="2" t="s">
        <v>12221</v>
      </c>
      <c r="H1002" s="2" t="s">
        <v>12222</v>
      </c>
      <c r="I1002" s="2" t="s">
        <v>12223</v>
      </c>
      <c r="J1002" s="2" t="s">
        <v>12224</v>
      </c>
      <c r="K1002" s="2" t="s">
        <v>12225</v>
      </c>
      <c r="L1002" s="2" t="s">
        <v>12226</v>
      </c>
      <c r="M1002" s="2" t="s">
        <v>12227</v>
      </c>
      <c r="N1002" s="2" t="s">
        <v>12228</v>
      </c>
      <c r="O1002" s="2" t="s">
        <v>12229</v>
      </c>
      <c r="P1002" s="2" t="s">
        <v>12216</v>
      </c>
    </row>
    <row r="1003" spans="1:16">
      <c r="A1003" s="1">
        <v>1002</v>
      </c>
      <c r="B1003" s="2" t="s">
        <v>12230</v>
      </c>
      <c r="C1003" s="2" t="s">
        <v>12231</v>
      </c>
      <c r="D1003" s="2" t="s">
        <v>12232</v>
      </c>
      <c r="E1003" s="2" t="s">
        <v>12233</v>
      </c>
      <c r="F1003" s="2" t="s">
        <v>12234</v>
      </c>
      <c r="G1003" s="2" t="s">
        <v>12235</v>
      </c>
      <c r="H1003" s="2" t="s">
        <v>12236</v>
      </c>
      <c r="I1003" s="2" t="s">
        <v>12237</v>
      </c>
      <c r="J1003" s="2" t="s">
        <v>12238</v>
      </c>
      <c r="K1003" s="2" t="s">
        <v>12239</v>
      </c>
      <c r="L1003" s="2" t="s">
        <v>12240</v>
      </c>
      <c r="M1003" s="2" t="s">
        <v>12241</v>
      </c>
      <c r="N1003" s="2" t="s">
        <v>12242</v>
      </c>
      <c r="O1003" s="2" t="s">
        <v>12243</v>
      </c>
      <c r="P1003" s="2" t="s">
        <v>12230</v>
      </c>
    </row>
    <row r="1004" spans="1:16">
      <c r="A1004" s="1">
        <v>1003</v>
      </c>
      <c r="B1004" s="2" t="s">
        <v>12244</v>
      </c>
      <c r="C1004" s="2" t="s">
        <v>12245</v>
      </c>
      <c r="D1004" s="2" t="s">
        <v>12246</v>
      </c>
      <c r="E1004" s="2" t="s">
        <v>12247</v>
      </c>
      <c r="F1004" s="2" t="s">
        <v>12248</v>
      </c>
      <c r="G1004" s="2" t="s">
        <v>12249</v>
      </c>
      <c r="H1004" s="2" t="s">
        <v>12250</v>
      </c>
      <c r="I1004" s="2" t="s">
        <v>12251</v>
      </c>
      <c r="J1004" s="2" t="s">
        <v>12252</v>
      </c>
      <c r="K1004" s="2" t="s">
        <v>12253</v>
      </c>
      <c r="L1004" s="2" t="s">
        <v>12254</v>
      </c>
      <c r="M1004" s="2" t="s">
        <v>12255</v>
      </c>
      <c r="N1004" s="2" t="s">
        <v>12256</v>
      </c>
      <c r="O1004" s="2" t="s">
        <v>12257</v>
      </c>
      <c r="P1004" s="2" t="s">
        <v>12244</v>
      </c>
    </row>
    <row r="1005" spans="1:16">
      <c r="A1005" s="1">
        <v>1004</v>
      </c>
      <c r="B1005" s="2" t="s">
        <v>12258</v>
      </c>
      <c r="C1005" s="2" t="s">
        <v>12259</v>
      </c>
      <c r="D1005" s="2" t="s">
        <v>12260</v>
      </c>
      <c r="E1005" s="2" t="s">
        <v>12261</v>
      </c>
      <c r="F1005" s="2" t="s">
        <v>12262</v>
      </c>
      <c r="G1005" s="2" t="s">
        <v>12263</v>
      </c>
      <c r="H1005" s="2" t="s">
        <v>12264</v>
      </c>
      <c r="I1005" s="2" t="s">
        <v>12265</v>
      </c>
      <c r="J1005" s="2" t="s">
        <v>12266</v>
      </c>
      <c r="K1005" s="2" t="s">
        <v>12267</v>
      </c>
      <c r="L1005" s="2" t="s">
        <v>12268</v>
      </c>
      <c r="M1005" s="2" t="s">
        <v>12269</v>
      </c>
      <c r="N1005" s="2" t="s">
        <v>12270</v>
      </c>
      <c r="O1005" s="2" t="s">
        <v>12271</v>
      </c>
      <c r="P1005" s="2" t="s">
        <v>12258</v>
      </c>
    </row>
    <row r="1006" spans="1:16">
      <c r="A1006" s="1">
        <v>1005</v>
      </c>
      <c r="B1006" s="2" t="s">
        <v>12272</v>
      </c>
      <c r="C1006" s="2" t="s">
        <v>12273</v>
      </c>
      <c r="D1006" s="2" t="s">
        <v>22839</v>
      </c>
      <c r="E1006" s="2" t="s">
        <v>12274</v>
      </c>
      <c r="F1006" s="2" t="s">
        <v>12275</v>
      </c>
      <c r="G1006" s="2" t="s">
        <v>12276</v>
      </c>
      <c r="H1006" s="2" t="s">
        <v>12277</v>
      </c>
      <c r="I1006" s="2" t="s">
        <v>12278</v>
      </c>
      <c r="J1006" s="2" t="s">
        <v>12279</v>
      </c>
      <c r="K1006" s="2" t="s">
        <v>12280</v>
      </c>
      <c r="L1006" s="2" t="s">
        <v>12281</v>
      </c>
      <c r="M1006" s="2" t="s">
        <v>12282</v>
      </c>
      <c r="N1006" s="2" t="s">
        <v>12283</v>
      </c>
      <c r="O1006" s="2" t="s">
        <v>12284</v>
      </c>
      <c r="P1006" s="2" t="s">
        <v>12272</v>
      </c>
    </row>
    <row r="1007" spans="1:16">
      <c r="A1007" s="1">
        <v>1006</v>
      </c>
      <c r="B1007" s="2" t="s">
        <v>12285</v>
      </c>
      <c r="C1007" s="2" t="s">
        <v>12286</v>
      </c>
      <c r="D1007" s="2" t="s">
        <v>12287</v>
      </c>
      <c r="E1007" s="2" t="s">
        <v>12288</v>
      </c>
      <c r="F1007" s="2" t="s">
        <v>12289</v>
      </c>
      <c r="G1007" s="2" t="s">
        <v>12290</v>
      </c>
      <c r="H1007" s="2" t="s">
        <v>12291</v>
      </c>
      <c r="I1007" s="2" t="s">
        <v>12292</v>
      </c>
      <c r="J1007" s="2" t="s">
        <v>12293</v>
      </c>
      <c r="K1007" s="2" t="s">
        <v>12294</v>
      </c>
      <c r="L1007" s="2" t="s">
        <v>12295</v>
      </c>
      <c r="M1007" s="2" t="s">
        <v>12296</v>
      </c>
      <c r="N1007" s="2" t="s">
        <v>12297</v>
      </c>
      <c r="O1007" s="2" t="s">
        <v>12298</v>
      </c>
      <c r="P1007" s="2" t="s">
        <v>12285</v>
      </c>
    </row>
    <row r="1008" spans="1:16">
      <c r="A1008" s="1">
        <v>1007</v>
      </c>
      <c r="B1008" s="2" t="s">
        <v>12299</v>
      </c>
      <c r="C1008" s="2" t="s">
        <v>12300</v>
      </c>
      <c r="D1008" s="2" t="s">
        <v>12301</v>
      </c>
      <c r="E1008" s="2" t="s">
        <v>12302</v>
      </c>
      <c r="F1008" s="2" t="s">
        <v>12303</v>
      </c>
      <c r="G1008" s="2" t="s">
        <v>12304</v>
      </c>
      <c r="H1008" s="2" t="s">
        <v>12305</v>
      </c>
      <c r="I1008" s="2" t="s">
        <v>12306</v>
      </c>
      <c r="J1008" s="2" t="s">
        <v>12307</v>
      </c>
      <c r="K1008" s="2" t="s">
        <v>12308</v>
      </c>
      <c r="L1008" s="2" t="s">
        <v>12309</v>
      </c>
      <c r="M1008" s="2" t="s">
        <v>12310</v>
      </c>
      <c r="N1008" s="2" t="s">
        <v>12311</v>
      </c>
      <c r="O1008" s="2" t="s">
        <v>12312</v>
      </c>
      <c r="P1008" s="2" t="s">
        <v>12299</v>
      </c>
    </row>
    <row r="1009" spans="1:16">
      <c r="A1009" s="1">
        <v>1008</v>
      </c>
      <c r="B1009" s="2" t="s">
        <v>12313</v>
      </c>
      <c r="C1009" s="2" t="s">
        <v>12314</v>
      </c>
      <c r="D1009" s="2" t="s">
        <v>12315</v>
      </c>
      <c r="E1009" s="2" t="s">
        <v>12316</v>
      </c>
      <c r="F1009" s="2" t="s">
        <v>12317</v>
      </c>
      <c r="G1009" s="2" t="s">
        <v>12318</v>
      </c>
      <c r="H1009" s="2" t="s">
        <v>12319</v>
      </c>
      <c r="I1009" s="2" t="s">
        <v>12320</v>
      </c>
      <c r="J1009" s="2" t="s">
        <v>12321</v>
      </c>
      <c r="K1009" s="2" t="s">
        <v>12322</v>
      </c>
      <c r="L1009" s="2" t="s">
        <v>12323</v>
      </c>
      <c r="M1009" s="2" t="s">
        <v>12324</v>
      </c>
      <c r="N1009" s="2" t="s">
        <v>12325</v>
      </c>
      <c r="O1009" s="2" t="s">
        <v>12326</v>
      </c>
      <c r="P1009" s="2" t="s">
        <v>12313</v>
      </c>
    </row>
    <row r="1010" spans="1:16">
      <c r="A1010" s="1">
        <v>1009</v>
      </c>
      <c r="B1010" s="2" t="s">
        <v>12327</v>
      </c>
      <c r="C1010" s="2" t="s">
        <v>12328</v>
      </c>
      <c r="D1010" s="2" t="s">
        <v>12329</v>
      </c>
      <c r="E1010" s="2" t="s">
        <v>12330</v>
      </c>
      <c r="F1010" s="2" t="s">
        <v>12331</v>
      </c>
      <c r="G1010" s="2" t="s">
        <v>12332</v>
      </c>
      <c r="H1010" s="2" t="s">
        <v>12333</v>
      </c>
      <c r="I1010" s="2" t="s">
        <v>12334</v>
      </c>
      <c r="J1010" s="2" t="s">
        <v>12335</v>
      </c>
      <c r="K1010" s="2" t="s">
        <v>12336</v>
      </c>
      <c r="L1010" s="2" t="s">
        <v>12337</v>
      </c>
      <c r="M1010" s="2" t="s">
        <v>12338</v>
      </c>
      <c r="N1010" s="2" t="s">
        <v>12339</v>
      </c>
      <c r="O1010" s="2" t="s">
        <v>12340</v>
      </c>
      <c r="P1010" s="2" t="s">
        <v>12327</v>
      </c>
    </row>
    <row r="1011" spans="1:16">
      <c r="A1011" s="1">
        <v>1010</v>
      </c>
      <c r="B1011" s="2" t="s">
        <v>12341</v>
      </c>
      <c r="C1011" s="2" t="s">
        <v>12342</v>
      </c>
      <c r="D1011" s="2" t="s">
        <v>12343</v>
      </c>
      <c r="E1011" s="2" t="s">
        <v>12344</v>
      </c>
      <c r="F1011" s="2" t="s">
        <v>12345</v>
      </c>
      <c r="G1011" s="2" t="s">
        <v>12346</v>
      </c>
      <c r="H1011" s="2" t="s">
        <v>12347</v>
      </c>
      <c r="I1011" s="2" t="s">
        <v>12348</v>
      </c>
      <c r="J1011" s="2" t="s">
        <v>12349</v>
      </c>
      <c r="K1011" s="2" t="s">
        <v>12350</v>
      </c>
      <c r="L1011" s="2" t="s">
        <v>12351</v>
      </c>
      <c r="M1011" s="2" t="s">
        <v>12352</v>
      </c>
      <c r="N1011" s="2" t="s">
        <v>12353</v>
      </c>
      <c r="O1011" s="2" t="s">
        <v>12354</v>
      </c>
      <c r="P1011" s="2" t="s">
        <v>12341</v>
      </c>
    </row>
    <row r="1012" spans="1:16">
      <c r="A1012" s="1">
        <v>1011</v>
      </c>
      <c r="B1012" s="2" t="s">
        <v>12355</v>
      </c>
      <c r="C1012" s="2" t="s">
        <v>12356</v>
      </c>
      <c r="D1012" s="2" t="s">
        <v>12357</v>
      </c>
      <c r="E1012" s="2" t="s">
        <v>3020</v>
      </c>
      <c r="F1012" s="2" t="s">
        <v>12358</v>
      </c>
      <c r="G1012" s="2" t="s">
        <v>12359</v>
      </c>
      <c r="H1012" s="2" t="s">
        <v>12360</v>
      </c>
      <c r="I1012" s="2" t="s">
        <v>12361</v>
      </c>
      <c r="J1012" s="2" t="s">
        <v>12362</v>
      </c>
      <c r="K1012" s="2" t="s">
        <v>12363</v>
      </c>
      <c r="L1012" s="2" t="s">
        <v>12364</v>
      </c>
      <c r="M1012" s="2" t="s">
        <v>12365</v>
      </c>
      <c r="N1012" s="2" t="s">
        <v>12366</v>
      </c>
      <c r="O1012" s="2" t="s">
        <v>12367</v>
      </c>
      <c r="P1012" s="2" t="s">
        <v>12355</v>
      </c>
    </row>
    <row r="1013" spans="1:16">
      <c r="A1013" s="1">
        <v>1012</v>
      </c>
      <c r="B1013" s="2" t="s">
        <v>12368</v>
      </c>
      <c r="C1013" s="2" t="s">
        <v>12369</v>
      </c>
      <c r="D1013" s="2" t="s">
        <v>12370</v>
      </c>
      <c r="E1013" s="2" t="s">
        <v>12371</v>
      </c>
      <c r="F1013" s="2" t="s">
        <v>12372</v>
      </c>
      <c r="G1013" s="2" t="s">
        <v>12373</v>
      </c>
      <c r="H1013" s="2" t="s">
        <v>12374</v>
      </c>
      <c r="I1013" s="2" t="s">
        <v>12375</v>
      </c>
      <c r="J1013" s="2" t="s">
        <v>12376</v>
      </c>
      <c r="K1013" s="2" t="s">
        <v>12377</v>
      </c>
      <c r="L1013" s="2" t="s">
        <v>12378</v>
      </c>
      <c r="M1013" s="2" t="s">
        <v>12379</v>
      </c>
      <c r="N1013" s="2" t="s">
        <v>12380</v>
      </c>
      <c r="O1013" s="2" t="s">
        <v>12381</v>
      </c>
      <c r="P1013" s="2" t="s">
        <v>12368</v>
      </c>
    </row>
    <row r="1014" spans="1:16">
      <c r="A1014" s="1">
        <v>1013</v>
      </c>
      <c r="B1014" s="2" t="s">
        <v>12382</v>
      </c>
      <c r="C1014" s="2" t="s">
        <v>12383</v>
      </c>
      <c r="D1014" s="2" t="s">
        <v>12384</v>
      </c>
      <c r="E1014" s="2" t="s">
        <v>12385</v>
      </c>
      <c r="F1014" s="2" t="s">
        <v>12386</v>
      </c>
      <c r="G1014" s="2" t="s">
        <v>12387</v>
      </c>
      <c r="H1014" s="2" t="s">
        <v>12388</v>
      </c>
      <c r="I1014" s="2" t="s">
        <v>12389</v>
      </c>
      <c r="J1014" s="2" t="s">
        <v>12390</v>
      </c>
      <c r="K1014" s="2" t="s">
        <v>12391</v>
      </c>
      <c r="L1014" s="2" t="s">
        <v>12392</v>
      </c>
      <c r="M1014" s="2" t="s">
        <v>12393</v>
      </c>
      <c r="N1014" s="2" t="s">
        <v>12394</v>
      </c>
      <c r="O1014" s="2" t="s">
        <v>12395</v>
      </c>
      <c r="P1014" s="2" t="s">
        <v>12382</v>
      </c>
    </row>
    <row r="1015" spans="1:16">
      <c r="A1015" s="1">
        <v>1014</v>
      </c>
      <c r="B1015" s="2" t="s">
        <v>9070</v>
      </c>
      <c r="C1015" s="2" t="s">
        <v>12396</v>
      </c>
      <c r="D1015" s="2" t="s">
        <v>9072</v>
      </c>
      <c r="E1015" s="2" t="s">
        <v>12397</v>
      </c>
      <c r="F1015" s="2" t="s">
        <v>12398</v>
      </c>
      <c r="G1015" s="2" t="s">
        <v>12399</v>
      </c>
      <c r="H1015" s="2" t="s">
        <v>12400</v>
      </c>
      <c r="I1015" s="2" t="s">
        <v>12401</v>
      </c>
      <c r="J1015" s="2" t="s">
        <v>12402</v>
      </c>
      <c r="K1015" s="2" t="s">
        <v>12403</v>
      </c>
      <c r="L1015" s="2" t="s">
        <v>12404</v>
      </c>
      <c r="M1015" s="2" t="s">
        <v>12405</v>
      </c>
      <c r="N1015" s="2" t="s">
        <v>12406</v>
      </c>
      <c r="O1015" s="2" t="s">
        <v>9083</v>
      </c>
      <c r="P1015" s="2" t="s">
        <v>9070</v>
      </c>
    </row>
    <row r="1016" spans="1:16">
      <c r="A1016" s="1">
        <v>1015</v>
      </c>
      <c r="B1016" s="2" t="s">
        <v>12407</v>
      </c>
      <c r="C1016" s="2" t="s">
        <v>12408</v>
      </c>
      <c r="D1016" s="2" t="s">
        <v>12407</v>
      </c>
      <c r="E1016" s="2" t="s">
        <v>12409</v>
      </c>
      <c r="F1016" s="2" t="s">
        <v>12410</v>
      </c>
      <c r="G1016" s="2" t="s">
        <v>12411</v>
      </c>
      <c r="H1016" s="2" t="s">
        <v>12412</v>
      </c>
      <c r="I1016" s="2" t="s">
        <v>12413</v>
      </c>
      <c r="J1016" s="2" t="s">
        <v>12414</v>
      </c>
      <c r="K1016" s="2" t="s">
        <v>12415</v>
      </c>
      <c r="L1016" s="2" t="s">
        <v>12416</v>
      </c>
      <c r="M1016" s="2" t="s">
        <v>12417</v>
      </c>
      <c r="N1016" s="2" t="s">
        <v>12417</v>
      </c>
      <c r="O1016" s="2" t="s">
        <v>12415</v>
      </c>
      <c r="P1016" s="2" t="s">
        <v>12407</v>
      </c>
    </row>
    <row r="1017" spans="1:16">
      <c r="A1017" s="1">
        <v>1016</v>
      </c>
      <c r="B1017" s="2" t="s">
        <v>12418</v>
      </c>
      <c r="C1017" s="2" t="s">
        <v>12419</v>
      </c>
      <c r="D1017" s="2" t="s">
        <v>12418</v>
      </c>
      <c r="E1017" s="2" t="s">
        <v>12420</v>
      </c>
      <c r="F1017" s="2" t="s">
        <v>12421</v>
      </c>
      <c r="G1017" s="2" t="s">
        <v>12422</v>
      </c>
      <c r="H1017" s="2" t="s">
        <v>12423</v>
      </c>
      <c r="I1017" s="2" t="s">
        <v>12424</v>
      </c>
      <c r="J1017" s="2" t="s">
        <v>12425</v>
      </c>
      <c r="K1017" s="2" t="s">
        <v>12426</v>
      </c>
      <c r="L1017" s="2" t="s">
        <v>12427</v>
      </c>
      <c r="M1017" s="2" t="s">
        <v>12428</v>
      </c>
      <c r="N1017" s="2" t="s">
        <v>12428</v>
      </c>
      <c r="O1017" s="2" t="s">
        <v>12429</v>
      </c>
      <c r="P1017" s="2" t="s">
        <v>12418</v>
      </c>
    </row>
    <row r="1018" spans="1:16">
      <c r="A1018" s="1">
        <v>1017</v>
      </c>
      <c r="B1018" s="2" t="s">
        <v>12430</v>
      </c>
      <c r="C1018" s="2" t="s">
        <v>12431</v>
      </c>
      <c r="D1018" s="2" t="s">
        <v>12430</v>
      </c>
      <c r="E1018" s="2" t="s">
        <v>12432</v>
      </c>
      <c r="F1018" s="2" t="s">
        <v>12433</v>
      </c>
      <c r="G1018" s="2" t="s">
        <v>12434</v>
      </c>
      <c r="H1018" s="2" t="s">
        <v>12435</v>
      </c>
      <c r="I1018" s="2" t="s">
        <v>12436</v>
      </c>
      <c r="J1018" s="2" t="s">
        <v>12437</v>
      </c>
      <c r="K1018" s="2" t="s">
        <v>12438</v>
      </c>
      <c r="L1018" s="2" t="s">
        <v>12439</v>
      </c>
      <c r="M1018" s="2" t="s">
        <v>12440</v>
      </c>
      <c r="N1018" s="2" t="s">
        <v>12440</v>
      </c>
      <c r="O1018" s="2" t="s">
        <v>12441</v>
      </c>
      <c r="P1018" s="2" t="s">
        <v>12430</v>
      </c>
    </row>
    <row r="1019" spans="1:16">
      <c r="A1019" s="1">
        <v>1018</v>
      </c>
      <c r="B1019" s="2" t="s">
        <v>12442</v>
      </c>
      <c r="C1019" s="2" t="s">
        <v>12443</v>
      </c>
      <c r="D1019" s="2" t="s">
        <v>12444</v>
      </c>
      <c r="E1019" s="2" t="s">
        <v>11204</v>
      </c>
      <c r="F1019" s="2" t="s">
        <v>12445</v>
      </c>
      <c r="G1019" s="2" t="s">
        <v>12446</v>
      </c>
      <c r="H1019" s="2" t="s">
        <v>12447</v>
      </c>
      <c r="I1019" s="2" t="s">
        <v>12448</v>
      </c>
      <c r="J1019" s="2" t="s">
        <v>12449</v>
      </c>
      <c r="K1019" s="2" t="s">
        <v>12450</v>
      </c>
      <c r="L1019" s="2" t="s">
        <v>12451</v>
      </c>
      <c r="M1019" s="2" t="s">
        <v>12452</v>
      </c>
      <c r="N1019" s="2" t="s">
        <v>12453</v>
      </c>
      <c r="O1019" s="2" t="s">
        <v>12454</v>
      </c>
      <c r="P1019" s="2" t="s">
        <v>12442</v>
      </c>
    </row>
    <row r="1020" spans="1:16">
      <c r="A1020" s="1">
        <v>1019</v>
      </c>
      <c r="B1020" s="2" t="s">
        <v>25717</v>
      </c>
      <c r="C1020" s="2" t="s">
        <v>25718</v>
      </c>
      <c r="D1020" s="2" t="s">
        <v>12455</v>
      </c>
      <c r="E1020" s="2" t="s">
        <v>25719</v>
      </c>
      <c r="F1020" s="2" t="s">
        <v>25720</v>
      </c>
      <c r="G1020" s="2" t="s">
        <v>25721</v>
      </c>
      <c r="H1020" s="2" t="s">
        <v>25722</v>
      </c>
      <c r="I1020" s="2" t="s">
        <v>25723</v>
      </c>
      <c r="J1020" s="2" t="s">
        <v>25724</v>
      </c>
      <c r="K1020" s="2" t="s">
        <v>25725</v>
      </c>
      <c r="L1020" s="2" t="s">
        <v>25726</v>
      </c>
      <c r="M1020" s="2" t="s">
        <v>25727</v>
      </c>
      <c r="N1020" s="2" t="s">
        <v>25728</v>
      </c>
      <c r="O1020" s="2" t="s">
        <v>25729</v>
      </c>
      <c r="P1020" s="2" t="s">
        <v>25717</v>
      </c>
    </row>
    <row r="1021" spans="1:16">
      <c r="A1021" s="1">
        <v>1020</v>
      </c>
      <c r="B1021" s="2" t="s">
        <v>12456</v>
      </c>
      <c r="C1021" s="2" t="s">
        <v>12457</v>
      </c>
      <c r="D1021" s="2" t="s">
        <v>12458</v>
      </c>
      <c r="E1021" s="2" t="s">
        <v>25730</v>
      </c>
      <c r="F1021" s="2" t="s">
        <v>12459</v>
      </c>
      <c r="G1021" s="2" t="s">
        <v>12460</v>
      </c>
      <c r="H1021" s="2" t="s">
        <v>12461</v>
      </c>
      <c r="I1021" s="2" t="s">
        <v>12462</v>
      </c>
      <c r="J1021" s="2" t="s">
        <v>12463</v>
      </c>
      <c r="K1021" s="2" t="s">
        <v>12464</v>
      </c>
      <c r="L1021" s="2" t="s">
        <v>12465</v>
      </c>
      <c r="M1021" s="2" t="s">
        <v>12466</v>
      </c>
      <c r="N1021" s="2" t="s">
        <v>12467</v>
      </c>
      <c r="O1021" s="2" t="s">
        <v>12468</v>
      </c>
      <c r="P1021" s="2" t="s">
        <v>12456</v>
      </c>
    </row>
    <row r="1022" spans="1:16">
      <c r="A1022" s="1">
        <v>1021</v>
      </c>
      <c r="B1022" s="2" t="s">
        <v>12469</v>
      </c>
      <c r="C1022" s="2" t="s">
        <v>12470</v>
      </c>
      <c r="D1022" s="2" t="s">
        <v>12471</v>
      </c>
      <c r="E1022" s="2" t="s">
        <v>12472</v>
      </c>
      <c r="F1022" s="2" t="s">
        <v>12473</v>
      </c>
      <c r="G1022" s="2" t="s">
        <v>12474</v>
      </c>
      <c r="H1022" s="2" t="s">
        <v>12475</v>
      </c>
      <c r="I1022" s="2" t="s">
        <v>12476</v>
      </c>
      <c r="J1022" s="2" t="s">
        <v>12477</v>
      </c>
      <c r="K1022" s="2" t="s">
        <v>12478</v>
      </c>
      <c r="L1022" s="2" t="s">
        <v>12479</v>
      </c>
      <c r="M1022" s="2" t="s">
        <v>12480</v>
      </c>
      <c r="N1022" s="2" t="s">
        <v>12481</v>
      </c>
      <c r="O1022" s="2" t="s">
        <v>12482</v>
      </c>
      <c r="P1022" s="2" t="s">
        <v>12469</v>
      </c>
    </row>
    <row r="1023" spans="1:16">
      <c r="A1023" s="1">
        <v>1022</v>
      </c>
      <c r="B1023" s="2" t="s">
        <v>12483</v>
      </c>
      <c r="C1023" s="2" t="s">
        <v>12484</v>
      </c>
      <c r="D1023" s="2" t="s">
        <v>22840</v>
      </c>
      <c r="E1023" s="2" t="s">
        <v>12485</v>
      </c>
      <c r="F1023" s="2" t="s">
        <v>12486</v>
      </c>
      <c r="G1023" s="2" t="s">
        <v>24969</v>
      </c>
      <c r="H1023" s="2" t="s">
        <v>12487</v>
      </c>
      <c r="I1023" s="2" t="s">
        <v>12488</v>
      </c>
      <c r="J1023" s="2" t="s">
        <v>12489</v>
      </c>
      <c r="K1023" s="2" t="s">
        <v>12490</v>
      </c>
      <c r="L1023" s="2" t="s">
        <v>12491</v>
      </c>
      <c r="M1023" s="2" t="s">
        <v>12492</v>
      </c>
      <c r="N1023" s="2" t="s">
        <v>12492</v>
      </c>
      <c r="O1023" s="2" t="s">
        <v>12493</v>
      </c>
      <c r="P1023" s="2" t="s">
        <v>12483</v>
      </c>
    </row>
    <row r="1024" spans="1:16">
      <c r="A1024" s="1">
        <v>1023</v>
      </c>
      <c r="B1024" s="2" t="s">
        <v>12494</v>
      </c>
      <c r="C1024" s="2" t="s">
        <v>12495</v>
      </c>
      <c r="D1024" s="2" t="s">
        <v>12496</v>
      </c>
      <c r="E1024" s="2" t="s">
        <v>12497</v>
      </c>
      <c r="F1024" s="2" t="s">
        <v>12498</v>
      </c>
      <c r="G1024" s="2" t="s">
        <v>12499</v>
      </c>
      <c r="H1024" s="2" t="s">
        <v>12500</v>
      </c>
      <c r="I1024" s="2" t="s">
        <v>12501</v>
      </c>
      <c r="J1024" s="2" t="s">
        <v>12502</v>
      </c>
      <c r="K1024" s="2" t="s">
        <v>12503</v>
      </c>
      <c r="L1024" s="2" t="s">
        <v>12504</v>
      </c>
      <c r="M1024" s="2" t="s">
        <v>12505</v>
      </c>
      <c r="N1024" s="2" t="s">
        <v>12505</v>
      </c>
      <c r="O1024" s="2" t="s">
        <v>12506</v>
      </c>
      <c r="P1024" s="2" t="s">
        <v>12494</v>
      </c>
    </row>
    <row r="1025" spans="1:16">
      <c r="A1025" s="1">
        <v>1024</v>
      </c>
      <c r="B1025" s="2" t="s">
        <v>12507</v>
      </c>
      <c r="C1025" s="2" t="s">
        <v>12508</v>
      </c>
      <c r="D1025" s="2" t="s">
        <v>12509</v>
      </c>
      <c r="E1025" s="2" t="s">
        <v>12510</v>
      </c>
      <c r="F1025" s="2" t="s">
        <v>5091</v>
      </c>
      <c r="G1025" s="2" t="s">
        <v>12511</v>
      </c>
      <c r="H1025" s="2" t="s">
        <v>12512</v>
      </c>
      <c r="I1025" s="2" t="s">
        <v>12513</v>
      </c>
      <c r="J1025" s="2" t="s">
        <v>12514</v>
      </c>
      <c r="K1025" s="2" t="s">
        <v>12515</v>
      </c>
      <c r="L1025" s="2" t="s">
        <v>12516</v>
      </c>
      <c r="M1025" s="2" t="s">
        <v>12517</v>
      </c>
      <c r="N1025" s="2" t="s">
        <v>12518</v>
      </c>
      <c r="O1025" s="2" t="s">
        <v>12519</v>
      </c>
      <c r="P1025" s="2" t="s">
        <v>12507</v>
      </c>
    </row>
    <row r="1026" spans="1:16">
      <c r="A1026" s="1">
        <v>1025</v>
      </c>
      <c r="B1026" s="2" t="s">
        <v>22841</v>
      </c>
      <c r="C1026" s="2" t="s">
        <v>12521</v>
      </c>
      <c r="D1026" s="2" t="s">
        <v>12522</v>
      </c>
      <c r="E1026" s="2" t="s">
        <v>12523</v>
      </c>
      <c r="F1026" s="2" t="s">
        <v>12524</v>
      </c>
      <c r="G1026" s="2" t="s">
        <v>12525</v>
      </c>
      <c r="H1026" s="2" t="s">
        <v>12526</v>
      </c>
      <c r="I1026" s="2" t="s">
        <v>12527</v>
      </c>
      <c r="J1026" s="2" t="s">
        <v>12528</v>
      </c>
      <c r="K1026" s="2" t="s">
        <v>12529</v>
      </c>
      <c r="L1026" s="2" t="s">
        <v>12530</v>
      </c>
      <c r="M1026" s="2" t="s">
        <v>12531</v>
      </c>
      <c r="N1026" s="2" t="s">
        <v>12532</v>
      </c>
      <c r="O1026" s="2" t="s">
        <v>12533</v>
      </c>
      <c r="P1026" s="2" t="s">
        <v>12520</v>
      </c>
    </row>
    <row r="1027" spans="1:16">
      <c r="A1027" s="1">
        <v>1026</v>
      </c>
      <c r="B1027" s="2" t="s">
        <v>12534</v>
      </c>
      <c r="C1027" s="2" t="s">
        <v>12535</v>
      </c>
      <c r="D1027" s="2" t="s">
        <v>12536</v>
      </c>
      <c r="E1027" s="2" t="s">
        <v>12537</v>
      </c>
      <c r="F1027" s="2" t="s">
        <v>12538</v>
      </c>
      <c r="G1027" s="2" t="s">
        <v>12539</v>
      </c>
      <c r="H1027" s="2" t="s">
        <v>12540</v>
      </c>
      <c r="I1027" s="2" t="s">
        <v>12541</v>
      </c>
      <c r="J1027" s="2" t="s">
        <v>12542</v>
      </c>
      <c r="K1027" s="2" t="s">
        <v>12543</v>
      </c>
      <c r="L1027" s="2" t="s">
        <v>12544</v>
      </c>
      <c r="M1027" s="2" t="s">
        <v>12545</v>
      </c>
      <c r="N1027" s="2" t="s">
        <v>12545</v>
      </c>
      <c r="O1027" s="2" t="s">
        <v>12543</v>
      </c>
      <c r="P1027" s="2" t="s">
        <v>12534</v>
      </c>
    </row>
    <row r="1028" spans="1:16">
      <c r="A1028" s="1">
        <v>1027</v>
      </c>
      <c r="B1028" s="2" t="s">
        <v>12546</v>
      </c>
      <c r="C1028" s="2" t="s">
        <v>12547</v>
      </c>
      <c r="D1028" s="2" t="s">
        <v>12548</v>
      </c>
      <c r="E1028" s="2" t="s">
        <v>12549</v>
      </c>
      <c r="F1028" s="2" t="s">
        <v>12550</v>
      </c>
      <c r="G1028" s="2" t="s">
        <v>12551</v>
      </c>
      <c r="H1028" s="2" t="s">
        <v>12552</v>
      </c>
      <c r="I1028" s="2" t="s">
        <v>12553</v>
      </c>
      <c r="J1028" s="2" t="s">
        <v>12554</v>
      </c>
      <c r="K1028" s="2" t="s">
        <v>12555</v>
      </c>
      <c r="L1028" s="2" t="s">
        <v>12556</v>
      </c>
      <c r="M1028" s="2" t="s">
        <v>12557</v>
      </c>
      <c r="N1028" s="2" t="s">
        <v>12557</v>
      </c>
      <c r="O1028" s="2" t="s">
        <v>12555</v>
      </c>
      <c r="P1028" s="2" t="s">
        <v>12546</v>
      </c>
    </row>
    <row r="1029" spans="1:16">
      <c r="A1029" s="1">
        <v>1028</v>
      </c>
      <c r="B1029" s="2" t="s">
        <v>12558</v>
      </c>
      <c r="C1029" s="2" t="s">
        <v>12559</v>
      </c>
      <c r="D1029" s="2" t="s">
        <v>12560</v>
      </c>
      <c r="E1029" s="2" t="s">
        <v>12561</v>
      </c>
      <c r="F1029" s="2" t="s">
        <v>12562</v>
      </c>
      <c r="G1029" s="2" t="s">
        <v>12563</v>
      </c>
      <c r="H1029" s="2" t="s">
        <v>12564</v>
      </c>
      <c r="I1029" s="2" t="s">
        <v>12565</v>
      </c>
      <c r="J1029" s="2" t="s">
        <v>12566</v>
      </c>
      <c r="K1029" s="2" t="s">
        <v>12567</v>
      </c>
      <c r="L1029" s="2" t="s">
        <v>12568</v>
      </c>
      <c r="M1029" s="2" t="s">
        <v>12569</v>
      </c>
      <c r="N1029" s="2" t="s">
        <v>12570</v>
      </c>
      <c r="O1029" s="2" t="s">
        <v>12571</v>
      </c>
      <c r="P1029" s="2" t="s">
        <v>12558</v>
      </c>
    </row>
    <row r="1030" spans="1:16">
      <c r="A1030" s="1">
        <v>1029</v>
      </c>
      <c r="B1030" s="2" t="s">
        <v>12572</v>
      </c>
      <c r="C1030" s="2" t="s">
        <v>12573</v>
      </c>
      <c r="D1030" s="2" t="s">
        <v>12574</v>
      </c>
      <c r="E1030" s="2" t="s">
        <v>12575</v>
      </c>
      <c r="F1030" s="2" t="s">
        <v>12576</v>
      </c>
      <c r="G1030" s="2" t="s">
        <v>12577</v>
      </c>
      <c r="H1030" s="2" t="s">
        <v>12578</v>
      </c>
      <c r="I1030" s="2" t="s">
        <v>12579</v>
      </c>
      <c r="J1030" s="2" t="s">
        <v>12580</v>
      </c>
      <c r="K1030" s="2" t="s">
        <v>12581</v>
      </c>
      <c r="L1030" s="2" t="s">
        <v>12582</v>
      </c>
      <c r="M1030" s="2" t="s">
        <v>12583</v>
      </c>
      <c r="N1030" s="2" t="s">
        <v>12584</v>
      </c>
      <c r="O1030" s="2" t="s">
        <v>12585</v>
      </c>
      <c r="P1030" s="2" t="s">
        <v>12572</v>
      </c>
    </row>
    <row r="1031" spans="1:16">
      <c r="A1031" s="1">
        <v>1030</v>
      </c>
      <c r="B1031" s="2" t="s">
        <v>12586</v>
      </c>
      <c r="C1031" s="2" t="s">
        <v>12587</v>
      </c>
      <c r="D1031" s="2" t="s">
        <v>12588</v>
      </c>
      <c r="E1031" s="2" t="s">
        <v>12589</v>
      </c>
      <c r="F1031" s="2" t="s">
        <v>12590</v>
      </c>
      <c r="G1031" s="2" t="s">
        <v>12591</v>
      </c>
      <c r="H1031" s="2" t="s">
        <v>12592</v>
      </c>
      <c r="I1031" s="2" t="s">
        <v>12593</v>
      </c>
      <c r="J1031" s="2" t="s">
        <v>12594</v>
      </c>
      <c r="K1031" s="2" t="s">
        <v>12595</v>
      </c>
      <c r="L1031" s="2" t="s">
        <v>12596</v>
      </c>
      <c r="M1031" s="2" t="s">
        <v>12597</v>
      </c>
      <c r="N1031" s="2" t="s">
        <v>12598</v>
      </c>
      <c r="O1031" s="2" t="s">
        <v>12599</v>
      </c>
      <c r="P1031" s="2" t="s">
        <v>12586</v>
      </c>
    </row>
    <row r="1032" spans="1:16">
      <c r="A1032" s="1">
        <v>1031</v>
      </c>
      <c r="B1032" s="2" t="s">
        <v>12600</v>
      </c>
      <c r="C1032" s="2" t="s">
        <v>12601</v>
      </c>
      <c r="D1032" s="2" t="s">
        <v>12602</v>
      </c>
      <c r="E1032" s="2" t="s">
        <v>12603</v>
      </c>
      <c r="F1032" s="2" t="s">
        <v>12604</v>
      </c>
      <c r="G1032" s="2" t="s">
        <v>12605</v>
      </c>
      <c r="H1032" s="2" t="s">
        <v>12606</v>
      </c>
      <c r="I1032" s="2" t="s">
        <v>12607</v>
      </c>
      <c r="J1032" s="2" t="s">
        <v>12608</v>
      </c>
      <c r="K1032" s="2" t="s">
        <v>12609</v>
      </c>
      <c r="L1032" s="2" t="s">
        <v>12610</v>
      </c>
      <c r="M1032" s="2" t="s">
        <v>12611</v>
      </c>
      <c r="N1032" s="2" t="s">
        <v>12612</v>
      </c>
      <c r="O1032" s="2" t="s">
        <v>12613</v>
      </c>
      <c r="P1032" s="2" t="s">
        <v>12600</v>
      </c>
    </row>
    <row r="1033" spans="1:16">
      <c r="A1033" s="1">
        <v>1032</v>
      </c>
      <c r="B1033" s="2" t="s">
        <v>12614</v>
      </c>
      <c r="C1033" s="2" t="s">
        <v>12615</v>
      </c>
      <c r="D1033" s="2" t="s">
        <v>12616</v>
      </c>
      <c r="E1033" s="2" t="s">
        <v>12617</v>
      </c>
      <c r="F1033" s="2" t="s">
        <v>12618</v>
      </c>
      <c r="G1033" s="2" t="s">
        <v>12618</v>
      </c>
      <c r="H1033" s="2" t="s">
        <v>12619</v>
      </c>
      <c r="I1033" s="2" t="s">
        <v>12619</v>
      </c>
      <c r="J1033" s="2" t="s">
        <v>12620</v>
      </c>
      <c r="K1033" s="2" t="s">
        <v>12619</v>
      </c>
      <c r="L1033" s="2" t="s">
        <v>11465</v>
      </c>
      <c r="M1033" s="2" t="s">
        <v>12619</v>
      </c>
      <c r="N1033" s="2" t="s">
        <v>12619</v>
      </c>
      <c r="O1033" s="2" t="s">
        <v>12619</v>
      </c>
      <c r="P1033" s="2" t="s">
        <v>12614</v>
      </c>
    </row>
    <row r="1034" spans="1:16">
      <c r="A1034" s="1">
        <v>1033</v>
      </c>
      <c r="B1034" s="2" t="s">
        <v>12621</v>
      </c>
      <c r="C1034" s="2" t="s">
        <v>12622</v>
      </c>
      <c r="D1034" s="2" t="s">
        <v>12623</v>
      </c>
      <c r="E1034" s="2" t="s">
        <v>12624</v>
      </c>
      <c r="F1034" s="2" t="s">
        <v>2509</v>
      </c>
      <c r="G1034" s="2" t="s">
        <v>12625</v>
      </c>
      <c r="H1034" s="2" t="s">
        <v>12626</v>
      </c>
      <c r="I1034" s="2" t="s">
        <v>12627</v>
      </c>
      <c r="J1034" s="2" t="s">
        <v>12628</v>
      </c>
      <c r="K1034" s="2" t="s">
        <v>12629</v>
      </c>
      <c r="L1034" s="2" t="s">
        <v>12630</v>
      </c>
      <c r="M1034" s="2" t="s">
        <v>12631</v>
      </c>
      <c r="N1034" s="2" t="s">
        <v>12631</v>
      </c>
      <c r="O1034" s="2" t="s">
        <v>12632</v>
      </c>
      <c r="P1034" s="2" t="s">
        <v>12621</v>
      </c>
    </row>
    <row r="1035" spans="1:16">
      <c r="A1035" s="1">
        <v>1034</v>
      </c>
      <c r="B1035" s="2" t="s">
        <v>12633</v>
      </c>
      <c r="C1035" s="2" t="s">
        <v>12634</v>
      </c>
      <c r="D1035" s="2" t="s">
        <v>12635</v>
      </c>
      <c r="E1035" s="2" t="s">
        <v>12636</v>
      </c>
      <c r="F1035" s="2" t="s">
        <v>12637</v>
      </c>
      <c r="G1035" s="2" t="s">
        <v>12638</v>
      </c>
      <c r="H1035" s="2" t="s">
        <v>12639</v>
      </c>
      <c r="I1035" s="2" t="s">
        <v>12640</v>
      </c>
      <c r="J1035" s="2" t="s">
        <v>12641</v>
      </c>
      <c r="K1035" s="2" t="s">
        <v>12642</v>
      </c>
      <c r="L1035" s="2" t="s">
        <v>12643</v>
      </c>
      <c r="M1035" s="2" t="s">
        <v>12644</v>
      </c>
      <c r="N1035" s="2" t="s">
        <v>12645</v>
      </c>
      <c r="O1035" s="2" t="s">
        <v>12646</v>
      </c>
      <c r="P1035" s="2" t="s">
        <v>12633</v>
      </c>
    </row>
    <row r="1036" spans="1:16">
      <c r="A1036" s="1">
        <v>1035</v>
      </c>
      <c r="B1036" s="2" t="s">
        <v>12647</v>
      </c>
      <c r="C1036" s="2" t="s">
        <v>12648</v>
      </c>
      <c r="D1036" s="2" t="s">
        <v>25731</v>
      </c>
      <c r="E1036" s="2" t="s">
        <v>12649</v>
      </c>
      <c r="F1036" s="2" t="s">
        <v>22842</v>
      </c>
      <c r="G1036" s="2" t="s">
        <v>12650</v>
      </c>
      <c r="H1036" s="2" t="s">
        <v>12651</v>
      </c>
      <c r="I1036" s="2" t="s">
        <v>12652</v>
      </c>
      <c r="J1036" s="2" t="s">
        <v>12653</v>
      </c>
      <c r="K1036" s="2" t="s">
        <v>12654</v>
      </c>
      <c r="L1036" s="2" t="s">
        <v>12655</v>
      </c>
      <c r="M1036" s="2" t="s">
        <v>12656</v>
      </c>
      <c r="N1036" s="2" t="s">
        <v>12657</v>
      </c>
      <c r="O1036" s="2" t="s">
        <v>12658</v>
      </c>
      <c r="P1036" s="2" t="s">
        <v>12647</v>
      </c>
    </row>
    <row r="1037" spans="1:16">
      <c r="A1037" s="1">
        <v>1036</v>
      </c>
      <c r="B1037" s="2" t="s">
        <v>12659</v>
      </c>
      <c r="C1037" s="2" t="s">
        <v>12660</v>
      </c>
      <c r="D1037" s="2" t="s">
        <v>12661</v>
      </c>
      <c r="E1037" s="2" t="s">
        <v>12662</v>
      </c>
      <c r="F1037" s="2" t="s">
        <v>12663</v>
      </c>
      <c r="G1037" s="2" t="s">
        <v>12664</v>
      </c>
      <c r="H1037" s="2" t="s">
        <v>12665</v>
      </c>
      <c r="I1037" s="2" t="s">
        <v>12666</v>
      </c>
      <c r="J1037" s="2" t="s">
        <v>12667</v>
      </c>
      <c r="K1037" s="2" t="s">
        <v>12668</v>
      </c>
      <c r="L1037" s="2" t="s">
        <v>12669</v>
      </c>
      <c r="M1037" s="2" t="s">
        <v>12670</v>
      </c>
      <c r="N1037" s="2" t="s">
        <v>12671</v>
      </c>
      <c r="O1037" s="2" t="s">
        <v>12672</v>
      </c>
      <c r="P1037" s="2" t="s">
        <v>12659</v>
      </c>
    </row>
    <row r="1038" spans="1:16">
      <c r="A1038" s="1">
        <v>1037</v>
      </c>
      <c r="B1038" s="2" t="s">
        <v>12673</v>
      </c>
      <c r="C1038" s="2" t="s">
        <v>12674</v>
      </c>
      <c r="D1038" s="2" t="s">
        <v>12675</v>
      </c>
      <c r="E1038" s="2" t="s">
        <v>12676</v>
      </c>
      <c r="F1038" s="2" t="s">
        <v>12677</v>
      </c>
      <c r="G1038" s="2" t="s">
        <v>12678</v>
      </c>
      <c r="H1038" s="2" t="s">
        <v>12679</v>
      </c>
      <c r="I1038" s="2" t="s">
        <v>12680</v>
      </c>
      <c r="J1038" s="2" t="s">
        <v>12681</v>
      </c>
      <c r="K1038" s="2" t="s">
        <v>12682</v>
      </c>
      <c r="L1038" s="2" t="s">
        <v>12683</v>
      </c>
      <c r="M1038" s="2" t="s">
        <v>12684</v>
      </c>
      <c r="N1038" s="2" t="s">
        <v>12685</v>
      </c>
      <c r="O1038" s="2" t="s">
        <v>12686</v>
      </c>
      <c r="P1038" s="2" t="s">
        <v>12673</v>
      </c>
    </row>
    <row r="1039" spans="1:16">
      <c r="A1039" s="1">
        <v>1038</v>
      </c>
      <c r="B1039" s="2" t="s">
        <v>12687</v>
      </c>
      <c r="C1039" s="2" t="s">
        <v>12688</v>
      </c>
      <c r="D1039" s="2" t="s">
        <v>12689</v>
      </c>
      <c r="E1039" s="2" t="s">
        <v>25732</v>
      </c>
      <c r="F1039" s="2" t="s">
        <v>12690</v>
      </c>
      <c r="G1039" s="2" t="s">
        <v>12691</v>
      </c>
      <c r="H1039" s="2" t="s">
        <v>12692</v>
      </c>
      <c r="I1039" s="2" t="s">
        <v>12693</v>
      </c>
      <c r="J1039" s="2" t="s">
        <v>12694</v>
      </c>
      <c r="K1039" s="2" t="s">
        <v>12695</v>
      </c>
      <c r="L1039" s="2" t="s">
        <v>12696</v>
      </c>
      <c r="M1039" s="2" t="s">
        <v>12697</v>
      </c>
      <c r="N1039" s="2" t="s">
        <v>12698</v>
      </c>
      <c r="O1039" s="2" t="s">
        <v>12699</v>
      </c>
      <c r="P1039" s="2" t="s">
        <v>12687</v>
      </c>
    </row>
    <row r="1040" spans="1:16">
      <c r="A1040" s="1">
        <v>1039</v>
      </c>
      <c r="B1040" s="2" t="s">
        <v>12700</v>
      </c>
      <c r="C1040" s="2" t="s">
        <v>12701</v>
      </c>
      <c r="D1040" s="2" t="s">
        <v>12702</v>
      </c>
      <c r="E1040" s="2" t="s">
        <v>25733</v>
      </c>
      <c r="F1040" s="2" t="s">
        <v>12703</v>
      </c>
      <c r="G1040" s="2" t="s">
        <v>12704</v>
      </c>
      <c r="H1040" s="2" t="s">
        <v>12705</v>
      </c>
      <c r="I1040" s="2" t="s">
        <v>12706</v>
      </c>
      <c r="J1040" s="2" t="s">
        <v>12707</v>
      </c>
      <c r="K1040" s="2" t="s">
        <v>12708</v>
      </c>
      <c r="L1040" s="2" t="s">
        <v>12709</v>
      </c>
      <c r="M1040" s="2" t="s">
        <v>12710</v>
      </c>
      <c r="N1040" s="2" t="s">
        <v>12711</v>
      </c>
      <c r="O1040" s="2" t="s">
        <v>12712</v>
      </c>
      <c r="P1040" s="2" t="s">
        <v>12700</v>
      </c>
    </row>
    <row r="1041" spans="1:16">
      <c r="A1041" s="1">
        <v>1040</v>
      </c>
      <c r="B1041" s="2" t="s">
        <v>12713</v>
      </c>
      <c r="C1041" s="2" t="s">
        <v>12714</v>
      </c>
      <c r="D1041" s="2" t="s">
        <v>12715</v>
      </c>
      <c r="E1041" s="2" t="s">
        <v>25734</v>
      </c>
      <c r="F1041" s="2" t="s">
        <v>12717</v>
      </c>
      <c r="G1041" s="2" t="s">
        <v>12718</v>
      </c>
      <c r="H1041" s="2" t="s">
        <v>12719</v>
      </c>
      <c r="I1041" s="2" t="s">
        <v>12720</v>
      </c>
      <c r="J1041" s="2" t="s">
        <v>12721</v>
      </c>
      <c r="K1041" s="2" t="s">
        <v>12722</v>
      </c>
      <c r="L1041" s="2" t="s">
        <v>12723</v>
      </c>
      <c r="M1041" s="2" t="s">
        <v>12724</v>
      </c>
      <c r="N1041" s="2" t="s">
        <v>12725</v>
      </c>
      <c r="O1041" s="2" t="s">
        <v>12726</v>
      </c>
      <c r="P1041" s="2" t="s">
        <v>12713</v>
      </c>
    </row>
    <row r="1042" spans="1:16">
      <c r="A1042" s="1">
        <v>1041</v>
      </c>
      <c r="B1042" s="2" t="s">
        <v>12727</v>
      </c>
      <c r="C1042" s="2" t="s">
        <v>12728</v>
      </c>
      <c r="D1042" s="2" t="s">
        <v>12729</v>
      </c>
      <c r="E1042" s="2" t="s">
        <v>12730</v>
      </c>
      <c r="F1042" s="2" t="s">
        <v>12731</v>
      </c>
      <c r="G1042" s="2" t="s">
        <v>12732</v>
      </c>
      <c r="H1042" s="2" t="s">
        <v>12733</v>
      </c>
      <c r="I1042" s="2" t="s">
        <v>12734</v>
      </c>
      <c r="J1042" s="2" t="s">
        <v>12735</v>
      </c>
      <c r="K1042" s="2" t="s">
        <v>12736</v>
      </c>
      <c r="L1042" s="2" t="s">
        <v>12737</v>
      </c>
      <c r="M1042" s="2" t="s">
        <v>12738</v>
      </c>
      <c r="N1042" s="2" t="s">
        <v>12739</v>
      </c>
      <c r="O1042" s="2" t="s">
        <v>12740</v>
      </c>
      <c r="P1042" s="2" t="s">
        <v>12727</v>
      </c>
    </row>
    <row r="1043" spans="1:16">
      <c r="A1043" s="1">
        <v>1042</v>
      </c>
      <c r="B1043" s="2" t="s">
        <v>12741</v>
      </c>
      <c r="C1043" s="2" t="s">
        <v>12742</v>
      </c>
      <c r="D1043" s="2" t="s">
        <v>12743</v>
      </c>
      <c r="E1043" s="2" t="s">
        <v>12744</v>
      </c>
      <c r="F1043" s="2" t="s">
        <v>12745</v>
      </c>
      <c r="G1043" s="2" t="s">
        <v>12746</v>
      </c>
      <c r="H1043" s="2" t="s">
        <v>12747</v>
      </c>
      <c r="I1043" s="2" t="s">
        <v>12748</v>
      </c>
      <c r="J1043" s="2" t="s">
        <v>12749</v>
      </c>
      <c r="K1043" s="2" t="s">
        <v>12750</v>
      </c>
      <c r="L1043" s="2" t="s">
        <v>12751</v>
      </c>
      <c r="M1043" s="2" t="s">
        <v>12752</v>
      </c>
      <c r="N1043" s="2" t="s">
        <v>12753</v>
      </c>
      <c r="O1043" s="2" t="s">
        <v>12754</v>
      </c>
      <c r="P1043" s="2" t="s">
        <v>12741</v>
      </c>
    </row>
    <row r="1044" spans="1:16">
      <c r="A1044" s="1">
        <v>1043</v>
      </c>
      <c r="B1044" s="2" t="s">
        <v>12755</v>
      </c>
      <c r="C1044" s="2" t="s">
        <v>12756</v>
      </c>
      <c r="D1044" s="2" t="s">
        <v>12757</v>
      </c>
      <c r="E1044" s="2" t="s">
        <v>12758</v>
      </c>
      <c r="F1044" s="2" t="s">
        <v>12759</v>
      </c>
      <c r="G1044" s="2" t="s">
        <v>12760</v>
      </c>
      <c r="H1044" s="2" t="s">
        <v>12761</v>
      </c>
      <c r="I1044" s="2" t="s">
        <v>12762</v>
      </c>
      <c r="J1044" s="2" t="s">
        <v>12763</v>
      </c>
      <c r="K1044" s="2" t="s">
        <v>12764</v>
      </c>
      <c r="L1044" s="2" t="s">
        <v>12765</v>
      </c>
      <c r="M1044" s="2" t="s">
        <v>12766</v>
      </c>
      <c r="N1044" s="2" t="s">
        <v>12767</v>
      </c>
      <c r="O1044" s="2" t="s">
        <v>12768</v>
      </c>
      <c r="P1044" s="2" t="s">
        <v>12755</v>
      </c>
    </row>
    <row r="1045" spans="1:16">
      <c r="A1045" s="1">
        <v>1044</v>
      </c>
      <c r="B1045" s="2" t="s">
        <v>12769</v>
      </c>
      <c r="C1045" s="2" t="s">
        <v>12770</v>
      </c>
      <c r="D1045" s="2" t="s">
        <v>12770</v>
      </c>
      <c r="E1045" s="2" t="s">
        <v>12769</v>
      </c>
      <c r="F1045" s="2" t="s">
        <v>12769</v>
      </c>
      <c r="G1045" s="2" t="s">
        <v>12769</v>
      </c>
      <c r="H1045" s="2" t="s">
        <v>12769</v>
      </c>
      <c r="I1045" s="2" t="s">
        <v>12769</v>
      </c>
      <c r="J1045" s="2" t="s">
        <v>12769</v>
      </c>
      <c r="K1045" s="2" t="s">
        <v>12769</v>
      </c>
      <c r="L1045" s="2" t="s">
        <v>12769</v>
      </c>
      <c r="M1045" s="2" t="s">
        <v>12769</v>
      </c>
      <c r="N1045" s="2" t="s">
        <v>12769</v>
      </c>
      <c r="O1045" s="2" t="s">
        <v>12769</v>
      </c>
      <c r="P1045" s="2" t="s">
        <v>12769</v>
      </c>
    </row>
    <row r="1046" spans="1:16">
      <c r="A1046" s="1">
        <v>1045</v>
      </c>
      <c r="B1046" s="2" t="s">
        <v>12771</v>
      </c>
      <c r="C1046" s="2" t="s">
        <v>12771</v>
      </c>
      <c r="D1046" s="2" t="s">
        <v>12771</v>
      </c>
      <c r="E1046" s="2" t="s">
        <v>12771</v>
      </c>
      <c r="F1046" s="2" t="s">
        <v>12771</v>
      </c>
      <c r="G1046" s="2" t="s">
        <v>12771</v>
      </c>
      <c r="H1046" s="2" t="s">
        <v>12771</v>
      </c>
      <c r="I1046" s="2" t="s">
        <v>12771</v>
      </c>
      <c r="J1046" s="2" t="s">
        <v>12771</v>
      </c>
      <c r="K1046" s="2" t="s">
        <v>12771</v>
      </c>
      <c r="L1046" s="2" t="s">
        <v>12771</v>
      </c>
      <c r="M1046" s="2" t="s">
        <v>12771</v>
      </c>
      <c r="N1046" s="2" t="s">
        <v>12771</v>
      </c>
      <c r="O1046" s="2" t="s">
        <v>12771</v>
      </c>
      <c r="P1046" s="2" t="s">
        <v>12771</v>
      </c>
    </row>
    <row r="1047" spans="1:16">
      <c r="A1047" s="1">
        <v>1046</v>
      </c>
      <c r="B1047" s="2" t="s">
        <v>12772</v>
      </c>
      <c r="C1047" s="2" t="s">
        <v>12772</v>
      </c>
      <c r="D1047" s="2" t="s">
        <v>12772</v>
      </c>
      <c r="E1047" s="2" t="s">
        <v>12772</v>
      </c>
      <c r="F1047" s="2" t="s">
        <v>12772</v>
      </c>
      <c r="G1047" s="2" t="s">
        <v>12772</v>
      </c>
      <c r="H1047" s="2" t="s">
        <v>12772</v>
      </c>
      <c r="I1047" s="2" t="s">
        <v>12772</v>
      </c>
      <c r="J1047" s="2" t="s">
        <v>12772</v>
      </c>
      <c r="K1047" s="2" t="s">
        <v>12772</v>
      </c>
      <c r="L1047" s="2" t="s">
        <v>12772</v>
      </c>
      <c r="M1047" s="2" t="s">
        <v>12772</v>
      </c>
      <c r="N1047" s="2" t="s">
        <v>12772</v>
      </c>
      <c r="O1047" s="2" t="s">
        <v>12772</v>
      </c>
      <c r="P1047" s="2" t="s">
        <v>12772</v>
      </c>
    </row>
    <row r="1048" spans="1:16">
      <c r="A1048" s="1">
        <v>1047</v>
      </c>
      <c r="B1048" s="2" t="s">
        <v>12773</v>
      </c>
      <c r="C1048" s="2" t="s">
        <v>12773</v>
      </c>
      <c r="D1048" s="2" t="s">
        <v>12773</v>
      </c>
      <c r="E1048" s="2" t="s">
        <v>12773</v>
      </c>
      <c r="F1048" s="2" t="s">
        <v>12773</v>
      </c>
      <c r="G1048" s="2" t="s">
        <v>12773</v>
      </c>
      <c r="H1048" s="2" t="s">
        <v>12773</v>
      </c>
      <c r="I1048" s="2" t="s">
        <v>12773</v>
      </c>
      <c r="J1048" s="2" t="s">
        <v>12773</v>
      </c>
      <c r="K1048" s="2" t="s">
        <v>12773</v>
      </c>
      <c r="L1048" s="2" t="s">
        <v>12773</v>
      </c>
      <c r="M1048" s="2" t="s">
        <v>12773</v>
      </c>
      <c r="N1048" s="2" t="s">
        <v>12773</v>
      </c>
      <c r="O1048" s="2" t="s">
        <v>12773</v>
      </c>
      <c r="P1048" s="2" t="s">
        <v>12773</v>
      </c>
    </row>
    <row r="1049" spans="1:16">
      <c r="A1049" s="1">
        <v>1048</v>
      </c>
      <c r="B1049" s="2" t="s">
        <v>12774</v>
      </c>
      <c r="C1049" s="2" t="s">
        <v>12774</v>
      </c>
      <c r="D1049" s="2" t="s">
        <v>12774</v>
      </c>
      <c r="E1049" s="2" t="s">
        <v>12774</v>
      </c>
      <c r="F1049" s="2" t="s">
        <v>12774</v>
      </c>
      <c r="G1049" s="2" t="s">
        <v>12774</v>
      </c>
      <c r="H1049" s="2" t="s">
        <v>12774</v>
      </c>
      <c r="I1049" s="2" t="s">
        <v>12774</v>
      </c>
      <c r="J1049" s="2" t="s">
        <v>12774</v>
      </c>
      <c r="K1049" s="2" t="s">
        <v>12774</v>
      </c>
      <c r="L1049" s="2" t="s">
        <v>12774</v>
      </c>
      <c r="M1049" s="2" t="s">
        <v>12774</v>
      </c>
      <c r="N1049" s="2" t="s">
        <v>12774</v>
      </c>
      <c r="O1049" s="2" t="s">
        <v>12774</v>
      </c>
      <c r="P1049" s="2" t="s">
        <v>12774</v>
      </c>
    </row>
    <row r="1050" spans="1:16">
      <c r="A1050" s="1">
        <v>1049</v>
      </c>
      <c r="B1050" s="2" t="s">
        <v>12775</v>
      </c>
      <c r="C1050" s="2" t="s">
        <v>12775</v>
      </c>
      <c r="D1050" s="2" t="s">
        <v>12775</v>
      </c>
      <c r="E1050" s="2" t="s">
        <v>12775</v>
      </c>
      <c r="F1050" s="2" t="s">
        <v>12775</v>
      </c>
      <c r="G1050" s="2" t="s">
        <v>12775</v>
      </c>
      <c r="H1050" s="2" t="s">
        <v>12775</v>
      </c>
      <c r="I1050" s="2" t="s">
        <v>12775</v>
      </c>
      <c r="J1050" s="2" t="s">
        <v>12775</v>
      </c>
      <c r="K1050" s="2" t="s">
        <v>12775</v>
      </c>
      <c r="L1050" s="2" t="s">
        <v>12775</v>
      </c>
      <c r="M1050" s="2" t="s">
        <v>12775</v>
      </c>
      <c r="N1050" s="2" t="s">
        <v>12775</v>
      </c>
      <c r="O1050" s="2" t="s">
        <v>12775</v>
      </c>
      <c r="P1050" s="2" t="s">
        <v>12775</v>
      </c>
    </row>
    <row r="1051" spans="1:16">
      <c r="A1051" s="1">
        <v>1050</v>
      </c>
      <c r="B1051" s="2" t="s">
        <v>12776</v>
      </c>
      <c r="C1051" s="2" t="s">
        <v>12776</v>
      </c>
      <c r="D1051" s="2" t="s">
        <v>12776</v>
      </c>
      <c r="E1051" s="2" t="s">
        <v>12776</v>
      </c>
      <c r="F1051" s="2" t="s">
        <v>12776</v>
      </c>
      <c r="G1051" s="2" t="s">
        <v>12776</v>
      </c>
      <c r="H1051" s="2" t="s">
        <v>12776</v>
      </c>
      <c r="I1051" s="2" t="s">
        <v>12776</v>
      </c>
      <c r="J1051" s="2" t="s">
        <v>12776</v>
      </c>
      <c r="K1051" s="2" t="s">
        <v>12776</v>
      </c>
      <c r="L1051" s="2" t="s">
        <v>12776</v>
      </c>
      <c r="M1051" s="2" t="s">
        <v>12776</v>
      </c>
      <c r="N1051" s="2" t="s">
        <v>12776</v>
      </c>
      <c r="O1051" s="2" t="s">
        <v>12776</v>
      </c>
      <c r="P1051" s="2" t="s">
        <v>12776</v>
      </c>
    </row>
    <row r="1052" spans="1:16">
      <c r="A1052" s="1">
        <v>1051</v>
      </c>
      <c r="B1052" s="2" t="s">
        <v>12777</v>
      </c>
      <c r="C1052" s="2" t="s">
        <v>12777</v>
      </c>
      <c r="D1052" s="2" t="s">
        <v>12777</v>
      </c>
      <c r="E1052" s="2" t="s">
        <v>12777</v>
      </c>
      <c r="F1052" s="2" t="s">
        <v>12777</v>
      </c>
      <c r="G1052" s="2" t="s">
        <v>12777</v>
      </c>
      <c r="H1052" s="2" t="s">
        <v>12777</v>
      </c>
      <c r="I1052" s="2" t="s">
        <v>12777</v>
      </c>
      <c r="J1052" s="2" t="s">
        <v>12777</v>
      </c>
      <c r="K1052" s="2" t="s">
        <v>12777</v>
      </c>
      <c r="L1052" s="2" t="s">
        <v>12777</v>
      </c>
      <c r="M1052" s="2" t="s">
        <v>12777</v>
      </c>
      <c r="N1052" s="2" t="s">
        <v>12777</v>
      </c>
      <c r="O1052" s="2" t="s">
        <v>12777</v>
      </c>
      <c r="P1052" s="2" t="s">
        <v>12777</v>
      </c>
    </row>
    <row r="1053" spans="1:16">
      <c r="A1053" s="1">
        <v>1052</v>
      </c>
      <c r="B1053" s="2" t="s">
        <v>12778</v>
      </c>
      <c r="C1053" s="2" t="s">
        <v>12778</v>
      </c>
      <c r="D1053" s="2" t="s">
        <v>12778</v>
      </c>
      <c r="E1053" s="2" t="s">
        <v>12778</v>
      </c>
      <c r="F1053" s="2" t="s">
        <v>12778</v>
      </c>
      <c r="G1053" s="2" t="s">
        <v>12778</v>
      </c>
      <c r="H1053" s="2" t="s">
        <v>12778</v>
      </c>
      <c r="I1053" s="2" t="s">
        <v>12778</v>
      </c>
      <c r="J1053" s="2" t="s">
        <v>12778</v>
      </c>
      <c r="K1053" s="2" t="s">
        <v>12778</v>
      </c>
      <c r="L1053" s="2" t="s">
        <v>12778</v>
      </c>
      <c r="M1053" s="2" t="s">
        <v>12778</v>
      </c>
      <c r="N1053" s="2" t="s">
        <v>12778</v>
      </c>
      <c r="O1053" s="2" t="s">
        <v>12778</v>
      </c>
      <c r="P1053" s="2" t="s">
        <v>12778</v>
      </c>
    </row>
    <row r="1054" spans="1:16">
      <c r="A1054" s="1">
        <v>1053</v>
      </c>
      <c r="B1054" s="2" t="s">
        <v>12779</v>
      </c>
      <c r="C1054" s="2" t="s">
        <v>12779</v>
      </c>
      <c r="D1054" s="2" t="s">
        <v>12779</v>
      </c>
      <c r="E1054" s="2" t="s">
        <v>12779</v>
      </c>
      <c r="F1054" s="2" t="s">
        <v>12779</v>
      </c>
      <c r="G1054" s="2" t="s">
        <v>12779</v>
      </c>
      <c r="H1054" s="2" t="s">
        <v>12779</v>
      </c>
      <c r="I1054" s="2" t="s">
        <v>12779</v>
      </c>
      <c r="J1054" s="2" t="s">
        <v>12779</v>
      </c>
      <c r="K1054" s="2" t="s">
        <v>12779</v>
      </c>
      <c r="L1054" s="2" t="s">
        <v>12779</v>
      </c>
      <c r="M1054" s="2" t="s">
        <v>12779</v>
      </c>
      <c r="N1054" s="2" t="s">
        <v>12779</v>
      </c>
      <c r="O1054" s="2" t="s">
        <v>12779</v>
      </c>
      <c r="P1054" s="2" t="s">
        <v>12779</v>
      </c>
    </row>
    <row r="1055" spans="1:16">
      <c r="A1055" s="1">
        <v>1054</v>
      </c>
      <c r="B1055" s="2" t="s">
        <v>12780</v>
      </c>
      <c r="C1055" s="2" t="s">
        <v>12780</v>
      </c>
      <c r="D1055" s="2" t="s">
        <v>12780</v>
      </c>
      <c r="E1055" s="2" t="s">
        <v>12780</v>
      </c>
      <c r="F1055" s="2" t="s">
        <v>12780</v>
      </c>
      <c r="G1055" s="2" t="s">
        <v>12780</v>
      </c>
      <c r="H1055" s="2" t="s">
        <v>12780</v>
      </c>
      <c r="I1055" s="2" t="s">
        <v>12780</v>
      </c>
      <c r="J1055" s="2" t="s">
        <v>12780</v>
      </c>
      <c r="K1055" s="2" t="s">
        <v>12780</v>
      </c>
      <c r="L1055" s="2" t="s">
        <v>12780</v>
      </c>
      <c r="M1055" s="2" t="s">
        <v>12780</v>
      </c>
      <c r="N1055" s="2" t="s">
        <v>12780</v>
      </c>
      <c r="O1055" s="2" t="s">
        <v>12780</v>
      </c>
      <c r="P1055" s="2" t="s">
        <v>12780</v>
      </c>
    </row>
    <row r="1056" spans="1:16">
      <c r="A1056" s="1">
        <v>1055</v>
      </c>
      <c r="B1056" s="2" t="s">
        <v>12781</v>
      </c>
      <c r="C1056" s="2" t="s">
        <v>12781</v>
      </c>
      <c r="D1056" s="2" t="s">
        <v>12781</v>
      </c>
      <c r="E1056" s="2" t="s">
        <v>12781</v>
      </c>
      <c r="F1056" s="2" t="s">
        <v>12781</v>
      </c>
      <c r="G1056" s="2" t="s">
        <v>12781</v>
      </c>
      <c r="H1056" s="2" t="s">
        <v>12781</v>
      </c>
      <c r="I1056" s="2" t="s">
        <v>12781</v>
      </c>
      <c r="J1056" s="2" t="s">
        <v>12781</v>
      </c>
      <c r="K1056" s="2" t="s">
        <v>12781</v>
      </c>
      <c r="L1056" s="2" t="s">
        <v>12781</v>
      </c>
      <c r="M1056" s="2" t="s">
        <v>12781</v>
      </c>
      <c r="N1056" s="2" t="s">
        <v>12781</v>
      </c>
      <c r="O1056" s="2" t="s">
        <v>12781</v>
      </c>
      <c r="P1056" s="2" t="s">
        <v>12781</v>
      </c>
    </row>
    <row r="1057" spans="1:16">
      <c r="A1057" s="1">
        <v>1056</v>
      </c>
      <c r="B1057" s="2" t="s">
        <v>12782</v>
      </c>
      <c r="C1057" s="2" t="s">
        <v>12782</v>
      </c>
      <c r="D1057" s="2" t="s">
        <v>12782</v>
      </c>
      <c r="E1057" s="2" t="s">
        <v>12782</v>
      </c>
      <c r="F1057" s="2" t="s">
        <v>12782</v>
      </c>
      <c r="G1057" s="2" t="s">
        <v>12782</v>
      </c>
      <c r="H1057" s="2" t="s">
        <v>12782</v>
      </c>
      <c r="I1057" s="2" t="s">
        <v>12782</v>
      </c>
      <c r="J1057" s="2" t="s">
        <v>12782</v>
      </c>
      <c r="K1057" s="2" t="s">
        <v>12782</v>
      </c>
      <c r="L1057" s="2" t="s">
        <v>12782</v>
      </c>
      <c r="M1057" s="2" t="s">
        <v>12782</v>
      </c>
      <c r="N1057" s="2" t="s">
        <v>12782</v>
      </c>
      <c r="O1057" s="2" t="s">
        <v>12782</v>
      </c>
      <c r="P1057" s="2" t="s">
        <v>12782</v>
      </c>
    </row>
    <row r="1058" spans="1:16">
      <c r="A1058" s="1">
        <v>1057</v>
      </c>
      <c r="B1058" s="2" t="s">
        <v>12783</v>
      </c>
      <c r="C1058" s="2" t="s">
        <v>12783</v>
      </c>
      <c r="D1058" s="2" t="s">
        <v>12783</v>
      </c>
      <c r="E1058" s="2" t="s">
        <v>12783</v>
      </c>
      <c r="F1058" s="2" t="s">
        <v>12783</v>
      </c>
      <c r="G1058" s="2" t="s">
        <v>12783</v>
      </c>
      <c r="H1058" s="2" t="s">
        <v>12783</v>
      </c>
      <c r="I1058" s="2" t="s">
        <v>12783</v>
      </c>
      <c r="J1058" s="2" t="s">
        <v>12783</v>
      </c>
      <c r="K1058" s="2" t="s">
        <v>12783</v>
      </c>
      <c r="L1058" s="2" t="s">
        <v>12783</v>
      </c>
      <c r="M1058" s="2" t="s">
        <v>12783</v>
      </c>
      <c r="N1058" s="2" t="s">
        <v>12783</v>
      </c>
      <c r="O1058" s="2" t="s">
        <v>12783</v>
      </c>
      <c r="P1058" s="2" t="s">
        <v>12783</v>
      </c>
    </row>
    <row r="1059" spans="1:16">
      <c r="A1059" s="1">
        <v>1058</v>
      </c>
      <c r="B1059" s="2" t="s">
        <v>12784</v>
      </c>
      <c r="C1059" s="2" t="s">
        <v>12784</v>
      </c>
      <c r="D1059" s="2" t="s">
        <v>12784</v>
      </c>
      <c r="E1059" s="2" t="s">
        <v>12784</v>
      </c>
      <c r="F1059" s="2" t="s">
        <v>12784</v>
      </c>
      <c r="G1059" s="2" t="s">
        <v>12784</v>
      </c>
      <c r="H1059" s="2" t="s">
        <v>12784</v>
      </c>
      <c r="I1059" s="2" t="s">
        <v>12784</v>
      </c>
      <c r="J1059" s="2" t="s">
        <v>12784</v>
      </c>
      <c r="K1059" s="2" t="s">
        <v>12784</v>
      </c>
      <c r="L1059" s="2" t="s">
        <v>12784</v>
      </c>
      <c r="M1059" s="2" t="s">
        <v>12784</v>
      </c>
      <c r="N1059" s="2" t="s">
        <v>12784</v>
      </c>
      <c r="O1059" s="2" t="s">
        <v>12784</v>
      </c>
      <c r="P1059" s="2" t="s">
        <v>12784</v>
      </c>
    </row>
    <row r="1060" spans="1:16">
      <c r="A1060" s="1">
        <v>1059</v>
      </c>
      <c r="B1060" s="2" t="s">
        <v>12785</v>
      </c>
      <c r="C1060" s="2" t="s">
        <v>12785</v>
      </c>
      <c r="D1060" s="2" t="s">
        <v>12785</v>
      </c>
      <c r="E1060" s="2" t="s">
        <v>12785</v>
      </c>
      <c r="F1060" s="2" t="s">
        <v>12785</v>
      </c>
      <c r="G1060" s="2" t="s">
        <v>12785</v>
      </c>
      <c r="H1060" s="2" t="s">
        <v>12785</v>
      </c>
      <c r="I1060" s="2" t="s">
        <v>12785</v>
      </c>
      <c r="J1060" s="2" t="s">
        <v>12785</v>
      </c>
      <c r="K1060" s="2" t="s">
        <v>12785</v>
      </c>
      <c r="L1060" s="2" t="s">
        <v>12785</v>
      </c>
      <c r="M1060" s="2" t="s">
        <v>12785</v>
      </c>
      <c r="N1060" s="2" t="s">
        <v>12785</v>
      </c>
      <c r="O1060" s="2" t="s">
        <v>12785</v>
      </c>
      <c r="P1060" s="2" t="s">
        <v>12785</v>
      </c>
    </row>
    <row r="1061" spans="1:16">
      <c r="A1061" s="1">
        <v>1060</v>
      </c>
      <c r="B1061" s="2" t="s">
        <v>12786</v>
      </c>
      <c r="C1061" s="2" t="s">
        <v>12786</v>
      </c>
      <c r="D1061" s="2" t="s">
        <v>12786</v>
      </c>
      <c r="E1061" s="2" t="s">
        <v>12786</v>
      </c>
      <c r="F1061" s="2" t="s">
        <v>12786</v>
      </c>
      <c r="G1061" s="2" t="s">
        <v>12786</v>
      </c>
      <c r="H1061" s="2" t="s">
        <v>12786</v>
      </c>
      <c r="I1061" s="2" t="s">
        <v>12786</v>
      </c>
      <c r="J1061" s="2" t="s">
        <v>12786</v>
      </c>
      <c r="K1061" s="2" t="s">
        <v>12786</v>
      </c>
      <c r="L1061" s="2" t="s">
        <v>12786</v>
      </c>
      <c r="M1061" s="2" t="s">
        <v>12786</v>
      </c>
      <c r="N1061" s="2" t="s">
        <v>12786</v>
      </c>
      <c r="O1061" s="2" t="s">
        <v>12786</v>
      </c>
      <c r="P1061" s="2" t="s">
        <v>12786</v>
      </c>
    </row>
    <row r="1062" spans="1:16">
      <c r="A1062" s="1">
        <v>1061</v>
      </c>
      <c r="B1062" s="2" t="s">
        <v>12787</v>
      </c>
      <c r="C1062" s="2" t="s">
        <v>12787</v>
      </c>
      <c r="D1062" s="2" t="s">
        <v>12787</v>
      </c>
      <c r="E1062" s="2" t="s">
        <v>12787</v>
      </c>
      <c r="F1062" s="2" t="s">
        <v>12787</v>
      </c>
      <c r="G1062" s="2" t="s">
        <v>12787</v>
      </c>
      <c r="H1062" s="2" t="s">
        <v>12787</v>
      </c>
      <c r="I1062" s="2" t="s">
        <v>12787</v>
      </c>
      <c r="J1062" s="2" t="s">
        <v>12787</v>
      </c>
      <c r="K1062" s="2" t="s">
        <v>12787</v>
      </c>
      <c r="L1062" s="2" t="s">
        <v>12787</v>
      </c>
      <c r="M1062" s="2" t="s">
        <v>12787</v>
      </c>
      <c r="N1062" s="2" t="s">
        <v>12787</v>
      </c>
      <c r="O1062" s="2" t="s">
        <v>12787</v>
      </c>
      <c r="P1062" s="2" t="s">
        <v>12787</v>
      </c>
    </row>
    <row r="1063" spans="1:16">
      <c r="A1063" s="1">
        <v>1062</v>
      </c>
      <c r="B1063" s="2" t="s">
        <v>12788</v>
      </c>
      <c r="C1063" s="2" t="s">
        <v>12788</v>
      </c>
      <c r="D1063" s="2" t="s">
        <v>12788</v>
      </c>
      <c r="E1063" s="2" t="s">
        <v>12788</v>
      </c>
      <c r="F1063" s="2" t="s">
        <v>12788</v>
      </c>
      <c r="G1063" s="2" t="s">
        <v>12788</v>
      </c>
      <c r="H1063" s="2" t="s">
        <v>12788</v>
      </c>
      <c r="I1063" s="2" t="s">
        <v>12788</v>
      </c>
      <c r="J1063" s="2" t="s">
        <v>12788</v>
      </c>
      <c r="K1063" s="2" t="s">
        <v>12788</v>
      </c>
      <c r="L1063" s="2" t="s">
        <v>12788</v>
      </c>
      <c r="M1063" s="2" t="s">
        <v>12788</v>
      </c>
      <c r="N1063" s="2" t="s">
        <v>12788</v>
      </c>
      <c r="O1063" s="2" t="s">
        <v>12788</v>
      </c>
      <c r="P1063" s="2" t="s">
        <v>12788</v>
      </c>
    </row>
    <row r="1064" spans="1:16">
      <c r="A1064" s="1">
        <v>1063</v>
      </c>
      <c r="B1064" s="2" t="s">
        <v>12789</v>
      </c>
      <c r="C1064" s="2" t="s">
        <v>12789</v>
      </c>
      <c r="D1064" s="2" t="s">
        <v>12789</v>
      </c>
      <c r="E1064" s="2" t="s">
        <v>12789</v>
      </c>
      <c r="F1064" s="2" t="s">
        <v>12789</v>
      </c>
      <c r="G1064" s="2" t="s">
        <v>12789</v>
      </c>
      <c r="H1064" s="2" t="s">
        <v>12789</v>
      </c>
      <c r="I1064" s="2" t="s">
        <v>12789</v>
      </c>
      <c r="J1064" s="2" t="s">
        <v>12789</v>
      </c>
      <c r="K1064" s="2" t="s">
        <v>12789</v>
      </c>
      <c r="L1064" s="2" t="s">
        <v>12789</v>
      </c>
      <c r="M1064" s="2" t="s">
        <v>12789</v>
      </c>
      <c r="N1064" s="2" t="s">
        <v>12789</v>
      </c>
      <c r="O1064" s="2" t="s">
        <v>12789</v>
      </c>
      <c r="P1064" s="2" t="s">
        <v>12789</v>
      </c>
    </row>
    <row r="1065" spans="1:16">
      <c r="A1065" s="1">
        <v>1064</v>
      </c>
      <c r="B1065" s="2" t="s">
        <v>12790</v>
      </c>
      <c r="C1065" s="2" t="s">
        <v>12790</v>
      </c>
      <c r="D1065" s="2" t="s">
        <v>12790</v>
      </c>
      <c r="E1065" s="2" t="s">
        <v>12790</v>
      </c>
      <c r="F1065" s="2" t="s">
        <v>12790</v>
      </c>
      <c r="G1065" s="2" t="s">
        <v>12790</v>
      </c>
      <c r="H1065" s="2" t="s">
        <v>12790</v>
      </c>
      <c r="I1065" s="2" t="s">
        <v>12790</v>
      </c>
      <c r="J1065" s="2" t="s">
        <v>12790</v>
      </c>
      <c r="K1065" s="2" t="s">
        <v>12790</v>
      </c>
      <c r="L1065" s="2" t="s">
        <v>12790</v>
      </c>
      <c r="M1065" s="2" t="s">
        <v>12790</v>
      </c>
      <c r="N1065" s="2" t="s">
        <v>12790</v>
      </c>
      <c r="O1065" s="2" t="s">
        <v>12790</v>
      </c>
      <c r="P1065" s="2" t="s">
        <v>12790</v>
      </c>
    </row>
    <row r="1066" spans="1:16">
      <c r="A1066" s="1">
        <v>1065</v>
      </c>
      <c r="B1066" s="2" t="s">
        <v>12791</v>
      </c>
      <c r="C1066" s="2" t="s">
        <v>12791</v>
      </c>
      <c r="D1066" s="2" t="s">
        <v>12791</v>
      </c>
      <c r="E1066" s="2" t="s">
        <v>12791</v>
      </c>
      <c r="F1066" s="2" t="s">
        <v>12791</v>
      </c>
      <c r="G1066" s="2" t="s">
        <v>12791</v>
      </c>
      <c r="H1066" s="2" t="s">
        <v>12791</v>
      </c>
      <c r="I1066" s="2" t="s">
        <v>12791</v>
      </c>
      <c r="J1066" s="2" t="s">
        <v>12791</v>
      </c>
      <c r="K1066" s="2" t="s">
        <v>12791</v>
      </c>
      <c r="L1066" s="2" t="s">
        <v>12791</v>
      </c>
      <c r="M1066" s="2" t="s">
        <v>12791</v>
      </c>
      <c r="N1066" s="2" t="s">
        <v>12791</v>
      </c>
      <c r="O1066" s="2" t="s">
        <v>12791</v>
      </c>
      <c r="P1066" s="2" t="s">
        <v>12791</v>
      </c>
    </row>
    <row r="1067" spans="1:16">
      <c r="A1067" s="1">
        <v>1066</v>
      </c>
      <c r="B1067" s="2" t="s">
        <v>12792</v>
      </c>
      <c r="C1067" s="2" t="s">
        <v>12792</v>
      </c>
      <c r="D1067" s="2" t="s">
        <v>12792</v>
      </c>
      <c r="E1067" s="2" t="s">
        <v>12792</v>
      </c>
      <c r="F1067" s="2" t="s">
        <v>12792</v>
      </c>
      <c r="G1067" s="2" t="s">
        <v>12792</v>
      </c>
      <c r="H1067" s="2" t="s">
        <v>12792</v>
      </c>
      <c r="I1067" s="2" t="s">
        <v>12792</v>
      </c>
      <c r="J1067" s="2" t="s">
        <v>12792</v>
      </c>
      <c r="K1067" s="2" t="s">
        <v>12792</v>
      </c>
      <c r="L1067" s="2" t="s">
        <v>12792</v>
      </c>
      <c r="M1067" s="2" t="s">
        <v>12792</v>
      </c>
      <c r="N1067" s="2" t="s">
        <v>12792</v>
      </c>
      <c r="O1067" s="2" t="s">
        <v>12792</v>
      </c>
      <c r="P1067" s="2" t="s">
        <v>12792</v>
      </c>
    </row>
    <row r="1068" spans="1:16">
      <c r="A1068" s="1">
        <v>1067</v>
      </c>
      <c r="B1068" s="2" t="s">
        <v>12793</v>
      </c>
      <c r="C1068" s="2" t="s">
        <v>12793</v>
      </c>
      <c r="D1068" s="2" t="s">
        <v>12793</v>
      </c>
      <c r="E1068" s="2" t="s">
        <v>12793</v>
      </c>
      <c r="F1068" s="2" t="s">
        <v>12793</v>
      </c>
      <c r="G1068" s="2" t="s">
        <v>12793</v>
      </c>
      <c r="H1068" s="2" t="s">
        <v>12793</v>
      </c>
      <c r="I1068" s="2" t="s">
        <v>12793</v>
      </c>
      <c r="J1068" s="2" t="s">
        <v>12793</v>
      </c>
      <c r="K1068" s="2" t="s">
        <v>12793</v>
      </c>
      <c r="L1068" s="2" t="s">
        <v>12793</v>
      </c>
      <c r="M1068" s="2" t="s">
        <v>12793</v>
      </c>
      <c r="N1068" s="2" t="s">
        <v>12793</v>
      </c>
      <c r="O1068" s="2" t="s">
        <v>12793</v>
      </c>
      <c r="P1068" s="2" t="s">
        <v>12793</v>
      </c>
    </row>
    <row r="1069" spans="1:16">
      <c r="A1069" s="1">
        <v>1068</v>
      </c>
      <c r="B1069" s="2" t="s">
        <v>12794</v>
      </c>
      <c r="C1069" s="2" t="s">
        <v>12794</v>
      </c>
      <c r="D1069" s="2" t="s">
        <v>12794</v>
      </c>
      <c r="E1069" s="2" t="s">
        <v>12794</v>
      </c>
      <c r="F1069" s="2" t="s">
        <v>12794</v>
      </c>
      <c r="G1069" s="2" t="s">
        <v>12794</v>
      </c>
      <c r="H1069" s="2" t="s">
        <v>12794</v>
      </c>
      <c r="I1069" s="2" t="s">
        <v>12794</v>
      </c>
      <c r="J1069" s="2" t="s">
        <v>12794</v>
      </c>
      <c r="K1069" s="2" t="s">
        <v>12794</v>
      </c>
      <c r="L1069" s="2" t="s">
        <v>12794</v>
      </c>
      <c r="M1069" s="2" t="s">
        <v>12794</v>
      </c>
      <c r="N1069" s="2" t="s">
        <v>12794</v>
      </c>
      <c r="O1069" s="2" t="s">
        <v>12794</v>
      </c>
      <c r="P1069" s="2" t="s">
        <v>12794</v>
      </c>
    </row>
    <row r="1070" spans="1:16">
      <c r="A1070" s="1">
        <v>1069</v>
      </c>
      <c r="B1070" s="2" t="s">
        <v>12795</v>
      </c>
      <c r="C1070" s="2" t="s">
        <v>12795</v>
      </c>
      <c r="D1070" s="2" t="s">
        <v>12795</v>
      </c>
      <c r="E1070" s="2" t="s">
        <v>12795</v>
      </c>
      <c r="F1070" s="2" t="s">
        <v>12795</v>
      </c>
      <c r="G1070" s="2" t="s">
        <v>12795</v>
      </c>
      <c r="H1070" s="2" t="s">
        <v>12795</v>
      </c>
      <c r="I1070" s="2" t="s">
        <v>12795</v>
      </c>
      <c r="J1070" s="2" t="s">
        <v>12795</v>
      </c>
      <c r="K1070" s="2" t="s">
        <v>12795</v>
      </c>
      <c r="L1070" s="2" t="s">
        <v>12795</v>
      </c>
      <c r="M1070" s="2" t="s">
        <v>12795</v>
      </c>
      <c r="N1070" s="2" t="s">
        <v>12795</v>
      </c>
      <c r="O1070" s="2" t="s">
        <v>12795</v>
      </c>
      <c r="P1070" s="2" t="s">
        <v>12795</v>
      </c>
    </row>
    <row r="1071" spans="1:16">
      <c r="A1071" s="1">
        <v>1070</v>
      </c>
      <c r="B1071" s="2" t="s">
        <v>12796</v>
      </c>
      <c r="C1071" s="2" t="s">
        <v>12796</v>
      </c>
      <c r="D1071" s="2" t="s">
        <v>12796</v>
      </c>
      <c r="E1071" s="2" t="s">
        <v>12796</v>
      </c>
      <c r="F1071" s="2" t="s">
        <v>12796</v>
      </c>
      <c r="G1071" s="2" t="s">
        <v>12796</v>
      </c>
      <c r="H1071" s="2" t="s">
        <v>12796</v>
      </c>
      <c r="I1071" s="2" t="s">
        <v>12796</v>
      </c>
      <c r="J1071" s="2" t="s">
        <v>12796</v>
      </c>
      <c r="K1071" s="2" t="s">
        <v>12796</v>
      </c>
      <c r="L1071" s="2" t="s">
        <v>12796</v>
      </c>
      <c r="M1071" s="2" t="s">
        <v>12796</v>
      </c>
      <c r="N1071" s="2" t="s">
        <v>12796</v>
      </c>
      <c r="O1071" s="2" t="s">
        <v>12796</v>
      </c>
      <c r="P1071" s="2" t="s">
        <v>12796</v>
      </c>
    </row>
    <row r="1072" spans="1:16">
      <c r="A1072" s="1">
        <v>1071</v>
      </c>
      <c r="B1072" s="2" t="s">
        <v>12797</v>
      </c>
      <c r="C1072" s="2" t="s">
        <v>12797</v>
      </c>
      <c r="D1072" s="2" t="s">
        <v>12797</v>
      </c>
      <c r="E1072" s="2" t="s">
        <v>12797</v>
      </c>
      <c r="F1072" s="2" t="s">
        <v>12797</v>
      </c>
      <c r="G1072" s="2" t="s">
        <v>12797</v>
      </c>
      <c r="H1072" s="2" t="s">
        <v>12797</v>
      </c>
      <c r="I1072" s="2" t="s">
        <v>12797</v>
      </c>
      <c r="J1072" s="2" t="s">
        <v>12797</v>
      </c>
      <c r="K1072" s="2" t="s">
        <v>12797</v>
      </c>
      <c r="L1072" s="2" t="s">
        <v>12797</v>
      </c>
      <c r="M1072" s="2" t="s">
        <v>12797</v>
      </c>
      <c r="N1072" s="2" t="s">
        <v>12797</v>
      </c>
      <c r="O1072" s="2" t="s">
        <v>12797</v>
      </c>
      <c r="P1072" s="2" t="s">
        <v>12797</v>
      </c>
    </row>
    <row r="1073" spans="1:16">
      <c r="A1073" s="1">
        <v>1072</v>
      </c>
      <c r="B1073" s="2" t="s">
        <v>12798</v>
      </c>
      <c r="C1073" s="2" t="s">
        <v>12798</v>
      </c>
      <c r="D1073" s="2" t="s">
        <v>12798</v>
      </c>
      <c r="E1073" s="2" t="s">
        <v>12798</v>
      </c>
      <c r="F1073" s="2" t="s">
        <v>12798</v>
      </c>
      <c r="G1073" s="2" t="s">
        <v>12798</v>
      </c>
      <c r="H1073" s="2" t="s">
        <v>12798</v>
      </c>
      <c r="I1073" s="2" t="s">
        <v>12798</v>
      </c>
      <c r="J1073" s="2" t="s">
        <v>12798</v>
      </c>
      <c r="K1073" s="2" t="s">
        <v>12798</v>
      </c>
      <c r="L1073" s="2" t="s">
        <v>12798</v>
      </c>
      <c r="M1073" s="2" t="s">
        <v>12798</v>
      </c>
      <c r="N1073" s="2" t="s">
        <v>12798</v>
      </c>
      <c r="O1073" s="2" t="s">
        <v>12798</v>
      </c>
      <c r="P1073" s="2" t="s">
        <v>12798</v>
      </c>
    </row>
    <row r="1074" spans="1:16">
      <c r="A1074" s="1">
        <v>1073</v>
      </c>
      <c r="B1074" s="2" t="s">
        <v>12799</v>
      </c>
      <c r="C1074" s="2" t="s">
        <v>12799</v>
      </c>
      <c r="D1074" s="2" t="s">
        <v>12799</v>
      </c>
      <c r="E1074" s="2" t="s">
        <v>12799</v>
      </c>
      <c r="F1074" s="2" t="s">
        <v>12799</v>
      </c>
      <c r="G1074" s="2" t="s">
        <v>12799</v>
      </c>
      <c r="H1074" s="2" t="s">
        <v>12799</v>
      </c>
      <c r="I1074" s="2" t="s">
        <v>12799</v>
      </c>
      <c r="J1074" s="2" t="s">
        <v>12799</v>
      </c>
      <c r="K1074" s="2" t="s">
        <v>12799</v>
      </c>
      <c r="L1074" s="2" t="s">
        <v>12799</v>
      </c>
      <c r="M1074" s="2" t="s">
        <v>12799</v>
      </c>
      <c r="N1074" s="2" t="s">
        <v>12799</v>
      </c>
      <c r="O1074" s="2" t="s">
        <v>12799</v>
      </c>
      <c r="P1074" s="2" t="s">
        <v>12799</v>
      </c>
    </row>
    <row r="1075" spans="1:16">
      <c r="A1075" s="1">
        <v>1074</v>
      </c>
      <c r="B1075" s="2" t="s">
        <v>12800</v>
      </c>
      <c r="C1075" s="2" t="s">
        <v>12800</v>
      </c>
      <c r="D1075" s="2" t="s">
        <v>12800</v>
      </c>
      <c r="E1075" s="2" t="s">
        <v>12800</v>
      </c>
      <c r="F1075" s="2" t="s">
        <v>12800</v>
      </c>
      <c r="G1075" s="2" t="s">
        <v>12800</v>
      </c>
      <c r="H1075" s="2" t="s">
        <v>12800</v>
      </c>
      <c r="I1075" s="2" t="s">
        <v>12800</v>
      </c>
      <c r="J1075" s="2" t="s">
        <v>12800</v>
      </c>
      <c r="K1075" s="2" t="s">
        <v>12800</v>
      </c>
      <c r="L1075" s="2" t="s">
        <v>12800</v>
      </c>
      <c r="M1075" s="2" t="s">
        <v>12800</v>
      </c>
      <c r="N1075" s="2" t="s">
        <v>12800</v>
      </c>
      <c r="O1075" s="2" t="s">
        <v>12800</v>
      </c>
      <c r="P1075" s="2" t="s">
        <v>12800</v>
      </c>
    </row>
    <row r="1076" spans="1:16">
      <c r="A1076" s="1">
        <v>1075</v>
      </c>
      <c r="B1076" s="2" t="s">
        <v>12801</v>
      </c>
      <c r="C1076" s="2" t="s">
        <v>12801</v>
      </c>
      <c r="D1076" s="2" t="s">
        <v>12801</v>
      </c>
      <c r="E1076" s="2" t="s">
        <v>12801</v>
      </c>
      <c r="F1076" s="2" t="s">
        <v>12801</v>
      </c>
      <c r="G1076" s="2" t="s">
        <v>12801</v>
      </c>
      <c r="H1076" s="2" t="s">
        <v>12801</v>
      </c>
      <c r="I1076" s="2" t="s">
        <v>12801</v>
      </c>
      <c r="J1076" s="2" t="s">
        <v>12801</v>
      </c>
      <c r="K1076" s="2" t="s">
        <v>12801</v>
      </c>
      <c r="L1076" s="2" t="s">
        <v>12801</v>
      </c>
      <c r="M1076" s="2" t="s">
        <v>12801</v>
      </c>
      <c r="N1076" s="2" t="s">
        <v>12801</v>
      </c>
      <c r="O1076" s="2" t="s">
        <v>12801</v>
      </c>
      <c r="P1076" s="2" t="s">
        <v>12801</v>
      </c>
    </row>
    <row r="1077" spans="1:16">
      <c r="A1077" s="1">
        <v>1076</v>
      </c>
      <c r="B1077" s="2" t="s">
        <v>12802</v>
      </c>
      <c r="C1077" s="2" t="s">
        <v>12802</v>
      </c>
      <c r="D1077" s="2" t="s">
        <v>12802</v>
      </c>
      <c r="E1077" s="2" t="s">
        <v>12802</v>
      </c>
      <c r="F1077" s="2" t="s">
        <v>12802</v>
      </c>
      <c r="G1077" s="2" t="s">
        <v>12802</v>
      </c>
      <c r="H1077" s="2" t="s">
        <v>12802</v>
      </c>
      <c r="I1077" s="2" t="s">
        <v>12802</v>
      </c>
      <c r="J1077" s="2" t="s">
        <v>12802</v>
      </c>
      <c r="K1077" s="2" t="s">
        <v>12802</v>
      </c>
      <c r="L1077" s="2" t="s">
        <v>12802</v>
      </c>
      <c r="M1077" s="2" t="s">
        <v>12802</v>
      </c>
      <c r="N1077" s="2" t="s">
        <v>12802</v>
      </c>
      <c r="O1077" s="2" t="s">
        <v>12802</v>
      </c>
      <c r="P1077" s="2" t="s">
        <v>12802</v>
      </c>
    </row>
    <row r="1078" spans="1:16">
      <c r="A1078" s="1">
        <v>1077</v>
      </c>
      <c r="B1078" s="2" t="s">
        <v>12803</v>
      </c>
      <c r="C1078" s="2" t="s">
        <v>12803</v>
      </c>
      <c r="D1078" s="2" t="s">
        <v>12803</v>
      </c>
      <c r="E1078" s="2" t="s">
        <v>12803</v>
      </c>
      <c r="F1078" s="2" t="s">
        <v>12803</v>
      </c>
      <c r="G1078" s="2" t="s">
        <v>12803</v>
      </c>
      <c r="H1078" s="2" t="s">
        <v>12803</v>
      </c>
      <c r="I1078" s="2" t="s">
        <v>12803</v>
      </c>
      <c r="J1078" s="2" t="s">
        <v>12803</v>
      </c>
      <c r="K1078" s="2" t="s">
        <v>12803</v>
      </c>
      <c r="L1078" s="2" t="s">
        <v>12803</v>
      </c>
      <c r="M1078" s="2" t="s">
        <v>12803</v>
      </c>
      <c r="N1078" s="2" t="s">
        <v>12803</v>
      </c>
      <c r="O1078" s="2" t="s">
        <v>12803</v>
      </c>
      <c r="P1078" s="2" t="s">
        <v>12803</v>
      </c>
    </row>
    <row r="1079" spans="1:16">
      <c r="A1079" s="1">
        <v>1078</v>
      </c>
      <c r="B1079" s="2" t="s">
        <v>12804</v>
      </c>
      <c r="C1079" s="2" t="s">
        <v>12804</v>
      </c>
      <c r="D1079" s="2" t="s">
        <v>12804</v>
      </c>
      <c r="E1079" s="2" t="s">
        <v>12804</v>
      </c>
      <c r="F1079" s="2" t="s">
        <v>12804</v>
      </c>
      <c r="G1079" s="2" t="s">
        <v>12804</v>
      </c>
      <c r="H1079" s="2" t="s">
        <v>12804</v>
      </c>
      <c r="I1079" s="2" t="s">
        <v>12804</v>
      </c>
      <c r="J1079" s="2" t="s">
        <v>12804</v>
      </c>
      <c r="K1079" s="2" t="s">
        <v>12804</v>
      </c>
      <c r="L1079" s="2" t="s">
        <v>12804</v>
      </c>
      <c r="M1079" s="2" t="s">
        <v>12804</v>
      </c>
      <c r="N1079" s="2" t="s">
        <v>12804</v>
      </c>
      <c r="O1079" s="2" t="s">
        <v>12804</v>
      </c>
      <c r="P1079" s="2" t="s">
        <v>12804</v>
      </c>
    </row>
    <row r="1080" spans="1:16">
      <c r="A1080" s="1">
        <v>1079</v>
      </c>
      <c r="B1080" s="2" t="s">
        <v>12805</v>
      </c>
      <c r="C1080" s="2" t="s">
        <v>12805</v>
      </c>
      <c r="D1080" s="2" t="s">
        <v>12805</v>
      </c>
      <c r="E1080" s="2" t="s">
        <v>12805</v>
      </c>
      <c r="F1080" s="2" t="s">
        <v>12805</v>
      </c>
      <c r="G1080" s="2" t="s">
        <v>12805</v>
      </c>
      <c r="H1080" s="2" t="s">
        <v>12805</v>
      </c>
      <c r="I1080" s="2" t="s">
        <v>12805</v>
      </c>
      <c r="J1080" s="2" t="s">
        <v>12805</v>
      </c>
      <c r="K1080" s="2" t="s">
        <v>12805</v>
      </c>
      <c r="L1080" s="2" t="s">
        <v>12805</v>
      </c>
      <c r="M1080" s="2" t="s">
        <v>12805</v>
      </c>
      <c r="N1080" s="2" t="s">
        <v>12805</v>
      </c>
      <c r="O1080" s="2" t="s">
        <v>12805</v>
      </c>
      <c r="P1080" s="2" t="s">
        <v>12805</v>
      </c>
    </row>
    <row r="1081" spans="1:16">
      <c r="A1081" s="1">
        <v>1080</v>
      </c>
      <c r="B1081" s="2" t="s">
        <v>12806</v>
      </c>
      <c r="C1081" s="2" t="s">
        <v>12806</v>
      </c>
      <c r="D1081" s="2" t="s">
        <v>12806</v>
      </c>
      <c r="E1081" s="2" t="s">
        <v>12806</v>
      </c>
      <c r="F1081" s="2" t="s">
        <v>12806</v>
      </c>
      <c r="G1081" s="2" t="s">
        <v>12806</v>
      </c>
      <c r="H1081" s="2" t="s">
        <v>12806</v>
      </c>
      <c r="I1081" s="2" t="s">
        <v>12806</v>
      </c>
      <c r="J1081" s="2" t="s">
        <v>12806</v>
      </c>
      <c r="K1081" s="2" t="s">
        <v>12806</v>
      </c>
      <c r="L1081" s="2" t="s">
        <v>12806</v>
      </c>
      <c r="M1081" s="2" t="s">
        <v>12806</v>
      </c>
      <c r="N1081" s="2" t="s">
        <v>12806</v>
      </c>
      <c r="O1081" s="2" t="s">
        <v>12806</v>
      </c>
      <c r="P1081" s="2" t="s">
        <v>12806</v>
      </c>
    </row>
    <row r="1082" spans="1:16">
      <c r="A1082" s="1">
        <v>1081</v>
      </c>
      <c r="B1082" s="2" t="s">
        <v>12807</v>
      </c>
      <c r="C1082" s="2" t="s">
        <v>12807</v>
      </c>
      <c r="D1082" s="2" t="s">
        <v>12807</v>
      </c>
      <c r="E1082" s="2" t="s">
        <v>12807</v>
      </c>
      <c r="F1082" s="2" t="s">
        <v>12807</v>
      </c>
      <c r="G1082" s="2" t="s">
        <v>12807</v>
      </c>
      <c r="H1082" s="2" t="s">
        <v>12807</v>
      </c>
      <c r="I1082" s="2" t="s">
        <v>12807</v>
      </c>
      <c r="J1082" s="2" t="s">
        <v>12807</v>
      </c>
      <c r="K1082" s="2" t="s">
        <v>12807</v>
      </c>
      <c r="L1082" s="2" t="s">
        <v>12807</v>
      </c>
      <c r="M1082" s="2" t="s">
        <v>12807</v>
      </c>
      <c r="N1082" s="2" t="s">
        <v>12807</v>
      </c>
      <c r="O1082" s="2" t="s">
        <v>12807</v>
      </c>
      <c r="P1082" s="2" t="s">
        <v>12807</v>
      </c>
    </row>
    <row r="1083" spans="1:16">
      <c r="A1083" s="1">
        <v>1082</v>
      </c>
      <c r="B1083" s="2" t="s">
        <v>12808</v>
      </c>
      <c r="C1083" s="2" t="s">
        <v>12808</v>
      </c>
      <c r="D1083" s="2" t="s">
        <v>12808</v>
      </c>
      <c r="E1083" s="2" t="s">
        <v>12808</v>
      </c>
      <c r="F1083" s="2" t="s">
        <v>12808</v>
      </c>
      <c r="G1083" s="2" t="s">
        <v>12808</v>
      </c>
      <c r="H1083" s="2" t="s">
        <v>12808</v>
      </c>
      <c r="I1083" s="2" t="s">
        <v>12808</v>
      </c>
      <c r="J1083" s="2" t="s">
        <v>12808</v>
      </c>
      <c r="K1083" s="2" t="s">
        <v>12808</v>
      </c>
      <c r="L1083" s="2" t="s">
        <v>12808</v>
      </c>
      <c r="M1083" s="2" t="s">
        <v>12808</v>
      </c>
      <c r="N1083" s="2" t="s">
        <v>12808</v>
      </c>
      <c r="O1083" s="2" t="s">
        <v>12808</v>
      </c>
      <c r="P1083" s="2" t="s">
        <v>12808</v>
      </c>
    </row>
    <row r="1084" spans="1:16">
      <c r="A1084" s="1">
        <v>1083</v>
      </c>
      <c r="B1084" s="2" t="s">
        <v>12809</v>
      </c>
      <c r="C1084" s="2" t="s">
        <v>12809</v>
      </c>
      <c r="D1084" s="2" t="s">
        <v>12809</v>
      </c>
      <c r="E1084" s="2" t="s">
        <v>12809</v>
      </c>
      <c r="F1084" s="2" t="s">
        <v>12809</v>
      </c>
      <c r="G1084" s="2" t="s">
        <v>12809</v>
      </c>
      <c r="H1084" s="2" t="s">
        <v>12809</v>
      </c>
      <c r="I1084" s="2" t="s">
        <v>12809</v>
      </c>
      <c r="J1084" s="2" t="s">
        <v>12809</v>
      </c>
      <c r="K1084" s="2" t="s">
        <v>12809</v>
      </c>
      <c r="L1084" s="2" t="s">
        <v>12809</v>
      </c>
      <c r="M1084" s="2" t="s">
        <v>12809</v>
      </c>
      <c r="N1084" s="2" t="s">
        <v>12809</v>
      </c>
      <c r="O1084" s="2" t="s">
        <v>12809</v>
      </c>
      <c r="P1084" s="2" t="s">
        <v>12809</v>
      </c>
    </row>
    <row r="1085" spans="1:16">
      <c r="A1085" s="1">
        <v>1084</v>
      </c>
      <c r="B1085" s="2" t="s">
        <v>12810</v>
      </c>
      <c r="C1085" s="2" t="s">
        <v>12810</v>
      </c>
      <c r="D1085" s="2" t="s">
        <v>12810</v>
      </c>
      <c r="E1085" s="2" t="s">
        <v>12810</v>
      </c>
      <c r="F1085" s="2" t="s">
        <v>12810</v>
      </c>
      <c r="G1085" s="2" t="s">
        <v>12810</v>
      </c>
      <c r="H1085" s="2" t="s">
        <v>12810</v>
      </c>
      <c r="I1085" s="2" t="s">
        <v>12810</v>
      </c>
      <c r="J1085" s="2" t="s">
        <v>12810</v>
      </c>
      <c r="K1085" s="2" t="s">
        <v>12810</v>
      </c>
      <c r="L1085" s="2" t="s">
        <v>12810</v>
      </c>
      <c r="M1085" s="2" t="s">
        <v>12810</v>
      </c>
      <c r="N1085" s="2" t="s">
        <v>12810</v>
      </c>
      <c r="O1085" s="2" t="s">
        <v>12810</v>
      </c>
      <c r="P1085" s="2" t="s">
        <v>12810</v>
      </c>
    </row>
    <row r="1086" spans="1:16">
      <c r="A1086" s="1">
        <v>1085</v>
      </c>
      <c r="B1086" s="2" t="s">
        <v>12811</v>
      </c>
      <c r="C1086" s="2" t="s">
        <v>12811</v>
      </c>
      <c r="D1086" s="2" t="s">
        <v>12811</v>
      </c>
      <c r="E1086" s="2" t="s">
        <v>12811</v>
      </c>
      <c r="F1086" s="2" t="s">
        <v>12811</v>
      </c>
      <c r="G1086" s="2" t="s">
        <v>12811</v>
      </c>
      <c r="H1086" s="2" t="s">
        <v>12811</v>
      </c>
      <c r="I1086" s="2" t="s">
        <v>12811</v>
      </c>
      <c r="J1086" s="2" t="s">
        <v>12811</v>
      </c>
      <c r="K1086" s="2" t="s">
        <v>12811</v>
      </c>
      <c r="L1086" s="2" t="s">
        <v>12811</v>
      </c>
      <c r="M1086" s="2" t="s">
        <v>12811</v>
      </c>
      <c r="N1086" s="2" t="s">
        <v>12811</v>
      </c>
      <c r="O1086" s="2" t="s">
        <v>12811</v>
      </c>
      <c r="P1086" s="2" t="s">
        <v>12811</v>
      </c>
    </row>
    <row r="1087" spans="1:16">
      <c r="A1087" s="1">
        <v>1086</v>
      </c>
      <c r="B1087" s="2" t="s">
        <v>12812</v>
      </c>
      <c r="C1087" s="2" t="s">
        <v>12812</v>
      </c>
      <c r="D1087" s="2" t="s">
        <v>12812</v>
      </c>
      <c r="E1087" s="2" t="s">
        <v>12812</v>
      </c>
      <c r="F1087" s="2" t="s">
        <v>12812</v>
      </c>
      <c r="G1087" s="2" t="s">
        <v>12812</v>
      </c>
      <c r="H1087" s="2" t="s">
        <v>12812</v>
      </c>
      <c r="I1087" s="2" t="s">
        <v>12812</v>
      </c>
      <c r="J1087" s="2" t="s">
        <v>12812</v>
      </c>
      <c r="K1087" s="2" t="s">
        <v>12812</v>
      </c>
      <c r="L1087" s="2" t="s">
        <v>12812</v>
      </c>
      <c r="M1087" s="2" t="s">
        <v>12812</v>
      </c>
      <c r="N1087" s="2" t="s">
        <v>12812</v>
      </c>
      <c r="O1087" s="2" t="s">
        <v>12812</v>
      </c>
      <c r="P1087" s="2" t="s">
        <v>12812</v>
      </c>
    </row>
    <row r="1088" spans="1:16">
      <c r="A1088" s="1">
        <v>1087</v>
      </c>
      <c r="B1088" s="2" t="s">
        <v>12813</v>
      </c>
      <c r="C1088" s="2" t="s">
        <v>12813</v>
      </c>
      <c r="D1088" s="2" t="s">
        <v>12813</v>
      </c>
      <c r="E1088" s="2" t="s">
        <v>12813</v>
      </c>
      <c r="F1088" s="2" t="s">
        <v>12813</v>
      </c>
      <c r="G1088" s="2" t="s">
        <v>12813</v>
      </c>
      <c r="H1088" s="2" t="s">
        <v>12813</v>
      </c>
      <c r="I1088" s="2" t="s">
        <v>12813</v>
      </c>
      <c r="J1088" s="2" t="s">
        <v>12813</v>
      </c>
      <c r="K1088" s="2" t="s">
        <v>12813</v>
      </c>
      <c r="L1088" s="2" t="s">
        <v>12813</v>
      </c>
      <c r="M1088" s="2" t="s">
        <v>12813</v>
      </c>
      <c r="N1088" s="2" t="s">
        <v>12813</v>
      </c>
      <c r="O1088" s="2" t="s">
        <v>12813</v>
      </c>
      <c r="P1088" s="2" t="s">
        <v>12813</v>
      </c>
    </row>
    <row r="1089" spans="1:16">
      <c r="A1089" s="1">
        <v>1088</v>
      </c>
      <c r="B1089" s="2" t="s">
        <v>12814</v>
      </c>
      <c r="C1089" s="2" t="s">
        <v>12814</v>
      </c>
      <c r="D1089" s="2" t="s">
        <v>12814</v>
      </c>
      <c r="E1089" s="2" t="s">
        <v>12814</v>
      </c>
      <c r="F1089" s="2" t="s">
        <v>12814</v>
      </c>
      <c r="G1089" s="2" t="s">
        <v>12814</v>
      </c>
      <c r="H1089" s="2" t="s">
        <v>12814</v>
      </c>
      <c r="I1089" s="2" t="s">
        <v>12814</v>
      </c>
      <c r="J1089" s="2" t="s">
        <v>12814</v>
      </c>
      <c r="K1089" s="2" t="s">
        <v>12814</v>
      </c>
      <c r="L1089" s="2" t="s">
        <v>12814</v>
      </c>
      <c r="M1089" s="2" t="s">
        <v>12814</v>
      </c>
      <c r="N1089" s="2" t="s">
        <v>12814</v>
      </c>
      <c r="O1089" s="2" t="s">
        <v>12814</v>
      </c>
      <c r="P1089" s="2" t="s">
        <v>12814</v>
      </c>
    </row>
    <row r="1090" spans="1:16">
      <c r="A1090" s="1">
        <v>1089</v>
      </c>
      <c r="B1090" s="2" t="s">
        <v>12815</v>
      </c>
      <c r="C1090" s="2" t="s">
        <v>12815</v>
      </c>
      <c r="D1090" s="2" t="s">
        <v>12815</v>
      </c>
      <c r="E1090" s="2" t="s">
        <v>12815</v>
      </c>
      <c r="F1090" s="2" t="s">
        <v>12815</v>
      </c>
      <c r="G1090" s="2" t="s">
        <v>12815</v>
      </c>
      <c r="H1090" s="2" t="s">
        <v>12815</v>
      </c>
      <c r="I1090" s="2" t="s">
        <v>12815</v>
      </c>
      <c r="J1090" s="2" t="s">
        <v>12815</v>
      </c>
      <c r="K1090" s="2" t="s">
        <v>12815</v>
      </c>
      <c r="L1090" s="2" t="s">
        <v>12815</v>
      </c>
      <c r="M1090" s="2" t="s">
        <v>12815</v>
      </c>
      <c r="N1090" s="2" t="s">
        <v>12815</v>
      </c>
      <c r="O1090" s="2" t="s">
        <v>12815</v>
      </c>
      <c r="P1090" s="2" t="s">
        <v>12815</v>
      </c>
    </row>
    <row r="1091" spans="1:16">
      <c r="A1091" s="1">
        <v>1090</v>
      </c>
      <c r="B1091" s="2" t="s">
        <v>12816</v>
      </c>
      <c r="C1091" s="2" t="s">
        <v>12816</v>
      </c>
      <c r="D1091" s="2" t="s">
        <v>12816</v>
      </c>
      <c r="E1091" s="2" t="s">
        <v>12816</v>
      </c>
      <c r="F1091" s="2" t="s">
        <v>12816</v>
      </c>
      <c r="G1091" s="2" t="s">
        <v>12816</v>
      </c>
      <c r="H1091" s="2" t="s">
        <v>12816</v>
      </c>
      <c r="I1091" s="2" t="s">
        <v>12816</v>
      </c>
      <c r="J1091" s="2" t="s">
        <v>12816</v>
      </c>
      <c r="K1091" s="2" t="s">
        <v>12816</v>
      </c>
      <c r="L1091" s="2" t="s">
        <v>12816</v>
      </c>
      <c r="M1091" s="2" t="s">
        <v>12816</v>
      </c>
      <c r="N1091" s="2" t="s">
        <v>12816</v>
      </c>
      <c r="O1091" s="2" t="s">
        <v>12816</v>
      </c>
      <c r="P1091" s="2" t="s">
        <v>12816</v>
      </c>
    </row>
    <row r="1092" spans="1:16">
      <c r="A1092" s="1">
        <v>1091</v>
      </c>
      <c r="B1092" s="2" t="s">
        <v>12817</v>
      </c>
      <c r="C1092" s="2" t="s">
        <v>12817</v>
      </c>
      <c r="D1092" s="2" t="s">
        <v>12817</v>
      </c>
      <c r="E1092" s="2" t="s">
        <v>12817</v>
      </c>
      <c r="F1092" s="2" t="s">
        <v>12817</v>
      </c>
      <c r="G1092" s="2" t="s">
        <v>12817</v>
      </c>
      <c r="H1092" s="2" t="s">
        <v>12817</v>
      </c>
      <c r="I1092" s="2" t="s">
        <v>12817</v>
      </c>
      <c r="J1092" s="2" t="s">
        <v>12817</v>
      </c>
      <c r="K1092" s="2" t="s">
        <v>12817</v>
      </c>
      <c r="L1092" s="2" t="s">
        <v>12817</v>
      </c>
      <c r="M1092" s="2" t="s">
        <v>12817</v>
      </c>
      <c r="N1092" s="2" t="s">
        <v>12817</v>
      </c>
      <c r="O1092" s="2" t="s">
        <v>12817</v>
      </c>
      <c r="P1092" s="2" t="s">
        <v>12817</v>
      </c>
    </row>
    <row r="1093" spans="1:16">
      <c r="A1093" s="1">
        <v>1092</v>
      </c>
      <c r="B1093" s="2" t="s">
        <v>12818</v>
      </c>
      <c r="C1093" s="2" t="s">
        <v>12818</v>
      </c>
      <c r="D1093" s="2" t="s">
        <v>12818</v>
      </c>
      <c r="E1093" s="2" t="s">
        <v>12818</v>
      </c>
      <c r="F1093" s="2" t="s">
        <v>12818</v>
      </c>
      <c r="G1093" s="2" t="s">
        <v>12818</v>
      </c>
      <c r="H1093" s="2" t="s">
        <v>12818</v>
      </c>
      <c r="I1093" s="2" t="s">
        <v>12818</v>
      </c>
      <c r="J1093" s="2" t="s">
        <v>12818</v>
      </c>
      <c r="K1093" s="2" t="s">
        <v>12818</v>
      </c>
      <c r="L1093" s="2" t="s">
        <v>12818</v>
      </c>
      <c r="M1093" s="2" t="s">
        <v>12818</v>
      </c>
      <c r="N1093" s="2" t="s">
        <v>12818</v>
      </c>
      <c r="O1093" s="2" t="s">
        <v>12818</v>
      </c>
      <c r="P1093" s="2" t="s">
        <v>12818</v>
      </c>
    </row>
    <row r="1094" spans="1:16">
      <c r="A1094" s="1">
        <v>1093</v>
      </c>
      <c r="B1094" s="2" t="s">
        <v>12819</v>
      </c>
      <c r="C1094" s="2" t="s">
        <v>12819</v>
      </c>
      <c r="D1094" s="2" t="s">
        <v>12819</v>
      </c>
      <c r="E1094" s="2" t="s">
        <v>12819</v>
      </c>
      <c r="F1094" s="2" t="s">
        <v>12819</v>
      </c>
      <c r="G1094" s="2" t="s">
        <v>12819</v>
      </c>
      <c r="H1094" s="2" t="s">
        <v>12819</v>
      </c>
      <c r="I1094" s="2" t="s">
        <v>12819</v>
      </c>
      <c r="J1094" s="2" t="s">
        <v>12819</v>
      </c>
      <c r="K1094" s="2" t="s">
        <v>12819</v>
      </c>
      <c r="L1094" s="2" t="s">
        <v>12819</v>
      </c>
      <c r="M1094" s="2" t="s">
        <v>12819</v>
      </c>
      <c r="N1094" s="2" t="s">
        <v>12819</v>
      </c>
      <c r="O1094" s="2" t="s">
        <v>12819</v>
      </c>
      <c r="P1094" s="2" t="s">
        <v>12819</v>
      </c>
    </row>
    <row r="1095" spans="1:16">
      <c r="A1095" s="1">
        <v>1094</v>
      </c>
      <c r="B1095" s="2" t="s">
        <v>12820</v>
      </c>
      <c r="C1095" s="2">
        <v>1</v>
      </c>
      <c r="D1095" s="2">
        <v>1</v>
      </c>
      <c r="E1095" s="2">
        <v>1</v>
      </c>
      <c r="F1095" s="2">
        <v>1</v>
      </c>
      <c r="G1095" s="2">
        <v>1</v>
      </c>
      <c r="H1095" s="2">
        <v>1</v>
      </c>
      <c r="I1095" s="2">
        <v>1</v>
      </c>
      <c r="J1095" s="2">
        <v>1</v>
      </c>
      <c r="K1095" s="2">
        <v>1</v>
      </c>
      <c r="L1095" s="2">
        <v>1</v>
      </c>
      <c r="M1095" s="2">
        <v>1</v>
      </c>
      <c r="N1095" s="2">
        <v>1</v>
      </c>
      <c r="O1095" s="2">
        <v>1</v>
      </c>
      <c r="P1095" s="2" t="s">
        <v>12820</v>
      </c>
    </row>
    <row r="1096" spans="1:16">
      <c r="A1096" s="1">
        <v>1095</v>
      </c>
      <c r="B1096" s="2" t="s">
        <v>12821</v>
      </c>
      <c r="C1096" s="2">
        <v>2</v>
      </c>
      <c r="D1096" s="2">
        <v>2</v>
      </c>
      <c r="E1096" s="2">
        <v>2</v>
      </c>
      <c r="F1096" s="2">
        <v>2</v>
      </c>
      <c r="G1096" s="2">
        <v>2</v>
      </c>
      <c r="H1096" s="2">
        <v>2</v>
      </c>
      <c r="I1096" s="2">
        <v>2</v>
      </c>
      <c r="J1096" s="2">
        <v>2</v>
      </c>
      <c r="K1096" s="2">
        <v>2</v>
      </c>
      <c r="L1096" s="2">
        <v>2</v>
      </c>
      <c r="M1096" s="2">
        <v>2</v>
      </c>
      <c r="N1096" s="2">
        <v>2</v>
      </c>
      <c r="O1096" s="2">
        <v>2</v>
      </c>
      <c r="P1096" s="2" t="s">
        <v>12821</v>
      </c>
    </row>
    <row r="1097" spans="1:16">
      <c r="A1097" s="1">
        <v>1096</v>
      </c>
      <c r="B1097" s="2" t="s">
        <v>12822</v>
      </c>
      <c r="C1097" s="2">
        <v>3</v>
      </c>
      <c r="D1097" s="2">
        <v>3</v>
      </c>
      <c r="E1097" s="2">
        <v>3</v>
      </c>
      <c r="F1097" s="2">
        <v>3</v>
      </c>
      <c r="G1097" s="2">
        <v>3</v>
      </c>
      <c r="H1097" s="2">
        <v>3</v>
      </c>
      <c r="I1097" s="2">
        <v>3</v>
      </c>
      <c r="J1097" s="2">
        <v>3</v>
      </c>
      <c r="K1097" s="2">
        <v>3</v>
      </c>
      <c r="L1097" s="2">
        <v>3</v>
      </c>
      <c r="M1097" s="2">
        <v>3</v>
      </c>
      <c r="N1097" s="2">
        <v>3</v>
      </c>
      <c r="O1097" s="2">
        <v>3</v>
      </c>
      <c r="P1097" s="2" t="s">
        <v>12822</v>
      </c>
    </row>
    <row r="1098" spans="1:16">
      <c r="A1098" s="1">
        <v>1097</v>
      </c>
      <c r="B1098" s="2" t="s">
        <v>12823</v>
      </c>
      <c r="C1098" s="2">
        <v>4</v>
      </c>
      <c r="D1098" s="2">
        <v>4</v>
      </c>
      <c r="E1098" s="2">
        <v>4</v>
      </c>
      <c r="F1098" s="2">
        <v>4</v>
      </c>
      <c r="G1098" s="2">
        <v>4</v>
      </c>
      <c r="H1098" s="2">
        <v>4</v>
      </c>
      <c r="I1098" s="2">
        <v>4</v>
      </c>
      <c r="J1098" s="2">
        <v>4</v>
      </c>
      <c r="K1098" s="2">
        <v>4</v>
      </c>
      <c r="L1098" s="2">
        <v>4</v>
      </c>
      <c r="M1098" s="2">
        <v>4</v>
      </c>
      <c r="N1098" s="2">
        <v>4</v>
      </c>
      <c r="O1098" s="2">
        <v>4</v>
      </c>
      <c r="P1098" s="2" t="s">
        <v>12823</v>
      </c>
    </row>
    <row r="1099" spans="1:16">
      <c r="A1099" s="1">
        <v>1098</v>
      </c>
      <c r="B1099" s="2" t="s">
        <v>12824</v>
      </c>
      <c r="C1099" s="2">
        <v>5</v>
      </c>
      <c r="D1099" s="2">
        <v>5</v>
      </c>
      <c r="E1099" s="2">
        <v>5</v>
      </c>
      <c r="F1099" s="2">
        <v>5</v>
      </c>
      <c r="G1099" s="2">
        <v>5</v>
      </c>
      <c r="H1099" s="2">
        <v>5</v>
      </c>
      <c r="I1099" s="2">
        <v>5</v>
      </c>
      <c r="J1099" s="2">
        <v>5</v>
      </c>
      <c r="K1099" s="2">
        <v>5</v>
      </c>
      <c r="L1099" s="2">
        <v>5</v>
      </c>
      <c r="M1099" s="2">
        <v>5</v>
      </c>
      <c r="N1099" s="2">
        <v>5</v>
      </c>
      <c r="O1099" s="2">
        <v>5</v>
      </c>
      <c r="P1099" s="2" t="s">
        <v>12824</v>
      </c>
    </row>
    <row r="1100" spans="1:16">
      <c r="A1100" s="1">
        <v>1099</v>
      </c>
      <c r="B1100" s="2" t="s">
        <v>12825</v>
      </c>
      <c r="C1100" s="2">
        <v>6</v>
      </c>
      <c r="D1100" s="2">
        <v>6</v>
      </c>
      <c r="E1100" s="2">
        <v>6</v>
      </c>
      <c r="F1100" s="2">
        <v>6</v>
      </c>
      <c r="G1100" s="2">
        <v>6</v>
      </c>
      <c r="H1100" s="2">
        <v>6</v>
      </c>
      <c r="I1100" s="2">
        <v>6</v>
      </c>
      <c r="J1100" s="2">
        <v>6</v>
      </c>
      <c r="K1100" s="2">
        <v>6</v>
      </c>
      <c r="L1100" s="2">
        <v>6</v>
      </c>
      <c r="M1100" s="2">
        <v>6</v>
      </c>
      <c r="N1100" s="2">
        <v>6</v>
      </c>
      <c r="O1100" s="2">
        <v>6</v>
      </c>
      <c r="P1100" s="2" t="s">
        <v>12825</v>
      </c>
    </row>
    <row r="1101" spans="1:16">
      <c r="A1101" s="1">
        <v>1100</v>
      </c>
      <c r="B1101" s="2" t="s">
        <v>12826</v>
      </c>
      <c r="C1101" s="2">
        <v>7</v>
      </c>
      <c r="D1101" s="2">
        <v>7</v>
      </c>
      <c r="E1101" s="2">
        <v>7</v>
      </c>
      <c r="F1101" s="2">
        <v>7</v>
      </c>
      <c r="G1101" s="2">
        <v>7</v>
      </c>
      <c r="H1101" s="2">
        <v>7</v>
      </c>
      <c r="I1101" s="2">
        <v>7</v>
      </c>
      <c r="J1101" s="2">
        <v>7</v>
      </c>
      <c r="K1101" s="2">
        <v>7</v>
      </c>
      <c r="L1101" s="2">
        <v>7</v>
      </c>
      <c r="M1101" s="2">
        <v>7</v>
      </c>
      <c r="N1101" s="2">
        <v>7</v>
      </c>
      <c r="O1101" s="2">
        <v>7</v>
      </c>
      <c r="P1101" s="2" t="s">
        <v>12826</v>
      </c>
    </row>
    <row r="1102" spans="1:16">
      <c r="A1102" s="1">
        <v>1101</v>
      </c>
      <c r="B1102" s="2" t="s">
        <v>12827</v>
      </c>
      <c r="C1102" s="2">
        <v>8</v>
      </c>
      <c r="D1102" s="2">
        <v>8</v>
      </c>
      <c r="E1102" s="2">
        <v>8</v>
      </c>
      <c r="F1102" s="2">
        <v>8</v>
      </c>
      <c r="G1102" s="2">
        <v>8</v>
      </c>
      <c r="H1102" s="2">
        <v>8</v>
      </c>
      <c r="I1102" s="2">
        <v>8</v>
      </c>
      <c r="J1102" s="2">
        <v>8</v>
      </c>
      <c r="K1102" s="2">
        <v>8</v>
      </c>
      <c r="L1102" s="2">
        <v>8</v>
      </c>
      <c r="M1102" s="2">
        <v>8</v>
      </c>
      <c r="N1102" s="2">
        <v>8</v>
      </c>
      <c r="O1102" s="2">
        <v>8</v>
      </c>
      <c r="P1102" s="2" t="s">
        <v>12827</v>
      </c>
    </row>
    <row r="1103" spans="1:16">
      <c r="A1103" s="1">
        <v>1102</v>
      </c>
      <c r="B1103" s="2" t="s">
        <v>12828</v>
      </c>
      <c r="C1103" s="2">
        <v>9</v>
      </c>
      <c r="D1103" s="2">
        <v>9</v>
      </c>
      <c r="E1103" s="2">
        <v>9</v>
      </c>
      <c r="F1103" s="2">
        <v>9</v>
      </c>
      <c r="G1103" s="2">
        <v>9</v>
      </c>
      <c r="H1103" s="2">
        <v>9</v>
      </c>
      <c r="I1103" s="2">
        <v>9</v>
      </c>
      <c r="J1103" s="2">
        <v>9</v>
      </c>
      <c r="K1103" s="2">
        <v>9</v>
      </c>
      <c r="L1103" s="2">
        <v>9</v>
      </c>
      <c r="M1103" s="2">
        <v>9</v>
      </c>
      <c r="N1103" s="2">
        <v>9</v>
      </c>
      <c r="O1103" s="2">
        <v>9</v>
      </c>
      <c r="P1103" s="2" t="s">
        <v>12828</v>
      </c>
    </row>
    <row r="1104" spans="1:16">
      <c r="A1104" s="1">
        <v>1103</v>
      </c>
      <c r="B1104" s="2" t="s">
        <v>12829</v>
      </c>
      <c r="C1104" s="2">
        <v>10</v>
      </c>
      <c r="D1104" s="2">
        <v>10</v>
      </c>
      <c r="E1104" s="2">
        <v>10</v>
      </c>
      <c r="F1104" s="2">
        <v>10</v>
      </c>
      <c r="G1104" s="2">
        <v>10</v>
      </c>
      <c r="H1104" s="2">
        <v>10</v>
      </c>
      <c r="I1104" s="2">
        <v>10</v>
      </c>
      <c r="J1104" s="2">
        <v>10</v>
      </c>
      <c r="K1104" s="2">
        <v>10</v>
      </c>
      <c r="L1104" s="2">
        <v>10</v>
      </c>
      <c r="M1104" s="2">
        <v>10</v>
      </c>
      <c r="N1104" s="2">
        <v>10</v>
      </c>
      <c r="O1104" s="2">
        <v>10</v>
      </c>
      <c r="P1104" s="2" t="s">
        <v>12829</v>
      </c>
    </row>
    <row r="1105" spans="1:16">
      <c r="A1105" s="1">
        <v>1104</v>
      </c>
      <c r="B1105" s="2" t="s">
        <v>12830</v>
      </c>
      <c r="C1105" s="2">
        <v>11</v>
      </c>
      <c r="D1105" s="2">
        <v>11</v>
      </c>
      <c r="E1105" s="2">
        <v>11</v>
      </c>
      <c r="F1105" s="2">
        <v>11</v>
      </c>
      <c r="G1105" s="2">
        <v>11</v>
      </c>
      <c r="H1105" s="2">
        <v>11</v>
      </c>
      <c r="I1105" s="2">
        <v>11</v>
      </c>
      <c r="J1105" s="2">
        <v>11</v>
      </c>
      <c r="K1105" s="2">
        <v>11</v>
      </c>
      <c r="L1105" s="2">
        <v>11</v>
      </c>
      <c r="M1105" s="2">
        <v>11</v>
      </c>
      <c r="N1105" s="2">
        <v>11</v>
      </c>
      <c r="O1105" s="2">
        <v>11</v>
      </c>
      <c r="P1105" s="2" t="s">
        <v>12830</v>
      </c>
    </row>
    <row r="1106" spans="1:16">
      <c r="A1106" s="1">
        <v>1105</v>
      </c>
      <c r="B1106" s="2" t="s">
        <v>12831</v>
      </c>
      <c r="C1106" s="2">
        <v>12</v>
      </c>
      <c r="D1106" s="2">
        <v>12</v>
      </c>
      <c r="E1106" s="2">
        <v>12</v>
      </c>
      <c r="F1106" s="2">
        <v>12</v>
      </c>
      <c r="G1106" s="2">
        <v>12</v>
      </c>
      <c r="H1106" s="2">
        <v>12</v>
      </c>
      <c r="I1106" s="2">
        <v>12</v>
      </c>
      <c r="J1106" s="2">
        <v>12</v>
      </c>
      <c r="K1106" s="2">
        <v>12</v>
      </c>
      <c r="L1106" s="2">
        <v>12</v>
      </c>
      <c r="M1106" s="2">
        <v>12</v>
      </c>
      <c r="N1106" s="2">
        <v>12</v>
      </c>
      <c r="O1106" s="2">
        <v>12</v>
      </c>
      <c r="P1106" s="2" t="s">
        <v>12831</v>
      </c>
    </row>
    <row r="1107" spans="1:16">
      <c r="A1107" s="1">
        <v>1106</v>
      </c>
      <c r="B1107" s="2" t="s">
        <v>12832</v>
      </c>
      <c r="C1107" s="2">
        <v>13</v>
      </c>
      <c r="D1107" s="2">
        <v>13</v>
      </c>
      <c r="E1107" s="2">
        <v>13</v>
      </c>
      <c r="F1107" s="2">
        <v>13</v>
      </c>
      <c r="G1107" s="2">
        <v>13</v>
      </c>
      <c r="H1107" s="2">
        <v>13</v>
      </c>
      <c r="I1107" s="2">
        <v>13</v>
      </c>
      <c r="J1107" s="2">
        <v>13</v>
      </c>
      <c r="K1107" s="2">
        <v>13</v>
      </c>
      <c r="L1107" s="2">
        <v>13</v>
      </c>
      <c r="M1107" s="2">
        <v>13</v>
      </c>
      <c r="N1107" s="2">
        <v>13</v>
      </c>
      <c r="O1107" s="2">
        <v>13</v>
      </c>
      <c r="P1107" s="2" t="s">
        <v>12832</v>
      </c>
    </row>
    <row r="1108" spans="1:16">
      <c r="A1108" s="1">
        <v>1107</v>
      </c>
      <c r="B1108" s="2" t="s">
        <v>12833</v>
      </c>
      <c r="C1108" s="2">
        <v>14</v>
      </c>
      <c r="D1108" s="2">
        <v>14</v>
      </c>
      <c r="E1108" s="2">
        <v>14</v>
      </c>
      <c r="F1108" s="2">
        <v>14</v>
      </c>
      <c r="G1108" s="2">
        <v>14</v>
      </c>
      <c r="H1108" s="2">
        <v>14</v>
      </c>
      <c r="I1108" s="2">
        <v>14</v>
      </c>
      <c r="J1108" s="2">
        <v>14</v>
      </c>
      <c r="K1108" s="2">
        <v>14</v>
      </c>
      <c r="L1108" s="2">
        <v>14</v>
      </c>
      <c r="M1108" s="2">
        <v>14</v>
      </c>
      <c r="N1108" s="2">
        <v>14</v>
      </c>
      <c r="O1108" s="2">
        <v>14</v>
      </c>
      <c r="P1108" s="2" t="s">
        <v>12833</v>
      </c>
    </row>
    <row r="1109" spans="1:16">
      <c r="A1109" s="1">
        <v>1108</v>
      </c>
      <c r="B1109" s="2" t="s">
        <v>12834</v>
      </c>
      <c r="C1109" s="2">
        <v>15</v>
      </c>
      <c r="D1109" s="2">
        <v>15</v>
      </c>
      <c r="E1109" s="2">
        <v>15</v>
      </c>
      <c r="F1109" s="2">
        <v>15</v>
      </c>
      <c r="G1109" s="2">
        <v>15</v>
      </c>
      <c r="H1109" s="2">
        <v>15</v>
      </c>
      <c r="I1109" s="2">
        <v>15</v>
      </c>
      <c r="J1109" s="2">
        <v>15</v>
      </c>
      <c r="K1109" s="2">
        <v>15</v>
      </c>
      <c r="L1109" s="2">
        <v>15</v>
      </c>
      <c r="M1109" s="2">
        <v>15</v>
      </c>
      <c r="N1109" s="2">
        <v>15</v>
      </c>
      <c r="O1109" s="2">
        <v>15</v>
      </c>
      <c r="P1109" s="2" t="s">
        <v>12834</v>
      </c>
    </row>
    <row r="1110" spans="1:16">
      <c r="A1110" s="1">
        <v>1109</v>
      </c>
      <c r="B1110" s="2" t="s">
        <v>12835</v>
      </c>
      <c r="C1110" s="2">
        <v>16</v>
      </c>
      <c r="D1110" s="2">
        <v>16</v>
      </c>
      <c r="E1110" s="2">
        <v>16</v>
      </c>
      <c r="F1110" s="2">
        <v>16</v>
      </c>
      <c r="G1110" s="2">
        <v>16</v>
      </c>
      <c r="H1110" s="2">
        <v>16</v>
      </c>
      <c r="I1110" s="2">
        <v>16</v>
      </c>
      <c r="J1110" s="2">
        <v>16</v>
      </c>
      <c r="K1110" s="2">
        <v>16</v>
      </c>
      <c r="L1110" s="2">
        <v>16</v>
      </c>
      <c r="M1110" s="2">
        <v>16</v>
      </c>
      <c r="N1110" s="2">
        <v>16</v>
      </c>
      <c r="O1110" s="2">
        <v>16</v>
      </c>
      <c r="P1110" s="2" t="s">
        <v>12835</v>
      </c>
    </row>
    <row r="1111" spans="1:16">
      <c r="A1111" s="1">
        <v>1110</v>
      </c>
      <c r="B1111" s="2" t="s">
        <v>12836</v>
      </c>
      <c r="C1111" s="2">
        <v>17</v>
      </c>
      <c r="D1111" s="2">
        <v>17</v>
      </c>
      <c r="E1111" s="2">
        <v>17</v>
      </c>
      <c r="F1111" s="2">
        <v>17</v>
      </c>
      <c r="G1111" s="2">
        <v>17</v>
      </c>
      <c r="H1111" s="2">
        <v>17</v>
      </c>
      <c r="I1111" s="2">
        <v>17</v>
      </c>
      <c r="J1111" s="2">
        <v>17</v>
      </c>
      <c r="K1111" s="2">
        <v>17</v>
      </c>
      <c r="L1111" s="2">
        <v>17</v>
      </c>
      <c r="M1111" s="2">
        <v>17</v>
      </c>
      <c r="N1111" s="2">
        <v>17</v>
      </c>
      <c r="O1111" s="2">
        <v>17</v>
      </c>
      <c r="P1111" s="2" t="s">
        <v>12836</v>
      </c>
    </row>
    <row r="1112" spans="1:16">
      <c r="A1112" s="1">
        <v>1111</v>
      </c>
      <c r="B1112" s="2" t="s">
        <v>12837</v>
      </c>
      <c r="C1112" s="2">
        <v>18</v>
      </c>
      <c r="D1112" s="2">
        <v>18</v>
      </c>
      <c r="E1112" s="2">
        <v>18</v>
      </c>
      <c r="F1112" s="2">
        <v>18</v>
      </c>
      <c r="G1112" s="2">
        <v>18</v>
      </c>
      <c r="H1112" s="2">
        <v>18</v>
      </c>
      <c r="I1112" s="2">
        <v>18</v>
      </c>
      <c r="J1112" s="2">
        <v>18</v>
      </c>
      <c r="K1112" s="2">
        <v>18</v>
      </c>
      <c r="L1112" s="2">
        <v>18</v>
      </c>
      <c r="M1112" s="2">
        <v>18</v>
      </c>
      <c r="N1112" s="2">
        <v>18</v>
      </c>
      <c r="O1112" s="2">
        <v>18</v>
      </c>
      <c r="P1112" s="2" t="s">
        <v>12837</v>
      </c>
    </row>
    <row r="1113" spans="1:16">
      <c r="A1113" s="1">
        <v>1112</v>
      </c>
      <c r="B1113" s="2" t="s">
        <v>12838</v>
      </c>
      <c r="C1113" s="2">
        <v>19</v>
      </c>
      <c r="D1113" s="2">
        <v>19</v>
      </c>
      <c r="E1113" s="2">
        <v>19</v>
      </c>
      <c r="F1113" s="2">
        <v>19</v>
      </c>
      <c r="G1113" s="2">
        <v>19</v>
      </c>
      <c r="H1113" s="2">
        <v>19</v>
      </c>
      <c r="I1113" s="2">
        <v>19</v>
      </c>
      <c r="J1113" s="2">
        <v>19</v>
      </c>
      <c r="K1113" s="2">
        <v>19</v>
      </c>
      <c r="L1113" s="2">
        <v>19</v>
      </c>
      <c r="M1113" s="2">
        <v>19</v>
      </c>
      <c r="N1113" s="2">
        <v>19</v>
      </c>
      <c r="O1113" s="2">
        <v>19</v>
      </c>
      <c r="P1113" s="2" t="s">
        <v>12838</v>
      </c>
    </row>
    <row r="1114" spans="1:16">
      <c r="A1114" s="1">
        <v>1113</v>
      </c>
      <c r="B1114" s="2" t="s">
        <v>12839</v>
      </c>
      <c r="C1114" s="2">
        <v>20</v>
      </c>
      <c r="D1114" s="2">
        <v>20</v>
      </c>
      <c r="E1114" s="2">
        <v>20</v>
      </c>
      <c r="F1114" s="2">
        <v>20</v>
      </c>
      <c r="G1114" s="2">
        <v>20</v>
      </c>
      <c r="H1114" s="2">
        <v>20</v>
      </c>
      <c r="I1114" s="2">
        <v>20</v>
      </c>
      <c r="J1114" s="2">
        <v>20</v>
      </c>
      <c r="K1114" s="2">
        <v>20</v>
      </c>
      <c r="L1114" s="2">
        <v>20</v>
      </c>
      <c r="M1114" s="2">
        <v>20</v>
      </c>
      <c r="N1114" s="2">
        <v>20</v>
      </c>
      <c r="O1114" s="2">
        <v>20</v>
      </c>
      <c r="P1114" s="2" t="s">
        <v>12839</v>
      </c>
    </row>
    <row r="1115" spans="1:16">
      <c r="A1115" s="1">
        <v>1114</v>
      </c>
      <c r="B1115" s="2" t="s">
        <v>12840</v>
      </c>
      <c r="C1115" s="2">
        <v>21</v>
      </c>
      <c r="D1115" s="2">
        <v>21</v>
      </c>
      <c r="E1115" s="2">
        <v>21</v>
      </c>
      <c r="F1115" s="2">
        <v>21</v>
      </c>
      <c r="G1115" s="2">
        <v>21</v>
      </c>
      <c r="H1115" s="2">
        <v>21</v>
      </c>
      <c r="I1115" s="2">
        <v>21</v>
      </c>
      <c r="J1115" s="2">
        <v>21</v>
      </c>
      <c r="K1115" s="2">
        <v>21</v>
      </c>
      <c r="L1115" s="2">
        <v>21</v>
      </c>
      <c r="M1115" s="2">
        <v>21</v>
      </c>
      <c r="N1115" s="2">
        <v>21</v>
      </c>
      <c r="O1115" s="2">
        <v>21</v>
      </c>
      <c r="P1115" s="2" t="s">
        <v>12840</v>
      </c>
    </row>
    <row r="1116" spans="1:16">
      <c r="A1116" s="1">
        <v>1115</v>
      </c>
      <c r="B1116" s="2" t="s">
        <v>12841</v>
      </c>
      <c r="C1116" s="2">
        <v>22</v>
      </c>
      <c r="D1116" s="2">
        <v>22</v>
      </c>
      <c r="E1116" s="2">
        <v>22</v>
      </c>
      <c r="F1116" s="2">
        <v>22</v>
      </c>
      <c r="G1116" s="2">
        <v>22</v>
      </c>
      <c r="H1116" s="2">
        <v>22</v>
      </c>
      <c r="I1116" s="2">
        <v>22</v>
      </c>
      <c r="J1116" s="2">
        <v>22</v>
      </c>
      <c r="K1116" s="2">
        <v>22</v>
      </c>
      <c r="L1116" s="2">
        <v>22</v>
      </c>
      <c r="M1116" s="2">
        <v>22</v>
      </c>
      <c r="N1116" s="2">
        <v>22</v>
      </c>
      <c r="O1116" s="2">
        <v>22</v>
      </c>
      <c r="P1116" s="2" t="s">
        <v>12841</v>
      </c>
    </row>
    <row r="1117" spans="1:16">
      <c r="A1117" s="1">
        <v>1116</v>
      </c>
      <c r="B1117" s="2" t="s">
        <v>12842</v>
      </c>
      <c r="C1117" s="2">
        <v>23</v>
      </c>
      <c r="D1117" s="2">
        <v>23</v>
      </c>
      <c r="E1117" s="2">
        <v>23</v>
      </c>
      <c r="F1117" s="2">
        <v>23</v>
      </c>
      <c r="G1117" s="2">
        <v>23</v>
      </c>
      <c r="H1117" s="2">
        <v>23</v>
      </c>
      <c r="I1117" s="2">
        <v>23</v>
      </c>
      <c r="J1117" s="2">
        <v>23</v>
      </c>
      <c r="K1117" s="2">
        <v>23</v>
      </c>
      <c r="L1117" s="2">
        <v>23</v>
      </c>
      <c r="M1117" s="2">
        <v>23</v>
      </c>
      <c r="N1117" s="2">
        <v>23</v>
      </c>
      <c r="O1117" s="2">
        <v>23</v>
      </c>
      <c r="P1117" s="2" t="s">
        <v>12842</v>
      </c>
    </row>
    <row r="1118" spans="1:16">
      <c r="A1118" s="1">
        <v>1117</v>
      </c>
      <c r="B1118" s="2" t="s">
        <v>12843</v>
      </c>
      <c r="C1118" s="2">
        <v>24</v>
      </c>
      <c r="D1118" s="2">
        <v>24</v>
      </c>
      <c r="E1118" s="2">
        <v>24</v>
      </c>
      <c r="F1118" s="2">
        <v>24</v>
      </c>
      <c r="G1118" s="2">
        <v>24</v>
      </c>
      <c r="H1118" s="2">
        <v>24</v>
      </c>
      <c r="I1118" s="2">
        <v>24</v>
      </c>
      <c r="J1118" s="2">
        <v>24</v>
      </c>
      <c r="K1118" s="2">
        <v>24</v>
      </c>
      <c r="L1118" s="2">
        <v>24</v>
      </c>
      <c r="M1118" s="2">
        <v>24</v>
      </c>
      <c r="N1118" s="2">
        <v>24</v>
      </c>
      <c r="O1118" s="2">
        <v>24</v>
      </c>
      <c r="P1118" s="2" t="s">
        <v>12843</v>
      </c>
    </row>
    <row r="1119" spans="1:16">
      <c r="A1119" s="1">
        <v>1118</v>
      </c>
      <c r="B1119" s="2" t="s">
        <v>12844</v>
      </c>
      <c r="C1119" s="2">
        <v>25</v>
      </c>
      <c r="D1119" s="2">
        <v>25</v>
      </c>
      <c r="E1119" s="2">
        <v>25</v>
      </c>
      <c r="F1119" s="2">
        <v>25</v>
      </c>
      <c r="G1119" s="2">
        <v>25</v>
      </c>
      <c r="H1119" s="2">
        <v>25</v>
      </c>
      <c r="I1119" s="2">
        <v>25</v>
      </c>
      <c r="J1119" s="2">
        <v>25</v>
      </c>
      <c r="K1119" s="2">
        <v>25</v>
      </c>
      <c r="L1119" s="2">
        <v>25</v>
      </c>
      <c r="M1119" s="2">
        <v>25</v>
      </c>
      <c r="N1119" s="2">
        <v>25</v>
      </c>
      <c r="O1119" s="2">
        <v>25</v>
      </c>
      <c r="P1119" s="2" t="s">
        <v>12844</v>
      </c>
    </row>
    <row r="1120" spans="1:16">
      <c r="A1120" s="1">
        <v>1119</v>
      </c>
      <c r="B1120" s="2" t="s">
        <v>12845</v>
      </c>
      <c r="C1120" s="2">
        <v>26</v>
      </c>
      <c r="D1120" s="2">
        <v>26</v>
      </c>
      <c r="E1120" s="2">
        <v>26</v>
      </c>
      <c r="F1120" s="2">
        <v>26</v>
      </c>
      <c r="G1120" s="2">
        <v>26</v>
      </c>
      <c r="H1120" s="2">
        <v>26</v>
      </c>
      <c r="I1120" s="2">
        <v>26</v>
      </c>
      <c r="J1120" s="2">
        <v>26</v>
      </c>
      <c r="K1120" s="2">
        <v>26</v>
      </c>
      <c r="L1120" s="2">
        <v>26</v>
      </c>
      <c r="M1120" s="2">
        <v>26</v>
      </c>
      <c r="N1120" s="2">
        <v>26</v>
      </c>
      <c r="O1120" s="2">
        <v>26</v>
      </c>
      <c r="P1120" s="2" t="s">
        <v>12845</v>
      </c>
    </row>
    <row r="1121" spans="1:16">
      <c r="A1121" s="1">
        <v>1120</v>
      </c>
      <c r="B1121" s="2" t="s">
        <v>12846</v>
      </c>
      <c r="C1121" s="2">
        <v>27</v>
      </c>
      <c r="D1121" s="2">
        <v>27</v>
      </c>
      <c r="E1121" s="2">
        <v>27</v>
      </c>
      <c r="F1121" s="2">
        <v>27</v>
      </c>
      <c r="G1121" s="2">
        <v>27</v>
      </c>
      <c r="H1121" s="2">
        <v>27</v>
      </c>
      <c r="I1121" s="2">
        <v>27</v>
      </c>
      <c r="J1121" s="2">
        <v>27</v>
      </c>
      <c r="K1121" s="2">
        <v>27</v>
      </c>
      <c r="L1121" s="2">
        <v>27</v>
      </c>
      <c r="M1121" s="2">
        <v>27</v>
      </c>
      <c r="N1121" s="2">
        <v>27</v>
      </c>
      <c r="O1121" s="2">
        <v>27</v>
      </c>
      <c r="P1121" s="2" t="s">
        <v>12846</v>
      </c>
    </row>
    <row r="1122" spans="1:16">
      <c r="A1122" s="1">
        <v>1121</v>
      </c>
      <c r="B1122" s="2" t="s">
        <v>12847</v>
      </c>
      <c r="C1122" s="2">
        <v>28</v>
      </c>
      <c r="D1122" s="2">
        <v>28</v>
      </c>
      <c r="E1122" s="2">
        <v>28</v>
      </c>
      <c r="F1122" s="2">
        <v>28</v>
      </c>
      <c r="G1122" s="2">
        <v>28</v>
      </c>
      <c r="H1122" s="2">
        <v>28</v>
      </c>
      <c r="I1122" s="2">
        <v>28</v>
      </c>
      <c r="J1122" s="2">
        <v>28</v>
      </c>
      <c r="K1122" s="2">
        <v>28</v>
      </c>
      <c r="L1122" s="2">
        <v>28</v>
      </c>
      <c r="M1122" s="2">
        <v>28</v>
      </c>
      <c r="N1122" s="2">
        <v>28</v>
      </c>
      <c r="O1122" s="2">
        <v>28</v>
      </c>
      <c r="P1122" s="2" t="s">
        <v>12847</v>
      </c>
    </row>
    <row r="1123" spans="1:16">
      <c r="A1123" s="1">
        <v>1122</v>
      </c>
      <c r="B1123" s="2" t="s">
        <v>12848</v>
      </c>
      <c r="C1123" s="2">
        <v>29</v>
      </c>
      <c r="D1123" s="2">
        <v>29</v>
      </c>
      <c r="E1123" s="2">
        <v>29</v>
      </c>
      <c r="F1123" s="2">
        <v>29</v>
      </c>
      <c r="G1123" s="2">
        <v>29</v>
      </c>
      <c r="H1123" s="2">
        <v>29</v>
      </c>
      <c r="I1123" s="2">
        <v>29</v>
      </c>
      <c r="J1123" s="2">
        <v>29</v>
      </c>
      <c r="K1123" s="2">
        <v>29</v>
      </c>
      <c r="L1123" s="2">
        <v>29</v>
      </c>
      <c r="M1123" s="2">
        <v>29</v>
      </c>
      <c r="N1123" s="2">
        <v>29</v>
      </c>
      <c r="O1123" s="2">
        <v>29</v>
      </c>
      <c r="P1123" s="2" t="s">
        <v>12848</v>
      </c>
    </row>
    <row r="1124" spans="1:16">
      <c r="A1124" s="1">
        <v>1123</v>
      </c>
      <c r="B1124" s="2" t="s">
        <v>12849</v>
      </c>
      <c r="C1124" s="2">
        <v>30</v>
      </c>
      <c r="D1124" s="2">
        <v>30</v>
      </c>
      <c r="E1124" s="2">
        <v>30</v>
      </c>
      <c r="F1124" s="2">
        <v>30</v>
      </c>
      <c r="G1124" s="2">
        <v>30</v>
      </c>
      <c r="H1124" s="2">
        <v>30</v>
      </c>
      <c r="I1124" s="2">
        <v>30</v>
      </c>
      <c r="J1124" s="2">
        <v>30</v>
      </c>
      <c r="K1124" s="2">
        <v>30</v>
      </c>
      <c r="L1124" s="2">
        <v>30</v>
      </c>
      <c r="M1124" s="2">
        <v>30</v>
      </c>
      <c r="N1124" s="2">
        <v>30</v>
      </c>
      <c r="O1124" s="2">
        <v>30</v>
      </c>
      <c r="P1124" s="2" t="s">
        <v>12849</v>
      </c>
    </row>
    <row r="1125" spans="1:16">
      <c r="A1125" s="1">
        <v>1124</v>
      </c>
      <c r="B1125" s="2" t="s">
        <v>12850</v>
      </c>
      <c r="C1125" s="2">
        <v>31</v>
      </c>
      <c r="D1125" s="2">
        <v>31</v>
      </c>
      <c r="E1125" s="2">
        <v>31</v>
      </c>
      <c r="F1125" s="2">
        <v>31</v>
      </c>
      <c r="G1125" s="2">
        <v>31</v>
      </c>
      <c r="H1125" s="2">
        <v>31</v>
      </c>
      <c r="I1125" s="2">
        <v>31</v>
      </c>
      <c r="J1125" s="2">
        <v>31</v>
      </c>
      <c r="K1125" s="2">
        <v>31</v>
      </c>
      <c r="L1125" s="2">
        <v>31</v>
      </c>
      <c r="M1125" s="2">
        <v>31</v>
      </c>
      <c r="N1125" s="2">
        <v>31</v>
      </c>
      <c r="O1125" s="2">
        <v>31</v>
      </c>
      <c r="P1125" s="2" t="s">
        <v>12850</v>
      </c>
    </row>
    <row r="1126" spans="1:16">
      <c r="A1126" s="1">
        <v>1125</v>
      </c>
      <c r="B1126" s="2" t="s">
        <v>12851</v>
      </c>
      <c r="C1126" s="2">
        <v>32</v>
      </c>
      <c r="D1126" s="2">
        <v>32</v>
      </c>
      <c r="E1126" s="2">
        <v>32</v>
      </c>
      <c r="F1126" s="2">
        <v>32</v>
      </c>
      <c r="G1126" s="2">
        <v>32</v>
      </c>
      <c r="H1126" s="2">
        <v>32</v>
      </c>
      <c r="I1126" s="2">
        <v>32</v>
      </c>
      <c r="J1126" s="2">
        <v>32</v>
      </c>
      <c r="K1126" s="2">
        <v>32</v>
      </c>
      <c r="L1126" s="2">
        <v>32</v>
      </c>
      <c r="M1126" s="2">
        <v>32</v>
      </c>
      <c r="N1126" s="2">
        <v>32</v>
      </c>
      <c r="O1126" s="2">
        <v>32</v>
      </c>
      <c r="P1126" s="2" t="s">
        <v>12851</v>
      </c>
    </row>
    <row r="1127" spans="1:16">
      <c r="A1127" s="1">
        <v>1126</v>
      </c>
      <c r="B1127" s="2" t="s">
        <v>12852</v>
      </c>
      <c r="C1127" s="2">
        <v>33</v>
      </c>
      <c r="D1127" s="2">
        <v>33</v>
      </c>
      <c r="E1127" s="2">
        <v>33</v>
      </c>
      <c r="F1127" s="2">
        <v>33</v>
      </c>
      <c r="G1127" s="2">
        <v>33</v>
      </c>
      <c r="H1127" s="2">
        <v>33</v>
      </c>
      <c r="I1127" s="2">
        <v>33</v>
      </c>
      <c r="J1127" s="2">
        <v>33</v>
      </c>
      <c r="K1127" s="2">
        <v>33</v>
      </c>
      <c r="L1127" s="2">
        <v>33</v>
      </c>
      <c r="M1127" s="2">
        <v>33</v>
      </c>
      <c r="N1127" s="2">
        <v>33</v>
      </c>
      <c r="O1127" s="2">
        <v>33</v>
      </c>
      <c r="P1127" s="2" t="s">
        <v>12852</v>
      </c>
    </row>
    <row r="1128" spans="1:16">
      <c r="A1128" s="1">
        <v>1127</v>
      </c>
      <c r="B1128" s="2" t="s">
        <v>12853</v>
      </c>
      <c r="C1128" s="2">
        <v>34</v>
      </c>
      <c r="D1128" s="2">
        <v>34</v>
      </c>
      <c r="E1128" s="2">
        <v>34</v>
      </c>
      <c r="F1128" s="2">
        <v>34</v>
      </c>
      <c r="G1128" s="2">
        <v>34</v>
      </c>
      <c r="H1128" s="2">
        <v>34</v>
      </c>
      <c r="I1128" s="2">
        <v>34</v>
      </c>
      <c r="J1128" s="2">
        <v>34</v>
      </c>
      <c r="K1128" s="2">
        <v>34</v>
      </c>
      <c r="L1128" s="2">
        <v>34</v>
      </c>
      <c r="M1128" s="2">
        <v>34</v>
      </c>
      <c r="N1128" s="2">
        <v>34</v>
      </c>
      <c r="O1128" s="2">
        <v>34</v>
      </c>
      <c r="P1128" s="2" t="s">
        <v>12853</v>
      </c>
    </row>
    <row r="1129" spans="1:16">
      <c r="A1129" s="1">
        <v>1128</v>
      </c>
      <c r="B1129" s="2" t="s">
        <v>12854</v>
      </c>
      <c r="C1129" s="2">
        <v>35</v>
      </c>
      <c r="D1129" s="2">
        <v>35</v>
      </c>
      <c r="E1129" s="2">
        <v>35</v>
      </c>
      <c r="F1129" s="2">
        <v>35</v>
      </c>
      <c r="G1129" s="2">
        <v>35</v>
      </c>
      <c r="H1129" s="2">
        <v>35</v>
      </c>
      <c r="I1129" s="2">
        <v>35</v>
      </c>
      <c r="J1129" s="2">
        <v>35</v>
      </c>
      <c r="K1129" s="2">
        <v>35</v>
      </c>
      <c r="L1129" s="2">
        <v>35</v>
      </c>
      <c r="M1129" s="2">
        <v>35</v>
      </c>
      <c r="N1129" s="2">
        <v>35</v>
      </c>
      <c r="O1129" s="2">
        <v>35</v>
      </c>
      <c r="P1129" s="2" t="s">
        <v>12854</v>
      </c>
    </row>
    <row r="1130" spans="1:16">
      <c r="A1130" s="1">
        <v>1129</v>
      </c>
      <c r="B1130" s="2" t="s">
        <v>12855</v>
      </c>
      <c r="C1130" s="2">
        <v>36</v>
      </c>
      <c r="D1130" s="2">
        <v>36</v>
      </c>
      <c r="E1130" s="2">
        <v>36</v>
      </c>
      <c r="F1130" s="2">
        <v>36</v>
      </c>
      <c r="G1130" s="2">
        <v>36</v>
      </c>
      <c r="H1130" s="2">
        <v>36</v>
      </c>
      <c r="I1130" s="2">
        <v>36</v>
      </c>
      <c r="J1130" s="2">
        <v>36</v>
      </c>
      <c r="K1130" s="2">
        <v>36</v>
      </c>
      <c r="L1130" s="2">
        <v>36</v>
      </c>
      <c r="M1130" s="2">
        <v>36</v>
      </c>
      <c r="N1130" s="2">
        <v>36</v>
      </c>
      <c r="O1130" s="2">
        <v>36</v>
      </c>
      <c r="P1130" s="2" t="s">
        <v>12855</v>
      </c>
    </row>
    <row r="1131" spans="1:16">
      <c r="A1131" s="1">
        <v>1130</v>
      </c>
      <c r="B1131" s="2" t="s">
        <v>12856</v>
      </c>
      <c r="C1131" s="2">
        <v>37</v>
      </c>
      <c r="D1131" s="2">
        <v>37</v>
      </c>
      <c r="E1131" s="2">
        <v>37</v>
      </c>
      <c r="F1131" s="2">
        <v>37</v>
      </c>
      <c r="G1131" s="2">
        <v>37</v>
      </c>
      <c r="H1131" s="2">
        <v>37</v>
      </c>
      <c r="I1131" s="2">
        <v>37</v>
      </c>
      <c r="J1131" s="2">
        <v>37</v>
      </c>
      <c r="K1131" s="2">
        <v>37</v>
      </c>
      <c r="L1131" s="2">
        <v>37</v>
      </c>
      <c r="M1131" s="2">
        <v>37</v>
      </c>
      <c r="N1131" s="2">
        <v>37</v>
      </c>
      <c r="O1131" s="2">
        <v>37</v>
      </c>
      <c r="P1131" s="2" t="s">
        <v>12856</v>
      </c>
    </row>
    <row r="1132" spans="1:16">
      <c r="A1132" s="1">
        <v>1131</v>
      </c>
      <c r="B1132" s="2" t="s">
        <v>12857</v>
      </c>
      <c r="C1132" s="2">
        <v>38</v>
      </c>
      <c r="D1132" s="2">
        <v>38</v>
      </c>
      <c r="E1132" s="2">
        <v>38</v>
      </c>
      <c r="F1132" s="2">
        <v>38</v>
      </c>
      <c r="G1132" s="2">
        <v>38</v>
      </c>
      <c r="H1132" s="2">
        <v>38</v>
      </c>
      <c r="I1132" s="2">
        <v>38</v>
      </c>
      <c r="J1132" s="2">
        <v>38</v>
      </c>
      <c r="K1132" s="2">
        <v>38</v>
      </c>
      <c r="L1132" s="2">
        <v>38</v>
      </c>
      <c r="M1132" s="2">
        <v>38</v>
      </c>
      <c r="N1132" s="2">
        <v>38</v>
      </c>
      <c r="O1132" s="2">
        <v>38</v>
      </c>
      <c r="P1132" s="2" t="s">
        <v>12857</v>
      </c>
    </row>
    <row r="1133" spans="1:16">
      <c r="A1133" s="1">
        <v>1132</v>
      </c>
      <c r="B1133" s="2" t="s">
        <v>12858</v>
      </c>
      <c r="C1133" s="2">
        <v>39</v>
      </c>
      <c r="D1133" s="2">
        <v>39</v>
      </c>
      <c r="E1133" s="2">
        <v>39</v>
      </c>
      <c r="F1133" s="2">
        <v>39</v>
      </c>
      <c r="G1133" s="2">
        <v>39</v>
      </c>
      <c r="H1133" s="2">
        <v>39</v>
      </c>
      <c r="I1133" s="2">
        <v>39</v>
      </c>
      <c r="J1133" s="2">
        <v>39</v>
      </c>
      <c r="K1133" s="2">
        <v>39</v>
      </c>
      <c r="L1133" s="2">
        <v>39</v>
      </c>
      <c r="M1133" s="2">
        <v>39</v>
      </c>
      <c r="N1133" s="2">
        <v>39</v>
      </c>
      <c r="O1133" s="2">
        <v>39</v>
      </c>
      <c r="P1133" s="2" t="s">
        <v>12858</v>
      </c>
    </row>
    <row r="1134" spans="1:16">
      <c r="A1134" s="1">
        <v>1133</v>
      </c>
      <c r="B1134" s="2" t="s">
        <v>12859</v>
      </c>
      <c r="C1134" s="2">
        <v>40</v>
      </c>
      <c r="D1134" s="2">
        <v>40</v>
      </c>
      <c r="E1134" s="2">
        <v>40</v>
      </c>
      <c r="F1134" s="2">
        <v>40</v>
      </c>
      <c r="G1134" s="2">
        <v>40</v>
      </c>
      <c r="H1134" s="2">
        <v>40</v>
      </c>
      <c r="I1134" s="2">
        <v>40</v>
      </c>
      <c r="J1134" s="2">
        <v>40</v>
      </c>
      <c r="K1134" s="2">
        <v>40</v>
      </c>
      <c r="L1134" s="2">
        <v>40</v>
      </c>
      <c r="M1134" s="2">
        <v>40</v>
      </c>
      <c r="N1134" s="2">
        <v>40</v>
      </c>
      <c r="O1134" s="2">
        <v>40</v>
      </c>
      <c r="P1134" s="2" t="s">
        <v>12859</v>
      </c>
    </row>
    <row r="1135" spans="1:16">
      <c r="A1135" s="1">
        <v>1134</v>
      </c>
      <c r="B1135" s="2" t="s">
        <v>12860</v>
      </c>
      <c r="C1135" s="2" t="s">
        <v>12860</v>
      </c>
      <c r="D1135" s="2" t="s">
        <v>12860</v>
      </c>
      <c r="E1135" s="2" t="s">
        <v>12860</v>
      </c>
      <c r="F1135" s="2" t="s">
        <v>12860</v>
      </c>
      <c r="G1135" s="2" t="s">
        <v>12860</v>
      </c>
      <c r="H1135" s="2" t="s">
        <v>12860</v>
      </c>
      <c r="I1135" s="2" t="s">
        <v>12860</v>
      </c>
      <c r="J1135" s="2" t="s">
        <v>12860</v>
      </c>
      <c r="K1135" s="2" t="s">
        <v>12860</v>
      </c>
      <c r="L1135" s="2" t="s">
        <v>12860</v>
      </c>
      <c r="M1135" s="2" t="s">
        <v>12860</v>
      </c>
      <c r="N1135" s="2" t="s">
        <v>12860</v>
      </c>
      <c r="O1135" s="2" t="s">
        <v>12860</v>
      </c>
      <c r="P1135" s="2" t="s">
        <v>12860</v>
      </c>
    </row>
    <row r="1136" spans="1:16">
      <c r="A1136" s="1">
        <v>1135</v>
      </c>
      <c r="B1136" s="2" t="s">
        <v>12861</v>
      </c>
      <c r="C1136" s="2" t="s">
        <v>12861</v>
      </c>
      <c r="D1136" s="2" t="s">
        <v>12861</v>
      </c>
      <c r="E1136" s="2" t="s">
        <v>12861</v>
      </c>
      <c r="F1136" s="2" t="s">
        <v>12861</v>
      </c>
      <c r="G1136" s="2" t="s">
        <v>12861</v>
      </c>
      <c r="H1136" s="2" t="s">
        <v>12861</v>
      </c>
      <c r="I1136" s="2" t="s">
        <v>12861</v>
      </c>
      <c r="J1136" s="2" t="s">
        <v>12861</v>
      </c>
      <c r="K1136" s="2" t="s">
        <v>12861</v>
      </c>
      <c r="L1136" s="2" t="s">
        <v>12861</v>
      </c>
      <c r="M1136" s="2" t="s">
        <v>12861</v>
      </c>
      <c r="N1136" s="2" t="s">
        <v>12861</v>
      </c>
      <c r="O1136" s="2" t="s">
        <v>12861</v>
      </c>
      <c r="P1136" s="2" t="s">
        <v>12861</v>
      </c>
    </row>
    <row r="1137" spans="1:16">
      <c r="A1137" s="1">
        <v>1136</v>
      </c>
      <c r="B1137" s="2" t="s">
        <v>12862</v>
      </c>
      <c r="C1137" s="2" t="s">
        <v>12862</v>
      </c>
      <c r="D1137" s="2" t="s">
        <v>12862</v>
      </c>
      <c r="E1137" s="2" t="s">
        <v>12862</v>
      </c>
      <c r="F1137" s="2" t="s">
        <v>12862</v>
      </c>
      <c r="G1137" s="2" t="s">
        <v>12862</v>
      </c>
      <c r="H1137" s="2" t="s">
        <v>12862</v>
      </c>
      <c r="I1137" s="2" t="s">
        <v>12862</v>
      </c>
      <c r="J1137" s="2" t="s">
        <v>12862</v>
      </c>
      <c r="K1137" s="2" t="s">
        <v>12862</v>
      </c>
      <c r="L1137" s="2" t="s">
        <v>12862</v>
      </c>
      <c r="M1137" s="2" t="s">
        <v>12862</v>
      </c>
      <c r="N1137" s="2" t="s">
        <v>12862</v>
      </c>
      <c r="O1137" s="2" t="s">
        <v>12862</v>
      </c>
      <c r="P1137" s="2" t="s">
        <v>12862</v>
      </c>
    </row>
    <row r="1138" spans="1:16">
      <c r="A1138" s="1">
        <v>1137</v>
      </c>
      <c r="B1138" s="2" t="s">
        <v>12863</v>
      </c>
      <c r="C1138" s="2" t="s">
        <v>12863</v>
      </c>
      <c r="D1138" s="2" t="s">
        <v>12863</v>
      </c>
      <c r="E1138" s="2" t="s">
        <v>12863</v>
      </c>
      <c r="F1138" s="2" t="s">
        <v>12863</v>
      </c>
      <c r="G1138" s="2" t="s">
        <v>12863</v>
      </c>
      <c r="H1138" s="2" t="s">
        <v>12863</v>
      </c>
      <c r="I1138" s="2" t="s">
        <v>12863</v>
      </c>
      <c r="J1138" s="2" t="s">
        <v>12863</v>
      </c>
      <c r="K1138" s="2" t="s">
        <v>12863</v>
      </c>
      <c r="L1138" s="2" t="s">
        <v>12863</v>
      </c>
      <c r="M1138" s="2" t="s">
        <v>12863</v>
      </c>
      <c r="N1138" s="2" t="s">
        <v>12863</v>
      </c>
      <c r="O1138" s="2" t="s">
        <v>12863</v>
      </c>
      <c r="P1138" s="2" t="s">
        <v>12863</v>
      </c>
    </row>
    <row r="1139" spans="1:16">
      <c r="A1139" s="1">
        <v>1138</v>
      </c>
      <c r="B1139" s="2" t="s">
        <v>12864</v>
      </c>
      <c r="C1139" s="2" t="s">
        <v>12864</v>
      </c>
      <c r="D1139" s="2" t="s">
        <v>12864</v>
      </c>
      <c r="E1139" s="2" t="s">
        <v>12864</v>
      </c>
      <c r="F1139" s="2" t="s">
        <v>12864</v>
      </c>
      <c r="G1139" s="2" t="s">
        <v>12864</v>
      </c>
      <c r="H1139" s="2" t="s">
        <v>12864</v>
      </c>
      <c r="I1139" s="2" t="s">
        <v>12864</v>
      </c>
      <c r="J1139" s="2" t="s">
        <v>12864</v>
      </c>
      <c r="K1139" s="2" t="s">
        <v>12864</v>
      </c>
      <c r="L1139" s="2" t="s">
        <v>12864</v>
      </c>
      <c r="M1139" s="2" t="s">
        <v>12864</v>
      </c>
      <c r="N1139" s="2" t="s">
        <v>12864</v>
      </c>
      <c r="O1139" s="2" t="s">
        <v>12864</v>
      </c>
      <c r="P1139" s="2" t="s">
        <v>12864</v>
      </c>
    </row>
    <row r="1140" spans="1:16">
      <c r="A1140" s="1">
        <v>1139</v>
      </c>
      <c r="B1140" s="2" t="s">
        <v>12865</v>
      </c>
      <c r="C1140" s="2" t="s">
        <v>12866</v>
      </c>
      <c r="D1140" s="2" t="s">
        <v>12867</v>
      </c>
      <c r="E1140" s="2" t="s">
        <v>12868</v>
      </c>
      <c r="F1140" s="2" t="s">
        <v>12869</v>
      </c>
      <c r="G1140" s="2" t="s">
        <v>12870</v>
      </c>
      <c r="H1140" s="2" t="s">
        <v>12871</v>
      </c>
      <c r="I1140" s="2" t="s">
        <v>12872</v>
      </c>
      <c r="J1140" s="2" t="s">
        <v>12873</v>
      </c>
      <c r="K1140" s="2" t="s">
        <v>12874</v>
      </c>
      <c r="L1140" s="2" t="s">
        <v>12875</v>
      </c>
      <c r="M1140" s="2" t="s">
        <v>12876</v>
      </c>
      <c r="N1140" s="2" t="s">
        <v>12877</v>
      </c>
      <c r="O1140" s="2" t="s">
        <v>12878</v>
      </c>
      <c r="P1140" s="2" t="s">
        <v>12865</v>
      </c>
    </row>
    <row r="1141" spans="1:16">
      <c r="A1141" s="1">
        <v>1140</v>
      </c>
      <c r="B1141" s="2" t="s">
        <v>12879</v>
      </c>
      <c r="C1141" s="2" t="s">
        <v>12880</v>
      </c>
      <c r="D1141" s="2" t="s">
        <v>12881</v>
      </c>
      <c r="E1141" s="2" t="s">
        <v>12879</v>
      </c>
      <c r="F1141" s="2" t="s">
        <v>12882</v>
      </c>
      <c r="G1141" s="2" t="s">
        <v>12883</v>
      </c>
      <c r="H1141" s="2" t="s">
        <v>12884</v>
      </c>
      <c r="I1141" s="2" t="s">
        <v>12885</v>
      </c>
      <c r="J1141" s="2" t="s">
        <v>12882</v>
      </c>
      <c r="K1141" s="2" t="s">
        <v>12882</v>
      </c>
      <c r="L1141" s="2" t="s">
        <v>12886</v>
      </c>
      <c r="M1141" s="2" t="s">
        <v>12882</v>
      </c>
      <c r="N1141" s="2" t="s">
        <v>12882</v>
      </c>
      <c r="O1141" s="2" t="s">
        <v>12887</v>
      </c>
      <c r="P1141" s="2" t="s">
        <v>12879</v>
      </c>
    </row>
    <row r="1142" spans="1:16">
      <c r="A1142" s="1">
        <v>1141</v>
      </c>
      <c r="B1142" s="2" t="s">
        <v>2225</v>
      </c>
      <c r="C1142" s="2" t="s">
        <v>12888</v>
      </c>
      <c r="D1142" s="2" t="s">
        <v>2227</v>
      </c>
      <c r="E1142" s="2" t="s">
        <v>2228</v>
      </c>
      <c r="F1142" s="2" t="s">
        <v>2229</v>
      </c>
      <c r="G1142" s="2" t="s">
        <v>12889</v>
      </c>
      <c r="H1142" s="2" t="s">
        <v>2231</v>
      </c>
      <c r="I1142" s="2" t="s">
        <v>2232</v>
      </c>
      <c r="J1142" s="2" t="s">
        <v>2233</v>
      </c>
      <c r="K1142" s="2" t="s">
        <v>2234</v>
      </c>
      <c r="L1142" s="2" t="s">
        <v>2235</v>
      </c>
      <c r="M1142" s="2" t="s">
        <v>2236</v>
      </c>
      <c r="N1142" s="2" t="s">
        <v>2237</v>
      </c>
      <c r="O1142" s="2" t="s">
        <v>2238</v>
      </c>
      <c r="P1142" s="2" t="s">
        <v>2225</v>
      </c>
    </row>
    <row r="1143" spans="1:16">
      <c r="A1143" s="1">
        <v>1142</v>
      </c>
      <c r="B1143" s="2" t="s">
        <v>2239</v>
      </c>
      <c r="C1143" s="2" t="s">
        <v>12890</v>
      </c>
      <c r="D1143" s="2" t="s">
        <v>2241</v>
      </c>
      <c r="E1143" s="2" t="s">
        <v>2242</v>
      </c>
      <c r="F1143" s="2" t="s">
        <v>2243</v>
      </c>
      <c r="G1143" s="2" t="s">
        <v>12891</v>
      </c>
      <c r="H1143" s="2" t="s">
        <v>2245</v>
      </c>
      <c r="I1143" s="2" t="s">
        <v>2246</v>
      </c>
      <c r="J1143" s="2" t="s">
        <v>2247</v>
      </c>
      <c r="K1143" s="2" t="s">
        <v>2248</v>
      </c>
      <c r="L1143" s="2" t="s">
        <v>2249</v>
      </c>
      <c r="M1143" s="2" t="s">
        <v>2250</v>
      </c>
      <c r="N1143" s="2" t="s">
        <v>2251</v>
      </c>
      <c r="O1143" s="2" t="s">
        <v>2252</v>
      </c>
      <c r="P1143" s="2" t="s">
        <v>2239</v>
      </c>
    </row>
    <row r="1144" spans="1:16">
      <c r="A1144" s="1">
        <v>1143</v>
      </c>
      <c r="B1144" s="2" t="s">
        <v>2253</v>
      </c>
      <c r="C1144" s="2" t="s">
        <v>12892</v>
      </c>
      <c r="D1144" s="2" t="s">
        <v>2255</v>
      </c>
      <c r="E1144" s="2" t="s">
        <v>2256</v>
      </c>
      <c r="F1144" s="2" t="s">
        <v>2257</v>
      </c>
      <c r="G1144" s="2" t="s">
        <v>12893</v>
      </c>
      <c r="H1144" s="2" t="s">
        <v>2259</v>
      </c>
      <c r="I1144" s="2" t="s">
        <v>2260</v>
      </c>
      <c r="J1144" s="2" t="s">
        <v>2261</v>
      </c>
      <c r="K1144" s="2" t="s">
        <v>2262</v>
      </c>
      <c r="L1144" s="2" t="s">
        <v>2263</v>
      </c>
      <c r="M1144" s="2" t="s">
        <v>2264</v>
      </c>
      <c r="N1144" s="2" t="s">
        <v>2265</v>
      </c>
      <c r="O1144" s="2" t="s">
        <v>2266</v>
      </c>
      <c r="P1144" s="2" t="s">
        <v>2253</v>
      </c>
    </row>
    <row r="1145" spans="1:16">
      <c r="A1145" s="1">
        <v>1144</v>
      </c>
      <c r="B1145" s="2" t="s">
        <v>2267</v>
      </c>
      <c r="C1145" s="2" t="s">
        <v>12894</v>
      </c>
      <c r="D1145" s="2" t="s">
        <v>2269</v>
      </c>
      <c r="E1145" s="2" t="s">
        <v>2270</v>
      </c>
      <c r="F1145" s="2" t="s">
        <v>2271</v>
      </c>
      <c r="G1145" s="2" t="s">
        <v>12895</v>
      </c>
      <c r="H1145" s="2" t="s">
        <v>2273</v>
      </c>
      <c r="I1145" s="2" t="s">
        <v>2274</v>
      </c>
      <c r="J1145" s="2" t="s">
        <v>2275</v>
      </c>
      <c r="K1145" s="2" t="s">
        <v>2276</v>
      </c>
      <c r="L1145" s="2" t="s">
        <v>2277</v>
      </c>
      <c r="M1145" s="2" t="s">
        <v>2278</v>
      </c>
      <c r="N1145" s="2" t="s">
        <v>2279</v>
      </c>
      <c r="O1145" s="2" t="s">
        <v>2280</v>
      </c>
      <c r="P1145" s="2" t="s">
        <v>2267</v>
      </c>
    </row>
    <row r="1146" spans="1:16">
      <c r="A1146" s="1">
        <v>1145</v>
      </c>
      <c r="B1146" s="2" t="s">
        <v>2295</v>
      </c>
      <c r="C1146" s="2" t="s">
        <v>12896</v>
      </c>
      <c r="D1146" s="2" t="s">
        <v>2297</v>
      </c>
      <c r="E1146" s="2" t="s">
        <v>2298</v>
      </c>
      <c r="F1146" s="2" t="s">
        <v>2299</v>
      </c>
      <c r="G1146" s="2" t="s">
        <v>12897</v>
      </c>
      <c r="H1146" s="2" t="s">
        <v>2301</v>
      </c>
      <c r="I1146" s="2" t="s">
        <v>2302</v>
      </c>
      <c r="J1146" s="2" t="s">
        <v>2303</v>
      </c>
      <c r="K1146" s="2" t="s">
        <v>2304</v>
      </c>
      <c r="L1146" s="2" t="s">
        <v>2305</v>
      </c>
      <c r="M1146" s="2" t="s">
        <v>2306</v>
      </c>
      <c r="N1146" s="2" t="s">
        <v>2307</v>
      </c>
      <c r="O1146" s="2" t="s">
        <v>2308</v>
      </c>
      <c r="P1146" s="2" t="s">
        <v>2295</v>
      </c>
    </row>
    <row r="1147" spans="1:16">
      <c r="A1147" s="1">
        <v>1146</v>
      </c>
      <c r="B1147" s="2" t="s">
        <v>2323</v>
      </c>
      <c r="C1147" s="2" t="s">
        <v>12898</v>
      </c>
      <c r="D1147" s="2" t="s">
        <v>2325</v>
      </c>
      <c r="E1147" s="2" t="s">
        <v>2326</v>
      </c>
      <c r="F1147" s="2" t="s">
        <v>2327</v>
      </c>
      <c r="G1147" s="2" t="s">
        <v>12899</v>
      </c>
      <c r="H1147" s="2" t="s">
        <v>2329</v>
      </c>
      <c r="I1147" s="2" t="s">
        <v>2330</v>
      </c>
      <c r="J1147" s="2" t="s">
        <v>2331</v>
      </c>
      <c r="K1147" s="2" t="s">
        <v>2332</v>
      </c>
      <c r="L1147" s="2" t="s">
        <v>2333</v>
      </c>
      <c r="M1147" s="2" t="s">
        <v>2334</v>
      </c>
      <c r="N1147" s="2" t="s">
        <v>2335</v>
      </c>
      <c r="O1147" s="2" t="s">
        <v>2336</v>
      </c>
      <c r="P1147" s="2" t="s">
        <v>2323</v>
      </c>
    </row>
    <row r="1148" spans="1:16">
      <c r="A1148" s="1">
        <v>1147</v>
      </c>
      <c r="B1148" s="2" t="s">
        <v>2365</v>
      </c>
      <c r="C1148" s="2" t="s">
        <v>12900</v>
      </c>
      <c r="D1148" s="2" t="s">
        <v>2367</v>
      </c>
      <c r="E1148" s="2" t="s">
        <v>2368</v>
      </c>
      <c r="F1148" s="2" t="s">
        <v>2369</v>
      </c>
      <c r="G1148" s="2" t="s">
        <v>12901</v>
      </c>
      <c r="H1148" s="2" t="s">
        <v>2371</v>
      </c>
      <c r="I1148" s="2" t="s">
        <v>2372</v>
      </c>
      <c r="J1148" s="2" t="s">
        <v>2373</v>
      </c>
      <c r="K1148" s="2" t="s">
        <v>2374</v>
      </c>
      <c r="L1148" s="2" t="s">
        <v>2375</v>
      </c>
      <c r="M1148" s="2" t="s">
        <v>2376</v>
      </c>
      <c r="N1148" s="2" t="s">
        <v>2377</v>
      </c>
      <c r="O1148" s="2" t="s">
        <v>2378</v>
      </c>
      <c r="P1148" s="2" t="s">
        <v>2365</v>
      </c>
    </row>
    <row r="1149" spans="1:16">
      <c r="A1149" s="1">
        <v>1148</v>
      </c>
      <c r="B1149" s="2" t="s">
        <v>2379</v>
      </c>
      <c r="C1149" s="2" t="s">
        <v>12902</v>
      </c>
      <c r="D1149" s="2" t="s">
        <v>2381</v>
      </c>
      <c r="E1149" s="2" t="s">
        <v>2382</v>
      </c>
      <c r="F1149" s="2" t="s">
        <v>2383</v>
      </c>
      <c r="G1149" s="2" t="s">
        <v>12903</v>
      </c>
      <c r="H1149" s="2" t="s">
        <v>2385</v>
      </c>
      <c r="I1149" s="2" t="s">
        <v>2386</v>
      </c>
      <c r="J1149" s="2" t="s">
        <v>2387</v>
      </c>
      <c r="K1149" s="2" t="s">
        <v>2388</v>
      </c>
      <c r="L1149" s="2" t="s">
        <v>2389</v>
      </c>
      <c r="M1149" s="2" t="s">
        <v>2390</v>
      </c>
      <c r="N1149" s="2" t="s">
        <v>2391</v>
      </c>
      <c r="O1149" s="2" t="s">
        <v>2392</v>
      </c>
      <c r="P1149" s="2" t="s">
        <v>2379</v>
      </c>
    </row>
    <row r="1150" spans="1:16">
      <c r="A1150" s="1">
        <v>1149</v>
      </c>
      <c r="B1150" s="2" t="s">
        <v>2407</v>
      </c>
      <c r="C1150" s="2" t="s">
        <v>12904</v>
      </c>
      <c r="D1150" s="2" t="s">
        <v>2409</v>
      </c>
      <c r="E1150" s="2" t="s">
        <v>2410</v>
      </c>
      <c r="F1150" s="2" t="s">
        <v>2411</v>
      </c>
      <c r="G1150" s="2" t="s">
        <v>12905</v>
      </c>
      <c r="H1150" s="2" t="s">
        <v>2413</v>
      </c>
      <c r="I1150" s="2" t="s">
        <v>2414</v>
      </c>
      <c r="J1150" s="2" t="s">
        <v>2415</v>
      </c>
      <c r="K1150" s="2" t="s">
        <v>2416</v>
      </c>
      <c r="L1150" s="2" t="s">
        <v>2417</v>
      </c>
      <c r="M1150" s="2" t="s">
        <v>2418</v>
      </c>
      <c r="N1150" s="2" t="s">
        <v>2419</v>
      </c>
      <c r="O1150" s="2" t="s">
        <v>2420</v>
      </c>
      <c r="P1150" s="2" t="s">
        <v>2407</v>
      </c>
    </row>
    <row r="1151" spans="1:16">
      <c r="A1151" s="1">
        <v>1150</v>
      </c>
      <c r="B1151" s="2" t="s">
        <v>2435</v>
      </c>
      <c r="C1151" s="2" t="s">
        <v>12906</v>
      </c>
      <c r="D1151" s="2" t="s">
        <v>2437</v>
      </c>
      <c r="E1151" s="2" t="s">
        <v>2438</v>
      </c>
      <c r="F1151" s="2" t="s">
        <v>2439</v>
      </c>
      <c r="G1151" s="2" t="s">
        <v>2440</v>
      </c>
      <c r="H1151" s="2" t="s">
        <v>2441</v>
      </c>
      <c r="I1151" s="2" t="s">
        <v>2442</v>
      </c>
      <c r="J1151" s="2" t="s">
        <v>2443</v>
      </c>
      <c r="K1151" s="2" t="s">
        <v>2444</v>
      </c>
      <c r="L1151" s="2" t="s">
        <v>2445</v>
      </c>
      <c r="M1151" s="2" t="s">
        <v>2446</v>
      </c>
      <c r="N1151" s="2" t="s">
        <v>2447</v>
      </c>
      <c r="O1151" s="2" t="s">
        <v>2448</v>
      </c>
      <c r="P1151" s="2" t="s">
        <v>2435</v>
      </c>
    </row>
    <row r="1152" spans="1:16">
      <c r="A1152" s="1">
        <v>1151</v>
      </c>
      <c r="B1152" s="2" t="s">
        <v>2477</v>
      </c>
      <c r="C1152" s="2" t="s">
        <v>12907</v>
      </c>
      <c r="D1152" s="2" t="s">
        <v>2479</v>
      </c>
      <c r="E1152" s="2" t="s">
        <v>2480</v>
      </c>
      <c r="F1152" s="2" t="s">
        <v>2481</v>
      </c>
      <c r="G1152" s="2" t="s">
        <v>2482</v>
      </c>
      <c r="H1152" s="2" t="s">
        <v>2483</v>
      </c>
      <c r="I1152" s="2" t="s">
        <v>2484</v>
      </c>
      <c r="J1152" s="2" t="s">
        <v>2485</v>
      </c>
      <c r="K1152" s="2" t="s">
        <v>2486</v>
      </c>
      <c r="L1152" s="2" t="s">
        <v>2487</v>
      </c>
      <c r="M1152" s="2" t="s">
        <v>2488</v>
      </c>
      <c r="N1152" s="2" t="s">
        <v>2489</v>
      </c>
      <c r="O1152" s="2" t="s">
        <v>2490</v>
      </c>
      <c r="P1152" s="2" t="s">
        <v>2477</v>
      </c>
    </row>
    <row r="1153" spans="1:16">
      <c r="A1153" s="1">
        <v>1152</v>
      </c>
      <c r="B1153" s="2" t="s">
        <v>12908</v>
      </c>
      <c r="C1153" s="2" t="s">
        <v>12909</v>
      </c>
      <c r="D1153" s="2" t="s">
        <v>12910</v>
      </c>
      <c r="E1153" s="2" t="s">
        <v>12911</v>
      </c>
      <c r="F1153" s="2" t="s">
        <v>12912</v>
      </c>
      <c r="G1153" s="2" t="s">
        <v>12913</v>
      </c>
      <c r="H1153" s="2" t="s">
        <v>12914</v>
      </c>
      <c r="I1153" s="2" t="s">
        <v>12915</v>
      </c>
      <c r="J1153" s="2" t="s">
        <v>12916</v>
      </c>
      <c r="K1153" s="2" t="s">
        <v>12917</v>
      </c>
      <c r="L1153" s="2" t="s">
        <v>12918</v>
      </c>
      <c r="M1153" s="2" t="s">
        <v>12919</v>
      </c>
      <c r="N1153" s="2" t="s">
        <v>12920</v>
      </c>
      <c r="O1153" s="2" t="s">
        <v>12921</v>
      </c>
      <c r="P1153" s="2" t="s">
        <v>12908</v>
      </c>
    </row>
    <row r="1154" spans="1:16">
      <c r="A1154" s="1">
        <v>1153</v>
      </c>
      <c r="B1154" s="2" t="s">
        <v>12922</v>
      </c>
      <c r="C1154" s="2" t="s">
        <v>12923</v>
      </c>
      <c r="D1154" s="2" t="s">
        <v>12924</v>
      </c>
      <c r="E1154" s="2" t="s">
        <v>12925</v>
      </c>
      <c r="F1154" s="2" t="s">
        <v>12926</v>
      </c>
      <c r="G1154" s="2" t="s">
        <v>12927</v>
      </c>
      <c r="H1154" s="2" t="s">
        <v>12928</v>
      </c>
      <c r="I1154" s="2" t="s">
        <v>12929</v>
      </c>
      <c r="J1154" s="2" t="s">
        <v>12930</v>
      </c>
      <c r="K1154" s="2" t="s">
        <v>12931</v>
      </c>
      <c r="L1154" s="2" t="s">
        <v>12932</v>
      </c>
      <c r="M1154" s="2" t="s">
        <v>12933</v>
      </c>
      <c r="N1154" s="2" t="s">
        <v>12934</v>
      </c>
      <c r="O1154" s="2" t="s">
        <v>12935</v>
      </c>
      <c r="P1154" s="2" t="s">
        <v>12922</v>
      </c>
    </row>
    <row r="1155" spans="1:16">
      <c r="A1155" s="1">
        <v>1154</v>
      </c>
      <c r="B1155" s="2" t="s">
        <v>12936</v>
      </c>
      <c r="C1155" s="2" t="s">
        <v>12937</v>
      </c>
      <c r="D1155" s="2" t="s">
        <v>12938</v>
      </c>
      <c r="E1155" s="2" t="s">
        <v>12939</v>
      </c>
      <c r="F1155" s="2" t="s">
        <v>12940</v>
      </c>
      <c r="G1155" s="2" t="s">
        <v>12941</v>
      </c>
      <c r="H1155" s="2" t="s">
        <v>12942</v>
      </c>
      <c r="I1155" s="2" t="s">
        <v>12943</v>
      </c>
      <c r="J1155" s="2" t="s">
        <v>12944</v>
      </c>
      <c r="K1155" s="2" t="s">
        <v>12945</v>
      </c>
      <c r="L1155" s="2" t="s">
        <v>12946</v>
      </c>
      <c r="M1155" s="2" t="s">
        <v>12947</v>
      </c>
      <c r="N1155" s="2" t="s">
        <v>12948</v>
      </c>
      <c r="O1155" s="2" t="s">
        <v>12949</v>
      </c>
      <c r="P1155" s="2" t="s">
        <v>12936</v>
      </c>
    </row>
    <row r="1156" spans="1:16">
      <c r="A1156" s="1">
        <v>1155</v>
      </c>
      <c r="B1156" s="2" t="s">
        <v>12950</v>
      </c>
      <c r="C1156" s="2" t="s">
        <v>12951</v>
      </c>
      <c r="D1156" s="2" t="s">
        <v>12952</v>
      </c>
      <c r="E1156" s="2" t="s">
        <v>2748</v>
      </c>
      <c r="F1156" s="2" t="s">
        <v>22843</v>
      </c>
      <c r="G1156" s="2" t="s">
        <v>12953</v>
      </c>
      <c r="H1156" s="2" t="s">
        <v>12954</v>
      </c>
      <c r="I1156" s="2" t="s">
        <v>2752</v>
      </c>
      <c r="J1156" s="2" t="s">
        <v>12955</v>
      </c>
      <c r="K1156" s="2" t="s">
        <v>2754</v>
      </c>
      <c r="L1156" s="2" t="s">
        <v>2755</v>
      </c>
      <c r="M1156" s="2" t="s">
        <v>2756</v>
      </c>
      <c r="N1156" s="2" t="s">
        <v>2757</v>
      </c>
      <c r="O1156" s="2" t="s">
        <v>12956</v>
      </c>
      <c r="P1156" s="2" t="s">
        <v>12950</v>
      </c>
    </row>
    <row r="1157" spans="1:16">
      <c r="A1157" s="1">
        <v>1156</v>
      </c>
      <c r="B1157" s="2" t="s">
        <v>12957</v>
      </c>
      <c r="C1157" s="2" t="s">
        <v>12958</v>
      </c>
      <c r="D1157" s="2" t="s">
        <v>12959</v>
      </c>
      <c r="E1157" s="2" t="s">
        <v>12960</v>
      </c>
      <c r="F1157" s="2" t="s">
        <v>22844</v>
      </c>
      <c r="G1157" s="2" t="s">
        <v>12961</v>
      </c>
      <c r="H1157" s="2" t="s">
        <v>12962</v>
      </c>
      <c r="I1157" s="2" t="s">
        <v>12963</v>
      </c>
      <c r="J1157" s="2" t="s">
        <v>12964</v>
      </c>
      <c r="K1157" s="2" t="s">
        <v>12965</v>
      </c>
      <c r="L1157" s="2" t="s">
        <v>12966</v>
      </c>
      <c r="M1157" s="2" t="s">
        <v>12967</v>
      </c>
      <c r="N1157" s="2" t="s">
        <v>12968</v>
      </c>
      <c r="O1157" s="2" t="s">
        <v>12969</v>
      </c>
      <c r="P1157" s="2" t="s">
        <v>12957</v>
      </c>
    </row>
    <row r="1158" spans="1:16">
      <c r="A1158" s="1">
        <v>1157</v>
      </c>
      <c r="B1158" s="2" t="s">
        <v>12970</v>
      </c>
      <c r="C1158" s="2" t="s">
        <v>12971</v>
      </c>
      <c r="D1158" s="2" t="s">
        <v>12972</v>
      </c>
      <c r="E1158" s="2" t="s">
        <v>12973</v>
      </c>
      <c r="F1158" s="2" t="s">
        <v>22845</v>
      </c>
      <c r="G1158" s="2" t="s">
        <v>12974</v>
      </c>
      <c r="H1158" s="2" t="s">
        <v>12975</v>
      </c>
      <c r="I1158" s="2" t="s">
        <v>12976</v>
      </c>
      <c r="J1158" s="2" t="s">
        <v>12977</v>
      </c>
      <c r="K1158" s="2" t="s">
        <v>12978</v>
      </c>
      <c r="L1158" s="2" t="s">
        <v>12979</v>
      </c>
      <c r="M1158" s="2" t="s">
        <v>12980</v>
      </c>
      <c r="N1158" s="2" t="s">
        <v>12981</v>
      </c>
      <c r="O1158" s="2" t="s">
        <v>12982</v>
      </c>
      <c r="P1158" s="2" t="s">
        <v>12970</v>
      </c>
    </row>
    <row r="1159" spans="1:16">
      <c r="A1159" s="1">
        <v>1158</v>
      </c>
      <c r="B1159" s="2" t="s">
        <v>12983</v>
      </c>
      <c r="C1159" s="2" t="s">
        <v>12984</v>
      </c>
      <c r="D1159" s="2" t="s">
        <v>12985</v>
      </c>
      <c r="E1159" s="2" t="s">
        <v>12986</v>
      </c>
      <c r="F1159" s="2" t="s">
        <v>22846</v>
      </c>
      <c r="G1159" s="2" t="s">
        <v>12987</v>
      </c>
      <c r="H1159" s="2" t="s">
        <v>12988</v>
      </c>
      <c r="I1159" s="2" t="s">
        <v>12989</v>
      </c>
      <c r="J1159" s="2" t="s">
        <v>12990</v>
      </c>
      <c r="K1159" s="2" t="s">
        <v>12991</v>
      </c>
      <c r="L1159" s="2" t="s">
        <v>12992</v>
      </c>
      <c r="M1159" s="2" t="s">
        <v>12993</v>
      </c>
      <c r="N1159" s="2" t="s">
        <v>12994</v>
      </c>
      <c r="O1159" s="2" t="s">
        <v>12995</v>
      </c>
      <c r="P1159" s="2" t="s">
        <v>12983</v>
      </c>
    </row>
    <row r="1160" spans="1:16">
      <c r="A1160" s="1">
        <v>1159</v>
      </c>
      <c r="B1160" s="2" t="s">
        <v>12996</v>
      </c>
      <c r="C1160" s="2" t="s">
        <v>12997</v>
      </c>
      <c r="D1160" s="2" t="s">
        <v>12998</v>
      </c>
      <c r="E1160" s="2" t="s">
        <v>12999</v>
      </c>
      <c r="F1160" s="2" t="s">
        <v>13000</v>
      </c>
      <c r="G1160" s="2" t="s">
        <v>13001</v>
      </c>
      <c r="H1160" s="2" t="s">
        <v>13002</v>
      </c>
      <c r="I1160" s="2" t="s">
        <v>13003</v>
      </c>
      <c r="J1160" s="2" t="s">
        <v>13004</v>
      </c>
      <c r="K1160" s="2" t="s">
        <v>13003</v>
      </c>
      <c r="L1160" s="2" t="s">
        <v>13005</v>
      </c>
      <c r="M1160" s="2" t="s">
        <v>13006</v>
      </c>
      <c r="N1160" s="2" t="s">
        <v>13007</v>
      </c>
      <c r="O1160" s="2" t="s">
        <v>13008</v>
      </c>
      <c r="P1160" s="2" t="s">
        <v>12996</v>
      </c>
    </row>
    <row r="1161" spans="1:16">
      <c r="A1161" s="1">
        <v>1160</v>
      </c>
      <c r="B1161" s="2" t="s">
        <v>13009</v>
      </c>
      <c r="C1161" s="2" t="s">
        <v>13010</v>
      </c>
      <c r="D1161" s="2" t="s">
        <v>13011</v>
      </c>
      <c r="E1161" s="2" t="s">
        <v>13012</v>
      </c>
      <c r="F1161" s="2" t="s">
        <v>13013</v>
      </c>
      <c r="G1161" s="2" t="s">
        <v>13014</v>
      </c>
      <c r="H1161" s="2" t="s">
        <v>13015</v>
      </c>
      <c r="I1161" s="2" t="s">
        <v>13016</v>
      </c>
      <c r="J1161" s="2" t="s">
        <v>13017</v>
      </c>
      <c r="K1161" s="2" t="s">
        <v>13018</v>
      </c>
      <c r="L1161" s="2" t="s">
        <v>13019</v>
      </c>
      <c r="M1161" s="2" t="s">
        <v>13020</v>
      </c>
      <c r="N1161" s="2" t="s">
        <v>13021</v>
      </c>
      <c r="O1161" s="2" t="s">
        <v>13022</v>
      </c>
      <c r="P1161" s="2" t="s">
        <v>13009</v>
      </c>
    </row>
    <row r="1162" spans="1:16">
      <c r="A1162" s="1">
        <v>1161</v>
      </c>
      <c r="B1162" s="2" t="s">
        <v>2449</v>
      </c>
      <c r="C1162" s="2" t="s">
        <v>13023</v>
      </c>
      <c r="D1162" s="2" t="s">
        <v>2451</v>
      </c>
      <c r="E1162" s="2" t="s">
        <v>2452</v>
      </c>
      <c r="F1162" s="2" t="s">
        <v>13024</v>
      </c>
      <c r="G1162" s="2" t="s">
        <v>2454</v>
      </c>
      <c r="H1162" s="2" t="s">
        <v>2455</v>
      </c>
      <c r="I1162" s="2" t="s">
        <v>2456</v>
      </c>
      <c r="J1162" s="2" t="s">
        <v>2457</v>
      </c>
      <c r="K1162" s="2" t="s">
        <v>2458</v>
      </c>
      <c r="L1162" s="2" t="s">
        <v>2459</v>
      </c>
      <c r="M1162" s="2" t="s">
        <v>2460</v>
      </c>
      <c r="N1162" s="2" t="s">
        <v>2461</v>
      </c>
      <c r="O1162" s="2" t="s">
        <v>2462</v>
      </c>
      <c r="P1162" s="2" t="s">
        <v>2449</v>
      </c>
    </row>
    <row r="1163" spans="1:16">
      <c r="A1163" s="1">
        <v>1162</v>
      </c>
      <c r="B1163" s="2" t="s">
        <v>13025</v>
      </c>
      <c r="C1163" s="2" t="s">
        <v>13026</v>
      </c>
      <c r="D1163" s="2" t="s">
        <v>13027</v>
      </c>
      <c r="E1163" s="2" t="s">
        <v>13028</v>
      </c>
      <c r="F1163" s="2" t="s">
        <v>13029</v>
      </c>
      <c r="G1163" s="2" t="s">
        <v>13030</v>
      </c>
      <c r="H1163" s="2" t="s">
        <v>13031</v>
      </c>
      <c r="I1163" s="2" t="s">
        <v>13032</v>
      </c>
      <c r="J1163" s="2" t="s">
        <v>13033</v>
      </c>
      <c r="K1163" s="2" t="s">
        <v>13034</v>
      </c>
      <c r="L1163" s="2" t="s">
        <v>13035</v>
      </c>
      <c r="M1163" s="2" t="s">
        <v>13036</v>
      </c>
      <c r="N1163" s="2" t="s">
        <v>13037</v>
      </c>
      <c r="O1163" s="2" t="s">
        <v>13038</v>
      </c>
      <c r="P1163" s="2" t="s">
        <v>13025</v>
      </c>
    </row>
    <row r="1164" spans="1:16">
      <c r="A1164" s="1">
        <v>1163</v>
      </c>
      <c r="B1164" s="2" t="s">
        <v>13039</v>
      </c>
      <c r="C1164" s="2" t="s">
        <v>13040</v>
      </c>
      <c r="D1164" s="2" t="s">
        <v>13041</v>
      </c>
      <c r="E1164" s="2" t="s">
        <v>13042</v>
      </c>
      <c r="F1164" s="2" t="s">
        <v>13043</v>
      </c>
      <c r="G1164" s="2" t="s">
        <v>13044</v>
      </c>
      <c r="H1164" s="2" t="s">
        <v>13045</v>
      </c>
      <c r="I1164" s="2" t="s">
        <v>13046</v>
      </c>
      <c r="J1164" s="2" t="s">
        <v>13047</v>
      </c>
      <c r="K1164" s="2" t="s">
        <v>13048</v>
      </c>
      <c r="L1164" s="2" t="s">
        <v>13049</v>
      </c>
      <c r="M1164" s="2" t="s">
        <v>13050</v>
      </c>
      <c r="N1164" s="2" t="s">
        <v>13051</v>
      </c>
      <c r="O1164" s="2" t="s">
        <v>13052</v>
      </c>
      <c r="P1164" s="2" t="s">
        <v>13039</v>
      </c>
    </row>
    <row r="1165" spans="1:16">
      <c r="A1165" s="1">
        <v>1164</v>
      </c>
      <c r="B1165" s="2" t="s">
        <v>2463</v>
      </c>
      <c r="C1165" s="2" t="s">
        <v>13053</v>
      </c>
      <c r="D1165" s="2" t="s">
        <v>2465</v>
      </c>
      <c r="E1165" s="2" t="s">
        <v>2466</v>
      </c>
      <c r="F1165" s="2" t="s">
        <v>13054</v>
      </c>
      <c r="G1165" s="2" t="s">
        <v>2468</v>
      </c>
      <c r="H1165" s="2" t="s">
        <v>2469</v>
      </c>
      <c r="I1165" s="2" t="s">
        <v>2470</v>
      </c>
      <c r="J1165" s="2" t="s">
        <v>2471</v>
      </c>
      <c r="K1165" s="2" t="s">
        <v>2472</v>
      </c>
      <c r="L1165" s="2" t="s">
        <v>2473</v>
      </c>
      <c r="M1165" s="2" t="s">
        <v>2474</v>
      </c>
      <c r="N1165" s="2" t="s">
        <v>2475</v>
      </c>
      <c r="O1165" s="2" t="s">
        <v>2476</v>
      </c>
      <c r="P1165" s="2" t="s">
        <v>2463</v>
      </c>
    </row>
    <row r="1166" spans="1:16">
      <c r="A1166" s="1">
        <v>1165</v>
      </c>
      <c r="B1166" s="2" t="s">
        <v>13055</v>
      </c>
      <c r="C1166" s="2" t="s">
        <v>13056</v>
      </c>
      <c r="D1166" s="2" t="s">
        <v>13057</v>
      </c>
      <c r="E1166" s="2" t="s">
        <v>13055</v>
      </c>
      <c r="F1166" s="2" t="s">
        <v>13055</v>
      </c>
      <c r="G1166" s="2" t="s">
        <v>13058</v>
      </c>
      <c r="H1166" s="2" t="s">
        <v>13059</v>
      </c>
      <c r="I1166" s="2" t="s">
        <v>13060</v>
      </c>
      <c r="J1166" s="2" t="s">
        <v>13055</v>
      </c>
      <c r="K1166" s="2" t="s">
        <v>13055</v>
      </c>
      <c r="L1166" s="2" t="s">
        <v>13061</v>
      </c>
      <c r="M1166" s="2" t="s">
        <v>13055</v>
      </c>
      <c r="N1166" s="2" t="s">
        <v>13055</v>
      </c>
      <c r="O1166" s="2" t="s">
        <v>13062</v>
      </c>
      <c r="P1166" s="2" t="s">
        <v>13055</v>
      </c>
    </row>
    <row r="1167" spans="1:16">
      <c r="A1167" s="1">
        <v>1166</v>
      </c>
      <c r="B1167" s="2" t="s">
        <v>13063</v>
      </c>
      <c r="C1167" s="2" t="s">
        <v>13064</v>
      </c>
      <c r="D1167" s="2" t="s">
        <v>13065</v>
      </c>
      <c r="E1167" s="2" t="s">
        <v>13063</v>
      </c>
      <c r="F1167" s="2" t="s">
        <v>13063</v>
      </c>
      <c r="G1167" s="2" t="s">
        <v>13066</v>
      </c>
      <c r="H1167" s="2" t="s">
        <v>13067</v>
      </c>
      <c r="I1167" s="2" t="s">
        <v>13068</v>
      </c>
      <c r="J1167" s="2" t="s">
        <v>13063</v>
      </c>
      <c r="K1167" s="2" t="s">
        <v>13063</v>
      </c>
      <c r="L1167" s="2" t="s">
        <v>13069</v>
      </c>
      <c r="M1167" s="2" t="s">
        <v>13063</v>
      </c>
      <c r="N1167" s="2" t="s">
        <v>13063</v>
      </c>
      <c r="O1167" s="2" t="s">
        <v>13070</v>
      </c>
      <c r="P1167" s="2" t="s">
        <v>13063</v>
      </c>
    </row>
    <row r="1168" spans="1:16">
      <c r="A1168" s="1">
        <v>1167</v>
      </c>
      <c r="B1168" s="2" t="s">
        <v>13071</v>
      </c>
      <c r="C1168" s="2" t="s">
        <v>13072</v>
      </c>
      <c r="D1168" s="2" t="s">
        <v>13073</v>
      </c>
      <c r="E1168" s="2" t="s">
        <v>13071</v>
      </c>
      <c r="F1168" s="2" t="s">
        <v>13071</v>
      </c>
      <c r="G1168" s="2" t="s">
        <v>13074</v>
      </c>
      <c r="H1168" s="2" t="s">
        <v>13075</v>
      </c>
      <c r="I1168" s="2" t="s">
        <v>13076</v>
      </c>
      <c r="J1168" s="2" t="s">
        <v>13071</v>
      </c>
      <c r="K1168" s="2" t="s">
        <v>13071</v>
      </c>
      <c r="L1168" s="2" t="s">
        <v>13077</v>
      </c>
      <c r="M1168" s="2" t="s">
        <v>13071</v>
      </c>
      <c r="N1168" s="2" t="s">
        <v>13071</v>
      </c>
      <c r="O1168" s="2" t="s">
        <v>13078</v>
      </c>
      <c r="P1168" s="2" t="s">
        <v>13071</v>
      </c>
    </row>
    <row r="1169" spans="1:16">
      <c r="A1169" s="1">
        <v>1168</v>
      </c>
      <c r="B1169" s="2" t="s">
        <v>22847</v>
      </c>
      <c r="C1169" s="2" t="s">
        <v>13080</v>
      </c>
      <c r="D1169" s="2" t="s">
        <v>13081</v>
      </c>
      <c r="E1169" s="2" t="s">
        <v>25735</v>
      </c>
      <c r="F1169" s="2" t="s">
        <v>13082</v>
      </c>
      <c r="G1169" s="2" t="s">
        <v>13083</v>
      </c>
      <c r="H1169" s="2" t="s">
        <v>13084</v>
      </c>
      <c r="I1169" s="2" t="s">
        <v>13085</v>
      </c>
      <c r="J1169" s="2" t="s">
        <v>13086</v>
      </c>
      <c r="K1169" s="2" t="s">
        <v>13087</v>
      </c>
      <c r="L1169" s="2" t="s">
        <v>13088</v>
      </c>
      <c r="M1169" s="2" t="s">
        <v>13089</v>
      </c>
      <c r="N1169" s="2" t="s">
        <v>13090</v>
      </c>
      <c r="O1169" s="2" t="s">
        <v>13091</v>
      </c>
      <c r="P1169" s="2" t="s">
        <v>13079</v>
      </c>
    </row>
    <row r="1170" spans="1:16">
      <c r="A1170" s="1">
        <v>1169</v>
      </c>
      <c r="B1170" s="2" t="s">
        <v>12755</v>
      </c>
      <c r="C1170" s="2" t="s">
        <v>12756</v>
      </c>
      <c r="D1170" s="2" t="s">
        <v>12757</v>
      </c>
      <c r="E1170" s="2" t="s">
        <v>12758</v>
      </c>
      <c r="F1170" s="2" t="s">
        <v>12759</v>
      </c>
      <c r="G1170" s="2" t="s">
        <v>12760</v>
      </c>
      <c r="H1170" s="2" t="s">
        <v>12761</v>
      </c>
      <c r="I1170" s="2" t="s">
        <v>12762</v>
      </c>
      <c r="J1170" s="2" t="s">
        <v>12763</v>
      </c>
      <c r="K1170" s="2" t="s">
        <v>12764</v>
      </c>
      <c r="L1170" s="2" t="s">
        <v>12765</v>
      </c>
      <c r="M1170" s="2" t="s">
        <v>12766</v>
      </c>
      <c r="N1170" s="2" t="s">
        <v>12767</v>
      </c>
      <c r="O1170" s="2" t="s">
        <v>12768</v>
      </c>
      <c r="P1170" s="2" t="s">
        <v>12755</v>
      </c>
    </row>
    <row r="1171" spans="1:16">
      <c r="A1171" s="1">
        <v>1170</v>
      </c>
      <c r="B1171" s="2" t="s">
        <v>13092</v>
      </c>
      <c r="C1171" s="2" t="s">
        <v>13093</v>
      </c>
      <c r="D1171" s="2" t="s">
        <v>13094</v>
      </c>
      <c r="E1171" s="2" t="s">
        <v>13095</v>
      </c>
      <c r="F1171" s="2" t="s">
        <v>13096</v>
      </c>
      <c r="G1171" s="2" t="s">
        <v>13097</v>
      </c>
      <c r="H1171" s="2" t="s">
        <v>13098</v>
      </c>
      <c r="I1171" s="2" t="s">
        <v>13099</v>
      </c>
      <c r="J1171" s="2" t="s">
        <v>13100</v>
      </c>
      <c r="K1171" s="2" t="s">
        <v>13101</v>
      </c>
      <c r="L1171" s="2" t="s">
        <v>13102</v>
      </c>
      <c r="M1171" s="2" t="s">
        <v>13103</v>
      </c>
      <c r="N1171" s="2" t="s">
        <v>13104</v>
      </c>
      <c r="O1171" s="2" t="s">
        <v>13105</v>
      </c>
      <c r="P1171" s="2" t="s">
        <v>13092</v>
      </c>
    </row>
    <row r="1172" spans="1:16">
      <c r="A1172" s="1">
        <v>1171</v>
      </c>
      <c r="B1172" s="2" t="s">
        <v>13106</v>
      </c>
      <c r="C1172" s="2" t="s">
        <v>13107</v>
      </c>
      <c r="D1172" s="2" t="s">
        <v>13108</v>
      </c>
      <c r="E1172" s="2" t="s">
        <v>13109</v>
      </c>
      <c r="F1172" s="2" t="s">
        <v>13109</v>
      </c>
      <c r="G1172" s="2" t="s">
        <v>13109</v>
      </c>
      <c r="H1172" s="2" t="s">
        <v>13109</v>
      </c>
      <c r="I1172" s="2" t="s">
        <v>13109</v>
      </c>
      <c r="J1172" s="2" t="s">
        <v>13109</v>
      </c>
      <c r="K1172" s="2" t="s">
        <v>13109</v>
      </c>
      <c r="L1172" s="2" t="s">
        <v>13109</v>
      </c>
      <c r="M1172" s="2" t="s">
        <v>13109</v>
      </c>
      <c r="N1172" s="2" t="s">
        <v>13109</v>
      </c>
      <c r="O1172" s="2" t="s">
        <v>13109</v>
      </c>
      <c r="P1172" s="2" t="s">
        <v>13106</v>
      </c>
    </row>
    <row r="1173" spans="1:16">
      <c r="A1173" s="1">
        <v>1172</v>
      </c>
      <c r="B1173" s="2" t="s">
        <v>13110</v>
      </c>
      <c r="C1173" s="2" t="s">
        <v>13110</v>
      </c>
      <c r="D1173" s="2" t="s">
        <v>13111</v>
      </c>
      <c r="E1173" s="2" t="s">
        <v>13111</v>
      </c>
      <c r="F1173" s="2" t="s">
        <v>13111</v>
      </c>
      <c r="G1173" s="2" t="s">
        <v>13111</v>
      </c>
      <c r="H1173" s="2" t="s">
        <v>13111</v>
      </c>
      <c r="I1173" s="2" t="s">
        <v>13111</v>
      </c>
      <c r="J1173" s="2" t="s">
        <v>13111</v>
      </c>
      <c r="K1173" s="2" t="s">
        <v>13111</v>
      </c>
      <c r="L1173" s="2" t="s">
        <v>13111</v>
      </c>
      <c r="M1173" s="2" t="s">
        <v>13111</v>
      </c>
      <c r="N1173" s="2" t="s">
        <v>13111</v>
      </c>
      <c r="O1173" s="2" t="s">
        <v>13111</v>
      </c>
      <c r="P1173" s="2" t="s">
        <v>13110</v>
      </c>
    </row>
    <row r="1174" spans="1:16">
      <c r="A1174" s="1">
        <v>1173</v>
      </c>
      <c r="B1174" s="2" t="s">
        <v>13112</v>
      </c>
      <c r="C1174" s="2" t="s">
        <v>13112</v>
      </c>
      <c r="D1174" s="2" t="s">
        <v>13113</v>
      </c>
      <c r="E1174" s="2" t="s">
        <v>13113</v>
      </c>
      <c r="F1174" s="2" t="s">
        <v>13113</v>
      </c>
      <c r="G1174" s="2" t="s">
        <v>13113</v>
      </c>
      <c r="H1174" s="2" t="s">
        <v>13113</v>
      </c>
      <c r="I1174" s="2" t="s">
        <v>13113</v>
      </c>
      <c r="J1174" s="2" t="s">
        <v>13113</v>
      </c>
      <c r="K1174" s="2" t="s">
        <v>13113</v>
      </c>
      <c r="L1174" s="2" t="s">
        <v>13113</v>
      </c>
      <c r="M1174" s="2" t="s">
        <v>13113</v>
      </c>
      <c r="N1174" s="2" t="s">
        <v>13113</v>
      </c>
      <c r="O1174" s="2" t="s">
        <v>13113</v>
      </c>
      <c r="P1174" s="2" t="s">
        <v>13112</v>
      </c>
    </row>
    <row r="1175" spans="1:16">
      <c r="A1175" s="1">
        <v>1174</v>
      </c>
      <c r="B1175" s="2" t="s">
        <v>13114</v>
      </c>
      <c r="C1175" s="2" t="s">
        <v>13115</v>
      </c>
      <c r="D1175" s="2" t="s">
        <v>13116</v>
      </c>
      <c r="E1175" s="2" t="s">
        <v>25736</v>
      </c>
      <c r="F1175" s="2" t="s">
        <v>13117</v>
      </c>
      <c r="G1175" s="2" t="s">
        <v>13118</v>
      </c>
      <c r="H1175" s="2" t="s">
        <v>13119</v>
      </c>
      <c r="I1175" s="2" t="s">
        <v>13120</v>
      </c>
      <c r="J1175" s="2" t="s">
        <v>13121</v>
      </c>
      <c r="K1175" s="2" t="s">
        <v>13122</v>
      </c>
      <c r="L1175" s="2" t="s">
        <v>13123</v>
      </c>
      <c r="M1175" s="2" t="s">
        <v>13124</v>
      </c>
      <c r="N1175" s="2" t="s">
        <v>13124</v>
      </c>
      <c r="O1175" s="2" t="s">
        <v>13125</v>
      </c>
      <c r="P1175" s="2" t="s">
        <v>13114</v>
      </c>
    </row>
    <row r="1176" spans="1:16">
      <c r="A1176" s="1">
        <v>1175</v>
      </c>
      <c r="B1176" s="2" t="s">
        <v>13126</v>
      </c>
      <c r="C1176" s="2" t="s">
        <v>13127</v>
      </c>
      <c r="D1176" s="2" t="s">
        <v>6583</v>
      </c>
      <c r="E1176" s="2" t="s">
        <v>6584</v>
      </c>
      <c r="F1176" s="2" t="s">
        <v>13128</v>
      </c>
      <c r="G1176" s="2" t="s">
        <v>6586</v>
      </c>
      <c r="H1176" s="2" t="s">
        <v>13129</v>
      </c>
      <c r="I1176" s="2" t="s">
        <v>6588</v>
      </c>
      <c r="J1176" s="2" t="s">
        <v>6589</v>
      </c>
      <c r="K1176" s="2" t="s">
        <v>6590</v>
      </c>
      <c r="L1176" s="2" t="s">
        <v>6591</v>
      </c>
      <c r="M1176" s="2" t="s">
        <v>6592</v>
      </c>
      <c r="N1176" s="2" t="s">
        <v>6593</v>
      </c>
      <c r="O1176" s="2" t="s">
        <v>13130</v>
      </c>
      <c r="P1176" s="2" t="s">
        <v>13126</v>
      </c>
    </row>
    <row r="1177" spans="1:16">
      <c r="A1177" s="1">
        <v>1176</v>
      </c>
      <c r="B1177" s="2" t="s">
        <v>13131</v>
      </c>
      <c r="C1177" s="2" t="s">
        <v>13132</v>
      </c>
      <c r="D1177" s="2" t="s">
        <v>13133</v>
      </c>
      <c r="E1177" s="2" t="s">
        <v>13134</v>
      </c>
      <c r="F1177" s="2" t="s">
        <v>13135</v>
      </c>
      <c r="G1177" s="2" t="s">
        <v>13136</v>
      </c>
      <c r="H1177" s="2" t="s">
        <v>13137</v>
      </c>
      <c r="I1177" s="2" t="s">
        <v>13138</v>
      </c>
      <c r="J1177" s="2" t="s">
        <v>13139</v>
      </c>
      <c r="K1177" s="2" t="s">
        <v>13140</v>
      </c>
      <c r="L1177" s="2" t="s">
        <v>13141</v>
      </c>
      <c r="M1177" s="2" t="s">
        <v>13142</v>
      </c>
      <c r="N1177" s="2" t="s">
        <v>13143</v>
      </c>
      <c r="O1177" s="2" t="s">
        <v>13144</v>
      </c>
      <c r="P1177" s="2" t="s">
        <v>13131</v>
      </c>
    </row>
    <row r="1178" spans="1:16">
      <c r="A1178" s="1">
        <v>1177</v>
      </c>
      <c r="B1178" s="2" t="s">
        <v>13145</v>
      </c>
      <c r="C1178" s="2" t="s">
        <v>13145</v>
      </c>
      <c r="D1178" s="2" t="s">
        <v>13146</v>
      </c>
      <c r="E1178" s="2" t="s">
        <v>13147</v>
      </c>
      <c r="F1178" s="2" t="s">
        <v>13148</v>
      </c>
      <c r="G1178" s="2" t="s">
        <v>13149</v>
      </c>
      <c r="H1178" s="2" t="s">
        <v>13150</v>
      </c>
      <c r="I1178" s="2" t="s">
        <v>13151</v>
      </c>
      <c r="J1178" s="2" t="s">
        <v>13152</v>
      </c>
      <c r="K1178" s="2" t="s">
        <v>13153</v>
      </c>
      <c r="L1178" s="2" t="s">
        <v>13145</v>
      </c>
      <c r="M1178" s="2" t="s">
        <v>13145</v>
      </c>
      <c r="N1178" s="2" t="s">
        <v>13154</v>
      </c>
      <c r="O1178" s="2" t="s">
        <v>13153</v>
      </c>
      <c r="P1178" s="2" t="s">
        <v>13145</v>
      </c>
    </row>
    <row r="1179" spans="1:16">
      <c r="A1179" s="1">
        <v>1178</v>
      </c>
      <c r="B1179" s="2" t="s">
        <v>13155</v>
      </c>
      <c r="C1179" s="2" t="s">
        <v>13156</v>
      </c>
      <c r="D1179" s="2" t="s">
        <v>13157</v>
      </c>
      <c r="E1179" s="2" t="s">
        <v>13158</v>
      </c>
      <c r="F1179" s="2" t="s">
        <v>13159</v>
      </c>
      <c r="G1179" s="2" t="s">
        <v>13160</v>
      </c>
      <c r="H1179" s="2" t="s">
        <v>13161</v>
      </c>
      <c r="I1179" s="2" t="s">
        <v>13162</v>
      </c>
      <c r="J1179" s="2" t="s">
        <v>13163</v>
      </c>
      <c r="K1179" s="2" t="s">
        <v>13164</v>
      </c>
      <c r="L1179" s="2" t="s">
        <v>13165</v>
      </c>
      <c r="M1179" s="2" t="s">
        <v>13166</v>
      </c>
      <c r="N1179" s="2" t="s">
        <v>13167</v>
      </c>
      <c r="O1179" s="2" t="s">
        <v>13168</v>
      </c>
      <c r="P1179" s="2" t="s">
        <v>13155</v>
      </c>
    </row>
    <row r="1180" spans="1:16">
      <c r="A1180" s="1">
        <v>1179</v>
      </c>
      <c r="B1180" s="2" t="s">
        <v>13169</v>
      </c>
      <c r="C1180" s="2" t="s">
        <v>13170</v>
      </c>
      <c r="D1180" s="2" t="s">
        <v>13171</v>
      </c>
      <c r="E1180" s="2" t="s">
        <v>13172</v>
      </c>
      <c r="F1180" s="2" t="s">
        <v>13173</v>
      </c>
      <c r="G1180" s="2" t="s">
        <v>13174</v>
      </c>
      <c r="H1180" s="2" t="s">
        <v>13175</v>
      </c>
      <c r="I1180" s="2" t="s">
        <v>13176</v>
      </c>
      <c r="J1180" s="2" t="s">
        <v>13177</v>
      </c>
      <c r="K1180" s="2" t="s">
        <v>13178</v>
      </c>
      <c r="L1180" s="2" t="s">
        <v>13179</v>
      </c>
      <c r="M1180" s="2" t="s">
        <v>13180</v>
      </c>
      <c r="N1180" s="2" t="s">
        <v>13181</v>
      </c>
      <c r="O1180" s="2" t="s">
        <v>13182</v>
      </c>
      <c r="P1180" s="2" t="s">
        <v>13169</v>
      </c>
    </row>
    <row r="1181" spans="1:16">
      <c r="A1181" s="1">
        <v>1180</v>
      </c>
      <c r="B1181" s="2" t="s">
        <v>13183</v>
      </c>
      <c r="C1181" s="2" t="s">
        <v>13184</v>
      </c>
      <c r="D1181" s="2" t="s">
        <v>13185</v>
      </c>
      <c r="E1181" s="2" t="s">
        <v>13186</v>
      </c>
      <c r="F1181" s="2" t="s">
        <v>13187</v>
      </c>
      <c r="G1181" s="2" t="s">
        <v>13188</v>
      </c>
      <c r="H1181" s="2" t="s">
        <v>13189</v>
      </c>
      <c r="I1181" s="2" t="s">
        <v>13190</v>
      </c>
      <c r="J1181" s="2" t="s">
        <v>13191</v>
      </c>
      <c r="K1181" s="2" t="s">
        <v>13192</v>
      </c>
      <c r="L1181" s="2" t="s">
        <v>13193</v>
      </c>
      <c r="M1181" s="2" t="s">
        <v>13194</v>
      </c>
      <c r="N1181" s="2" t="s">
        <v>13195</v>
      </c>
      <c r="O1181" s="2" t="s">
        <v>13196</v>
      </c>
      <c r="P1181" s="2" t="s">
        <v>13183</v>
      </c>
    </row>
    <row r="1182" spans="1:16">
      <c r="A1182" s="1">
        <v>1181</v>
      </c>
      <c r="B1182" s="2" t="s">
        <v>13197</v>
      </c>
      <c r="C1182" s="2" t="s">
        <v>13198</v>
      </c>
      <c r="D1182" s="2" t="s">
        <v>13199</v>
      </c>
      <c r="E1182" s="2" t="s">
        <v>13200</v>
      </c>
      <c r="F1182" s="2" t="s">
        <v>13201</v>
      </c>
      <c r="G1182" s="2" t="s">
        <v>13202</v>
      </c>
      <c r="H1182" s="2" t="s">
        <v>13203</v>
      </c>
      <c r="I1182" s="2" t="s">
        <v>13204</v>
      </c>
      <c r="J1182" s="2" t="s">
        <v>13205</v>
      </c>
      <c r="K1182" s="2" t="s">
        <v>13206</v>
      </c>
      <c r="L1182" s="2" t="s">
        <v>13145</v>
      </c>
      <c r="M1182" s="2" t="s">
        <v>13207</v>
      </c>
      <c r="N1182" s="2" t="s">
        <v>13208</v>
      </c>
      <c r="O1182" s="2" t="s">
        <v>13209</v>
      </c>
      <c r="P1182" s="2" t="s">
        <v>13197</v>
      </c>
    </row>
    <row r="1183" spans="1:16" ht="16.5">
      <c r="A1183" s="1">
        <v>1182</v>
      </c>
      <c r="B1183" s="2" t="s">
        <v>13210</v>
      </c>
      <c r="C1183" s="2" t="s">
        <v>13211</v>
      </c>
      <c r="D1183" s="2" t="s">
        <v>13212</v>
      </c>
      <c r="E1183" s="2" t="s">
        <v>25737</v>
      </c>
      <c r="F1183" s="2" t="s">
        <v>13213</v>
      </c>
      <c r="G1183" s="2" t="s">
        <v>13214</v>
      </c>
      <c r="H1183" s="2" t="s">
        <v>13215</v>
      </c>
      <c r="I1183" s="2" t="s">
        <v>13216</v>
      </c>
      <c r="J1183" s="2" t="s">
        <v>13217</v>
      </c>
      <c r="K1183" s="2" t="s">
        <v>13218</v>
      </c>
      <c r="L1183" s="2" t="s">
        <v>13219</v>
      </c>
      <c r="M1183" s="2" t="s">
        <v>13220</v>
      </c>
      <c r="N1183" s="2" t="s">
        <v>13221</v>
      </c>
      <c r="O1183" s="2" t="s">
        <v>13222</v>
      </c>
      <c r="P1183" s="2" t="s">
        <v>13210</v>
      </c>
    </row>
    <row r="1184" spans="1:16" ht="16.5">
      <c r="A1184" s="1">
        <v>1183</v>
      </c>
      <c r="B1184" s="2" t="s">
        <v>13223</v>
      </c>
      <c r="C1184" s="2" t="s">
        <v>13224</v>
      </c>
      <c r="D1184" s="2" t="s">
        <v>13225</v>
      </c>
      <c r="E1184" s="2" t="s">
        <v>25738</v>
      </c>
      <c r="F1184" s="2" t="s">
        <v>13226</v>
      </c>
      <c r="G1184" s="2" t="s">
        <v>13227</v>
      </c>
      <c r="H1184" s="2" t="s">
        <v>13228</v>
      </c>
      <c r="I1184" s="2" t="s">
        <v>13229</v>
      </c>
      <c r="J1184" s="2" t="s">
        <v>13230</v>
      </c>
      <c r="K1184" s="2" t="s">
        <v>13231</v>
      </c>
      <c r="L1184" s="2" t="s">
        <v>13232</v>
      </c>
      <c r="M1184" s="2" t="s">
        <v>13233</v>
      </c>
      <c r="N1184" s="2" t="s">
        <v>13234</v>
      </c>
      <c r="O1184" s="2" t="s">
        <v>13235</v>
      </c>
      <c r="P1184" s="2" t="s">
        <v>13223</v>
      </c>
    </row>
    <row r="1185" spans="1:16">
      <c r="A1185" s="1">
        <v>1184</v>
      </c>
      <c r="B1185" s="2" t="s">
        <v>13236</v>
      </c>
      <c r="C1185" s="2" t="s">
        <v>13237</v>
      </c>
      <c r="D1185" s="2" t="s">
        <v>13238</v>
      </c>
      <c r="E1185" s="2" t="s">
        <v>13239</v>
      </c>
      <c r="F1185" s="2" t="s">
        <v>13237</v>
      </c>
      <c r="G1185" s="2" t="s">
        <v>13237</v>
      </c>
      <c r="H1185" s="2" t="s">
        <v>13237</v>
      </c>
      <c r="I1185" s="2" t="s">
        <v>13237</v>
      </c>
      <c r="J1185" s="2" t="s">
        <v>13237</v>
      </c>
      <c r="K1185" s="2" t="s">
        <v>13240</v>
      </c>
      <c r="L1185" s="2" t="s">
        <v>13241</v>
      </c>
      <c r="M1185" s="2" t="s">
        <v>13242</v>
      </c>
      <c r="N1185" s="2" t="s">
        <v>13237</v>
      </c>
      <c r="O1185" s="2" t="s">
        <v>13237</v>
      </c>
      <c r="P1185" s="2" t="s">
        <v>13236</v>
      </c>
    </row>
    <row r="1186" spans="1:16">
      <c r="A1186" s="1">
        <v>1185</v>
      </c>
      <c r="B1186" s="2" t="s">
        <v>13243</v>
      </c>
      <c r="C1186" s="2" t="s">
        <v>13244</v>
      </c>
      <c r="D1186" s="2" t="s">
        <v>13245</v>
      </c>
      <c r="E1186" s="2" t="s">
        <v>13246</v>
      </c>
      <c r="F1186" s="2" t="s">
        <v>13244</v>
      </c>
      <c r="G1186" s="2" t="s">
        <v>13244</v>
      </c>
      <c r="H1186" s="2" t="s">
        <v>13244</v>
      </c>
      <c r="I1186" s="2" t="s">
        <v>13244</v>
      </c>
      <c r="J1186" s="2" t="s">
        <v>13244</v>
      </c>
      <c r="K1186" s="2" t="s">
        <v>13247</v>
      </c>
      <c r="L1186" s="2" t="s">
        <v>13248</v>
      </c>
      <c r="M1186" s="2" t="s">
        <v>13249</v>
      </c>
      <c r="N1186" s="2" t="s">
        <v>13244</v>
      </c>
      <c r="O1186" s="2" t="s">
        <v>13244</v>
      </c>
      <c r="P1186" s="2" t="s">
        <v>13243</v>
      </c>
    </row>
    <row r="1187" spans="1:16">
      <c r="A1187" s="1">
        <v>1186</v>
      </c>
      <c r="B1187" s="2" t="s">
        <v>22848</v>
      </c>
      <c r="C1187" s="2" t="s">
        <v>4421</v>
      </c>
      <c r="D1187" s="2" t="s">
        <v>1389</v>
      </c>
      <c r="E1187" s="2" t="s">
        <v>13250</v>
      </c>
      <c r="F1187" s="2" t="s">
        <v>13251</v>
      </c>
      <c r="G1187" s="2" t="s">
        <v>13252</v>
      </c>
      <c r="H1187" s="2" t="s">
        <v>13253</v>
      </c>
      <c r="I1187" s="2" t="s">
        <v>13254</v>
      </c>
      <c r="J1187" s="2" t="s">
        <v>13255</v>
      </c>
      <c r="K1187" s="2" t="s">
        <v>13256</v>
      </c>
      <c r="L1187" s="2" t="s">
        <v>4429</v>
      </c>
      <c r="M1187" s="2" t="s">
        <v>13257</v>
      </c>
      <c r="N1187" s="2" t="s">
        <v>13258</v>
      </c>
      <c r="O1187" s="2" t="s">
        <v>4432</v>
      </c>
      <c r="P1187" s="2" t="s">
        <v>22848</v>
      </c>
    </row>
    <row r="1188" spans="1:16">
      <c r="A1188" s="1">
        <v>1187</v>
      </c>
      <c r="B1188" s="2" t="s">
        <v>13259</v>
      </c>
      <c r="C1188" s="2" t="s">
        <v>13260</v>
      </c>
      <c r="D1188" s="2" t="s">
        <v>13261</v>
      </c>
      <c r="E1188" s="2" t="s">
        <v>13262</v>
      </c>
      <c r="F1188" s="2" t="s">
        <v>13263</v>
      </c>
      <c r="G1188" s="2" t="s">
        <v>13264</v>
      </c>
      <c r="H1188" s="2" t="s">
        <v>13265</v>
      </c>
      <c r="I1188" s="2" t="s">
        <v>13266</v>
      </c>
      <c r="J1188" s="2" t="s">
        <v>13267</v>
      </c>
      <c r="K1188" s="2" t="s">
        <v>13268</v>
      </c>
      <c r="L1188" s="2" t="s">
        <v>13269</v>
      </c>
      <c r="M1188" s="2" t="s">
        <v>13270</v>
      </c>
      <c r="N1188" s="2" t="s">
        <v>13271</v>
      </c>
      <c r="O1188" s="2" t="s">
        <v>13272</v>
      </c>
      <c r="P1188" s="2" t="s">
        <v>13259</v>
      </c>
    </row>
    <row r="1189" spans="1:16">
      <c r="A1189" s="1">
        <v>1188</v>
      </c>
      <c r="B1189" s="2" t="s">
        <v>13273</v>
      </c>
      <c r="C1189" s="2" t="s">
        <v>13274</v>
      </c>
      <c r="D1189" s="2" t="s">
        <v>13275</v>
      </c>
      <c r="E1189" s="2" t="s">
        <v>13276</v>
      </c>
      <c r="F1189" s="2" t="s">
        <v>13277</v>
      </c>
      <c r="G1189" s="2" t="s">
        <v>13278</v>
      </c>
      <c r="H1189" s="2" t="s">
        <v>13279</v>
      </c>
      <c r="I1189" s="2" t="s">
        <v>13280</v>
      </c>
      <c r="J1189" s="2" t="s">
        <v>13281</v>
      </c>
      <c r="K1189" s="2" t="s">
        <v>13282</v>
      </c>
      <c r="L1189" s="2" t="s">
        <v>13283</v>
      </c>
      <c r="M1189" s="2" t="s">
        <v>13284</v>
      </c>
      <c r="N1189" s="2" t="s">
        <v>13285</v>
      </c>
      <c r="O1189" s="2" t="s">
        <v>13286</v>
      </c>
      <c r="P1189" s="2" t="s">
        <v>13273</v>
      </c>
    </row>
    <row r="1190" spans="1:16">
      <c r="A1190" s="1">
        <v>1189</v>
      </c>
      <c r="B1190" s="2" t="s">
        <v>13287</v>
      </c>
      <c r="C1190" s="2" t="s">
        <v>13288</v>
      </c>
      <c r="D1190" s="2" t="s">
        <v>13289</v>
      </c>
      <c r="E1190" s="2" t="s">
        <v>25739</v>
      </c>
      <c r="F1190" s="2" t="s">
        <v>13290</v>
      </c>
      <c r="G1190" s="2" t="s">
        <v>13291</v>
      </c>
      <c r="H1190" s="2" t="s">
        <v>13292</v>
      </c>
      <c r="I1190" s="2" t="s">
        <v>13293</v>
      </c>
      <c r="J1190" s="2" t="s">
        <v>13294</v>
      </c>
      <c r="K1190" s="2" t="s">
        <v>13295</v>
      </c>
      <c r="L1190" s="2" t="s">
        <v>13296</v>
      </c>
      <c r="M1190" s="2" t="s">
        <v>13297</v>
      </c>
      <c r="N1190" s="2" t="s">
        <v>13298</v>
      </c>
      <c r="O1190" s="2" t="s">
        <v>13299</v>
      </c>
      <c r="P1190" s="2" t="s">
        <v>13287</v>
      </c>
    </row>
    <row r="1191" spans="1:16">
      <c r="A1191" s="1">
        <v>1190</v>
      </c>
      <c r="B1191" s="2" t="s">
        <v>13300</v>
      </c>
      <c r="C1191" s="2" t="s">
        <v>13301</v>
      </c>
      <c r="D1191" s="2" t="s">
        <v>13302</v>
      </c>
      <c r="E1191" s="2" t="s">
        <v>25740</v>
      </c>
      <c r="F1191" s="2" t="s">
        <v>13303</v>
      </c>
      <c r="G1191" s="2" t="s">
        <v>13304</v>
      </c>
      <c r="H1191" s="2" t="s">
        <v>13305</v>
      </c>
      <c r="I1191" s="2" t="s">
        <v>13306</v>
      </c>
      <c r="J1191" s="2" t="s">
        <v>13307</v>
      </c>
      <c r="K1191" s="2" t="s">
        <v>13308</v>
      </c>
      <c r="L1191" s="2" t="s">
        <v>13309</v>
      </c>
      <c r="M1191" s="2" t="s">
        <v>13310</v>
      </c>
      <c r="N1191" s="2" t="s">
        <v>13311</v>
      </c>
      <c r="O1191" s="2" t="s">
        <v>13312</v>
      </c>
      <c r="P1191" s="2" t="s">
        <v>13300</v>
      </c>
    </row>
    <row r="1192" spans="1:16">
      <c r="A1192" s="1">
        <v>1191</v>
      </c>
      <c r="B1192" s="2" t="s">
        <v>13313</v>
      </c>
      <c r="C1192" s="2" t="s">
        <v>13314</v>
      </c>
      <c r="D1192" s="2" t="s">
        <v>13315</v>
      </c>
      <c r="E1192" s="2" t="s">
        <v>25741</v>
      </c>
      <c r="F1192" s="2" t="s">
        <v>13316</v>
      </c>
      <c r="G1192" s="2" t="s">
        <v>13317</v>
      </c>
      <c r="H1192" s="2" t="s">
        <v>13318</v>
      </c>
      <c r="I1192" s="2" t="s">
        <v>13319</v>
      </c>
      <c r="J1192" s="2" t="s">
        <v>13320</v>
      </c>
      <c r="K1192" s="2" t="s">
        <v>13321</v>
      </c>
      <c r="L1192" s="2" t="s">
        <v>13322</v>
      </c>
      <c r="M1192" s="2" t="s">
        <v>13323</v>
      </c>
      <c r="N1192" s="2" t="s">
        <v>13324</v>
      </c>
      <c r="O1192" s="2" t="s">
        <v>13325</v>
      </c>
      <c r="P1192" s="2" t="s">
        <v>13313</v>
      </c>
    </row>
    <row r="1193" spans="1:16">
      <c r="A1193" s="1">
        <v>1192</v>
      </c>
      <c r="B1193" s="2" t="s">
        <v>13326</v>
      </c>
      <c r="C1193" s="2">
        <v>41</v>
      </c>
      <c r="D1193" s="2">
        <v>41</v>
      </c>
      <c r="E1193" s="2">
        <v>41</v>
      </c>
      <c r="F1193" s="2">
        <v>41</v>
      </c>
      <c r="G1193" s="2">
        <v>41</v>
      </c>
      <c r="H1193" s="2">
        <v>41</v>
      </c>
      <c r="I1193" s="2">
        <v>41</v>
      </c>
      <c r="J1193" s="2">
        <v>41</v>
      </c>
      <c r="K1193" s="2">
        <v>41</v>
      </c>
      <c r="L1193" s="2">
        <v>41</v>
      </c>
      <c r="M1193" s="2">
        <v>41</v>
      </c>
      <c r="N1193" s="2">
        <v>41</v>
      </c>
      <c r="O1193" s="2">
        <v>41</v>
      </c>
      <c r="P1193" s="2" t="s">
        <v>13326</v>
      </c>
    </row>
    <row r="1194" spans="1:16">
      <c r="A1194" s="1">
        <v>1193</v>
      </c>
      <c r="B1194" s="2" t="s">
        <v>13327</v>
      </c>
      <c r="C1194" s="2">
        <v>150</v>
      </c>
      <c r="D1194" s="2">
        <v>150</v>
      </c>
      <c r="E1194" s="2">
        <v>150</v>
      </c>
      <c r="F1194" s="2">
        <v>150</v>
      </c>
      <c r="G1194" s="2">
        <v>150</v>
      </c>
      <c r="H1194" s="2">
        <v>150</v>
      </c>
      <c r="I1194" s="2">
        <v>150</v>
      </c>
      <c r="J1194" s="2">
        <v>150</v>
      </c>
      <c r="K1194" s="2">
        <v>150</v>
      </c>
      <c r="L1194" s="2">
        <v>150</v>
      </c>
      <c r="M1194" s="2">
        <v>150</v>
      </c>
      <c r="N1194" s="2">
        <v>150</v>
      </c>
      <c r="O1194" s="2">
        <v>150</v>
      </c>
      <c r="P1194" s="2" t="s">
        <v>13327</v>
      </c>
    </row>
    <row r="1195" spans="1:16">
      <c r="A1195" s="1">
        <v>1194</v>
      </c>
      <c r="B1195" s="2" t="s">
        <v>13328</v>
      </c>
      <c r="C1195" s="2" t="s">
        <v>13329</v>
      </c>
      <c r="D1195" s="2" t="s">
        <v>13329</v>
      </c>
      <c r="E1195" s="2" t="s">
        <v>13330</v>
      </c>
      <c r="F1195" s="2" t="s">
        <v>13331</v>
      </c>
      <c r="G1195" s="2" t="s">
        <v>13332</v>
      </c>
      <c r="H1195" s="2" t="s">
        <v>13333</v>
      </c>
      <c r="I1195" s="2" t="s">
        <v>13334</v>
      </c>
      <c r="J1195" s="2" t="s">
        <v>13335</v>
      </c>
      <c r="K1195" s="2" t="s">
        <v>13334</v>
      </c>
      <c r="L1195" s="2" t="s">
        <v>13336</v>
      </c>
      <c r="M1195" s="2" t="s">
        <v>13337</v>
      </c>
      <c r="N1195" s="2" t="s">
        <v>13338</v>
      </c>
      <c r="O1195" s="2" t="s">
        <v>13339</v>
      </c>
      <c r="P1195" s="2" t="s">
        <v>13328</v>
      </c>
    </row>
    <row r="1196" spans="1:16">
      <c r="A1196" s="1">
        <v>1195</v>
      </c>
      <c r="B1196" s="2" t="s">
        <v>13340</v>
      </c>
      <c r="C1196" s="2" t="s">
        <v>13341</v>
      </c>
      <c r="D1196" s="2" t="s">
        <v>13341</v>
      </c>
      <c r="E1196" s="2" t="s">
        <v>13342</v>
      </c>
      <c r="F1196" s="2" t="s">
        <v>13343</v>
      </c>
      <c r="G1196" s="2" t="s">
        <v>13344</v>
      </c>
      <c r="H1196" s="2" t="s">
        <v>13345</v>
      </c>
      <c r="I1196" s="2" t="s">
        <v>13346</v>
      </c>
      <c r="J1196" s="2" t="s">
        <v>13347</v>
      </c>
      <c r="K1196" s="2" t="s">
        <v>13346</v>
      </c>
      <c r="L1196" s="2" t="s">
        <v>13348</v>
      </c>
      <c r="M1196" s="2" t="s">
        <v>13349</v>
      </c>
      <c r="N1196" s="2" t="s">
        <v>13350</v>
      </c>
      <c r="O1196" s="2" t="s">
        <v>13351</v>
      </c>
      <c r="P1196" s="2" t="s">
        <v>13340</v>
      </c>
    </row>
    <row r="1197" spans="1:16">
      <c r="A1197" s="1">
        <v>1196</v>
      </c>
      <c r="B1197" s="2" t="s">
        <v>13352</v>
      </c>
      <c r="C1197" s="2" t="s">
        <v>13353</v>
      </c>
      <c r="D1197" s="2" t="s">
        <v>13353</v>
      </c>
      <c r="E1197" s="2" t="s">
        <v>13354</v>
      </c>
      <c r="F1197" s="2" t="s">
        <v>13355</v>
      </c>
      <c r="G1197" s="2" t="s">
        <v>13356</v>
      </c>
      <c r="H1197" s="2" t="s">
        <v>13357</v>
      </c>
      <c r="I1197" s="2" t="s">
        <v>13358</v>
      </c>
      <c r="J1197" s="2" t="s">
        <v>13359</v>
      </c>
      <c r="K1197" s="2" t="s">
        <v>13358</v>
      </c>
      <c r="L1197" s="2" t="s">
        <v>13360</v>
      </c>
      <c r="M1197" s="2" t="s">
        <v>13361</v>
      </c>
      <c r="N1197" s="2" t="s">
        <v>13362</v>
      </c>
      <c r="O1197" s="2" t="s">
        <v>13363</v>
      </c>
      <c r="P1197" s="2" t="s">
        <v>13352</v>
      </c>
    </row>
    <row r="1198" spans="1:16">
      <c r="A1198" s="1">
        <v>1197</v>
      </c>
      <c r="B1198" s="2" t="s">
        <v>13364</v>
      </c>
      <c r="C1198" s="2" t="s">
        <v>13365</v>
      </c>
      <c r="D1198" s="2" t="s">
        <v>13365</v>
      </c>
      <c r="E1198" s="2" t="s">
        <v>13366</v>
      </c>
      <c r="F1198" s="2" t="s">
        <v>13367</v>
      </c>
      <c r="G1198" s="2" t="s">
        <v>13368</v>
      </c>
      <c r="H1198" s="2" t="s">
        <v>13369</v>
      </c>
      <c r="I1198" s="2" t="s">
        <v>13370</v>
      </c>
      <c r="J1198" s="2" t="s">
        <v>13371</v>
      </c>
      <c r="K1198" s="2" t="s">
        <v>13370</v>
      </c>
      <c r="L1198" s="2" t="s">
        <v>13372</v>
      </c>
      <c r="M1198" s="2" t="s">
        <v>13373</v>
      </c>
      <c r="N1198" s="2" t="s">
        <v>13374</v>
      </c>
      <c r="O1198" s="2" t="s">
        <v>13375</v>
      </c>
      <c r="P1198" s="2" t="s">
        <v>13364</v>
      </c>
    </row>
    <row r="1199" spans="1:16">
      <c r="A1199" s="1">
        <v>1198</v>
      </c>
      <c r="B1199" s="2" t="s">
        <v>13376</v>
      </c>
      <c r="C1199" s="2" t="s">
        <v>13377</v>
      </c>
      <c r="D1199" s="2" t="s">
        <v>13377</v>
      </c>
      <c r="E1199" s="2" t="s">
        <v>13378</v>
      </c>
      <c r="F1199" s="2" t="s">
        <v>13379</v>
      </c>
      <c r="G1199" s="2" t="s">
        <v>13380</v>
      </c>
      <c r="H1199" s="2" t="s">
        <v>13381</v>
      </c>
      <c r="I1199" s="2" t="s">
        <v>13382</v>
      </c>
      <c r="J1199" s="2" t="s">
        <v>13383</v>
      </c>
      <c r="K1199" s="2" t="s">
        <v>13382</v>
      </c>
      <c r="L1199" s="2" t="s">
        <v>13384</v>
      </c>
      <c r="M1199" s="2" t="s">
        <v>13385</v>
      </c>
      <c r="N1199" s="2" t="s">
        <v>13386</v>
      </c>
      <c r="O1199" s="2" t="s">
        <v>13387</v>
      </c>
      <c r="P1199" s="2" t="s">
        <v>13376</v>
      </c>
    </row>
    <row r="1200" spans="1:16">
      <c r="A1200" s="1">
        <v>1199</v>
      </c>
      <c r="B1200" s="2" t="s">
        <v>13388</v>
      </c>
      <c r="C1200" s="2" t="s">
        <v>13389</v>
      </c>
      <c r="D1200" s="2" t="s">
        <v>13389</v>
      </c>
      <c r="E1200" s="2" t="s">
        <v>13390</v>
      </c>
      <c r="F1200" s="2" t="s">
        <v>13391</v>
      </c>
      <c r="G1200" s="2" t="s">
        <v>13392</v>
      </c>
      <c r="H1200" s="2" t="s">
        <v>13393</v>
      </c>
      <c r="I1200" s="2" t="s">
        <v>13394</v>
      </c>
      <c r="J1200" s="2" t="s">
        <v>13395</v>
      </c>
      <c r="K1200" s="2" t="s">
        <v>13394</v>
      </c>
      <c r="L1200" s="2" t="s">
        <v>13396</v>
      </c>
      <c r="M1200" s="2" t="s">
        <v>13397</v>
      </c>
      <c r="N1200" s="2" t="s">
        <v>13398</v>
      </c>
      <c r="O1200" s="2" t="s">
        <v>13399</v>
      </c>
      <c r="P1200" s="2" t="s">
        <v>13388</v>
      </c>
    </row>
    <row r="1201" spans="1:16">
      <c r="A1201" s="1">
        <v>1200</v>
      </c>
      <c r="B1201" s="2" t="s">
        <v>13400</v>
      </c>
      <c r="C1201" s="2" t="s">
        <v>13401</v>
      </c>
      <c r="D1201" s="2" t="s">
        <v>13401</v>
      </c>
      <c r="E1201" s="2" t="s">
        <v>13402</v>
      </c>
      <c r="F1201" s="2" t="s">
        <v>13403</v>
      </c>
      <c r="G1201" s="2" t="s">
        <v>13404</v>
      </c>
      <c r="H1201" s="2" t="s">
        <v>13405</v>
      </c>
      <c r="I1201" s="2" t="s">
        <v>13406</v>
      </c>
      <c r="J1201" s="2" t="s">
        <v>13407</v>
      </c>
      <c r="K1201" s="2" t="s">
        <v>13406</v>
      </c>
      <c r="L1201" s="2" t="s">
        <v>13408</v>
      </c>
      <c r="M1201" s="2" t="s">
        <v>13409</v>
      </c>
      <c r="N1201" s="2" t="s">
        <v>13410</v>
      </c>
      <c r="O1201" s="2" t="s">
        <v>13411</v>
      </c>
      <c r="P1201" s="2" t="s">
        <v>13400</v>
      </c>
    </row>
    <row r="1202" spans="1:16">
      <c r="A1202" s="1">
        <v>1201</v>
      </c>
      <c r="B1202" s="2" t="s">
        <v>13412</v>
      </c>
      <c r="C1202" s="2" t="s">
        <v>13413</v>
      </c>
      <c r="D1202" s="2" t="s">
        <v>13413</v>
      </c>
      <c r="E1202" s="2" t="s">
        <v>13414</v>
      </c>
      <c r="F1202" s="2" t="s">
        <v>13415</v>
      </c>
      <c r="G1202" s="2" t="s">
        <v>13416</v>
      </c>
      <c r="H1202" s="2" t="s">
        <v>13417</v>
      </c>
      <c r="I1202" s="2" t="s">
        <v>13418</v>
      </c>
      <c r="J1202" s="2" t="s">
        <v>13419</v>
      </c>
      <c r="K1202" s="2" t="s">
        <v>13418</v>
      </c>
      <c r="L1202" s="2" t="s">
        <v>13420</v>
      </c>
      <c r="M1202" s="2" t="s">
        <v>13421</v>
      </c>
      <c r="N1202" s="2" t="s">
        <v>13422</v>
      </c>
      <c r="O1202" s="2" t="s">
        <v>13423</v>
      </c>
      <c r="P1202" s="2" t="s">
        <v>13412</v>
      </c>
    </row>
    <row r="1203" spans="1:16">
      <c r="A1203" s="1">
        <v>1202</v>
      </c>
      <c r="B1203" s="2" t="s">
        <v>13424</v>
      </c>
      <c r="C1203" s="2" t="s">
        <v>13425</v>
      </c>
      <c r="D1203" s="2" t="s">
        <v>13425</v>
      </c>
      <c r="E1203" s="2" t="s">
        <v>13426</v>
      </c>
      <c r="F1203" s="2" t="s">
        <v>13427</v>
      </c>
      <c r="G1203" s="2" t="s">
        <v>13428</v>
      </c>
      <c r="H1203" s="2" t="s">
        <v>13429</v>
      </c>
      <c r="I1203" s="2" t="s">
        <v>13430</v>
      </c>
      <c r="J1203" s="2" t="s">
        <v>13431</v>
      </c>
      <c r="K1203" s="2" t="s">
        <v>13430</v>
      </c>
      <c r="L1203" s="2" t="s">
        <v>13432</v>
      </c>
      <c r="M1203" s="2" t="s">
        <v>13433</v>
      </c>
      <c r="N1203" s="2" t="s">
        <v>13434</v>
      </c>
      <c r="O1203" s="2" t="s">
        <v>13435</v>
      </c>
      <c r="P1203" s="2" t="s">
        <v>13424</v>
      </c>
    </row>
    <row r="1204" spans="1:16">
      <c r="A1204" s="1">
        <v>1203</v>
      </c>
      <c r="B1204" s="2" t="s">
        <v>13436</v>
      </c>
      <c r="C1204" s="2" t="s">
        <v>13437</v>
      </c>
      <c r="D1204" s="2" t="s">
        <v>13437</v>
      </c>
      <c r="E1204" s="2" t="s">
        <v>13438</v>
      </c>
      <c r="F1204" s="2" t="s">
        <v>13439</v>
      </c>
      <c r="G1204" s="2" t="s">
        <v>13440</v>
      </c>
      <c r="H1204" s="2" t="s">
        <v>13441</v>
      </c>
      <c r="I1204" s="2" t="s">
        <v>13442</v>
      </c>
      <c r="J1204" s="2" t="s">
        <v>13443</v>
      </c>
      <c r="K1204" s="2" t="s">
        <v>13442</v>
      </c>
      <c r="L1204" s="2" t="s">
        <v>13444</v>
      </c>
      <c r="M1204" s="2" t="s">
        <v>13445</v>
      </c>
      <c r="N1204" s="2" t="s">
        <v>13446</v>
      </c>
      <c r="O1204" s="2" t="s">
        <v>13447</v>
      </c>
      <c r="P1204" s="2" t="s">
        <v>13436</v>
      </c>
    </row>
    <row r="1205" spans="1:16">
      <c r="A1205" s="1">
        <v>1204</v>
      </c>
      <c r="B1205" s="2" t="s">
        <v>13448</v>
      </c>
      <c r="C1205" s="2" t="s">
        <v>13449</v>
      </c>
      <c r="D1205" s="2" t="s">
        <v>13449</v>
      </c>
      <c r="E1205" s="2" t="s">
        <v>13450</v>
      </c>
      <c r="F1205" s="2" t="s">
        <v>13451</v>
      </c>
      <c r="G1205" s="2" t="s">
        <v>13452</v>
      </c>
      <c r="H1205" s="2" t="s">
        <v>13453</v>
      </c>
      <c r="I1205" s="2" t="s">
        <v>13454</v>
      </c>
      <c r="J1205" s="2" t="s">
        <v>13455</v>
      </c>
      <c r="K1205" s="2" t="s">
        <v>13454</v>
      </c>
      <c r="L1205" s="2" t="s">
        <v>13456</v>
      </c>
      <c r="M1205" s="2" t="s">
        <v>13457</v>
      </c>
      <c r="N1205" s="2" t="s">
        <v>13458</v>
      </c>
      <c r="O1205" s="2" t="s">
        <v>13459</v>
      </c>
      <c r="P1205" s="2" t="s">
        <v>13448</v>
      </c>
    </row>
    <row r="1206" spans="1:16">
      <c r="A1206" s="1">
        <v>1205</v>
      </c>
      <c r="B1206" s="2" t="s">
        <v>13460</v>
      </c>
      <c r="C1206" s="2" t="s">
        <v>13461</v>
      </c>
      <c r="D1206" s="2" t="s">
        <v>13461</v>
      </c>
      <c r="E1206" s="2" t="s">
        <v>13462</v>
      </c>
      <c r="F1206" s="2" t="s">
        <v>13463</v>
      </c>
      <c r="G1206" s="2" t="s">
        <v>13464</v>
      </c>
      <c r="H1206" s="2" t="s">
        <v>13465</v>
      </c>
      <c r="I1206" s="2" t="s">
        <v>13466</v>
      </c>
      <c r="J1206" s="2" t="s">
        <v>13467</v>
      </c>
      <c r="K1206" s="2" t="s">
        <v>13466</v>
      </c>
      <c r="L1206" s="2" t="s">
        <v>13468</v>
      </c>
      <c r="M1206" s="2" t="s">
        <v>13469</v>
      </c>
      <c r="N1206" s="2" t="s">
        <v>13470</v>
      </c>
      <c r="O1206" s="2" t="s">
        <v>13471</v>
      </c>
      <c r="P1206" s="2" t="s">
        <v>13460</v>
      </c>
    </row>
    <row r="1207" spans="1:16">
      <c r="A1207" s="1">
        <v>1206</v>
      </c>
      <c r="B1207" s="2" t="s">
        <v>13472</v>
      </c>
      <c r="C1207" s="2" t="s">
        <v>13473</v>
      </c>
      <c r="D1207" s="2" t="s">
        <v>13473</v>
      </c>
      <c r="E1207" s="2" t="s">
        <v>13474</v>
      </c>
      <c r="F1207" s="2" t="s">
        <v>13475</v>
      </c>
      <c r="G1207" s="2" t="s">
        <v>13476</v>
      </c>
      <c r="H1207" s="2" t="s">
        <v>13477</v>
      </c>
      <c r="I1207" s="2" t="s">
        <v>13478</v>
      </c>
      <c r="J1207" s="2" t="s">
        <v>13479</v>
      </c>
      <c r="K1207" s="2" t="s">
        <v>13478</v>
      </c>
      <c r="L1207" s="2" t="s">
        <v>13480</v>
      </c>
      <c r="M1207" s="2" t="s">
        <v>13481</v>
      </c>
      <c r="N1207" s="2" t="s">
        <v>13482</v>
      </c>
      <c r="O1207" s="2" t="s">
        <v>13483</v>
      </c>
      <c r="P1207" s="2" t="s">
        <v>13472</v>
      </c>
    </row>
    <row r="1208" spans="1:16">
      <c r="A1208" s="1">
        <v>1207</v>
      </c>
      <c r="B1208" s="2" t="s">
        <v>13484</v>
      </c>
      <c r="C1208" s="2" t="s">
        <v>13485</v>
      </c>
      <c r="D1208" s="2" t="s">
        <v>13485</v>
      </c>
      <c r="E1208" s="2" t="s">
        <v>13486</v>
      </c>
      <c r="F1208" s="2" t="s">
        <v>13487</v>
      </c>
      <c r="G1208" s="2" t="s">
        <v>13488</v>
      </c>
      <c r="H1208" s="2" t="s">
        <v>13489</v>
      </c>
      <c r="I1208" s="2" t="s">
        <v>13490</v>
      </c>
      <c r="J1208" s="2" t="s">
        <v>13491</v>
      </c>
      <c r="K1208" s="2" t="s">
        <v>13490</v>
      </c>
      <c r="L1208" s="2" t="s">
        <v>13492</v>
      </c>
      <c r="M1208" s="2" t="s">
        <v>13493</v>
      </c>
      <c r="N1208" s="2" t="s">
        <v>13494</v>
      </c>
      <c r="O1208" s="2" t="s">
        <v>13495</v>
      </c>
      <c r="P1208" s="2" t="s">
        <v>13484</v>
      </c>
    </row>
    <row r="1209" spans="1:16">
      <c r="A1209" s="1">
        <v>1208</v>
      </c>
      <c r="B1209" s="2" t="s">
        <v>13496</v>
      </c>
      <c r="C1209" s="2" t="s">
        <v>13497</v>
      </c>
      <c r="D1209" s="2" t="s">
        <v>13497</v>
      </c>
      <c r="E1209" s="2" t="s">
        <v>13498</v>
      </c>
      <c r="F1209" s="2" t="s">
        <v>13499</v>
      </c>
      <c r="G1209" s="2" t="s">
        <v>13500</v>
      </c>
      <c r="H1209" s="2" t="s">
        <v>13501</v>
      </c>
      <c r="I1209" s="2" t="s">
        <v>13502</v>
      </c>
      <c r="J1209" s="2" t="s">
        <v>13503</v>
      </c>
      <c r="K1209" s="2" t="s">
        <v>13502</v>
      </c>
      <c r="L1209" s="2" t="s">
        <v>13504</v>
      </c>
      <c r="M1209" s="2" t="s">
        <v>13505</v>
      </c>
      <c r="N1209" s="2" t="s">
        <v>13506</v>
      </c>
      <c r="O1209" s="2" t="s">
        <v>13507</v>
      </c>
      <c r="P1209" s="2" t="s">
        <v>13496</v>
      </c>
    </row>
    <row r="1210" spans="1:16">
      <c r="A1210" s="1">
        <v>1209</v>
      </c>
      <c r="B1210" s="2" t="s">
        <v>13508</v>
      </c>
      <c r="C1210" s="2" t="s">
        <v>13509</v>
      </c>
      <c r="D1210" s="2" t="s">
        <v>13509</v>
      </c>
      <c r="E1210" s="2" t="s">
        <v>13510</v>
      </c>
      <c r="F1210" s="2" t="s">
        <v>13511</v>
      </c>
      <c r="G1210" s="2" t="s">
        <v>13512</v>
      </c>
      <c r="H1210" s="2" t="s">
        <v>13513</v>
      </c>
      <c r="I1210" s="2" t="s">
        <v>13514</v>
      </c>
      <c r="J1210" s="2" t="s">
        <v>13515</v>
      </c>
      <c r="K1210" s="2" t="s">
        <v>13514</v>
      </c>
      <c r="L1210" s="2" t="s">
        <v>13516</v>
      </c>
      <c r="M1210" s="2" t="s">
        <v>13517</v>
      </c>
      <c r="N1210" s="2" t="s">
        <v>13518</v>
      </c>
      <c r="O1210" s="2" t="s">
        <v>13519</v>
      </c>
      <c r="P1210" s="2" t="s">
        <v>13508</v>
      </c>
    </row>
    <row r="1211" spans="1:16">
      <c r="A1211" s="1">
        <v>1210</v>
      </c>
      <c r="B1211" s="2" t="s">
        <v>13520</v>
      </c>
      <c r="C1211" s="2" t="s">
        <v>13521</v>
      </c>
      <c r="D1211" s="2" t="s">
        <v>13521</v>
      </c>
      <c r="E1211" s="2" t="s">
        <v>13522</v>
      </c>
      <c r="F1211" s="2" t="s">
        <v>13523</v>
      </c>
      <c r="G1211" s="2" t="s">
        <v>13524</v>
      </c>
      <c r="H1211" s="2" t="s">
        <v>13525</v>
      </c>
      <c r="I1211" s="2" t="s">
        <v>13526</v>
      </c>
      <c r="J1211" s="2" t="s">
        <v>13527</v>
      </c>
      <c r="K1211" s="2" t="s">
        <v>13526</v>
      </c>
      <c r="L1211" s="2" t="s">
        <v>13528</v>
      </c>
      <c r="M1211" s="2" t="s">
        <v>13529</v>
      </c>
      <c r="N1211" s="2" t="s">
        <v>13530</v>
      </c>
      <c r="O1211" s="2" t="s">
        <v>13531</v>
      </c>
      <c r="P1211" s="2" t="s">
        <v>13520</v>
      </c>
    </row>
    <row r="1212" spans="1:16">
      <c r="A1212" s="1">
        <v>1211</v>
      </c>
      <c r="B1212" s="2" t="s">
        <v>13532</v>
      </c>
      <c r="C1212" s="2" t="s">
        <v>13533</v>
      </c>
      <c r="D1212" s="2" t="s">
        <v>13533</v>
      </c>
      <c r="E1212" s="2" t="s">
        <v>13534</v>
      </c>
      <c r="F1212" s="2" t="s">
        <v>13535</v>
      </c>
      <c r="G1212" s="2" t="s">
        <v>13536</v>
      </c>
      <c r="H1212" s="2" t="s">
        <v>13537</v>
      </c>
      <c r="I1212" s="2" t="s">
        <v>13538</v>
      </c>
      <c r="J1212" s="2" t="s">
        <v>13539</v>
      </c>
      <c r="K1212" s="2" t="s">
        <v>13538</v>
      </c>
      <c r="L1212" s="2" t="s">
        <v>13540</v>
      </c>
      <c r="M1212" s="2" t="s">
        <v>13541</v>
      </c>
      <c r="N1212" s="2" t="s">
        <v>13542</v>
      </c>
      <c r="O1212" s="2" t="s">
        <v>13543</v>
      </c>
      <c r="P1212" s="2" t="s">
        <v>13532</v>
      </c>
    </row>
    <row r="1213" spans="1:16">
      <c r="A1213" s="1">
        <v>1212</v>
      </c>
      <c r="B1213" s="2" t="s">
        <v>13544</v>
      </c>
      <c r="C1213" s="2" t="s">
        <v>13545</v>
      </c>
      <c r="D1213" s="2" t="s">
        <v>13545</v>
      </c>
      <c r="E1213" s="2" t="s">
        <v>13546</v>
      </c>
      <c r="F1213" s="2" t="s">
        <v>13547</v>
      </c>
      <c r="G1213" s="2" t="s">
        <v>13548</v>
      </c>
      <c r="H1213" s="2" t="s">
        <v>13549</v>
      </c>
      <c r="I1213" s="2" t="s">
        <v>13550</v>
      </c>
      <c r="J1213" s="2" t="s">
        <v>13551</v>
      </c>
      <c r="K1213" s="2" t="s">
        <v>13550</v>
      </c>
      <c r="L1213" s="2" t="s">
        <v>13552</v>
      </c>
      <c r="M1213" s="2" t="s">
        <v>13553</v>
      </c>
      <c r="N1213" s="2" t="s">
        <v>13554</v>
      </c>
      <c r="O1213" s="2" t="s">
        <v>13555</v>
      </c>
      <c r="P1213" s="2" t="s">
        <v>13544</v>
      </c>
    </row>
    <row r="1214" spans="1:16">
      <c r="A1214" s="1">
        <v>1213</v>
      </c>
      <c r="B1214" s="2" t="s">
        <v>13556</v>
      </c>
      <c r="C1214" s="2" t="s">
        <v>13557</v>
      </c>
      <c r="D1214" s="2" t="s">
        <v>13557</v>
      </c>
      <c r="E1214" s="2" t="s">
        <v>13558</v>
      </c>
      <c r="F1214" s="2" t="s">
        <v>13559</v>
      </c>
      <c r="G1214" s="2" t="s">
        <v>13560</v>
      </c>
      <c r="H1214" s="2" t="s">
        <v>13561</v>
      </c>
      <c r="I1214" s="2" t="s">
        <v>13562</v>
      </c>
      <c r="J1214" s="2" t="s">
        <v>13563</v>
      </c>
      <c r="K1214" s="2" t="s">
        <v>13562</v>
      </c>
      <c r="L1214" s="2" t="s">
        <v>13564</v>
      </c>
      <c r="M1214" s="2" t="s">
        <v>13565</v>
      </c>
      <c r="N1214" s="2" t="s">
        <v>13566</v>
      </c>
      <c r="O1214" s="2" t="s">
        <v>13567</v>
      </c>
      <c r="P1214" s="2" t="s">
        <v>13556</v>
      </c>
    </row>
    <row r="1215" spans="1:16">
      <c r="A1215" s="1">
        <v>1214</v>
      </c>
      <c r="B1215" s="2" t="s">
        <v>13568</v>
      </c>
      <c r="C1215" s="2" t="s">
        <v>13569</v>
      </c>
      <c r="D1215" s="2" t="s">
        <v>13569</v>
      </c>
      <c r="E1215" s="2" t="s">
        <v>13570</v>
      </c>
      <c r="F1215" s="2" t="s">
        <v>13571</v>
      </c>
      <c r="G1215" s="2" t="s">
        <v>13572</v>
      </c>
      <c r="H1215" s="2" t="s">
        <v>13573</v>
      </c>
      <c r="I1215" s="2" t="s">
        <v>13574</v>
      </c>
      <c r="J1215" s="2" t="s">
        <v>13575</v>
      </c>
      <c r="K1215" s="2" t="s">
        <v>13574</v>
      </c>
      <c r="L1215" s="2" t="s">
        <v>13576</v>
      </c>
      <c r="M1215" s="2" t="s">
        <v>13577</v>
      </c>
      <c r="N1215" s="2" t="s">
        <v>13578</v>
      </c>
      <c r="O1215" s="2" t="s">
        <v>13579</v>
      </c>
      <c r="P1215" s="2" t="s">
        <v>13568</v>
      </c>
    </row>
    <row r="1216" spans="1:16">
      <c r="A1216" s="1">
        <v>1215</v>
      </c>
      <c r="B1216" s="2" t="s">
        <v>13580</v>
      </c>
      <c r="C1216" s="2" t="s">
        <v>13581</v>
      </c>
      <c r="D1216" s="2" t="s">
        <v>13581</v>
      </c>
      <c r="E1216" s="2" t="s">
        <v>13582</v>
      </c>
      <c r="F1216" s="2" t="s">
        <v>13583</v>
      </c>
      <c r="G1216" s="2" t="s">
        <v>13584</v>
      </c>
      <c r="H1216" s="2" t="s">
        <v>13585</v>
      </c>
      <c r="I1216" s="2" t="s">
        <v>13586</v>
      </c>
      <c r="J1216" s="2" t="s">
        <v>13587</v>
      </c>
      <c r="K1216" s="2" t="s">
        <v>13586</v>
      </c>
      <c r="L1216" s="2" t="s">
        <v>13588</v>
      </c>
      <c r="M1216" s="2" t="s">
        <v>13589</v>
      </c>
      <c r="N1216" s="2" t="s">
        <v>13590</v>
      </c>
      <c r="O1216" s="2" t="s">
        <v>13591</v>
      </c>
      <c r="P1216" s="2" t="s">
        <v>13580</v>
      </c>
    </row>
    <row r="1217" spans="1:16">
      <c r="A1217" s="1">
        <v>1216</v>
      </c>
      <c r="B1217" s="2" t="s">
        <v>13592</v>
      </c>
      <c r="C1217" s="2" t="s">
        <v>13593</v>
      </c>
      <c r="D1217" s="2" t="s">
        <v>13593</v>
      </c>
      <c r="E1217" s="2" t="s">
        <v>13594</v>
      </c>
      <c r="F1217" s="2" t="s">
        <v>13595</v>
      </c>
      <c r="G1217" s="2" t="s">
        <v>13596</v>
      </c>
      <c r="H1217" s="2" t="s">
        <v>13597</v>
      </c>
      <c r="I1217" s="2" t="s">
        <v>13598</v>
      </c>
      <c r="J1217" s="2" t="s">
        <v>13599</v>
      </c>
      <c r="K1217" s="2" t="s">
        <v>13598</v>
      </c>
      <c r="L1217" s="2" t="s">
        <v>13600</v>
      </c>
      <c r="M1217" s="2" t="s">
        <v>13601</v>
      </c>
      <c r="N1217" s="2" t="s">
        <v>13602</v>
      </c>
      <c r="O1217" s="2" t="s">
        <v>13603</v>
      </c>
      <c r="P1217" s="2" t="s">
        <v>13592</v>
      </c>
    </row>
    <row r="1218" spans="1:16">
      <c r="A1218" s="1">
        <v>1217</v>
      </c>
      <c r="B1218" s="2" t="s">
        <v>13604</v>
      </c>
      <c r="C1218" s="2" t="s">
        <v>13605</v>
      </c>
      <c r="D1218" s="2" t="s">
        <v>13605</v>
      </c>
      <c r="E1218" s="2" t="s">
        <v>13606</v>
      </c>
      <c r="F1218" s="2" t="s">
        <v>13607</v>
      </c>
      <c r="G1218" s="2" t="s">
        <v>13608</v>
      </c>
      <c r="H1218" s="2" t="s">
        <v>13609</v>
      </c>
      <c r="I1218" s="2" t="s">
        <v>13610</v>
      </c>
      <c r="J1218" s="2" t="s">
        <v>13611</v>
      </c>
      <c r="K1218" s="2" t="s">
        <v>13610</v>
      </c>
      <c r="L1218" s="2" t="s">
        <v>13612</v>
      </c>
      <c r="M1218" s="2" t="s">
        <v>13613</v>
      </c>
      <c r="N1218" s="2" t="s">
        <v>13614</v>
      </c>
      <c r="O1218" s="2" t="s">
        <v>13615</v>
      </c>
      <c r="P1218" s="2" t="s">
        <v>13604</v>
      </c>
    </row>
    <row r="1219" spans="1:16">
      <c r="A1219" s="1">
        <v>1218</v>
      </c>
      <c r="B1219" s="2" t="s">
        <v>13616</v>
      </c>
      <c r="C1219" s="2" t="s">
        <v>13617</v>
      </c>
      <c r="D1219" s="2" t="s">
        <v>13617</v>
      </c>
      <c r="E1219" s="2" t="s">
        <v>13618</v>
      </c>
      <c r="F1219" s="2" t="s">
        <v>13619</v>
      </c>
      <c r="G1219" s="2" t="s">
        <v>13620</v>
      </c>
      <c r="H1219" s="2" t="s">
        <v>13621</v>
      </c>
      <c r="I1219" s="2" t="s">
        <v>13622</v>
      </c>
      <c r="J1219" s="2" t="s">
        <v>13623</v>
      </c>
      <c r="K1219" s="2" t="s">
        <v>13622</v>
      </c>
      <c r="L1219" s="2" t="s">
        <v>13624</v>
      </c>
      <c r="M1219" s="2" t="s">
        <v>13625</v>
      </c>
      <c r="N1219" s="2" t="s">
        <v>13626</v>
      </c>
      <c r="O1219" s="2" t="s">
        <v>13627</v>
      </c>
      <c r="P1219" s="2" t="s">
        <v>13616</v>
      </c>
    </row>
    <row r="1220" spans="1:16">
      <c r="A1220" s="1">
        <v>1219</v>
      </c>
      <c r="B1220" s="2" t="s">
        <v>13628</v>
      </c>
      <c r="C1220" s="2" t="s">
        <v>13629</v>
      </c>
      <c r="D1220" s="2" t="s">
        <v>13629</v>
      </c>
      <c r="E1220" s="2" t="s">
        <v>13630</v>
      </c>
      <c r="F1220" s="2" t="s">
        <v>13631</v>
      </c>
      <c r="G1220" s="2" t="s">
        <v>13632</v>
      </c>
      <c r="H1220" s="2" t="s">
        <v>13633</v>
      </c>
      <c r="I1220" s="2" t="s">
        <v>13634</v>
      </c>
      <c r="J1220" s="2" t="s">
        <v>13635</v>
      </c>
      <c r="K1220" s="2" t="s">
        <v>13634</v>
      </c>
      <c r="L1220" s="2" t="s">
        <v>13636</v>
      </c>
      <c r="M1220" s="2" t="s">
        <v>13637</v>
      </c>
      <c r="N1220" s="2" t="s">
        <v>13638</v>
      </c>
      <c r="O1220" s="2" t="s">
        <v>13639</v>
      </c>
      <c r="P1220" s="2" t="s">
        <v>13628</v>
      </c>
    </row>
    <row r="1221" spans="1:16">
      <c r="A1221" s="1">
        <v>1220</v>
      </c>
      <c r="B1221" s="2" t="s">
        <v>13640</v>
      </c>
      <c r="C1221" s="2" t="s">
        <v>13641</v>
      </c>
      <c r="D1221" s="2" t="s">
        <v>13641</v>
      </c>
      <c r="E1221" s="2" t="s">
        <v>13642</v>
      </c>
      <c r="F1221" s="2" t="s">
        <v>13643</v>
      </c>
      <c r="G1221" s="2" t="s">
        <v>13644</v>
      </c>
      <c r="H1221" s="2" t="s">
        <v>13645</v>
      </c>
      <c r="I1221" s="2" t="s">
        <v>13646</v>
      </c>
      <c r="J1221" s="2" t="s">
        <v>13647</v>
      </c>
      <c r="K1221" s="2" t="s">
        <v>13646</v>
      </c>
      <c r="L1221" s="2" t="s">
        <v>13648</v>
      </c>
      <c r="M1221" s="2" t="s">
        <v>13649</v>
      </c>
      <c r="N1221" s="2" t="s">
        <v>13650</v>
      </c>
      <c r="O1221" s="2" t="s">
        <v>13651</v>
      </c>
      <c r="P1221" s="2" t="s">
        <v>13640</v>
      </c>
    </row>
    <row r="1222" spans="1:16">
      <c r="A1222" s="1">
        <v>1221</v>
      </c>
      <c r="B1222" s="2" t="s">
        <v>13652</v>
      </c>
      <c r="C1222" s="2" t="s">
        <v>13653</v>
      </c>
      <c r="D1222" s="2" t="s">
        <v>13653</v>
      </c>
      <c r="E1222" s="2" t="s">
        <v>13654</v>
      </c>
      <c r="F1222" s="2" t="s">
        <v>13655</v>
      </c>
      <c r="G1222" s="2" t="s">
        <v>13656</v>
      </c>
      <c r="H1222" s="2" t="s">
        <v>13657</v>
      </c>
      <c r="I1222" s="2" t="s">
        <v>13658</v>
      </c>
      <c r="J1222" s="2" t="s">
        <v>13659</v>
      </c>
      <c r="K1222" s="2" t="s">
        <v>13658</v>
      </c>
      <c r="L1222" s="2" t="s">
        <v>13660</v>
      </c>
      <c r="M1222" s="2" t="s">
        <v>13661</v>
      </c>
      <c r="N1222" s="2" t="s">
        <v>13662</v>
      </c>
      <c r="O1222" s="2" t="s">
        <v>13663</v>
      </c>
      <c r="P1222" s="2" t="s">
        <v>13652</v>
      </c>
    </row>
    <row r="1223" spans="1:16">
      <c r="A1223" s="1">
        <v>1222</v>
      </c>
      <c r="B1223" s="2" t="s">
        <v>13664</v>
      </c>
      <c r="C1223" s="2" t="s">
        <v>13665</v>
      </c>
      <c r="D1223" s="2" t="s">
        <v>13665</v>
      </c>
      <c r="E1223" s="2" t="s">
        <v>13666</v>
      </c>
      <c r="F1223" s="2" t="s">
        <v>13667</v>
      </c>
      <c r="G1223" s="2" t="s">
        <v>13668</v>
      </c>
      <c r="H1223" s="2" t="s">
        <v>13669</v>
      </c>
      <c r="I1223" s="2" t="s">
        <v>13670</v>
      </c>
      <c r="J1223" s="2" t="s">
        <v>13671</v>
      </c>
      <c r="K1223" s="2" t="s">
        <v>13670</v>
      </c>
      <c r="L1223" s="2" t="s">
        <v>13672</v>
      </c>
      <c r="M1223" s="2" t="s">
        <v>13673</v>
      </c>
      <c r="N1223" s="2" t="s">
        <v>13674</v>
      </c>
      <c r="O1223" s="2" t="s">
        <v>13675</v>
      </c>
      <c r="P1223" s="2" t="s">
        <v>13664</v>
      </c>
    </row>
    <row r="1224" spans="1:16">
      <c r="A1224" s="1">
        <v>1223</v>
      </c>
      <c r="B1224" s="2" t="s">
        <v>13676</v>
      </c>
      <c r="C1224" s="2" t="s">
        <v>13677</v>
      </c>
      <c r="D1224" s="2" t="s">
        <v>13677</v>
      </c>
      <c r="E1224" s="2" t="s">
        <v>13678</v>
      </c>
      <c r="F1224" s="2" t="s">
        <v>13679</v>
      </c>
      <c r="G1224" s="2" t="s">
        <v>13680</v>
      </c>
      <c r="H1224" s="2" t="s">
        <v>13681</v>
      </c>
      <c r="I1224" s="2" t="s">
        <v>13682</v>
      </c>
      <c r="J1224" s="2" t="s">
        <v>13683</v>
      </c>
      <c r="K1224" s="2" t="s">
        <v>13682</v>
      </c>
      <c r="L1224" s="2" t="s">
        <v>13684</v>
      </c>
      <c r="M1224" s="2" t="s">
        <v>13685</v>
      </c>
      <c r="N1224" s="2" t="s">
        <v>13686</v>
      </c>
      <c r="O1224" s="2" t="s">
        <v>13687</v>
      </c>
      <c r="P1224" s="2" t="s">
        <v>13676</v>
      </c>
    </row>
    <row r="1225" spans="1:16">
      <c r="A1225" s="1">
        <v>1224</v>
      </c>
      <c r="B1225" s="2" t="s">
        <v>13688</v>
      </c>
      <c r="C1225" s="2" t="s">
        <v>13689</v>
      </c>
      <c r="D1225" s="2" t="s">
        <v>13689</v>
      </c>
      <c r="E1225" s="2" t="s">
        <v>13690</v>
      </c>
      <c r="F1225" s="2" t="s">
        <v>13691</v>
      </c>
      <c r="G1225" s="2" t="s">
        <v>13692</v>
      </c>
      <c r="H1225" s="2" t="s">
        <v>13693</v>
      </c>
      <c r="I1225" s="2" t="s">
        <v>13694</v>
      </c>
      <c r="J1225" s="2" t="s">
        <v>13695</v>
      </c>
      <c r="K1225" s="2" t="s">
        <v>13694</v>
      </c>
      <c r="L1225" s="2" t="s">
        <v>13696</v>
      </c>
      <c r="M1225" s="2" t="s">
        <v>13697</v>
      </c>
      <c r="N1225" s="2" t="s">
        <v>13698</v>
      </c>
      <c r="O1225" s="2" t="s">
        <v>13699</v>
      </c>
      <c r="P1225" s="2" t="s">
        <v>13688</v>
      </c>
    </row>
    <row r="1226" spans="1:16">
      <c r="A1226" s="1">
        <v>1225</v>
      </c>
      <c r="B1226" s="2" t="s">
        <v>13700</v>
      </c>
      <c r="C1226" s="2" t="s">
        <v>13701</v>
      </c>
      <c r="D1226" s="2" t="s">
        <v>13701</v>
      </c>
      <c r="E1226" s="2" t="s">
        <v>13702</v>
      </c>
      <c r="F1226" s="2" t="s">
        <v>13703</v>
      </c>
      <c r="G1226" s="2" t="s">
        <v>13704</v>
      </c>
      <c r="H1226" s="2" t="s">
        <v>13705</v>
      </c>
      <c r="I1226" s="2" t="s">
        <v>13706</v>
      </c>
      <c r="J1226" s="2" t="s">
        <v>13707</v>
      </c>
      <c r="K1226" s="2" t="s">
        <v>13706</v>
      </c>
      <c r="L1226" s="2" t="s">
        <v>13708</v>
      </c>
      <c r="M1226" s="2" t="s">
        <v>13709</v>
      </c>
      <c r="N1226" s="2" t="s">
        <v>13710</v>
      </c>
      <c r="O1226" s="2" t="s">
        <v>13711</v>
      </c>
      <c r="P1226" s="2" t="s">
        <v>13700</v>
      </c>
    </row>
    <row r="1227" spans="1:16">
      <c r="A1227" s="1">
        <v>1226</v>
      </c>
      <c r="B1227" s="2" t="s">
        <v>13712</v>
      </c>
      <c r="C1227" s="2" t="s">
        <v>13713</v>
      </c>
      <c r="D1227" s="2" t="s">
        <v>13713</v>
      </c>
      <c r="E1227" s="2" t="s">
        <v>13714</v>
      </c>
      <c r="F1227" s="2" t="s">
        <v>13715</v>
      </c>
      <c r="G1227" s="2" t="s">
        <v>13716</v>
      </c>
      <c r="H1227" s="2" t="s">
        <v>13717</v>
      </c>
      <c r="I1227" s="2" t="s">
        <v>13718</v>
      </c>
      <c r="J1227" s="2" t="s">
        <v>13719</v>
      </c>
      <c r="K1227" s="2" t="s">
        <v>13718</v>
      </c>
      <c r="L1227" s="2" t="s">
        <v>13720</v>
      </c>
      <c r="M1227" s="2" t="s">
        <v>13721</v>
      </c>
      <c r="N1227" s="2" t="s">
        <v>13722</v>
      </c>
      <c r="O1227" s="2" t="s">
        <v>13723</v>
      </c>
      <c r="P1227" s="2" t="s">
        <v>13712</v>
      </c>
    </row>
    <row r="1228" spans="1:16">
      <c r="A1228" s="1">
        <v>1227</v>
      </c>
      <c r="B1228" s="2" t="s">
        <v>13724</v>
      </c>
      <c r="C1228" s="2" t="s">
        <v>13725</v>
      </c>
      <c r="D1228" s="2" t="s">
        <v>13725</v>
      </c>
      <c r="E1228" s="2" t="s">
        <v>13726</v>
      </c>
      <c r="F1228" s="2" t="s">
        <v>13727</v>
      </c>
      <c r="G1228" s="2" t="s">
        <v>13728</v>
      </c>
      <c r="H1228" s="2" t="s">
        <v>13729</v>
      </c>
      <c r="I1228" s="2" t="s">
        <v>13730</v>
      </c>
      <c r="J1228" s="2" t="s">
        <v>13731</v>
      </c>
      <c r="K1228" s="2" t="s">
        <v>13730</v>
      </c>
      <c r="L1228" s="2" t="s">
        <v>13732</v>
      </c>
      <c r="M1228" s="2" t="s">
        <v>13733</v>
      </c>
      <c r="N1228" s="2" t="s">
        <v>13734</v>
      </c>
      <c r="O1228" s="2" t="s">
        <v>13735</v>
      </c>
      <c r="P1228" s="2" t="s">
        <v>13724</v>
      </c>
    </row>
    <row r="1229" spans="1:16">
      <c r="A1229" s="1">
        <v>1228</v>
      </c>
      <c r="B1229" s="2" t="s">
        <v>13736</v>
      </c>
      <c r="C1229" s="2" t="s">
        <v>13737</v>
      </c>
      <c r="D1229" s="2" t="s">
        <v>13737</v>
      </c>
      <c r="E1229" s="2" t="s">
        <v>13738</v>
      </c>
      <c r="F1229" s="2" t="s">
        <v>13739</v>
      </c>
      <c r="G1229" s="2" t="s">
        <v>13740</v>
      </c>
      <c r="H1229" s="2" t="s">
        <v>13741</v>
      </c>
      <c r="I1229" s="2" t="s">
        <v>13742</v>
      </c>
      <c r="J1229" s="2" t="s">
        <v>13743</v>
      </c>
      <c r="K1229" s="2" t="s">
        <v>13742</v>
      </c>
      <c r="L1229" s="2" t="s">
        <v>13744</v>
      </c>
      <c r="M1229" s="2" t="s">
        <v>13745</v>
      </c>
      <c r="N1229" s="2" t="s">
        <v>13746</v>
      </c>
      <c r="O1229" s="2" t="s">
        <v>13747</v>
      </c>
      <c r="P1229" s="2" t="s">
        <v>13736</v>
      </c>
    </row>
    <row r="1230" spans="1:16">
      <c r="A1230" s="1">
        <v>1229</v>
      </c>
      <c r="B1230" s="2" t="s">
        <v>13748</v>
      </c>
      <c r="C1230" s="2" t="s">
        <v>13749</v>
      </c>
      <c r="D1230" s="2" t="s">
        <v>13749</v>
      </c>
      <c r="E1230" s="2" t="s">
        <v>13750</v>
      </c>
      <c r="F1230" s="2" t="s">
        <v>13751</v>
      </c>
      <c r="G1230" s="2" t="s">
        <v>13752</v>
      </c>
      <c r="H1230" s="2" t="s">
        <v>13753</v>
      </c>
      <c r="I1230" s="2" t="s">
        <v>13754</v>
      </c>
      <c r="J1230" s="2" t="s">
        <v>13755</v>
      </c>
      <c r="K1230" s="2" t="s">
        <v>13754</v>
      </c>
      <c r="L1230" s="2" t="s">
        <v>13756</v>
      </c>
      <c r="M1230" s="2" t="s">
        <v>13757</v>
      </c>
      <c r="N1230" s="2" t="s">
        <v>13758</v>
      </c>
      <c r="O1230" s="2" t="s">
        <v>13759</v>
      </c>
      <c r="P1230" s="2" t="s">
        <v>13748</v>
      </c>
    </row>
    <row r="1231" spans="1:16">
      <c r="A1231" s="1">
        <v>1230</v>
      </c>
      <c r="B1231" s="2" t="s">
        <v>13760</v>
      </c>
      <c r="C1231" s="2" t="s">
        <v>13761</v>
      </c>
      <c r="D1231" s="2" t="s">
        <v>13761</v>
      </c>
      <c r="E1231" s="2" t="s">
        <v>13762</v>
      </c>
      <c r="F1231" s="2" t="s">
        <v>13763</v>
      </c>
      <c r="G1231" s="2" t="s">
        <v>13764</v>
      </c>
      <c r="H1231" s="2" t="s">
        <v>13765</v>
      </c>
      <c r="I1231" s="2" t="s">
        <v>13766</v>
      </c>
      <c r="J1231" s="2" t="s">
        <v>13767</v>
      </c>
      <c r="K1231" s="2" t="s">
        <v>13766</v>
      </c>
      <c r="L1231" s="2" t="s">
        <v>13768</v>
      </c>
      <c r="M1231" s="2" t="s">
        <v>13769</v>
      </c>
      <c r="N1231" s="2" t="s">
        <v>13770</v>
      </c>
      <c r="O1231" s="2" t="s">
        <v>13771</v>
      </c>
      <c r="P1231" s="2" t="s">
        <v>13760</v>
      </c>
    </row>
    <row r="1232" spans="1:16">
      <c r="A1232" s="1">
        <v>1231</v>
      </c>
      <c r="B1232" s="2" t="s">
        <v>13772</v>
      </c>
      <c r="C1232" s="2" t="s">
        <v>13773</v>
      </c>
      <c r="D1232" s="2" t="s">
        <v>13773</v>
      </c>
      <c r="E1232" s="2" t="s">
        <v>13774</v>
      </c>
      <c r="F1232" s="2" t="s">
        <v>13775</v>
      </c>
      <c r="G1232" s="2" t="s">
        <v>13776</v>
      </c>
      <c r="H1232" s="2" t="s">
        <v>13777</v>
      </c>
      <c r="I1232" s="2" t="s">
        <v>13778</v>
      </c>
      <c r="J1232" s="2" t="s">
        <v>13779</v>
      </c>
      <c r="K1232" s="2" t="s">
        <v>13778</v>
      </c>
      <c r="L1232" s="2" t="s">
        <v>13780</v>
      </c>
      <c r="M1232" s="2" t="s">
        <v>13781</v>
      </c>
      <c r="N1232" s="2" t="s">
        <v>13782</v>
      </c>
      <c r="O1232" s="2" t="s">
        <v>13783</v>
      </c>
      <c r="P1232" s="2" t="s">
        <v>13772</v>
      </c>
    </row>
    <row r="1233" spans="1:16">
      <c r="A1233" s="1">
        <v>1232</v>
      </c>
      <c r="B1233" s="2" t="s">
        <v>13784</v>
      </c>
      <c r="C1233" s="2" t="s">
        <v>13785</v>
      </c>
      <c r="D1233" s="2" t="s">
        <v>13785</v>
      </c>
      <c r="E1233" s="2" t="s">
        <v>13786</v>
      </c>
      <c r="F1233" s="2" t="s">
        <v>13787</v>
      </c>
      <c r="G1233" s="2" t="s">
        <v>13788</v>
      </c>
      <c r="H1233" s="2" t="s">
        <v>13789</v>
      </c>
      <c r="I1233" s="2" t="s">
        <v>13790</v>
      </c>
      <c r="J1233" s="2" t="s">
        <v>13791</v>
      </c>
      <c r="K1233" s="2" t="s">
        <v>13790</v>
      </c>
      <c r="L1233" s="2" t="s">
        <v>13792</v>
      </c>
      <c r="M1233" s="2" t="s">
        <v>13793</v>
      </c>
      <c r="N1233" s="2" t="s">
        <v>13794</v>
      </c>
      <c r="O1233" s="2" t="s">
        <v>13795</v>
      </c>
      <c r="P1233" s="2" t="s">
        <v>13784</v>
      </c>
    </row>
    <row r="1234" spans="1:16">
      <c r="A1234" s="1">
        <v>1233</v>
      </c>
      <c r="B1234" s="2" t="s">
        <v>13796</v>
      </c>
      <c r="C1234" s="2" t="s">
        <v>13797</v>
      </c>
      <c r="D1234" s="2" t="s">
        <v>13797</v>
      </c>
      <c r="E1234" s="2" t="s">
        <v>13798</v>
      </c>
      <c r="F1234" s="2" t="s">
        <v>13799</v>
      </c>
      <c r="G1234" s="2" t="s">
        <v>13800</v>
      </c>
      <c r="H1234" s="2" t="s">
        <v>13801</v>
      </c>
      <c r="I1234" s="2" t="s">
        <v>13802</v>
      </c>
      <c r="J1234" s="2" t="s">
        <v>13803</v>
      </c>
      <c r="K1234" s="2" t="s">
        <v>13802</v>
      </c>
      <c r="L1234" s="2" t="s">
        <v>13804</v>
      </c>
      <c r="M1234" s="2" t="s">
        <v>13805</v>
      </c>
      <c r="N1234" s="2" t="s">
        <v>13806</v>
      </c>
      <c r="O1234" s="2" t="s">
        <v>13807</v>
      </c>
      <c r="P1234" s="2" t="s">
        <v>13796</v>
      </c>
    </row>
    <row r="1235" spans="1:16">
      <c r="A1235" s="1">
        <v>1234</v>
      </c>
      <c r="B1235" s="2" t="s">
        <v>13808</v>
      </c>
      <c r="C1235" s="2" t="s">
        <v>13809</v>
      </c>
      <c r="D1235" s="2" t="s">
        <v>13809</v>
      </c>
      <c r="E1235" s="2" t="s">
        <v>13810</v>
      </c>
      <c r="F1235" s="2" t="s">
        <v>13811</v>
      </c>
      <c r="G1235" s="2" t="s">
        <v>13812</v>
      </c>
      <c r="H1235" s="2" t="s">
        <v>13813</v>
      </c>
      <c r="I1235" s="2" t="s">
        <v>13814</v>
      </c>
      <c r="J1235" s="2" t="s">
        <v>13815</v>
      </c>
      <c r="K1235" s="2" t="s">
        <v>13814</v>
      </c>
      <c r="L1235" s="2" t="s">
        <v>13816</v>
      </c>
      <c r="M1235" s="2" t="s">
        <v>13817</v>
      </c>
      <c r="N1235" s="2" t="s">
        <v>13818</v>
      </c>
      <c r="O1235" s="2" t="s">
        <v>13819</v>
      </c>
      <c r="P1235" s="2" t="s">
        <v>13808</v>
      </c>
    </row>
    <row r="1236" spans="1:16">
      <c r="A1236" s="1">
        <v>1235</v>
      </c>
      <c r="B1236" s="2" t="s">
        <v>13820</v>
      </c>
      <c r="C1236" s="2" t="s">
        <v>13821</v>
      </c>
      <c r="D1236" s="2" t="s">
        <v>13821</v>
      </c>
      <c r="E1236" s="2" t="s">
        <v>13822</v>
      </c>
      <c r="F1236" s="2" t="s">
        <v>13823</v>
      </c>
      <c r="G1236" s="2" t="s">
        <v>13824</v>
      </c>
      <c r="H1236" s="2" t="s">
        <v>13825</v>
      </c>
      <c r="I1236" s="2" t="s">
        <v>13826</v>
      </c>
      <c r="J1236" s="2" t="s">
        <v>13827</v>
      </c>
      <c r="K1236" s="2" t="s">
        <v>13826</v>
      </c>
      <c r="L1236" s="2" t="s">
        <v>13828</v>
      </c>
      <c r="M1236" s="2" t="s">
        <v>13829</v>
      </c>
      <c r="N1236" s="2" t="s">
        <v>13830</v>
      </c>
      <c r="O1236" s="2" t="s">
        <v>13831</v>
      </c>
      <c r="P1236" s="2" t="s">
        <v>13820</v>
      </c>
    </row>
    <row r="1237" spans="1:16">
      <c r="A1237" s="1">
        <v>1236</v>
      </c>
      <c r="B1237" s="2" t="s">
        <v>13832</v>
      </c>
      <c r="C1237" s="2" t="s">
        <v>13833</v>
      </c>
      <c r="D1237" s="2" t="s">
        <v>13833</v>
      </c>
      <c r="E1237" s="2" t="s">
        <v>13834</v>
      </c>
      <c r="F1237" s="2" t="s">
        <v>13835</v>
      </c>
      <c r="G1237" s="2" t="s">
        <v>13836</v>
      </c>
      <c r="H1237" s="2" t="s">
        <v>13837</v>
      </c>
      <c r="I1237" s="2" t="s">
        <v>13838</v>
      </c>
      <c r="J1237" s="2" t="s">
        <v>13839</v>
      </c>
      <c r="K1237" s="2" t="s">
        <v>13838</v>
      </c>
      <c r="L1237" s="2" t="s">
        <v>13840</v>
      </c>
      <c r="M1237" s="2" t="s">
        <v>13841</v>
      </c>
      <c r="N1237" s="2" t="s">
        <v>13842</v>
      </c>
      <c r="O1237" s="2" t="s">
        <v>13843</v>
      </c>
      <c r="P1237" s="2" t="s">
        <v>13832</v>
      </c>
    </row>
    <row r="1238" spans="1:16">
      <c r="A1238" s="1">
        <v>1237</v>
      </c>
      <c r="B1238" s="2" t="s">
        <v>13844</v>
      </c>
      <c r="C1238" s="2" t="s">
        <v>13845</v>
      </c>
      <c r="D1238" s="2" t="s">
        <v>13845</v>
      </c>
      <c r="E1238" s="2" t="s">
        <v>13846</v>
      </c>
      <c r="F1238" s="2" t="s">
        <v>13847</v>
      </c>
      <c r="G1238" s="2" t="s">
        <v>13848</v>
      </c>
      <c r="H1238" s="2" t="s">
        <v>13849</v>
      </c>
      <c r="I1238" s="2" t="s">
        <v>13850</v>
      </c>
      <c r="J1238" s="2" t="s">
        <v>13851</v>
      </c>
      <c r="K1238" s="2" t="s">
        <v>13850</v>
      </c>
      <c r="L1238" s="2" t="s">
        <v>13852</v>
      </c>
      <c r="M1238" s="2" t="s">
        <v>13853</v>
      </c>
      <c r="N1238" s="2" t="s">
        <v>13854</v>
      </c>
      <c r="O1238" s="2" t="s">
        <v>13855</v>
      </c>
      <c r="P1238" s="2" t="s">
        <v>13844</v>
      </c>
    </row>
    <row r="1239" spans="1:16">
      <c r="A1239" s="1">
        <v>1238</v>
      </c>
      <c r="B1239" s="2" t="s">
        <v>13856</v>
      </c>
      <c r="C1239" s="2" t="s">
        <v>13857</v>
      </c>
      <c r="D1239" s="2" t="s">
        <v>13857</v>
      </c>
      <c r="E1239" s="2" t="s">
        <v>13858</v>
      </c>
      <c r="F1239" s="2" t="s">
        <v>13859</v>
      </c>
      <c r="G1239" s="2" t="s">
        <v>13860</v>
      </c>
      <c r="H1239" s="2" t="s">
        <v>13861</v>
      </c>
      <c r="I1239" s="2" t="s">
        <v>13862</v>
      </c>
      <c r="J1239" s="2" t="s">
        <v>13863</v>
      </c>
      <c r="K1239" s="2" t="s">
        <v>13862</v>
      </c>
      <c r="L1239" s="2" t="s">
        <v>13864</v>
      </c>
      <c r="M1239" s="2" t="s">
        <v>13865</v>
      </c>
      <c r="N1239" s="2" t="s">
        <v>13866</v>
      </c>
      <c r="O1239" s="2" t="s">
        <v>13867</v>
      </c>
      <c r="P1239" s="2" t="s">
        <v>13856</v>
      </c>
    </row>
    <row r="1240" spans="1:16">
      <c r="A1240" s="1">
        <v>1239</v>
      </c>
      <c r="B1240" s="2" t="s">
        <v>13868</v>
      </c>
      <c r="C1240" s="2" t="s">
        <v>13869</v>
      </c>
      <c r="D1240" s="2" t="s">
        <v>13869</v>
      </c>
      <c r="E1240" s="2" t="s">
        <v>13870</v>
      </c>
      <c r="F1240" s="2" t="s">
        <v>13871</v>
      </c>
      <c r="G1240" s="2" t="s">
        <v>13872</v>
      </c>
      <c r="H1240" s="2" t="s">
        <v>13873</v>
      </c>
      <c r="I1240" s="2" t="s">
        <v>13874</v>
      </c>
      <c r="J1240" s="2" t="s">
        <v>13875</v>
      </c>
      <c r="K1240" s="2" t="s">
        <v>13874</v>
      </c>
      <c r="L1240" s="2" t="s">
        <v>13876</v>
      </c>
      <c r="M1240" s="2" t="s">
        <v>13877</v>
      </c>
      <c r="N1240" s="2" t="s">
        <v>13878</v>
      </c>
      <c r="O1240" s="2" t="s">
        <v>13879</v>
      </c>
      <c r="P1240" s="2" t="s">
        <v>13868</v>
      </c>
    </row>
    <row r="1241" spans="1:16">
      <c r="A1241" s="1">
        <v>1240</v>
      </c>
      <c r="B1241" s="2" t="s">
        <v>13880</v>
      </c>
      <c r="C1241" s="2" t="s">
        <v>13881</v>
      </c>
      <c r="D1241" s="2" t="s">
        <v>13881</v>
      </c>
      <c r="E1241" s="2" t="s">
        <v>13882</v>
      </c>
      <c r="F1241" s="2" t="s">
        <v>13883</v>
      </c>
      <c r="G1241" s="2" t="s">
        <v>13884</v>
      </c>
      <c r="H1241" s="2" t="s">
        <v>13885</v>
      </c>
      <c r="I1241" s="2" t="s">
        <v>13886</v>
      </c>
      <c r="J1241" s="2" t="s">
        <v>13887</v>
      </c>
      <c r="K1241" s="2" t="s">
        <v>13886</v>
      </c>
      <c r="L1241" s="2" t="s">
        <v>13888</v>
      </c>
      <c r="M1241" s="2" t="s">
        <v>13889</v>
      </c>
      <c r="N1241" s="2" t="s">
        <v>13890</v>
      </c>
      <c r="O1241" s="2" t="s">
        <v>13891</v>
      </c>
      <c r="P1241" s="2" t="s">
        <v>13880</v>
      </c>
    </row>
    <row r="1242" spans="1:16">
      <c r="A1242" s="1">
        <v>1241</v>
      </c>
      <c r="B1242" s="2" t="s">
        <v>13892</v>
      </c>
      <c r="C1242" s="2" t="s">
        <v>13893</v>
      </c>
      <c r="D1242" s="2" t="s">
        <v>13893</v>
      </c>
      <c r="E1242" s="2" t="s">
        <v>13894</v>
      </c>
      <c r="F1242" s="2" t="s">
        <v>13895</v>
      </c>
      <c r="G1242" s="2" t="s">
        <v>13896</v>
      </c>
      <c r="H1242" s="2" t="s">
        <v>13897</v>
      </c>
      <c r="I1242" s="2" t="s">
        <v>13898</v>
      </c>
      <c r="J1242" s="2" t="s">
        <v>13899</v>
      </c>
      <c r="K1242" s="2" t="s">
        <v>13898</v>
      </c>
      <c r="L1242" s="2" t="s">
        <v>13900</v>
      </c>
      <c r="M1242" s="2" t="s">
        <v>13901</v>
      </c>
      <c r="N1242" s="2" t="s">
        <v>13902</v>
      </c>
      <c r="O1242" s="2" t="s">
        <v>13903</v>
      </c>
      <c r="P1242" s="2" t="s">
        <v>13892</v>
      </c>
    </row>
    <row r="1243" spans="1:16">
      <c r="A1243" s="1">
        <v>1242</v>
      </c>
      <c r="B1243" s="2" t="s">
        <v>13904</v>
      </c>
      <c r="C1243" s="2" t="s">
        <v>13905</v>
      </c>
      <c r="D1243" s="2" t="s">
        <v>13905</v>
      </c>
      <c r="E1243" s="2" t="s">
        <v>13906</v>
      </c>
      <c r="F1243" s="2" t="s">
        <v>13907</v>
      </c>
      <c r="G1243" s="2" t="s">
        <v>13908</v>
      </c>
      <c r="H1243" s="2" t="s">
        <v>13909</v>
      </c>
      <c r="I1243" s="2" t="s">
        <v>13910</v>
      </c>
      <c r="J1243" s="2" t="s">
        <v>13911</v>
      </c>
      <c r="K1243" s="2" t="s">
        <v>13910</v>
      </c>
      <c r="L1243" s="2" t="s">
        <v>13912</v>
      </c>
      <c r="M1243" s="2" t="s">
        <v>13913</v>
      </c>
      <c r="N1243" s="2" t="s">
        <v>13914</v>
      </c>
      <c r="O1243" s="2" t="s">
        <v>13915</v>
      </c>
      <c r="P1243" s="2" t="s">
        <v>13904</v>
      </c>
    </row>
    <row r="1244" spans="1:16">
      <c r="A1244" s="1">
        <v>1243</v>
      </c>
      <c r="B1244" s="2" t="s">
        <v>13916</v>
      </c>
      <c r="C1244" s="2" t="s">
        <v>13917</v>
      </c>
      <c r="D1244" s="2" t="s">
        <v>13917</v>
      </c>
      <c r="E1244" s="2" t="s">
        <v>13918</v>
      </c>
      <c r="F1244" s="2" t="s">
        <v>13919</v>
      </c>
      <c r="G1244" s="2" t="s">
        <v>13920</v>
      </c>
      <c r="H1244" s="2" t="s">
        <v>13921</v>
      </c>
      <c r="I1244" s="2" t="s">
        <v>13922</v>
      </c>
      <c r="J1244" s="2" t="s">
        <v>13923</v>
      </c>
      <c r="K1244" s="2" t="s">
        <v>13922</v>
      </c>
      <c r="L1244" s="2" t="s">
        <v>13924</v>
      </c>
      <c r="M1244" s="2" t="s">
        <v>13925</v>
      </c>
      <c r="N1244" s="2" t="s">
        <v>13926</v>
      </c>
      <c r="O1244" s="2" t="s">
        <v>13927</v>
      </c>
      <c r="P1244" s="2" t="s">
        <v>13916</v>
      </c>
    </row>
    <row r="1245" spans="1:16">
      <c r="A1245" s="1">
        <v>1244</v>
      </c>
      <c r="B1245" s="2" t="s">
        <v>13928</v>
      </c>
      <c r="C1245" s="2" t="s">
        <v>13928</v>
      </c>
      <c r="D1245" s="2" t="s">
        <v>13928</v>
      </c>
      <c r="E1245" s="2" t="s">
        <v>13928</v>
      </c>
      <c r="F1245" s="2" t="s">
        <v>13928</v>
      </c>
      <c r="G1245" s="2" t="s">
        <v>13928</v>
      </c>
      <c r="H1245" s="2" t="s">
        <v>13928</v>
      </c>
      <c r="I1245" s="2" t="s">
        <v>13928</v>
      </c>
      <c r="J1245" s="2" t="s">
        <v>13928</v>
      </c>
      <c r="K1245" s="2" t="s">
        <v>13928</v>
      </c>
      <c r="L1245" s="2" t="s">
        <v>13928</v>
      </c>
      <c r="M1245" s="2" t="s">
        <v>13928</v>
      </c>
      <c r="N1245" s="2" t="s">
        <v>13928</v>
      </c>
      <c r="O1245" s="2" t="s">
        <v>13928</v>
      </c>
      <c r="P1245" s="2" t="s">
        <v>13928</v>
      </c>
    </row>
    <row r="1246" spans="1:16">
      <c r="A1246" s="1">
        <v>1245</v>
      </c>
      <c r="B1246" s="2" t="s">
        <v>13929</v>
      </c>
      <c r="C1246" s="2" t="s">
        <v>13929</v>
      </c>
      <c r="D1246" s="2" t="s">
        <v>13929</v>
      </c>
      <c r="E1246" s="2" t="s">
        <v>13929</v>
      </c>
      <c r="F1246" s="2" t="s">
        <v>13929</v>
      </c>
      <c r="G1246" s="2" t="s">
        <v>13929</v>
      </c>
      <c r="H1246" s="2" t="s">
        <v>13929</v>
      </c>
      <c r="I1246" s="2" t="s">
        <v>13929</v>
      </c>
      <c r="J1246" s="2" t="s">
        <v>13929</v>
      </c>
      <c r="K1246" s="2" t="s">
        <v>13929</v>
      </c>
      <c r="L1246" s="2" t="s">
        <v>13929</v>
      </c>
      <c r="M1246" s="2" t="s">
        <v>13929</v>
      </c>
      <c r="N1246" s="2" t="s">
        <v>13929</v>
      </c>
      <c r="O1246" s="2" t="s">
        <v>13929</v>
      </c>
      <c r="P1246" s="2" t="s">
        <v>13929</v>
      </c>
    </row>
    <row r="1247" spans="1:16">
      <c r="A1247" s="1">
        <v>1246</v>
      </c>
      <c r="B1247" s="2" t="s">
        <v>13930</v>
      </c>
      <c r="C1247" s="2" t="s">
        <v>13930</v>
      </c>
      <c r="D1247" s="2" t="s">
        <v>13930</v>
      </c>
      <c r="E1247" s="2" t="s">
        <v>13930</v>
      </c>
      <c r="F1247" s="2" t="s">
        <v>13930</v>
      </c>
      <c r="G1247" s="2" t="s">
        <v>13930</v>
      </c>
      <c r="H1247" s="2" t="s">
        <v>13930</v>
      </c>
      <c r="I1247" s="2" t="s">
        <v>13930</v>
      </c>
      <c r="J1247" s="2" t="s">
        <v>13930</v>
      </c>
      <c r="K1247" s="2" t="s">
        <v>13930</v>
      </c>
      <c r="L1247" s="2" t="s">
        <v>13930</v>
      </c>
      <c r="M1247" s="2" t="s">
        <v>13930</v>
      </c>
      <c r="N1247" s="2" t="s">
        <v>13930</v>
      </c>
      <c r="O1247" s="2" t="s">
        <v>13930</v>
      </c>
      <c r="P1247" s="2" t="s">
        <v>13930</v>
      </c>
    </row>
    <row r="1248" spans="1:16">
      <c r="A1248" s="1">
        <v>1247</v>
      </c>
      <c r="B1248" s="2" t="s">
        <v>13931</v>
      </c>
      <c r="C1248" s="2" t="s">
        <v>13931</v>
      </c>
      <c r="D1248" s="2" t="s">
        <v>13931</v>
      </c>
      <c r="E1248" s="2" t="s">
        <v>13931</v>
      </c>
      <c r="F1248" s="2" t="s">
        <v>13931</v>
      </c>
      <c r="G1248" s="2" t="s">
        <v>13931</v>
      </c>
      <c r="H1248" s="2" t="s">
        <v>13931</v>
      </c>
      <c r="I1248" s="2" t="s">
        <v>13931</v>
      </c>
      <c r="J1248" s="2" t="s">
        <v>13931</v>
      </c>
      <c r="K1248" s="2" t="s">
        <v>13931</v>
      </c>
      <c r="L1248" s="2" t="s">
        <v>13931</v>
      </c>
      <c r="M1248" s="2" t="s">
        <v>13931</v>
      </c>
      <c r="N1248" s="2" t="s">
        <v>13931</v>
      </c>
      <c r="O1248" s="2" t="s">
        <v>13931</v>
      </c>
      <c r="P1248" s="2" t="s">
        <v>13931</v>
      </c>
    </row>
    <row r="1249" spans="1:16">
      <c r="A1249" s="1">
        <v>1248</v>
      </c>
      <c r="B1249" s="2" t="s">
        <v>13932</v>
      </c>
      <c r="C1249" s="2">
        <v>44252</v>
      </c>
      <c r="D1249" s="2">
        <v>44252</v>
      </c>
      <c r="E1249" s="2" t="s">
        <v>13933</v>
      </c>
      <c r="F1249" s="2" t="s">
        <v>13933</v>
      </c>
      <c r="G1249" s="2" t="s">
        <v>13933</v>
      </c>
      <c r="H1249" s="2" t="s">
        <v>13933</v>
      </c>
      <c r="I1249" s="2" t="s">
        <v>13933</v>
      </c>
      <c r="J1249" s="2" t="s">
        <v>13933</v>
      </c>
      <c r="K1249" s="2" t="s">
        <v>13933</v>
      </c>
      <c r="L1249" s="2" t="s">
        <v>13933</v>
      </c>
      <c r="M1249" s="2" t="s">
        <v>13933</v>
      </c>
      <c r="N1249" s="2" t="s">
        <v>13933</v>
      </c>
      <c r="O1249" s="2" t="s">
        <v>13933</v>
      </c>
      <c r="P1249" s="2" t="s">
        <v>13932</v>
      </c>
    </row>
    <row r="1250" spans="1:16">
      <c r="A1250" s="1">
        <v>1249</v>
      </c>
      <c r="B1250" s="2" t="s">
        <v>22849</v>
      </c>
      <c r="C1250" s="2" t="s">
        <v>13935</v>
      </c>
      <c r="D1250" s="2" t="s">
        <v>13936</v>
      </c>
      <c r="E1250" s="2" t="s">
        <v>13934</v>
      </c>
      <c r="F1250" s="2" t="s">
        <v>13934</v>
      </c>
      <c r="G1250" s="2" t="s">
        <v>13934</v>
      </c>
      <c r="H1250" s="2" t="s">
        <v>13934</v>
      </c>
      <c r="I1250" s="2" t="s">
        <v>13934</v>
      </c>
      <c r="J1250" s="2" t="s">
        <v>13934</v>
      </c>
      <c r="K1250" s="2" t="s">
        <v>13934</v>
      </c>
      <c r="L1250" s="2" t="s">
        <v>13934</v>
      </c>
      <c r="M1250" s="2" t="s">
        <v>13934</v>
      </c>
      <c r="N1250" s="2" t="s">
        <v>13934</v>
      </c>
      <c r="O1250" s="2" t="s">
        <v>13934</v>
      </c>
      <c r="P1250" s="2" t="s">
        <v>13934</v>
      </c>
    </row>
    <row r="1251" spans="1:16">
      <c r="A1251" s="1">
        <v>1250</v>
      </c>
      <c r="B1251" s="2" t="s">
        <v>13326</v>
      </c>
      <c r="C1251" s="2">
        <v>41</v>
      </c>
      <c r="D1251" s="2">
        <v>41</v>
      </c>
      <c r="E1251" s="2">
        <v>41</v>
      </c>
      <c r="F1251" s="2">
        <v>41</v>
      </c>
      <c r="G1251" s="2">
        <v>41</v>
      </c>
      <c r="H1251" s="2">
        <v>41</v>
      </c>
      <c r="I1251" s="2">
        <v>41</v>
      </c>
      <c r="J1251" s="2">
        <v>41</v>
      </c>
      <c r="K1251" s="2">
        <v>41</v>
      </c>
      <c r="L1251" s="2">
        <v>41</v>
      </c>
      <c r="M1251" s="2">
        <v>41</v>
      </c>
      <c r="N1251" s="2">
        <v>41</v>
      </c>
      <c r="O1251" s="2">
        <v>41</v>
      </c>
      <c r="P1251" s="2" t="s">
        <v>13326</v>
      </c>
    </row>
    <row r="1252" spans="1:16">
      <c r="A1252" s="1">
        <v>1251</v>
      </c>
      <c r="B1252" s="2" t="s">
        <v>13937</v>
      </c>
      <c r="C1252" s="2" t="s">
        <v>13938</v>
      </c>
      <c r="D1252" s="2" t="s">
        <v>13939</v>
      </c>
      <c r="E1252" s="2" t="s">
        <v>13940</v>
      </c>
      <c r="F1252" s="2" t="s">
        <v>13941</v>
      </c>
      <c r="G1252" s="2" t="s">
        <v>13942</v>
      </c>
      <c r="H1252" s="2" t="s">
        <v>13943</v>
      </c>
      <c r="I1252" s="2" t="s">
        <v>13944</v>
      </c>
      <c r="J1252" s="2" t="s">
        <v>13945</v>
      </c>
      <c r="K1252" s="2" t="s">
        <v>13946</v>
      </c>
      <c r="L1252" s="2" t="s">
        <v>13947</v>
      </c>
      <c r="M1252" s="2" t="s">
        <v>13948</v>
      </c>
      <c r="N1252" s="2" t="s">
        <v>13949</v>
      </c>
      <c r="O1252" s="2" t="s">
        <v>13950</v>
      </c>
      <c r="P1252" s="2" t="s">
        <v>13937</v>
      </c>
    </row>
    <row r="1253" spans="1:16">
      <c r="A1253" s="1">
        <v>1252</v>
      </c>
      <c r="B1253" s="2" t="s">
        <v>22850</v>
      </c>
      <c r="C1253" s="2" t="s">
        <v>13952</v>
      </c>
      <c r="D1253" s="2" t="s">
        <v>13953</v>
      </c>
      <c r="E1253" s="2" t="s">
        <v>13951</v>
      </c>
      <c r="F1253" s="2" t="s">
        <v>13954</v>
      </c>
      <c r="G1253" s="2" t="s">
        <v>13951</v>
      </c>
      <c r="H1253" s="2" t="s">
        <v>13951</v>
      </c>
      <c r="I1253" s="2" t="s">
        <v>13951</v>
      </c>
      <c r="J1253" s="2" t="s">
        <v>13951</v>
      </c>
      <c r="K1253" s="2" t="s">
        <v>13951</v>
      </c>
      <c r="L1253" s="2" t="s">
        <v>13955</v>
      </c>
      <c r="M1253" s="2" t="s">
        <v>13951</v>
      </c>
      <c r="N1253" s="2" t="s">
        <v>13951</v>
      </c>
      <c r="O1253" s="2" t="s">
        <v>13956</v>
      </c>
      <c r="P1253" s="2" t="s">
        <v>13951</v>
      </c>
    </row>
    <row r="1254" spans="1:16">
      <c r="A1254" s="1">
        <v>1253</v>
      </c>
      <c r="B1254" s="2" t="s">
        <v>22851</v>
      </c>
      <c r="C1254" s="2" t="s">
        <v>13958</v>
      </c>
      <c r="D1254" s="2" t="s">
        <v>13959</v>
      </c>
      <c r="E1254" s="2" t="s">
        <v>25742</v>
      </c>
      <c r="F1254" s="2" t="s">
        <v>13960</v>
      </c>
      <c r="G1254" s="2" t="s">
        <v>13961</v>
      </c>
      <c r="H1254" s="2" t="s">
        <v>13962</v>
      </c>
      <c r="I1254" s="2" t="s">
        <v>13963</v>
      </c>
      <c r="J1254" s="2" t="s">
        <v>13964</v>
      </c>
      <c r="K1254" s="2" t="s">
        <v>13965</v>
      </c>
      <c r="L1254" s="2" t="s">
        <v>13966</v>
      </c>
      <c r="M1254" s="2" t="s">
        <v>13967</v>
      </c>
      <c r="N1254" s="2" t="s">
        <v>13968</v>
      </c>
      <c r="O1254" s="2" t="s">
        <v>13969</v>
      </c>
      <c r="P1254" s="2" t="s">
        <v>13957</v>
      </c>
    </row>
    <row r="1255" spans="1:16">
      <c r="A1255" s="1">
        <v>1254</v>
      </c>
      <c r="B1255" s="2" t="s">
        <v>22852</v>
      </c>
      <c r="C1255" s="2" t="s">
        <v>13971</v>
      </c>
      <c r="D1255" s="2" t="s">
        <v>13972</v>
      </c>
      <c r="E1255" s="2" t="s">
        <v>25743</v>
      </c>
      <c r="F1255" s="2" t="s">
        <v>13973</v>
      </c>
      <c r="G1255" s="2" t="s">
        <v>13974</v>
      </c>
      <c r="H1255" s="2" t="s">
        <v>13975</v>
      </c>
      <c r="I1255" s="2" t="s">
        <v>13976</v>
      </c>
      <c r="J1255" s="2" t="s">
        <v>13977</v>
      </c>
      <c r="K1255" s="2" t="s">
        <v>13978</v>
      </c>
      <c r="L1255" s="2" t="s">
        <v>13979</v>
      </c>
      <c r="M1255" s="2" t="s">
        <v>13980</v>
      </c>
      <c r="N1255" s="2" t="s">
        <v>13981</v>
      </c>
      <c r="O1255" s="2" t="s">
        <v>13982</v>
      </c>
      <c r="P1255" s="2" t="s">
        <v>13970</v>
      </c>
    </row>
    <row r="1256" spans="1:16">
      <c r="A1256" s="1">
        <v>1255</v>
      </c>
      <c r="B1256" s="2" t="s">
        <v>22853</v>
      </c>
      <c r="C1256" s="2" t="s">
        <v>13984</v>
      </c>
      <c r="D1256" s="2" t="s">
        <v>13985</v>
      </c>
      <c r="E1256" s="2" t="s">
        <v>25744</v>
      </c>
      <c r="F1256" s="2" t="s">
        <v>13986</v>
      </c>
      <c r="G1256" s="2" t="s">
        <v>13987</v>
      </c>
      <c r="H1256" s="2" t="s">
        <v>13988</v>
      </c>
      <c r="I1256" s="2" t="s">
        <v>13989</v>
      </c>
      <c r="J1256" s="2" t="s">
        <v>13990</v>
      </c>
      <c r="K1256" s="2" t="s">
        <v>13991</v>
      </c>
      <c r="L1256" s="2" t="s">
        <v>13992</v>
      </c>
      <c r="M1256" s="2" t="s">
        <v>13993</v>
      </c>
      <c r="N1256" s="2" t="s">
        <v>13994</v>
      </c>
      <c r="O1256" s="2" t="s">
        <v>13995</v>
      </c>
      <c r="P1256" s="2" t="s">
        <v>13983</v>
      </c>
    </row>
    <row r="1257" spans="1:16" ht="16.5">
      <c r="A1257" s="1">
        <v>1256</v>
      </c>
      <c r="B1257" s="2" t="s">
        <v>13996</v>
      </c>
      <c r="C1257" s="2" t="s">
        <v>13997</v>
      </c>
      <c r="D1257" s="2" t="s">
        <v>13998</v>
      </c>
      <c r="E1257" s="2" t="s">
        <v>13999</v>
      </c>
      <c r="F1257" s="2" t="s">
        <v>14000</v>
      </c>
      <c r="G1257" s="2" t="s">
        <v>14001</v>
      </c>
      <c r="H1257" s="2" t="s">
        <v>14002</v>
      </c>
      <c r="I1257" s="2" t="s">
        <v>14003</v>
      </c>
      <c r="J1257" s="2" t="s">
        <v>14004</v>
      </c>
      <c r="K1257" s="2" t="s">
        <v>14005</v>
      </c>
      <c r="L1257" s="2" t="s">
        <v>14006</v>
      </c>
      <c r="M1257" s="2" t="s">
        <v>14007</v>
      </c>
      <c r="N1257" s="2" t="s">
        <v>14008</v>
      </c>
      <c r="O1257" s="2" t="s">
        <v>14009</v>
      </c>
      <c r="P1257" s="2" t="s">
        <v>13996</v>
      </c>
    </row>
    <row r="1258" spans="1:16" ht="16.5">
      <c r="A1258" s="1">
        <v>1257</v>
      </c>
      <c r="B1258" s="2" t="s">
        <v>14010</v>
      </c>
      <c r="C1258" s="2" t="s">
        <v>14011</v>
      </c>
      <c r="D1258" s="2" t="s">
        <v>14012</v>
      </c>
      <c r="E1258" s="2" t="s">
        <v>14013</v>
      </c>
      <c r="F1258" s="2" t="s">
        <v>14014</v>
      </c>
      <c r="G1258" s="2" t="s">
        <v>14015</v>
      </c>
      <c r="H1258" s="2" t="s">
        <v>14016</v>
      </c>
      <c r="I1258" s="2" t="s">
        <v>14017</v>
      </c>
      <c r="J1258" s="2" t="s">
        <v>14018</v>
      </c>
      <c r="K1258" s="2" t="s">
        <v>14019</v>
      </c>
      <c r="L1258" s="2" t="s">
        <v>14020</v>
      </c>
      <c r="M1258" s="2" t="s">
        <v>14021</v>
      </c>
      <c r="N1258" s="2" t="s">
        <v>14022</v>
      </c>
      <c r="O1258" s="2" t="s">
        <v>14023</v>
      </c>
      <c r="P1258" s="2" t="s">
        <v>14010</v>
      </c>
    </row>
    <row r="1259" spans="1:16" ht="16.5">
      <c r="A1259" s="1">
        <v>1258</v>
      </c>
      <c r="B1259" s="2" t="s">
        <v>14024</v>
      </c>
      <c r="C1259" s="2" t="s">
        <v>14025</v>
      </c>
      <c r="D1259" s="2" t="s">
        <v>14026</v>
      </c>
      <c r="E1259" s="2" t="s">
        <v>14027</v>
      </c>
      <c r="F1259" s="2" t="s">
        <v>14028</v>
      </c>
      <c r="G1259" s="2" t="s">
        <v>14029</v>
      </c>
      <c r="H1259" s="2" t="s">
        <v>14030</v>
      </c>
      <c r="I1259" s="2" t="s">
        <v>14031</v>
      </c>
      <c r="J1259" s="2" t="s">
        <v>14032</v>
      </c>
      <c r="K1259" s="2" t="s">
        <v>14033</v>
      </c>
      <c r="L1259" s="2" t="s">
        <v>14034</v>
      </c>
      <c r="M1259" s="2" t="s">
        <v>14035</v>
      </c>
      <c r="N1259" s="2" t="s">
        <v>14036</v>
      </c>
      <c r="O1259" s="2" t="s">
        <v>14037</v>
      </c>
      <c r="P1259" s="2" t="s">
        <v>14024</v>
      </c>
    </row>
    <row r="1260" spans="1:16">
      <c r="A1260" s="1">
        <v>1259</v>
      </c>
      <c r="B1260" s="2" t="s">
        <v>22854</v>
      </c>
      <c r="C1260" s="2" t="s">
        <v>14039</v>
      </c>
      <c r="D1260" s="2" t="s">
        <v>14040</v>
      </c>
      <c r="E1260" s="2" t="s">
        <v>14041</v>
      </c>
      <c r="F1260" s="2" t="s">
        <v>14042</v>
      </c>
      <c r="G1260" s="2" t="s">
        <v>14043</v>
      </c>
      <c r="H1260" s="2" t="s">
        <v>14044</v>
      </c>
      <c r="I1260" s="2" t="s">
        <v>14045</v>
      </c>
      <c r="J1260" s="2" t="s">
        <v>14046</v>
      </c>
      <c r="K1260" s="2" t="s">
        <v>14047</v>
      </c>
      <c r="L1260" s="2" t="s">
        <v>14048</v>
      </c>
      <c r="M1260" s="2" t="s">
        <v>14049</v>
      </c>
      <c r="N1260" s="2" t="s">
        <v>14050</v>
      </c>
      <c r="O1260" s="2" t="s">
        <v>14051</v>
      </c>
      <c r="P1260" s="2" t="s">
        <v>14038</v>
      </c>
    </row>
    <row r="1261" spans="1:16">
      <c r="A1261" s="1">
        <v>1260</v>
      </c>
      <c r="B1261" s="2" t="s">
        <v>14052</v>
      </c>
      <c r="C1261" s="2" t="s">
        <v>14053</v>
      </c>
      <c r="D1261" s="2" t="s">
        <v>14054</v>
      </c>
      <c r="E1261" s="2" t="s">
        <v>14055</v>
      </c>
      <c r="F1261" s="2" t="s">
        <v>14056</v>
      </c>
      <c r="G1261" s="2" t="s">
        <v>14057</v>
      </c>
      <c r="H1261" s="2" t="s">
        <v>14058</v>
      </c>
      <c r="I1261" s="2" t="s">
        <v>14059</v>
      </c>
      <c r="J1261" s="2" t="s">
        <v>14060</v>
      </c>
      <c r="K1261" s="2" t="s">
        <v>14061</v>
      </c>
      <c r="L1261" s="2" t="s">
        <v>14062</v>
      </c>
      <c r="M1261" s="2" t="s">
        <v>14063</v>
      </c>
      <c r="N1261" s="2" t="s">
        <v>14064</v>
      </c>
      <c r="O1261" s="2" t="s">
        <v>14065</v>
      </c>
      <c r="P1261" s="2" t="s">
        <v>14052</v>
      </c>
    </row>
    <row r="1262" spans="1:16">
      <c r="A1262" s="1">
        <v>1261</v>
      </c>
      <c r="B1262" s="2" t="s">
        <v>14066</v>
      </c>
      <c r="C1262" s="2" t="s">
        <v>14067</v>
      </c>
      <c r="D1262" s="2" t="s">
        <v>14068</v>
      </c>
      <c r="E1262" s="2" t="s">
        <v>14069</v>
      </c>
      <c r="F1262" s="2" t="s">
        <v>14070</v>
      </c>
      <c r="G1262" s="2" t="s">
        <v>14071</v>
      </c>
      <c r="H1262" s="2" t="s">
        <v>14072</v>
      </c>
      <c r="I1262" s="2" t="s">
        <v>14073</v>
      </c>
      <c r="J1262" s="2" t="s">
        <v>14074</v>
      </c>
      <c r="K1262" s="2" t="s">
        <v>14075</v>
      </c>
      <c r="L1262" s="2" t="s">
        <v>14076</v>
      </c>
      <c r="M1262" s="2" t="s">
        <v>14077</v>
      </c>
      <c r="N1262" s="2" t="s">
        <v>14078</v>
      </c>
      <c r="O1262" s="2" t="s">
        <v>14079</v>
      </c>
      <c r="P1262" s="2" t="s">
        <v>14066</v>
      </c>
    </row>
    <row r="1263" spans="1:16">
      <c r="A1263" s="1">
        <v>1262</v>
      </c>
      <c r="B1263" s="2" t="s">
        <v>3198</v>
      </c>
      <c r="C1263" s="2" t="s">
        <v>3199</v>
      </c>
      <c r="D1263" s="2" t="s">
        <v>3200</v>
      </c>
      <c r="E1263" s="2" t="s">
        <v>3201</v>
      </c>
      <c r="F1263" s="2" t="s">
        <v>14080</v>
      </c>
      <c r="G1263" s="2" t="s">
        <v>3203</v>
      </c>
      <c r="H1263" s="2" t="s">
        <v>3204</v>
      </c>
      <c r="I1263" s="2" t="s">
        <v>3205</v>
      </c>
      <c r="J1263" s="2" t="s">
        <v>3206</v>
      </c>
      <c r="K1263" s="2" t="s">
        <v>3207</v>
      </c>
      <c r="L1263" s="2" t="s">
        <v>3208</v>
      </c>
      <c r="M1263" s="2" t="s">
        <v>3209</v>
      </c>
      <c r="N1263" s="2" t="s">
        <v>3210</v>
      </c>
      <c r="O1263" s="2" t="s">
        <v>3211</v>
      </c>
      <c r="P1263" s="2" t="s">
        <v>3198</v>
      </c>
    </row>
    <row r="1264" spans="1:16">
      <c r="A1264" s="1">
        <v>1263</v>
      </c>
      <c r="B1264" s="2" t="s">
        <v>10113</v>
      </c>
      <c r="C1264" s="2" t="s">
        <v>14081</v>
      </c>
      <c r="D1264" s="2" t="s">
        <v>10115</v>
      </c>
      <c r="E1264" s="2" t="s">
        <v>10116</v>
      </c>
      <c r="F1264" s="2" t="s">
        <v>14082</v>
      </c>
      <c r="G1264" s="2" t="s">
        <v>10118</v>
      </c>
      <c r="H1264" s="2" t="s">
        <v>10119</v>
      </c>
      <c r="I1264" s="2" t="s">
        <v>10120</v>
      </c>
      <c r="J1264" s="2" t="s">
        <v>10121</v>
      </c>
      <c r="K1264" s="2" t="s">
        <v>10122</v>
      </c>
      <c r="L1264" s="2" t="s">
        <v>10123</v>
      </c>
      <c r="M1264" s="2" t="s">
        <v>10124</v>
      </c>
      <c r="N1264" s="2" t="s">
        <v>10125</v>
      </c>
      <c r="O1264" s="2" t="s">
        <v>10126</v>
      </c>
      <c r="P1264" s="2" t="s">
        <v>10113</v>
      </c>
    </row>
    <row r="1265" spans="1:16">
      <c r="A1265" s="1">
        <v>1264</v>
      </c>
      <c r="B1265" s="2" t="s">
        <v>14083</v>
      </c>
      <c r="C1265" s="2" t="s">
        <v>14084</v>
      </c>
      <c r="D1265" s="2" t="s">
        <v>14085</v>
      </c>
      <c r="E1265" s="2" t="s">
        <v>14086</v>
      </c>
      <c r="F1265" s="2" t="s">
        <v>14087</v>
      </c>
      <c r="G1265" s="2" t="s">
        <v>14088</v>
      </c>
      <c r="H1265" s="2" t="s">
        <v>14089</v>
      </c>
      <c r="I1265" s="2" t="s">
        <v>14090</v>
      </c>
      <c r="J1265" s="2" t="s">
        <v>14091</v>
      </c>
      <c r="K1265" s="2" t="s">
        <v>14092</v>
      </c>
      <c r="L1265" s="2" t="s">
        <v>14093</v>
      </c>
      <c r="M1265" s="2" t="s">
        <v>14094</v>
      </c>
      <c r="N1265" s="2" t="s">
        <v>14095</v>
      </c>
      <c r="O1265" s="2" t="s">
        <v>14096</v>
      </c>
      <c r="P1265" s="2" t="s">
        <v>14083</v>
      </c>
    </row>
    <row r="1266" spans="1:16">
      <c r="A1266" s="1">
        <v>1265</v>
      </c>
      <c r="B1266" s="2" t="s">
        <v>14097</v>
      </c>
      <c r="C1266" s="2" t="s">
        <v>14098</v>
      </c>
      <c r="D1266" s="2" t="s">
        <v>14099</v>
      </c>
      <c r="E1266" s="2" t="s">
        <v>14100</v>
      </c>
      <c r="F1266" s="2" t="s">
        <v>14101</v>
      </c>
      <c r="G1266" s="2" t="s">
        <v>14102</v>
      </c>
      <c r="H1266" s="2" t="s">
        <v>14103</v>
      </c>
      <c r="I1266" s="2" t="s">
        <v>14104</v>
      </c>
      <c r="J1266" s="2" t="s">
        <v>14105</v>
      </c>
      <c r="K1266" s="2" t="s">
        <v>14106</v>
      </c>
      <c r="L1266" s="2" t="s">
        <v>14107</v>
      </c>
      <c r="M1266" s="2" t="s">
        <v>14108</v>
      </c>
      <c r="N1266" s="2" t="s">
        <v>14109</v>
      </c>
      <c r="O1266" s="2" t="s">
        <v>14110</v>
      </c>
      <c r="P1266" s="2" t="s">
        <v>14097</v>
      </c>
    </row>
    <row r="1267" spans="1:16">
      <c r="A1267" s="1">
        <v>1266</v>
      </c>
      <c r="B1267" s="2" t="s">
        <v>14111</v>
      </c>
      <c r="C1267" s="2" t="s">
        <v>14112</v>
      </c>
      <c r="D1267" s="2" t="s">
        <v>14113</v>
      </c>
      <c r="E1267" s="2" t="s">
        <v>14114</v>
      </c>
      <c r="F1267" s="2" t="s">
        <v>14115</v>
      </c>
      <c r="G1267" s="2" t="s">
        <v>14116</v>
      </c>
      <c r="H1267" s="2" t="s">
        <v>14117</v>
      </c>
      <c r="I1267" s="2" t="s">
        <v>14118</v>
      </c>
      <c r="J1267" s="2" t="s">
        <v>14119</v>
      </c>
      <c r="K1267" s="2" t="s">
        <v>14120</v>
      </c>
      <c r="L1267" s="2" t="s">
        <v>14121</v>
      </c>
      <c r="M1267" s="2" t="s">
        <v>14122</v>
      </c>
      <c r="N1267" s="2" t="s">
        <v>14123</v>
      </c>
      <c r="O1267" s="2" t="s">
        <v>14124</v>
      </c>
      <c r="P1267" s="2" t="s">
        <v>14111</v>
      </c>
    </row>
    <row r="1268" spans="1:16">
      <c r="A1268" s="1">
        <v>1267</v>
      </c>
      <c r="B1268" s="2" t="s">
        <v>14125</v>
      </c>
      <c r="C1268" s="2" t="s">
        <v>14126</v>
      </c>
      <c r="D1268" s="2" t="s">
        <v>14127</v>
      </c>
      <c r="E1268" s="2" t="s">
        <v>25745</v>
      </c>
      <c r="F1268" s="2" t="s">
        <v>14128</v>
      </c>
      <c r="G1268" s="2" t="s">
        <v>14129</v>
      </c>
      <c r="H1268" s="2" t="s">
        <v>14130</v>
      </c>
      <c r="I1268" s="2" t="s">
        <v>14131</v>
      </c>
      <c r="J1268" s="2" t="s">
        <v>14132</v>
      </c>
      <c r="K1268" s="2" t="s">
        <v>14133</v>
      </c>
      <c r="L1268" s="2" t="s">
        <v>14134</v>
      </c>
      <c r="M1268" s="2" t="s">
        <v>14135</v>
      </c>
      <c r="N1268" s="2" t="s">
        <v>14136</v>
      </c>
      <c r="O1268" s="2" t="s">
        <v>14137</v>
      </c>
      <c r="P1268" s="2" t="s">
        <v>14125</v>
      </c>
    </row>
    <row r="1269" spans="1:16">
      <c r="A1269" s="1">
        <v>1268</v>
      </c>
      <c r="B1269" s="2" t="s">
        <v>14138</v>
      </c>
      <c r="C1269" s="2" t="s">
        <v>14139</v>
      </c>
      <c r="D1269" s="2" t="s">
        <v>14140</v>
      </c>
      <c r="E1269" s="2" t="s">
        <v>14141</v>
      </c>
      <c r="F1269" s="2" t="s">
        <v>14142</v>
      </c>
      <c r="G1269" s="2" t="s">
        <v>2342</v>
      </c>
      <c r="H1269" s="2" t="s">
        <v>2343</v>
      </c>
      <c r="I1269" s="2" t="s">
        <v>14143</v>
      </c>
      <c r="J1269" s="2" t="s">
        <v>14144</v>
      </c>
      <c r="K1269" s="2" t="s">
        <v>14145</v>
      </c>
      <c r="L1269" s="2" t="s">
        <v>14146</v>
      </c>
      <c r="M1269" s="2" t="s">
        <v>14147</v>
      </c>
      <c r="N1269" s="2" t="s">
        <v>2349</v>
      </c>
      <c r="O1269" s="2" t="s">
        <v>14148</v>
      </c>
      <c r="P1269" s="2" t="s">
        <v>14138</v>
      </c>
    </row>
    <row r="1270" spans="1:16">
      <c r="A1270" s="1">
        <v>1269</v>
      </c>
      <c r="B1270" s="2" t="s">
        <v>22855</v>
      </c>
      <c r="C1270" s="2" t="s">
        <v>14150</v>
      </c>
      <c r="D1270" s="2" t="s">
        <v>14151</v>
      </c>
      <c r="E1270" s="2" t="s">
        <v>14152</v>
      </c>
      <c r="F1270" s="2" t="s">
        <v>14153</v>
      </c>
      <c r="G1270" s="2" t="s">
        <v>14154</v>
      </c>
      <c r="H1270" s="2" t="s">
        <v>14155</v>
      </c>
      <c r="I1270" s="2" t="s">
        <v>14156</v>
      </c>
      <c r="J1270" s="2" t="s">
        <v>14157</v>
      </c>
      <c r="K1270" s="2" t="s">
        <v>14158</v>
      </c>
      <c r="L1270" s="2" t="s">
        <v>14159</v>
      </c>
      <c r="M1270" s="2" t="s">
        <v>14160</v>
      </c>
      <c r="N1270" s="2" t="s">
        <v>14161</v>
      </c>
      <c r="O1270" s="2" t="s">
        <v>14162</v>
      </c>
      <c r="P1270" s="2" t="s">
        <v>14149</v>
      </c>
    </row>
    <row r="1271" spans="1:16">
      <c r="A1271" s="1">
        <v>1270</v>
      </c>
      <c r="B1271" s="2" t="s">
        <v>14163</v>
      </c>
      <c r="C1271" s="2" t="s">
        <v>11298</v>
      </c>
      <c r="D1271" s="2" t="s">
        <v>14164</v>
      </c>
      <c r="E1271" s="2" t="s">
        <v>14165</v>
      </c>
      <c r="F1271" s="2" t="s">
        <v>14166</v>
      </c>
      <c r="G1271" s="2" t="s">
        <v>14167</v>
      </c>
      <c r="H1271" s="2" t="s">
        <v>14168</v>
      </c>
      <c r="I1271" s="2" t="s">
        <v>14169</v>
      </c>
      <c r="J1271" s="2" t="s">
        <v>14170</v>
      </c>
      <c r="K1271" s="2" t="s">
        <v>14171</v>
      </c>
      <c r="L1271" s="2" t="s">
        <v>14172</v>
      </c>
      <c r="M1271" s="2" t="s">
        <v>14173</v>
      </c>
      <c r="N1271" s="2" t="s">
        <v>14174</v>
      </c>
      <c r="O1271" s="2" t="s">
        <v>14175</v>
      </c>
      <c r="P1271" s="2" t="s">
        <v>14163</v>
      </c>
    </row>
    <row r="1272" spans="1:16">
      <c r="A1272" s="1">
        <v>1271</v>
      </c>
      <c r="B1272" s="2" t="s">
        <v>12633</v>
      </c>
      <c r="C1272" s="2" t="s">
        <v>12634</v>
      </c>
      <c r="D1272" s="2" t="s">
        <v>12635</v>
      </c>
      <c r="E1272" s="2" t="s">
        <v>12636</v>
      </c>
      <c r="F1272" s="2" t="s">
        <v>14176</v>
      </c>
      <c r="G1272" s="2" t="s">
        <v>12638</v>
      </c>
      <c r="H1272" s="2" t="s">
        <v>12639</v>
      </c>
      <c r="I1272" s="2" t="s">
        <v>12640</v>
      </c>
      <c r="J1272" s="2" t="s">
        <v>12641</v>
      </c>
      <c r="K1272" s="2" t="s">
        <v>12642</v>
      </c>
      <c r="L1272" s="2" t="s">
        <v>12643</v>
      </c>
      <c r="M1272" s="2" t="s">
        <v>12644</v>
      </c>
      <c r="N1272" s="2" t="s">
        <v>12645</v>
      </c>
      <c r="O1272" s="2" t="s">
        <v>12646</v>
      </c>
      <c r="P1272" s="2" t="s">
        <v>12633</v>
      </c>
    </row>
    <row r="1273" spans="1:16">
      <c r="A1273" s="1">
        <v>1272</v>
      </c>
      <c r="B1273" s="2" t="s">
        <v>14177</v>
      </c>
      <c r="C1273" s="2" t="s">
        <v>14178</v>
      </c>
      <c r="D1273" s="2" t="s">
        <v>14179</v>
      </c>
      <c r="E1273" s="2" t="s">
        <v>14180</v>
      </c>
      <c r="F1273" s="2" t="s">
        <v>14181</v>
      </c>
      <c r="G1273" s="2" t="s">
        <v>14182</v>
      </c>
      <c r="H1273" s="2" t="s">
        <v>14183</v>
      </c>
      <c r="I1273" s="2" t="s">
        <v>14184</v>
      </c>
      <c r="J1273" s="2" t="s">
        <v>14185</v>
      </c>
      <c r="K1273" s="2" t="s">
        <v>14186</v>
      </c>
      <c r="L1273" s="2" t="s">
        <v>14187</v>
      </c>
      <c r="M1273" s="2" t="s">
        <v>11363</v>
      </c>
      <c r="N1273" s="2" t="s">
        <v>14188</v>
      </c>
      <c r="O1273" s="2" t="s">
        <v>14189</v>
      </c>
      <c r="P1273" s="2" t="s">
        <v>14177</v>
      </c>
    </row>
    <row r="1274" spans="1:16">
      <c r="A1274" s="1">
        <v>1273</v>
      </c>
      <c r="B1274" s="2" t="s">
        <v>22856</v>
      </c>
      <c r="C1274" s="2" t="s">
        <v>14191</v>
      </c>
      <c r="D1274" s="2" t="s">
        <v>14192</v>
      </c>
      <c r="E1274" s="2" t="s">
        <v>25746</v>
      </c>
      <c r="F1274" s="2" t="s">
        <v>14193</v>
      </c>
      <c r="G1274" s="2" t="s">
        <v>14194</v>
      </c>
      <c r="H1274" s="2" t="s">
        <v>14195</v>
      </c>
      <c r="I1274" s="2" t="s">
        <v>14196</v>
      </c>
      <c r="J1274" s="2" t="s">
        <v>14197</v>
      </c>
      <c r="K1274" s="2" t="s">
        <v>14198</v>
      </c>
      <c r="L1274" s="2" t="s">
        <v>14199</v>
      </c>
      <c r="M1274" s="2" t="s">
        <v>14200</v>
      </c>
      <c r="N1274" s="2" t="s">
        <v>14200</v>
      </c>
      <c r="O1274" s="2" t="s">
        <v>14201</v>
      </c>
      <c r="P1274" s="2" t="s">
        <v>14190</v>
      </c>
    </row>
    <row r="1275" spans="1:16">
      <c r="A1275" s="1">
        <v>1274</v>
      </c>
      <c r="B1275" s="2" t="s">
        <v>14202</v>
      </c>
      <c r="C1275" s="2" t="s">
        <v>14203</v>
      </c>
      <c r="D1275" s="2" t="s">
        <v>14204</v>
      </c>
      <c r="E1275" s="2" t="s">
        <v>14205</v>
      </c>
      <c r="F1275" s="2" t="s">
        <v>14206</v>
      </c>
      <c r="G1275" s="2" t="s">
        <v>14207</v>
      </c>
      <c r="H1275" s="2" t="s">
        <v>14208</v>
      </c>
      <c r="I1275" s="2" t="s">
        <v>14209</v>
      </c>
      <c r="J1275" s="2" t="s">
        <v>14210</v>
      </c>
      <c r="K1275" s="2" t="s">
        <v>14211</v>
      </c>
      <c r="L1275" s="2" t="s">
        <v>14212</v>
      </c>
      <c r="M1275" s="2" t="s">
        <v>14213</v>
      </c>
      <c r="N1275" s="2" t="s">
        <v>14213</v>
      </c>
      <c r="O1275" s="2" t="s">
        <v>14214</v>
      </c>
      <c r="P1275" s="2" t="s">
        <v>14202</v>
      </c>
    </row>
    <row r="1276" spans="1:16" ht="15">
      <c r="A1276" s="1">
        <v>1275</v>
      </c>
      <c r="B1276" s="2" t="s">
        <v>14215</v>
      </c>
      <c r="C1276" s="2" t="s">
        <v>2212</v>
      </c>
      <c r="D1276" s="2" t="s">
        <v>14216</v>
      </c>
      <c r="E1276" s="2" t="s">
        <v>25747</v>
      </c>
      <c r="F1276" s="2" t="s">
        <v>2215</v>
      </c>
      <c r="G1276" s="2" t="s">
        <v>24970</v>
      </c>
      <c r="H1276" s="2" t="s">
        <v>24971</v>
      </c>
      <c r="I1276" s="2" t="s">
        <v>24972</v>
      </c>
      <c r="J1276" s="2" t="s">
        <v>24973</v>
      </c>
      <c r="K1276" s="2" t="s">
        <v>24974</v>
      </c>
      <c r="L1276" s="2" t="s">
        <v>24975</v>
      </c>
      <c r="M1276" s="2" t="s">
        <v>24976</v>
      </c>
      <c r="N1276" s="2" t="s">
        <v>24977</v>
      </c>
      <c r="O1276" s="2" t="s">
        <v>24978</v>
      </c>
      <c r="P1276" s="2" t="s">
        <v>14215</v>
      </c>
    </row>
    <row r="1277" spans="1:16">
      <c r="A1277" s="1">
        <v>1276</v>
      </c>
      <c r="B1277" s="2" t="s">
        <v>14217</v>
      </c>
      <c r="C1277" s="2" t="s">
        <v>2492</v>
      </c>
      <c r="D1277" s="2" t="s">
        <v>14218</v>
      </c>
      <c r="E1277" s="2" t="s">
        <v>14219</v>
      </c>
      <c r="F1277" s="2" t="s">
        <v>2495</v>
      </c>
      <c r="G1277" s="2" t="s">
        <v>14220</v>
      </c>
      <c r="H1277" s="2" t="s">
        <v>14221</v>
      </c>
      <c r="I1277" s="2" t="s">
        <v>14222</v>
      </c>
      <c r="J1277" s="2" t="s">
        <v>14223</v>
      </c>
      <c r="K1277" s="2" t="s">
        <v>14224</v>
      </c>
      <c r="L1277" s="2" t="s">
        <v>14225</v>
      </c>
      <c r="M1277" s="2" t="s">
        <v>14226</v>
      </c>
      <c r="N1277" s="2" t="s">
        <v>14227</v>
      </c>
      <c r="O1277" s="2" t="s">
        <v>14228</v>
      </c>
      <c r="P1277" s="2" t="s">
        <v>14217</v>
      </c>
    </row>
    <row r="1278" spans="1:16">
      <c r="A1278" s="1">
        <v>1277</v>
      </c>
      <c r="B1278" s="2" t="s">
        <v>14229</v>
      </c>
      <c r="C1278" s="2" t="s">
        <v>14230</v>
      </c>
      <c r="D1278" s="2" t="s">
        <v>14231</v>
      </c>
      <c r="E1278" s="2" t="s">
        <v>14232</v>
      </c>
      <c r="F1278" s="2" t="s">
        <v>14233</v>
      </c>
      <c r="G1278" s="2" t="s">
        <v>14234</v>
      </c>
      <c r="H1278" s="2" t="s">
        <v>14235</v>
      </c>
      <c r="I1278" s="2" t="s">
        <v>14236</v>
      </c>
      <c r="J1278" s="2" t="s">
        <v>14237</v>
      </c>
      <c r="K1278" s="2" t="s">
        <v>14238</v>
      </c>
      <c r="L1278" s="2" t="s">
        <v>14239</v>
      </c>
      <c r="M1278" s="2" t="s">
        <v>14240</v>
      </c>
      <c r="N1278" s="2" t="s">
        <v>14241</v>
      </c>
      <c r="O1278" s="2" t="s">
        <v>14242</v>
      </c>
      <c r="P1278" s="2" t="s">
        <v>14229</v>
      </c>
    </row>
    <row r="1279" spans="1:16">
      <c r="A1279" s="1">
        <v>1278</v>
      </c>
      <c r="B1279" s="2" t="s">
        <v>14243</v>
      </c>
      <c r="C1279" s="2" t="s">
        <v>14244</v>
      </c>
      <c r="D1279" s="2" t="s">
        <v>14245</v>
      </c>
      <c r="E1279" s="2" t="s">
        <v>14246</v>
      </c>
      <c r="F1279" s="2" t="s">
        <v>14247</v>
      </c>
      <c r="G1279" s="2" t="s">
        <v>14248</v>
      </c>
      <c r="H1279" s="2" t="s">
        <v>14249</v>
      </c>
      <c r="I1279" s="2" t="s">
        <v>14250</v>
      </c>
      <c r="J1279" s="2" t="s">
        <v>14251</v>
      </c>
      <c r="K1279" s="2" t="s">
        <v>14252</v>
      </c>
      <c r="L1279" s="2" t="s">
        <v>14253</v>
      </c>
      <c r="M1279" s="2" t="s">
        <v>14254</v>
      </c>
      <c r="N1279" s="2" t="s">
        <v>14255</v>
      </c>
      <c r="O1279" s="2" t="s">
        <v>14256</v>
      </c>
      <c r="P1279" s="2" t="s">
        <v>14243</v>
      </c>
    </row>
    <row r="1280" spans="1:16">
      <c r="A1280" s="1">
        <v>1279</v>
      </c>
      <c r="B1280" s="2" t="s">
        <v>14257</v>
      </c>
      <c r="C1280" s="2" t="s">
        <v>14258</v>
      </c>
      <c r="D1280" s="2" t="s">
        <v>14259</v>
      </c>
      <c r="E1280" s="2" t="s">
        <v>14260</v>
      </c>
      <c r="F1280" s="2" t="s">
        <v>14261</v>
      </c>
      <c r="G1280" s="2" t="s">
        <v>14262</v>
      </c>
      <c r="H1280" s="2" t="s">
        <v>14263</v>
      </c>
      <c r="I1280" s="2" t="s">
        <v>14264</v>
      </c>
      <c r="J1280" s="2" t="s">
        <v>14265</v>
      </c>
      <c r="K1280" s="2" t="s">
        <v>14266</v>
      </c>
      <c r="L1280" s="2" t="s">
        <v>14267</v>
      </c>
      <c r="M1280" s="2" t="s">
        <v>14268</v>
      </c>
      <c r="N1280" s="2" t="s">
        <v>14269</v>
      </c>
      <c r="O1280" s="2" t="s">
        <v>14270</v>
      </c>
      <c r="P1280" s="2" t="s">
        <v>14257</v>
      </c>
    </row>
    <row r="1281" spans="1:16">
      <c r="A1281" s="1">
        <v>1280</v>
      </c>
      <c r="B1281" s="2" t="s">
        <v>3904</v>
      </c>
      <c r="C1281" s="2" t="s">
        <v>14271</v>
      </c>
      <c r="D1281" s="2" t="s">
        <v>3906</v>
      </c>
      <c r="E1281" s="2" t="s">
        <v>3907</v>
      </c>
      <c r="F1281" s="2" t="s">
        <v>14272</v>
      </c>
      <c r="G1281" s="2" t="s">
        <v>3909</v>
      </c>
      <c r="H1281" s="2" t="s">
        <v>3910</v>
      </c>
      <c r="I1281" s="2" t="s">
        <v>3911</v>
      </c>
      <c r="J1281" s="2" t="s">
        <v>3912</v>
      </c>
      <c r="K1281" s="2" t="s">
        <v>3913</v>
      </c>
      <c r="L1281" s="2" t="s">
        <v>3914</v>
      </c>
      <c r="M1281" s="2" t="s">
        <v>3915</v>
      </c>
      <c r="N1281" s="2" t="s">
        <v>3916</v>
      </c>
      <c r="O1281" s="2" t="s">
        <v>3917</v>
      </c>
      <c r="P1281" s="2" t="s">
        <v>3904</v>
      </c>
    </row>
    <row r="1282" spans="1:16">
      <c r="A1282" s="1">
        <v>1281</v>
      </c>
      <c r="B1282" s="2" t="s">
        <v>12713</v>
      </c>
      <c r="C1282" s="2" t="s">
        <v>12714</v>
      </c>
      <c r="D1282" s="2" t="s">
        <v>12715</v>
      </c>
      <c r="E1282" s="2" t="s">
        <v>12716</v>
      </c>
      <c r="F1282" s="2" t="s">
        <v>14273</v>
      </c>
      <c r="G1282" s="2" t="s">
        <v>14274</v>
      </c>
      <c r="H1282" s="2" t="s">
        <v>12719</v>
      </c>
      <c r="I1282" s="2" t="s">
        <v>12720</v>
      </c>
      <c r="J1282" s="2" t="s">
        <v>12721</v>
      </c>
      <c r="K1282" s="2" t="s">
        <v>12722</v>
      </c>
      <c r="L1282" s="2" t="s">
        <v>12723</v>
      </c>
      <c r="M1282" s="2" t="s">
        <v>12724</v>
      </c>
      <c r="N1282" s="2" t="s">
        <v>12725</v>
      </c>
      <c r="O1282" s="2" t="s">
        <v>12726</v>
      </c>
      <c r="P1282" s="2" t="s">
        <v>12713</v>
      </c>
    </row>
    <row r="1283" spans="1:16">
      <c r="A1283" s="1">
        <v>1282</v>
      </c>
      <c r="B1283" s="2" t="s">
        <v>14275</v>
      </c>
      <c r="C1283" s="2" t="s">
        <v>14276</v>
      </c>
      <c r="D1283" s="2" t="s">
        <v>14277</v>
      </c>
      <c r="E1283" s="2" t="s">
        <v>14278</v>
      </c>
      <c r="F1283" s="2" t="s">
        <v>14279</v>
      </c>
      <c r="G1283" s="2" t="s">
        <v>14280</v>
      </c>
      <c r="H1283" s="2" t="s">
        <v>14281</v>
      </c>
      <c r="I1283" s="2" t="s">
        <v>14282</v>
      </c>
      <c r="J1283" s="2" t="s">
        <v>14283</v>
      </c>
      <c r="K1283" s="2" t="s">
        <v>14284</v>
      </c>
      <c r="L1283" s="2" t="s">
        <v>14285</v>
      </c>
      <c r="M1283" s="2" t="s">
        <v>14286</v>
      </c>
      <c r="N1283" s="2" t="s">
        <v>14287</v>
      </c>
      <c r="O1283" s="2" t="s">
        <v>14288</v>
      </c>
      <c r="P1283" s="2" t="s">
        <v>14275</v>
      </c>
    </row>
    <row r="1284" spans="1:16">
      <c r="A1284" s="1">
        <v>1283</v>
      </c>
      <c r="B1284" s="2" t="s">
        <v>14289</v>
      </c>
      <c r="C1284" s="2" t="s">
        <v>1844</v>
      </c>
      <c r="D1284" s="2" t="s">
        <v>14290</v>
      </c>
      <c r="E1284" s="2" t="s">
        <v>14291</v>
      </c>
      <c r="F1284" s="2" t="s">
        <v>14292</v>
      </c>
      <c r="G1284" s="2" t="s">
        <v>14293</v>
      </c>
      <c r="H1284" s="2" t="s">
        <v>14294</v>
      </c>
      <c r="I1284" s="2" t="s">
        <v>14295</v>
      </c>
      <c r="J1284" s="2" t="s">
        <v>14296</v>
      </c>
      <c r="K1284" s="2" t="s">
        <v>14297</v>
      </c>
      <c r="L1284" s="2" t="s">
        <v>14298</v>
      </c>
      <c r="M1284" s="2" t="s">
        <v>14299</v>
      </c>
      <c r="N1284" s="2" t="s">
        <v>14300</v>
      </c>
      <c r="O1284" s="2" t="s">
        <v>14301</v>
      </c>
      <c r="P1284" s="2" t="s">
        <v>14289</v>
      </c>
    </row>
    <row r="1285" spans="1:16">
      <c r="A1285" s="1">
        <v>1284</v>
      </c>
      <c r="B1285" s="2" t="s">
        <v>14302</v>
      </c>
      <c r="C1285" s="2" t="s">
        <v>14303</v>
      </c>
      <c r="D1285" s="2" t="s">
        <v>14304</v>
      </c>
      <c r="E1285" s="2" t="s">
        <v>14305</v>
      </c>
      <c r="F1285" s="2" t="s">
        <v>14306</v>
      </c>
      <c r="G1285" s="2" t="s">
        <v>14307</v>
      </c>
      <c r="H1285" s="2" t="s">
        <v>14308</v>
      </c>
      <c r="I1285" s="2" t="s">
        <v>14309</v>
      </c>
      <c r="J1285" s="2" t="s">
        <v>14310</v>
      </c>
      <c r="K1285" s="2" t="s">
        <v>14311</v>
      </c>
      <c r="L1285" s="2" t="s">
        <v>14312</v>
      </c>
      <c r="M1285" s="2" t="s">
        <v>14313</v>
      </c>
      <c r="N1285" s="2" t="s">
        <v>14314</v>
      </c>
      <c r="O1285" s="2" t="s">
        <v>14315</v>
      </c>
      <c r="P1285" s="2" t="s">
        <v>14302</v>
      </c>
    </row>
    <row r="1286" spans="1:16">
      <c r="A1286" s="1">
        <v>1285</v>
      </c>
      <c r="B1286" s="2" t="s">
        <v>14316</v>
      </c>
      <c r="C1286" s="2" t="s">
        <v>14317</v>
      </c>
      <c r="D1286" s="2" t="s">
        <v>14318</v>
      </c>
      <c r="E1286" s="2" t="s">
        <v>14319</v>
      </c>
      <c r="F1286" s="2" t="s">
        <v>14320</v>
      </c>
      <c r="G1286" s="2" t="s">
        <v>14321</v>
      </c>
      <c r="H1286" s="2" t="s">
        <v>14322</v>
      </c>
      <c r="I1286" s="2" t="s">
        <v>14323</v>
      </c>
      <c r="J1286" s="2" t="s">
        <v>14324</v>
      </c>
      <c r="K1286" s="2" t="s">
        <v>14325</v>
      </c>
      <c r="L1286" s="2" t="s">
        <v>14326</v>
      </c>
      <c r="M1286" s="2" t="s">
        <v>14327</v>
      </c>
      <c r="N1286" s="2" t="s">
        <v>14328</v>
      </c>
      <c r="O1286" s="2" t="s">
        <v>14329</v>
      </c>
      <c r="P1286" s="2" t="s">
        <v>14316</v>
      </c>
    </row>
    <row r="1287" spans="1:16">
      <c r="A1287" s="1">
        <v>1286</v>
      </c>
      <c r="B1287" s="2" t="s">
        <v>14330</v>
      </c>
      <c r="C1287" s="2" t="s">
        <v>10950</v>
      </c>
      <c r="D1287" s="2" t="s">
        <v>10951</v>
      </c>
      <c r="E1287" s="2" t="s">
        <v>14331</v>
      </c>
      <c r="F1287" s="2" t="s">
        <v>14332</v>
      </c>
      <c r="G1287" s="2" t="s">
        <v>14333</v>
      </c>
      <c r="H1287" s="2" t="s">
        <v>14334</v>
      </c>
      <c r="I1287" s="2" t="s">
        <v>14335</v>
      </c>
      <c r="J1287" s="2" t="s">
        <v>14336</v>
      </c>
      <c r="K1287" s="2" t="s">
        <v>14337</v>
      </c>
      <c r="L1287" s="2" t="s">
        <v>14338</v>
      </c>
      <c r="M1287" s="2" t="s">
        <v>10960</v>
      </c>
      <c r="N1287" s="2" t="s">
        <v>14339</v>
      </c>
      <c r="O1287" s="2" t="s">
        <v>14340</v>
      </c>
      <c r="P1287" s="2" t="s">
        <v>14330</v>
      </c>
    </row>
    <row r="1288" spans="1:16">
      <c r="A1288" s="1">
        <v>1287</v>
      </c>
      <c r="B1288" s="2" t="s">
        <v>22857</v>
      </c>
      <c r="C1288" s="2" t="s">
        <v>14342</v>
      </c>
      <c r="D1288" s="2" t="s">
        <v>14343</v>
      </c>
      <c r="E1288" s="2" t="s">
        <v>14344</v>
      </c>
      <c r="F1288" s="2" t="s">
        <v>14345</v>
      </c>
      <c r="G1288" s="2" t="s">
        <v>14346</v>
      </c>
      <c r="H1288" s="2" t="s">
        <v>14347</v>
      </c>
      <c r="I1288" s="2" t="s">
        <v>14348</v>
      </c>
      <c r="J1288" s="2" t="s">
        <v>14349</v>
      </c>
      <c r="K1288" s="2" t="s">
        <v>14350</v>
      </c>
      <c r="L1288" s="2" t="s">
        <v>14351</v>
      </c>
      <c r="M1288" s="2" t="s">
        <v>14352</v>
      </c>
      <c r="N1288" s="2" t="s">
        <v>14353</v>
      </c>
      <c r="O1288" s="2" t="s">
        <v>14354</v>
      </c>
      <c r="P1288" s="2" t="s">
        <v>14341</v>
      </c>
    </row>
    <row r="1289" spans="1:16">
      <c r="A1289" s="1">
        <v>1288</v>
      </c>
      <c r="B1289" s="2" t="s">
        <v>14355</v>
      </c>
      <c r="C1289" s="2" t="s">
        <v>3410</v>
      </c>
      <c r="D1289" s="2" t="s">
        <v>14356</v>
      </c>
      <c r="E1289" s="2" t="s">
        <v>14357</v>
      </c>
      <c r="F1289" s="2" t="s">
        <v>14358</v>
      </c>
      <c r="G1289" s="2" t="s">
        <v>3414</v>
      </c>
      <c r="H1289" s="2" t="s">
        <v>3415</v>
      </c>
      <c r="I1289" s="2" t="s">
        <v>3416</v>
      </c>
      <c r="J1289" s="2" t="s">
        <v>14359</v>
      </c>
      <c r="K1289" s="2" t="s">
        <v>14360</v>
      </c>
      <c r="L1289" s="2" t="s">
        <v>3419</v>
      </c>
      <c r="M1289" s="2" t="s">
        <v>14361</v>
      </c>
      <c r="N1289" s="2" t="s">
        <v>14362</v>
      </c>
      <c r="O1289" s="2" t="s">
        <v>3422</v>
      </c>
      <c r="P1289" s="2" t="s">
        <v>14355</v>
      </c>
    </row>
    <row r="1290" spans="1:16">
      <c r="A1290" s="1">
        <v>1289</v>
      </c>
      <c r="B1290" s="2" t="s">
        <v>14363</v>
      </c>
      <c r="C1290" s="2" t="s">
        <v>3396</v>
      </c>
      <c r="D1290" s="2" t="s">
        <v>14364</v>
      </c>
      <c r="E1290" s="2" t="s">
        <v>14365</v>
      </c>
      <c r="F1290" s="2" t="s">
        <v>14366</v>
      </c>
      <c r="G1290" s="2" t="s">
        <v>3400</v>
      </c>
      <c r="H1290" s="2" t="s">
        <v>14367</v>
      </c>
      <c r="I1290" s="2" t="s">
        <v>3402</v>
      </c>
      <c r="J1290" s="2" t="s">
        <v>14368</v>
      </c>
      <c r="K1290" s="2" t="s">
        <v>3404</v>
      </c>
      <c r="L1290" s="2" t="s">
        <v>3405</v>
      </c>
      <c r="M1290" s="2" t="s">
        <v>14369</v>
      </c>
      <c r="N1290" s="2" t="s">
        <v>14370</v>
      </c>
      <c r="O1290" s="2" t="s">
        <v>14371</v>
      </c>
      <c r="P1290" s="2" t="s">
        <v>14363</v>
      </c>
    </row>
    <row r="1291" spans="1:16">
      <c r="A1291" s="1">
        <v>1290</v>
      </c>
      <c r="B1291" s="2" t="s">
        <v>14372</v>
      </c>
      <c r="C1291" s="2" t="s">
        <v>14373</v>
      </c>
      <c r="D1291" s="2" t="s">
        <v>14374</v>
      </c>
      <c r="E1291" s="2" t="s">
        <v>14375</v>
      </c>
      <c r="F1291" s="2" t="s">
        <v>14376</v>
      </c>
      <c r="G1291" s="2" t="s">
        <v>14377</v>
      </c>
      <c r="H1291" s="2" t="s">
        <v>14378</v>
      </c>
      <c r="I1291" s="2" t="s">
        <v>14379</v>
      </c>
      <c r="J1291" s="2" t="s">
        <v>14380</v>
      </c>
      <c r="K1291" s="2" t="s">
        <v>14381</v>
      </c>
      <c r="L1291" s="2" t="s">
        <v>14382</v>
      </c>
      <c r="M1291" s="2" t="s">
        <v>14383</v>
      </c>
      <c r="N1291" s="2" t="s">
        <v>14384</v>
      </c>
      <c r="O1291" s="2" t="s">
        <v>14385</v>
      </c>
      <c r="P1291" s="2" t="s">
        <v>14372</v>
      </c>
    </row>
    <row r="1292" spans="1:16">
      <c r="A1292" s="1">
        <v>1291</v>
      </c>
      <c r="B1292" s="2" t="s">
        <v>14386</v>
      </c>
      <c r="C1292" s="2" t="s">
        <v>14387</v>
      </c>
      <c r="D1292" s="2" t="s">
        <v>14388</v>
      </c>
      <c r="E1292" s="2" t="s">
        <v>14389</v>
      </c>
      <c r="F1292" s="2" t="s">
        <v>14390</v>
      </c>
      <c r="G1292" s="2" t="s">
        <v>14391</v>
      </c>
      <c r="H1292" s="2" t="s">
        <v>14392</v>
      </c>
      <c r="I1292" s="2" t="s">
        <v>14393</v>
      </c>
      <c r="J1292" s="2" t="s">
        <v>14394</v>
      </c>
      <c r="K1292" s="2" t="s">
        <v>14395</v>
      </c>
      <c r="L1292" s="2" t="s">
        <v>14396</v>
      </c>
      <c r="M1292" s="2" t="s">
        <v>14397</v>
      </c>
      <c r="N1292" s="2" t="s">
        <v>14398</v>
      </c>
      <c r="O1292" s="2" t="s">
        <v>14399</v>
      </c>
      <c r="P1292" s="2" t="s">
        <v>14386</v>
      </c>
    </row>
    <row r="1293" spans="1:16">
      <c r="A1293" s="1">
        <v>1292</v>
      </c>
      <c r="B1293" s="2" t="s">
        <v>14400</v>
      </c>
      <c r="C1293" s="2" t="s">
        <v>14401</v>
      </c>
      <c r="D1293" s="2" t="s">
        <v>14402</v>
      </c>
      <c r="E1293" s="2" t="s">
        <v>14403</v>
      </c>
      <c r="F1293" s="2" t="s">
        <v>14404</v>
      </c>
      <c r="G1293" s="2" t="s">
        <v>14405</v>
      </c>
      <c r="H1293" s="2" t="s">
        <v>14406</v>
      </c>
      <c r="I1293" s="2" t="s">
        <v>14407</v>
      </c>
      <c r="J1293" s="2" t="s">
        <v>14408</v>
      </c>
      <c r="K1293" s="2" t="s">
        <v>14409</v>
      </c>
      <c r="L1293" s="2" t="s">
        <v>14410</v>
      </c>
      <c r="M1293" s="2" t="s">
        <v>14411</v>
      </c>
      <c r="N1293" s="2" t="s">
        <v>14412</v>
      </c>
      <c r="O1293" s="2" t="s">
        <v>14413</v>
      </c>
      <c r="P1293" s="2" t="s">
        <v>14400</v>
      </c>
    </row>
    <row r="1294" spans="1:16">
      <c r="A1294" s="1">
        <v>1293</v>
      </c>
      <c r="B1294" s="2" t="s">
        <v>14414</v>
      </c>
      <c r="C1294" s="2" t="s">
        <v>14415</v>
      </c>
      <c r="D1294" s="2" t="s">
        <v>14416</v>
      </c>
      <c r="E1294" s="2" t="s">
        <v>14417</v>
      </c>
      <c r="F1294" s="2" t="s">
        <v>14418</v>
      </c>
      <c r="G1294" s="2" t="s">
        <v>14419</v>
      </c>
      <c r="H1294" s="2" t="s">
        <v>14420</v>
      </c>
      <c r="I1294" s="2" t="s">
        <v>14421</v>
      </c>
      <c r="J1294" s="2" t="s">
        <v>14422</v>
      </c>
      <c r="K1294" s="2" t="s">
        <v>14423</v>
      </c>
      <c r="L1294" s="2" t="s">
        <v>14424</v>
      </c>
      <c r="M1294" s="2" t="s">
        <v>14425</v>
      </c>
      <c r="N1294" s="2" t="s">
        <v>14426</v>
      </c>
      <c r="O1294" s="2" t="s">
        <v>14427</v>
      </c>
      <c r="P1294" s="2" t="s">
        <v>14414</v>
      </c>
    </row>
    <row r="1295" spans="1:16">
      <c r="A1295" s="1">
        <v>1294</v>
      </c>
      <c r="B1295" s="2" t="s">
        <v>14428</v>
      </c>
      <c r="C1295" s="2" t="s">
        <v>14429</v>
      </c>
      <c r="D1295" s="2" t="s">
        <v>14430</v>
      </c>
      <c r="E1295" s="2" t="s">
        <v>14431</v>
      </c>
      <c r="F1295" s="2" t="s">
        <v>14432</v>
      </c>
      <c r="G1295" s="2" t="s">
        <v>14433</v>
      </c>
      <c r="H1295" s="2" t="s">
        <v>14434</v>
      </c>
      <c r="I1295" s="2" t="s">
        <v>14435</v>
      </c>
      <c r="J1295" s="2" t="s">
        <v>14436</v>
      </c>
      <c r="K1295" s="2" t="s">
        <v>14437</v>
      </c>
      <c r="L1295" s="2" t="s">
        <v>14438</v>
      </c>
      <c r="M1295" s="2" t="s">
        <v>14439</v>
      </c>
      <c r="N1295" s="2" t="s">
        <v>14440</v>
      </c>
      <c r="O1295" s="2" t="s">
        <v>14441</v>
      </c>
      <c r="P1295" s="2" t="s">
        <v>14428</v>
      </c>
    </row>
    <row r="1296" spans="1:16">
      <c r="A1296" s="1">
        <v>1295</v>
      </c>
      <c r="B1296" s="2" t="s">
        <v>6434</v>
      </c>
      <c r="C1296" s="2" t="s">
        <v>14443</v>
      </c>
      <c r="D1296" s="2" t="s">
        <v>14444</v>
      </c>
      <c r="E1296" s="2" t="s">
        <v>6437</v>
      </c>
      <c r="F1296" s="2" t="s">
        <v>14445</v>
      </c>
      <c r="G1296" s="2" t="s">
        <v>14446</v>
      </c>
      <c r="H1296" s="2" t="s">
        <v>14447</v>
      </c>
      <c r="I1296" s="2" t="s">
        <v>14448</v>
      </c>
      <c r="J1296" s="2" t="s">
        <v>14449</v>
      </c>
      <c r="K1296" s="2" t="s">
        <v>14450</v>
      </c>
      <c r="L1296" s="2" t="s">
        <v>14451</v>
      </c>
      <c r="M1296" s="2" t="s">
        <v>14452</v>
      </c>
      <c r="N1296" s="2" t="s">
        <v>14453</v>
      </c>
      <c r="O1296" s="2" t="s">
        <v>14450</v>
      </c>
      <c r="P1296" s="2" t="s">
        <v>14442</v>
      </c>
    </row>
    <row r="1297" spans="1:16">
      <c r="A1297" s="1">
        <v>1296</v>
      </c>
      <c r="B1297" s="2" t="s">
        <v>14454</v>
      </c>
      <c r="C1297" s="2" t="s">
        <v>14455</v>
      </c>
      <c r="D1297" s="2" t="s">
        <v>14456</v>
      </c>
      <c r="E1297" s="2" t="s">
        <v>14457</v>
      </c>
      <c r="F1297" s="2" t="s">
        <v>14458</v>
      </c>
      <c r="G1297" s="2" t="s">
        <v>14459</v>
      </c>
      <c r="H1297" s="2" t="s">
        <v>14460</v>
      </c>
      <c r="I1297" s="2" t="s">
        <v>14461</v>
      </c>
      <c r="J1297" s="2" t="s">
        <v>14462</v>
      </c>
      <c r="K1297" s="2" t="s">
        <v>14463</v>
      </c>
      <c r="L1297" s="2" t="s">
        <v>14464</v>
      </c>
      <c r="M1297" s="2" t="s">
        <v>14465</v>
      </c>
      <c r="N1297" s="2" t="s">
        <v>14466</v>
      </c>
      <c r="O1297" s="2" t="s">
        <v>14467</v>
      </c>
      <c r="P1297" s="2" t="s">
        <v>14454</v>
      </c>
    </row>
    <row r="1298" spans="1:16">
      <c r="A1298" s="1">
        <v>1297</v>
      </c>
      <c r="B1298" s="2" t="s">
        <v>14468</v>
      </c>
      <c r="C1298" s="2" t="s">
        <v>14469</v>
      </c>
      <c r="D1298" s="2" t="s">
        <v>14470</v>
      </c>
      <c r="E1298" s="2" t="s">
        <v>14471</v>
      </c>
      <c r="F1298" s="2" t="s">
        <v>14472</v>
      </c>
      <c r="G1298" s="2" t="s">
        <v>14473</v>
      </c>
      <c r="H1298" s="2" t="s">
        <v>14474</v>
      </c>
      <c r="I1298" s="2" t="s">
        <v>14475</v>
      </c>
      <c r="J1298" s="2" t="s">
        <v>14476</v>
      </c>
      <c r="K1298" s="2" t="s">
        <v>14477</v>
      </c>
      <c r="L1298" s="2" t="s">
        <v>14478</v>
      </c>
      <c r="M1298" s="2" t="s">
        <v>14479</v>
      </c>
      <c r="N1298" s="2" t="s">
        <v>14480</v>
      </c>
      <c r="O1298" s="2" t="s">
        <v>14481</v>
      </c>
      <c r="P1298" s="2" t="s">
        <v>14468</v>
      </c>
    </row>
    <row r="1299" spans="1:16">
      <c r="A1299" s="1">
        <v>1298</v>
      </c>
      <c r="B1299" s="2" t="s">
        <v>14482</v>
      </c>
      <c r="C1299" s="2" t="s">
        <v>14483</v>
      </c>
      <c r="D1299" s="2" t="s">
        <v>14484</v>
      </c>
      <c r="E1299" s="2" t="s">
        <v>14485</v>
      </c>
      <c r="F1299" s="2" t="s">
        <v>14486</v>
      </c>
      <c r="G1299" s="2" t="s">
        <v>14487</v>
      </c>
      <c r="H1299" s="2" t="s">
        <v>14488</v>
      </c>
      <c r="I1299" s="2" t="s">
        <v>14489</v>
      </c>
      <c r="J1299" s="2" t="s">
        <v>14490</v>
      </c>
      <c r="K1299" s="2" t="s">
        <v>14491</v>
      </c>
      <c r="L1299" s="2" t="s">
        <v>14492</v>
      </c>
      <c r="M1299" s="2" t="s">
        <v>14493</v>
      </c>
      <c r="N1299" s="2" t="s">
        <v>14494</v>
      </c>
      <c r="O1299" s="2" t="s">
        <v>14491</v>
      </c>
      <c r="P1299" s="2" t="s">
        <v>14482</v>
      </c>
    </row>
    <row r="1300" spans="1:16" ht="15">
      <c r="A1300" s="1">
        <v>1299</v>
      </c>
      <c r="B1300" s="2" t="s">
        <v>22858</v>
      </c>
      <c r="C1300" s="2" t="s">
        <v>14496</v>
      </c>
      <c r="D1300" s="2" t="s">
        <v>14497</v>
      </c>
      <c r="E1300" s="2" t="s">
        <v>25748</v>
      </c>
      <c r="F1300" s="2" t="s">
        <v>24979</v>
      </c>
      <c r="G1300" s="2" t="s">
        <v>24980</v>
      </c>
      <c r="H1300" s="2" t="s">
        <v>24981</v>
      </c>
      <c r="I1300" s="2" t="s">
        <v>24982</v>
      </c>
      <c r="J1300" s="2" t="s">
        <v>24983</v>
      </c>
      <c r="K1300" s="2" t="s">
        <v>24984</v>
      </c>
      <c r="L1300" s="2" t="s">
        <v>24985</v>
      </c>
      <c r="M1300" s="2" t="s">
        <v>24986</v>
      </c>
      <c r="N1300" s="2" t="s">
        <v>24987</v>
      </c>
      <c r="O1300" s="2" t="s">
        <v>24988</v>
      </c>
      <c r="P1300" s="2" t="s">
        <v>14495</v>
      </c>
    </row>
    <row r="1301" spans="1:16">
      <c r="A1301" s="1">
        <v>1300</v>
      </c>
      <c r="B1301" s="2" t="s">
        <v>22859</v>
      </c>
      <c r="C1301" s="2" t="s">
        <v>14499</v>
      </c>
      <c r="D1301" s="2" t="s">
        <v>14500</v>
      </c>
      <c r="E1301" s="2" t="s">
        <v>25749</v>
      </c>
      <c r="F1301" s="2" t="s">
        <v>14501</v>
      </c>
      <c r="G1301" s="2" t="s">
        <v>14502</v>
      </c>
      <c r="H1301" s="2" t="s">
        <v>14503</v>
      </c>
      <c r="I1301" s="2" t="s">
        <v>14504</v>
      </c>
      <c r="J1301" s="2" t="s">
        <v>14505</v>
      </c>
      <c r="K1301" s="2" t="s">
        <v>14506</v>
      </c>
      <c r="L1301" s="2" t="s">
        <v>14507</v>
      </c>
      <c r="M1301" s="2" t="s">
        <v>14508</v>
      </c>
      <c r="N1301" s="2" t="s">
        <v>14509</v>
      </c>
      <c r="O1301" s="2" t="s">
        <v>14510</v>
      </c>
      <c r="P1301" s="2" t="s">
        <v>14498</v>
      </c>
    </row>
    <row r="1302" spans="1:16">
      <c r="A1302" s="1">
        <v>1301</v>
      </c>
      <c r="B1302" s="2" t="s">
        <v>22860</v>
      </c>
      <c r="C1302" s="2" t="s">
        <v>14512</v>
      </c>
      <c r="D1302" s="2" t="s">
        <v>14513</v>
      </c>
      <c r="E1302" s="2" t="s">
        <v>14511</v>
      </c>
      <c r="F1302" s="2" t="s">
        <v>14511</v>
      </c>
      <c r="G1302" s="2" t="s">
        <v>14511</v>
      </c>
      <c r="H1302" s="2" t="s">
        <v>14511</v>
      </c>
      <c r="I1302" s="2" t="s">
        <v>14511</v>
      </c>
      <c r="J1302" s="2" t="s">
        <v>14511</v>
      </c>
      <c r="K1302" s="2" t="s">
        <v>14511</v>
      </c>
      <c r="L1302" s="2" t="s">
        <v>14511</v>
      </c>
      <c r="M1302" s="2" t="s">
        <v>14511</v>
      </c>
      <c r="N1302" s="2" t="s">
        <v>14511</v>
      </c>
      <c r="O1302" s="2" t="s">
        <v>14511</v>
      </c>
      <c r="P1302" s="2" t="s">
        <v>14511</v>
      </c>
    </row>
    <row r="1303" spans="1:16">
      <c r="A1303" s="1">
        <v>1302</v>
      </c>
      <c r="B1303" s="2" t="s">
        <v>22861</v>
      </c>
      <c r="C1303" s="2" t="s">
        <v>14515</v>
      </c>
      <c r="D1303" s="2" t="s">
        <v>14516</v>
      </c>
      <c r="E1303" s="2" t="s">
        <v>25750</v>
      </c>
      <c r="F1303" s="2" t="s">
        <v>14517</v>
      </c>
      <c r="G1303" s="2" t="s">
        <v>14518</v>
      </c>
      <c r="H1303" s="2" t="s">
        <v>14519</v>
      </c>
      <c r="I1303" s="2" t="s">
        <v>14520</v>
      </c>
      <c r="J1303" s="2" t="s">
        <v>14521</v>
      </c>
      <c r="K1303" s="2" t="s">
        <v>14522</v>
      </c>
      <c r="L1303" s="2" t="s">
        <v>14523</v>
      </c>
      <c r="M1303" s="2" t="s">
        <v>14524</v>
      </c>
      <c r="N1303" s="2" t="s">
        <v>14525</v>
      </c>
      <c r="O1303" s="2" t="s">
        <v>14526</v>
      </c>
      <c r="P1303" s="2" t="s">
        <v>14514</v>
      </c>
    </row>
    <row r="1304" spans="1:16">
      <c r="A1304" s="1">
        <v>1303</v>
      </c>
      <c r="B1304" s="2" t="s">
        <v>22862</v>
      </c>
      <c r="C1304" s="2" t="s">
        <v>14528</v>
      </c>
      <c r="D1304" s="2" t="s">
        <v>14529</v>
      </c>
      <c r="E1304" s="2" t="s">
        <v>25751</v>
      </c>
      <c r="F1304" s="2" t="s">
        <v>14530</v>
      </c>
      <c r="G1304" s="2" t="s">
        <v>14531</v>
      </c>
      <c r="H1304" s="2" t="s">
        <v>14532</v>
      </c>
      <c r="I1304" s="2" t="s">
        <v>14533</v>
      </c>
      <c r="J1304" s="2" t="s">
        <v>14534</v>
      </c>
      <c r="K1304" s="2" t="s">
        <v>14535</v>
      </c>
      <c r="L1304" s="2" t="s">
        <v>14536</v>
      </c>
      <c r="M1304" s="2" t="s">
        <v>14537</v>
      </c>
      <c r="N1304" s="2" t="s">
        <v>14538</v>
      </c>
      <c r="O1304" s="2" t="s">
        <v>14539</v>
      </c>
      <c r="P1304" s="2" t="s">
        <v>14527</v>
      </c>
    </row>
    <row r="1305" spans="1:16">
      <c r="A1305" s="1">
        <v>1304</v>
      </c>
      <c r="B1305" s="2" t="s">
        <v>22863</v>
      </c>
      <c r="C1305" s="2" t="s">
        <v>14541</v>
      </c>
      <c r="D1305" s="2" t="s">
        <v>14542</v>
      </c>
      <c r="E1305" s="2" t="s">
        <v>25752</v>
      </c>
      <c r="F1305" s="2" t="s">
        <v>14543</v>
      </c>
      <c r="G1305" s="2" t="s">
        <v>14544</v>
      </c>
      <c r="H1305" s="2" t="s">
        <v>14545</v>
      </c>
      <c r="I1305" s="2" t="s">
        <v>14546</v>
      </c>
      <c r="J1305" s="2" t="s">
        <v>14547</v>
      </c>
      <c r="K1305" s="2" t="s">
        <v>14548</v>
      </c>
      <c r="L1305" s="2" t="s">
        <v>14549</v>
      </c>
      <c r="M1305" s="2" t="s">
        <v>14550</v>
      </c>
      <c r="N1305" s="2" t="s">
        <v>14551</v>
      </c>
      <c r="O1305" s="2" t="s">
        <v>14552</v>
      </c>
      <c r="P1305" s="2" t="s">
        <v>14540</v>
      </c>
    </row>
    <row r="1306" spans="1:16" ht="16.5">
      <c r="A1306" s="1">
        <v>1305</v>
      </c>
      <c r="B1306" s="2" t="s">
        <v>14553</v>
      </c>
      <c r="C1306" s="2" t="s">
        <v>14554</v>
      </c>
      <c r="D1306" s="2" t="s">
        <v>14555</v>
      </c>
      <c r="E1306" s="2" t="s">
        <v>14556</v>
      </c>
      <c r="F1306" s="2" t="s">
        <v>14557</v>
      </c>
      <c r="G1306" s="2" t="s">
        <v>14558</v>
      </c>
      <c r="H1306" s="2" t="s">
        <v>14559</v>
      </c>
      <c r="I1306" s="2" t="s">
        <v>14560</v>
      </c>
      <c r="J1306" s="2" t="s">
        <v>14561</v>
      </c>
      <c r="K1306" s="2" t="s">
        <v>14562</v>
      </c>
      <c r="L1306" s="2" t="s">
        <v>14563</v>
      </c>
      <c r="M1306" s="2" t="s">
        <v>14564</v>
      </c>
      <c r="N1306" s="2" t="s">
        <v>14565</v>
      </c>
      <c r="O1306" s="2" t="s">
        <v>14566</v>
      </c>
      <c r="P1306" s="2" t="s">
        <v>14553</v>
      </c>
    </row>
    <row r="1307" spans="1:16" ht="16.5">
      <c r="A1307" s="1">
        <v>1306</v>
      </c>
      <c r="B1307" s="2" t="s">
        <v>14567</v>
      </c>
      <c r="C1307" s="2" t="s">
        <v>14568</v>
      </c>
      <c r="D1307" s="2" t="s">
        <v>14569</v>
      </c>
      <c r="E1307" s="2" t="s">
        <v>14570</v>
      </c>
      <c r="F1307" s="2" t="s">
        <v>14571</v>
      </c>
      <c r="G1307" s="2" t="s">
        <v>14572</v>
      </c>
      <c r="H1307" s="2" t="s">
        <v>14573</v>
      </c>
      <c r="I1307" s="2" t="s">
        <v>14574</v>
      </c>
      <c r="J1307" s="2" t="s">
        <v>14575</v>
      </c>
      <c r="K1307" s="2" t="s">
        <v>14576</v>
      </c>
      <c r="L1307" s="2" t="s">
        <v>14577</v>
      </c>
      <c r="M1307" s="2" t="s">
        <v>14578</v>
      </c>
      <c r="N1307" s="2" t="s">
        <v>14579</v>
      </c>
      <c r="O1307" s="2" t="s">
        <v>14580</v>
      </c>
      <c r="P1307" s="2" t="s">
        <v>14567</v>
      </c>
    </row>
    <row r="1308" spans="1:16" ht="16.5">
      <c r="A1308" s="1">
        <v>1307</v>
      </c>
      <c r="B1308" s="2" t="s">
        <v>14581</v>
      </c>
      <c r="C1308" s="2" t="s">
        <v>14582</v>
      </c>
      <c r="D1308" s="2" t="s">
        <v>14583</v>
      </c>
      <c r="E1308" s="2" t="s">
        <v>14584</v>
      </c>
      <c r="F1308" s="2" t="s">
        <v>14585</v>
      </c>
      <c r="G1308" s="2" t="s">
        <v>14586</v>
      </c>
      <c r="H1308" s="2" t="s">
        <v>14587</v>
      </c>
      <c r="I1308" s="2" t="s">
        <v>14588</v>
      </c>
      <c r="J1308" s="2" t="s">
        <v>14589</v>
      </c>
      <c r="K1308" s="2" t="s">
        <v>14590</v>
      </c>
      <c r="L1308" s="2" t="s">
        <v>14591</v>
      </c>
      <c r="M1308" s="2" t="s">
        <v>14592</v>
      </c>
      <c r="N1308" s="2" t="s">
        <v>14593</v>
      </c>
      <c r="O1308" s="2" t="s">
        <v>14594</v>
      </c>
      <c r="P1308" s="2" t="s">
        <v>14581</v>
      </c>
    </row>
    <row r="1309" spans="1:16">
      <c r="A1309" s="1">
        <v>1308</v>
      </c>
      <c r="B1309" s="2" t="s">
        <v>22864</v>
      </c>
      <c r="C1309" s="2" t="s">
        <v>14596</v>
      </c>
      <c r="D1309" s="2" t="s">
        <v>14597</v>
      </c>
      <c r="E1309" s="2" t="s">
        <v>14598</v>
      </c>
      <c r="F1309" s="2" t="s">
        <v>14598</v>
      </c>
      <c r="G1309" s="2" t="s">
        <v>14598</v>
      </c>
      <c r="H1309" s="2" t="s">
        <v>14598</v>
      </c>
      <c r="I1309" s="2" t="s">
        <v>14598</v>
      </c>
      <c r="J1309" s="2" t="s">
        <v>14598</v>
      </c>
      <c r="K1309" s="2" t="s">
        <v>14598</v>
      </c>
      <c r="L1309" s="2" t="s">
        <v>14598</v>
      </c>
      <c r="M1309" s="2" t="s">
        <v>14598</v>
      </c>
      <c r="N1309" s="2" t="s">
        <v>14598</v>
      </c>
      <c r="O1309" s="2" t="s">
        <v>14598</v>
      </c>
      <c r="P1309" s="2" t="s">
        <v>14595</v>
      </c>
    </row>
    <row r="1310" spans="1:16">
      <c r="A1310" s="1">
        <v>1309</v>
      </c>
      <c r="B1310" s="2" t="s">
        <v>14599</v>
      </c>
      <c r="C1310" s="2" t="s">
        <v>14600</v>
      </c>
      <c r="D1310" s="2" t="s">
        <v>14601</v>
      </c>
      <c r="E1310" s="2" t="s">
        <v>14602</v>
      </c>
      <c r="F1310" s="2" t="s">
        <v>14603</v>
      </c>
      <c r="G1310" s="2" t="s">
        <v>14604</v>
      </c>
      <c r="H1310" s="2" t="s">
        <v>14605</v>
      </c>
      <c r="I1310" s="2" t="s">
        <v>14606</v>
      </c>
      <c r="J1310" s="2" t="s">
        <v>14607</v>
      </c>
      <c r="K1310" s="2" t="s">
        <v>14608</v>
      </c>
      <c r="L1310" s="2" t="s">
        <v>14609</v>
      </c>
      <c r="M1310" s="2" t="s">
        <v>14610</v>
      </c>
      <c r="N1310" s="2" t="s">
        <v>14611</v>
      </c>
      <c r="O1310" s="2" t="s">
        <v>14612</v>
      </c>
      <c r="P1310" s="2" t="s">
        <v>14599</v>
      </c>
    </row>
    <row r="1311" spans="1:16">
      <c r="A1311" s="1">
        <v>1310</v>
      </c>
      <c r="B1311" s="2" t="s">
        <v>14613</v>
      </c>
      <c r="C1311" s="2" t="s">
        <v>14614</v>
      </c>
      <c r="D1311" s="2" t="s">
        <v>14615</v>
      </c>
      <c r="E1311" s="2" t="s">
        <v>14616</v>
      </c>
      <c r="F1311" s="2" t="s">
        <v>14617</v>
      </c>
      <c r="G1311" s="2" t="s">
        <v>14618</v>
      </c>
      <c r="H1311" s="2" t="s">
        <v>14619</v>
      </c>
      <c r="I1311" s="2" t="s">
        <v>14620</v>
      </c>
      <c r="J1311" s="2" t="s">
        <v>14621</v>
      </c>
      <c r="K1311" s="2" t="s">
        <v>14622</v>
      </c>
      <c r="L1311" s="2" t="s">
        <v>14623</v>
      </c>
      <c r="M1311" s="2" t="s">
        <v>14624</v>
      </c>
      <c r="N1311" s="2" t="s">
        <v>14625</v>
      </c>
      <c r="O1311" s="2" t="s">
        <v>14626</v>
      </c>
      <c r="P1311" s="2" t="s">
        <v>14613</v>
      </c>
    </row>
    <row r="1312" spans="1:16">
      <c r="A1312" s="1">
        <v>1311</v>
      </c>
      <c r="B1312" s="2" t="s">
        <v>22865</v>
      </c>
      <c r="C1312" s="2" t="s">
        <v>14628</v>
      </c>
      <c r="D1312" s="2" t="s">
        <v>14629</v>
      </c>
      <c r="E1312" s="2" t="s">
        <v>25753</v>
      </c>
      <c r="F1312" s="2" t="s">
        <v>14630</v>
      </c>
      <c r="G1312" s="2" t="s">
        <v>14631</v>
      </c>
      <c r="H1312" s="2" t="s">
        <v>14632</v>
      </c>
      <c r="I1312" s="2" t="s">
        <v>14633</v>
      </c>
      <c r="J1312" s="2" t="s">
        <v>14634</v>
      </c>
      <c r="K1312" s="2" t="s">
        <v>14635</v>
      </c>
      <c r="L1312" s="2" t="s">
        <v>14636</v>
      </c>
      <c r="M1312" s="2" t="s">
        <v>14637</v>
      </c>
      <c r="N1312" s="2" t="s">
        <v>14638</v>
      </c>
      <c r="O1312" s="2" t="s">
        <v>14639</v>
      </c>
      <c r="P1312" s="2" t="s">
        <v>14627</v>
      </c>
    </row>
    <row r="1313" spans="1:16">
      <c r="A1313" s="1">
        <v>1312</v>
      </c>
      <c r="B1313" s="2" t="s">
        <v>22866</v>
      </c>
      <c r="C1313" s="2" t="s">
        <v>14641</v>
      </c>
      <c r="D1313" s="2" t="s">
        <v>14642</v>
      </c>
      <c r="E1313" s="2" t="s">
        <v>25754</v>
      </c>
      <c r="F1313" s="2" t="s">
        <v>14643</v>
      </c>
      <c r="G1313" s="2" t="s">
        <v>14644</v>
      </c>
      <c r="H1313" s="2" t="s">
        <v>14645</v>
      </c>
      <c r="I1313" s="2" t="s">
        <v>14646</v>
      </c>
      <c r="J1313" s="2" t="s">
        <v>14647</v>
      </c>
      <c r="K1313" s="2" t="s">
        <v>14648</v>
      </c>
      <c r="L1313" s="2" t="s">
        <v>14649</v>
      </c>
      <c r="M1313" s="2" t="s">
        <v>14650</v>
      </c>
      <c r="N1313" s="2" t="s">
        <v>14651</v>
      </c>
      <c r="O1313" s="2" t="s">
        <v>14652</v>
      </c>
      <c r="P1313" s="2" t="s">
        <v>14640</v>
      </c>
    </row>
    <row r="1314" spans="1:16">
      <c r="A1314" s="1">
        <v>1313</v>
      </c>
      <c r="B1314" s="2" t="s">
        <v>22867</v>
      </c>
      <c r="C1314" s="2" t="s">
        <v>14654</v>
      </c>
      <c r="D1314" s="2" t="s">
        <v>14655</v>
      </c>
      <c r="E1314" s="2" t="s">
        <v>25755</v>
      </c>
      <c r="F1314" s="2" t="s">
        <v>14656</v>
      </c>
      <c r="G1314" s="2" t="s">
        <v>14657</v>
      </c>
      <c r="H1314" s="2" t="s">
        <v>14658</v>
      </c>
      <c r="I1314" s="2" t="s">
        <v>14659</v>
      </c>
      <c r="J1314" s="2" t="s">
        <v>14660</v>
      </c>
      <c r="K1314" s="2" t="s">
        <v>14661</v>
      </c>
      <c r="L1314" s="2" t="s">
        <v>14662</v>
      </c>
      <c r="M1314" s="2" t="s">
        <v>14663</v>
      </c>
      <c r="N1314" s="2" t="s">
        <v>14664</v>
      </c>
      <c r="O1314" s="2" t="s">
        <v>14665</v>
      </c>
      <c r="P1314" s="2" t="s">
        <v>14653</v>
      </c>
    </row>
    <row r="1315" spans="1:16">
      <c r="A1315" s="1">
        <v>1314</v>
      </c>
      <c r="B1315" s="2" t="s">
        <v>14666</v>
      </c>
      <c r="C1315" s="2" t="s">
        <v>14667</v>
      </c>
      <c r="D1315" s="2" t="s">
        <v>14668</v>
      </c>
      <c r="E1315" s="2" t="s">
        <v>14669</v>
      </c>
      <c r="F1315" s="2" t="s">
        <v>14670</v>
      </c>
      <c r="G1315" s="2" t="s">
        <v>14671</v>
      </c>
      <c r="H1315" s="2" t="s">
        <v>14672</v>
      </c>
      <c r="I1315" s="2" t="s">
        <v>14673</v>
      </c>
      <c r="J1315" s="2" t="s">
        <v>14674</v>
      </c>
      <c r="K1315" s="2" t="s">
        <v>14675</v>
      </c>
      <c r="L1315" s="2" t="s">
        <v>14676</v>
      </c>
      <c r="M1315" s="2" t="s">
        <v>14677</v>
      </c>
      <c r="N1315" s="2" t="s">
        <v>14678</v>
      </c>
      <c r="O1315" s="2" t="s">
        <v>14679</v>
      </c>
      <c r="P1315" s="2" t="s">
        <v>14666</v>
      </c>
    </row>
    <row r="1316" spans="1:16">
      <c r="A1316" s="1">
        <v>1315</v>
      </c>
      <c r="B1316" s="2" t="s">
        <v>14680</v>
      </c>
      <c r="C1316" s="2" t="s">
        <v>14681</v>
      </c>
      <c r="D1316" s="2" t="s">
        <v>14682</v>
      </c>
      <c r="E1316" s="2" t="s">
        <v>14683</v>
      </c>
      <c r="F1316" s="2" t="s">
        <v>14684</v>
      </c>
      <c r="G1316" s="2" t="s">
        <v>14685</v>
      </c>
      <c r="H1316" s="2" t="s">
        <v>14686</v>
      </c>
      <c r="I1316" s="2" t="s">
        <v>14687</v>
      </c>
      <c r="J1316" s="2" t="s">
        <v>14688</v>
      </c>
      <c r="K1316" s="2" t="s">
        <v>14689</v>
      </c>
      <c r="L1316" s="2" t="s">
        <v>14690</v>
      </c>
      <c r="M1316" s="2" t="s">
        <v>14691</v>
      </c>
      <c r="N1316" s="2" t="s">
        <v>14692</v>
      </c>
      <c r="O1316" s="2" t="s">
        <v>14693</v>
      </c>
      <c r="P1316" s="2" t="s">
        <v>14680</v>
      </c>
    </row>
    <row r="1317" spans="1:16">
      <c r="A1317" s="1">
        <v>1316</v>
      </c>
      <c r="B1317" s="2" t="s">
        <v>14694</v>
      </c>
      <c r="C1317" s="2" t="s">
        <v>14695</v>
      </c>
      <c r="D1317" s="2" t="s">
        <v>14696</v>
      </c>
      <c r="E1317" s="2" t="s">
        <v>14697</v>
      </c>
      <c r="F1317" s="2" t="s">
        <v>14698</v>
      </c>
      <c r="G1317" s="2" t="s">
        <v>14699</v>
      </c>
      <c r="H1317" s="2" t="s">
        <v>14700</v>
      </c>
      <c r="I1317" s="2" t="s">
        <v>14701</v>
      </c>
      <c r="J1317" s="2" t="s">
        <v>14702</v>
      </c>
      <c r="K1317" s="2" t="s">
        <v>14703</v>
      </c>
      <c r="L1317" s="2" t="s">
        <v>14704</v>
      </c>
      <c r="M1317" s="2" t="s">
        <v>14705</v>
      </c>
      <c r="N1317" s="2" t="s">
        <v>14706</v>
      </c>
      <c r="O1317" s="2" t="s">
        <v>14707</v>
      </c>
      <c r="P1317" s="2" t="s">
        <v>14694</v>
      </c>
    </row>
    <row r="1318" spans="1:16">
      <c r="A1318" s="1">
        <v>1317</v>
      </c>
      <c r="B1318" s="2" t="s">
        <v>22868</v>
      </c>
      <c r="C1318" s="2" t="s">
        <v>14708</v>
      </c>
      <c r="D1318" s="2" t="s">
        <v>14708</v>
      </c>
      <c r="E1318" s="2" t="s">
        <v>14708</v>
      </c>
      <c r="F1318" s="2" t="s">
        <v>14708</v>
      </c>
      <c r="G1318" s="2" t="s">
        <v>14708</v>
      </c>
      <c r="H1318" s="2" t="s">
        <v>14708</v>
      </c>
      <c r="I1318" s="2" t="s">
        <v>14708</v>
      </c>
      <c r="J1318" s="2" t="s">
        <v>14708</v>
      </c>
      <c r="K1318" s="2" t="s">
        <v>14708</v>
      </c>
      <c r="L1318" s="2" t="s">
        <v>14708</v>
      </c>
      <c r="M1318" s="2" t="s">
        <v>14708</v>
      </c>
      <c r="N1318" s="2" t="s">
        <v>14708</v>
      </c>
      <c r="O1318" s="2" t="s">
        <v>14708</v>
      </c>
      <c r="P1318" s="2" t="s">
        <v>14708</v>
      </c>
    </row>
    <row r="1319" spans="1:16">
      <c r="A1319" s="1">
        <v>1318</v>
      </c>
      <c r="B1319" s="2" t="s">
        <v>22869</v>
      </c>
      <c r="C1319" s="2" t="s">
        <v>14710</v>
      </c>
      <c r="D1319" s="2" t="s">
        <v>14711</v>
      </c>
      <c r="E1319" s="2" t="s">
        <v>25756</v>
      </c>
      <c r="F1319" s="2" t="s">
        <v>14712</v>
      </c>
      <c r="G1319" s="2" t="s">
        <v>14713</v>
      </c>
      <c r="H1319" s="2" t="s">
        <v>14714</v>
      </c>
      <c r="I1319" s="2" t="s">
        <v>14715</v>
      </c>
      <c r="J1319" s="2" t="s">
        <v>14716</v>
      </c>
      <c r="K1319" s="2" t="s">
        <v>14717</v>
      </c>
      <c r="L1319" s="2" t="s">
        <v>14718</v>
      </c>
      <c r="M1319" s="2" t="s">
        <v>14719</v>
      </c>
      <c r="N1319" s="2" t="s">
        <v>14720</v>
      </c>
      <c r="O1319" s="2" t="s">
        <v>14721</v>
      </c>
      <c r="P1319" s="2" t="s">
        <v>14709</v>
      </c>
    </row>
    <row r="1320" spans="1:16">
      <c r="A1320" s="1">
        <v>1319</v>
      </c>
      <c r="B1320" s="2" t="s">
        <v>22870</v>
      </c>
      <c r="C1320" s="2" t="s">
        <v>14723</v>
      </c>
      <c r="D1320" s="2" t="s">
        <v>14724</v>
      </c>
      <c r="E1320" s="2" t="s">
        <v>25757</v>
      </c>
      <c r="F1320" s="2" t="s">
        <v>14725</v>
      </c>
      <c r="G1320" s="2" t="s">
        <v>14726</v>
      </c>
      <c r="H1320" s="2" t="s">
        <v>14727</v>
      </c>
      <c r="I1320" s="2" t="s">
        <v>14728</v>
      </c>
      <c r="J1320" s="2" t="s">
        <v>14729</v>
      </c>
      <c r="K1320" s="2" t="s">
        <v>14730</v>
      </c>
      <c r="L1320" s="2" t="s">
        <v>14731</v>
      </c>
      <c r="M1320" s="2" t="s">
        <v>14732</v>
      </c>
      <c r="N1320" s="2" t="s">
        <v>14733</v>
      </c>
      <c r="O1320" s="2" t="s">
        <v>14734</v>
      </c>
      <c r="P1320" s="2" t="s">
        <v>14722</v>
      </c>
    </row>
    <row r="1321" spans="1:16">
      <c r="A1321" s="1">
        <v>1320</v>
      </c>
      <c r="B1321" s="2" t="s">
        <v>22871</v>
      </c>
      <c r="C1321" s="2" t="s">
        <v>14736</v>
      </c>
      <c r="D1321" s="2" t="s">
        <v>14737</v>
      </c>
      <c r="E1321" s="2" t="s">
        <v>25758</v>
      </c>
      <c r="F1321" s="2" t="s">
        <v>14738</v>
      </c>
      <c r="G1321" s="2" t="s">
        <v>14739</v>
      </c>
      <c r="H1321" s="2" t="s">
        <v>14740</v>
      </c>
      <c r="I1321" s="2" t="s">
        <v>14741</v>
      </c>
      <c r="J1321" s="2" t="s">
        <v>14742</v>
      </c>
      <c r="K1321" s="2" t="s">
        <v>14743</v>
      </c>
      <c r="L1321" s="2" t="s">
        <v>14744</v>
      </c>
      <c r="M1321" s="2" t="s">
        <v>14745</v>
      </c>
      <c r="N1321" s="2" t="s">
        <v>14746</v>
      </c>
      <c r="O1321" s="2" t="s">
        <v>14747</v>
      </c>
      <c r="P1321" s="2" t="s">
        <v>14735</v>
      </c>
    </row>
    <row r="1322" spans="1:16">
      <c r="A1322" s="1">
        <v>1321</v>
      </c>
      <c r="B1322" s="2" t="s">
        <v>14748</v>
      </c>
      <c r="C1322" s="2" t="s">
        <v>14749</v>
      </c>
      <c r="D1322" s="2" t="s">
        <v>14750</v>
      </c>
      <c r="E1322" s="2" t="s">
        <v>14751</v>
      </c>
      <c r="F1322" s="2" t="s">
        <v>14752</v>
      </c>
      <c r="G1322" s="2" t="s">
        <v>14753</v>
      </c>
      <c r="H1322" s="2" t="s">
        <v>14754</v>
      </c>
      <c r="I1322" s="2" t="s">
        <v>14755</v>
      </c>
      <c r="J1322" s="2" t="s">
        <v>14756</v>
      </c>
      <c r="K1322" s="2" t="s">
        <v>14757</v>
      </c>
      <c r="L1322" s="2" t="s">
        <v>14758</v>
      </c>
      <c r="M1322" s="2" t="s">
        <v>14759</v>
      </c>
      <c r="N1322" s="2" t="s">
        <v>14760</v>
      </c>
      <c r="O1322" s="2" t="s">
        <v>14761</v>
      </c>
      <c r="P1322" s="2" t="s">
        <v>14748</v>
      </c>
    </row>
    <row r="1323" spans="1:16">
      <c r="A1323" s="1">
        <v>1322</v>
      </c>
      <c r="B1323" s="2" t="s">
        <v>14762</v>
      </c>
      <c r="C1323" s="2" t="s">
        <v>14763</v>
      </c>
      <c r="D1323" s="2" t="s">
        <v>14764</v>
      </c>
      <c r="E1323" s="2" t="s">
        <v>14765</v>
      </c>
      <c r="F1323" s="2" t="s">
        <v>14766</v>
      </c>
      <c r="G1323" s="2" t="s">
        <v>14767</v>
      </c>
      <c r="H1323" s="2" t="s">
        <v>14768</v>
      </c>
      <c r="I1323" s="2" t="s">
        <v>14769</v>
      </c>
      <c r="J1323" s="2" t="s">
        <v>14770</v>
      </c>
      <c r="K1323" s="2" t="s">
        <v>14771</v>
      </c>
      <c r="L1323" s="2" t="s">
        <v>14772</v>
      </c>
      <c r="M1323" s="2" t="s">
        <v>14773</v>
      </c>
      <c r="N1323" s="2" t="s">
        <v>14774</v>
      </c>
      <c r="O1323" s="2" t="s">
        <v>14775</v>
      </c>
      <c r="P1323" s="2" t="s">
        <v>14762</v>
      </c>
    </row>
    <row r="1324" spans="1:16">
      <c r="A1324" s="1">
        <v>1323</v>
      </c>
      <c r="B1324" s="2" t="s">
        <v>14776</v>
      </c>
      <c r="C1324" s="2" t="s">
        <v>14777</v>
      </c>
      <c r="D1324" s="2" t="s">
        <v>14778</v>
      </c>
      <c r="E1324" s="2" t="s">
        <v>14779</v>
      </c>
      <c r="F1324" s="2" t="s">
        <v>14780</v>
      </c>
      <c r="G1324" s="2" t="s">
        <v>14781</v>
      </c>
      <c r="H1324" s="2" t="s">
        <v>14782</v>
      </c>
      <c r="I1324" s="2" t="s">
        <v>14783</v>
      </c>
      <c r="J1324" s="2" t="s">
        <v>14784</v>
      </c>
      <c r="K1324" s="2" t="s">
        <v>14785</v>
      </c>
      <c r="L1324" s="2" t="s">
        <v>14786</v>
      </c>
      <c r="M1324" s="2" t="s">
        <v>14787</v>
      </c>
      <c r="N1324" s="2" t="s">
        <v>14788</v>
      </c>
      <c r="O1324" s="2" t="s">
        <v>14789</v>
      </c>
      <c r="P1324" s="2" t="s">
        <v>14776</v>
      </c>
    </row>
    <row r="1325" spans="1:16">
      <c r="A1325" s="1">
        <v>1324</v>
      </c>
      <c r="B1325" s="2" t="s">
        <v>22872</v>
      </c>
      <c r="C1325" s="2" t="s">
        <v>14790</v>
      </c>
      <c r="D1325" s="2" t="s">
        <v>14790</v>
      </c>
      <c r="E1325" s="2" t="s">
        <v>14790</v>
      </c>
      <c r="F1325" s="2" t="s">
        <v>14790</v>
      </c>
      <c r="G1325" s="2" t="s">
        <v>14790</v>
      </c>
      <c r="H1325" s="2" t="s">
        <v>14790</v>
      </c>
      <c r="I1325" s="2" t="s">
        <v>14790</v>
      </c>
      <c r="J1325" s="2" t="s">
        <v>14790</v>
      </c>
      <c r="K1325" s="2" t="s">
        <v>14790</v>
      </c>
      <c r="L1325" s="2" t="s">
        <v>14790</v>
      </c>
      <c r="M1325" s="2" t="s">
        <v>14790</v>
      </c>
      <c r="N1325" s="2" t="s">
        <v>14790</v>
      </c>
      <c r="O1325" s="2" t="s">
        <v>14790</v>
      </c>
      <c r="P1325" s="2" t="s">
        <v>14790</v>
      </c>
    </row>
    <row r="1326" spans="1:16">
      <c r="A1326" s="1">
        <v>1325</v>
      </c>
      <c r="B1326" s="2" t="s">
        <v>22873</v>
      </c>
      <c r="C1326" s="2" t="s">
        <v>14792</v>
      </c>
      <c r="D1326" s="2" t="s">
        <v>14793</v>
      </c>
      <c r="E1326" s="2" t="s">
        <v>25759</v>
      </c>
      <c r="F1326" s="2" t="s">
        <v>14794</v>
      </c>
      <c r="G1326" s="2" t="s">
        <v>14795</v>
      </c>
      <c r="H1326" s="2" t="s">
        <v>14796</v>
      </c>
      <c r="I1326" s="2" t="s">
        <v>14797</v>
      </c>
      <c r="J1326" s="2" t="s">
        <v>14798</v>
      </c>
      <c r="K1326" s="2" t="s">
        <v>14799</v>
      </c>
      <c r="L1326" s="2" t="s">
        <v>14800</v>
      </c>
      <c r="M1326" s="2" t="s">
        <v>14801</v>
      </c>
      <c r="N1326" s="2" t="s">
        <v>14802</v>
      </c>
      <c r="O1326" s="2" t="s">
        <v>14803</v>
      </c>
      <c r="P1326" s="2" t="s">
        <v>14791</v>
      </c>
    </row>
    <row r="1327" spans="1:16">
      <c r="A1327" s="1">
        <v>1326</v>
      </c>
      <c r="B1327" s="2" t="s">
        <v>22874</v>
      </c>
      <c r="C1327" s="2" t="s">
        <v>14805</v>
      </c>
      <c r="D1327" s="2" t="s">
        <v>14806</v>
      </c>
      <c r="E1327" s="2" t="s">
        <v>25760</v>
      </c>
      <c r="F1327" s="2" t="s">
        <v>14807</v>
      </c>
      <c r="G1327" s="2" t="s">
        <v>14808</v>
      </c>
      <c r="H1327" s="2" t="s">
        <v>14809</v>
      </c>
      <c r="I1327" s="2" t="s">
        <v>14810</v>
      </c>
      <c r="J1327" s="2" t="s">
        <v>14811</v>
      </c>
      <c r="K1327" s="2" t="s">
        <v>14812</v>
      </c>
      <c r="L1327" s="2" t="s">
        <v>14813</v>
      </c>
      <c r="M1327" s="2" t="s">
        <v>14814</v>
      </c>
      <c r="N1327" s="2" t="s">
        <v>14815</v>
      </c>
      <c r="O1327" s="2" t="s">
        <v>14816</v>
      </c>
      <c r="P1327" s="2" t="s">
        <v>14804</v>
      </c>
    </row>
    <row r="1328" spans="1:16">
      <c r="A1328" s="1">
        <v>1327</v>
      </c>
      <c r="B1328" s="2" t="s">
        <v>22875</v>
      </c>
      <c r="C1328" s="2" t="s">
        <v>14818</v>
      </c>
      <c r="D1328" s="2" t="s">
        <v>14819</v>
      </c>
      <c r="E1328" s="2" t="s">
        <v>25761</v>
      </c>
      <c r="F1328" s="2" t="s">
        <v>14820</v>
      </c>
      <c r="G1328" s="2" t="s">
        <v>14821</v>
      </c>
      <c r="H1328" s="2" t="s">
        <v>14822</v>
      </c>
      <c r="I1328" s="2" t="s">
        <v>14823</v>
      </c>
      <c r="J1328" s="2" t="s">
        <v>14824</v>
      </c>
      <c r="K1328" s="2" t="s">
        <v>14825</v>
      </c>
      <c r="L1328" s="2" t="s">
        <v>14826</v>
      </c>
      <c r="M1328" s="2" t="s">
        <v>14827</v>
      </c>
      <c r="N1328" s="2" t="s">
        <v>14828</v>
      </c>
      <c r="O1328" s="2" t="s">
        <v>14829</v>
      </c>
      <c r="P1328" s="2" t="s">
        <v>14817</v>
      </c>
    </row>
    <row r="1329" spans="1:16">
      <c r="A1329" s="1">
        <v>1328</v>
      </c>
      <c r="B1329" s="2" t="s">
        <v>14830</v>
      </c>
      <c r="C1329" s="2" t="s">
        <v>14831</v>
      </c>
      <c r="D1329" s="2" t="s">
        <v>14832</v>
      </c>
      <c r="E1329" s="2" t="s">
        <v>14833</v>
      </c>
      <c r="F1329" s="2" t="s">
        <v>14834</v>
      </c>
      <c r="G1329" s="2" t="s">
        <v>14835</v>
      </c>
      <c r="H1329" s="2" t="s">
        <v>14836</v>
      </c>
      <c r="I1329" s="2" t="s">
        <v>14837</v>
      </c>
      <c r="J1329" s="2" t="s">
        <v>14838</v>
      </c>
      <c r="K1329" s="2" t="s">
        <v>14839</v>
      </c>
      <c r="L1329" s="2" t="s">
        <v>14840</v>
      </c>
      <c r="M1329" s="2" t="s">
        <v>14841</v>
      </c>
      <c r="N1329" s="2" t="s">
        <v>14842</v>
      </c>
      <c r="O1329" s="2" t="s">
        <v>14843</v>
      </c>
      <c r="P1329" s="2" t="s">
        <v>14830</v>
      </c>
    </row>
    <row r="1330" spans="1:16">
      <c r="A1330" s="1">
        <v>1329</v>
      </c>
      <c r="B1330" s="2" t="s">
        <v>14844</v>
      </c>
      <c r="C1330" s="2" t="s">
        <v>14845</v>
      </c>
      <c r="D1330" s="2" t="s">
        <v>14846</v>
      </c>
      <c r="E1330" s="2" t="s">
        <v>14847</v>
      </c>
      <c r="F1330" s="2" t="s">
        <v>14848</v>
      </c>
      <c r="G1330" s="2" t="s">
        <v>14849</v>
      </c>
      <c r="H1330" s="2" t="s">
        <v>14850</v>
      </c>
      <c r="I1330" s="2" t="s">
        <v>14851</v>
      </c>
      <c r="J1330" s="2" t="s">
        <v>14852</v>
      </c>
      <c r="K1330" s="2" t="s">
        <v>14853</v>
      </c>
      <c r="L1330" s="2" t="s">
        <v>14854</v>
      </c>
      <c r="M1330" s="2" t="s">
        <v>14855</v>
      </c>
      <c r="N1330" s="2" t="s">
        <v>14856</v>
      </c>
      <c r="O1330" s="2" t="s">
        <v>14857</v>
      </c>
      <c r="P1330" s="2" t="s">
        <v>14844</v>
      </c>
    </row>
    <row r="1331" spans="1:16">
      <c r="A1331" s="1">
        <v>1330</v>
      </c>
      <c r="B1331" s="2" t="s">
        <v>14858</v>
      </c>
      <c r="C1331" s="2" t="s">
        <v>14859</v>
      </c>
      <c r="D1331" s="2" t="s">
        <v>14860</v>
      </c>
      <c r="E1331" s="2" t="s">
        <v>14861</v>
      </c>
      <c r="F1331" s="2" t="s">
        <v>14862</v>
      </c>
      <c r="G1331" s="2" t="s">
        <v>14863</v>
      </c>
      <c r="H1331" s="2" t="s">
        <v>14864</v>
      </c>
      <c r="I1331" s="2" t="s">
        <v>14865</v>
      </c>
      <c r="J1331" s="2" t="s">
        <v>14866</v>
      </c>
      <c r="K1331" s="2" t="s">
        <v>14867</v>
      </c>
      <c r="L1331" s="2" t="s">
        <v>14868</v>
      </c>
      <c r="M1331" s="2" t="s">
        <v>14869</v>
      </c>
      <c r="N1331" s="2" t="s">
        <v>14870</v>
      </c>
      <c r="O1331" s="2" t="s">
        <v>14871</v>
      </c>
      <c r="P1331" s="2" t="s">
        <v>14858</v>
      </c>
    </row>
    <row r="1332" spans="1:16">
      <c r="A1332" s="1">
        <v>1331</v>
      </c>
      <c r="B1332" s="2" t="s">
        <v>22876</v>
      </c>
      <c r="C1332" s="2" t="s">
        <v>14872</v>
      </c>
      <c r="D1332" s="2" t="s">
        <v>14872</v>
      </c>
      <c r="E1332" s="2" t="s">
        <v>14872</v>
      </c>
      <c r="F1332" s="2" t="s">
        <v>14872</v>
      </c>
      <c r="G1332" s="2" t="s">
        <v>14872</v>
      </c>
      <c r="H1332" s="2" t="s">
        <v>14872</v>
      </c>
      <c r="I1332" s="2" t="s">
        <v>14872</v>
      </c>
      <c r="J1332" s="2" t="s">
        <v>14872</v>
      </c>
      <c r="K1332" s="2" t="s">
        <v>14872</v>
      </c>
      <c r="L1332" s="2" t="s">
        <v>14872</v>
      </c>
      <c r="M1332" s="2" t="s">
        <v>14872</v>
      </c>
      <c r="N1332" s="2" t="s">
        <v>14872</v>
      </c>
      <c r="O1332" s="2" t="s">
        <v>14872</v>
      </c>
      <c r="P1332" s="2" t="s">
        <v>14872</v>
      </c>
    </row>
    <row r="1333" spans="1:16">
      <c r="A1333" s="1">
        <v>1332</v>
      </c>
      <c r="B1333" s="2" t="s">
        <v>22877</v>
      </c>
      <c r="C1333" s="2" t="s">
        <v>14874</v>
      </c>
      <c r="D1333" s="2" t="s">
        <v>14875</v>
      </c>
      <c r="E1333" s="2" t="s">
        <v>25762</v>
      </c>
      <c r="F1333" s="2" t="s">
        <v>14876</v>
      </c>
      <c r="G1333" s="2" t="s">
        <v>14877</v>
      </c>
      <c r="H1333" s="2" t="s">
        <v>14878</v>
      </c>
      <c r="I1333" s="2" t="s">
        <v>14879</v>
      </c>
      <c r="J1333" s="2" t="s">
        <v>14880</v>
      </c>
      <c r="K1333" s="2" t="s">
        <v>14881</v>
      </c>
      <c r="L1333" s="2" t="s">
        <v>14882</v>
      </c>
      <c r="M1333" s="2" t="s">
        <v>14883</v>
      </c>
      <c r="N1333" s="2" t="s">
        <v>14884</v>
      </c>
      <c r="O1333" s="2" t="s">
        <v>14885</v>
      </c>
      <c r="P1333" s="2" t="s">
        <v>14873</v>
      </c>
    </row>
    <row r="1334" spans="1:16">
      <c r="A1334" s="1">
        <v>1333</v>
      </c>
      <c r="B1334" s="2" t="s">
        <v>22878</v>
      </c>
      <c r="C1334" s="2" t="s">
        <v>14887</v>
      </c>
      <c r="D1334" s="2" t="s">
        <v>14888</v>
      </c>
      <c r="E1334" s="2" t="s">
        <v>25763</v>
      </c>
      <c r="F1334" s="2" t="s">
        <v>14889</v>
      </c>
      <c r="G1334" s="2" t="s">
        <v>14890</v>
      </c>
      <c r="H1334" s="2" t="s">
        <v>14891</v>
      </c>
      <c r="I1334" s="2" t="s">
        <v>14892</v>
      </c>
      <c r="J1334" s="2" t="s">
        <v>14893</v>
      </c>
      <c r="K1334" s="2" t="s">
        <v>14894</v>
      </c>
      <c r="L1334" s="2" t="s">
        <v>14895</v>
      </c>
      <c r="M1334" s="2" t="s">
        <v>14896</v>
      </c>
      <c r="N1334" s="2" t="s">
        <v>14897</v>
      </c>
      <c r="O1334" s="2" t="s">
        <v>14898</v>
      </c>
      <c r="P1334" s="2" t="s">
        <v>14886</v>
      </c>
    </row>
    <row r="1335" spans="1:16">
      <c r="A1335" s="1">
        <v>1334</v>
      </c>
      <c r="B1335" s="2" t="s">
        <v>22879</v>
      </c>
      <c r="C1335" s="2" t="s">
        <v>14900</v>
      </c>
      <c r="D1335" s="2" t="s">
        <v>14901</v>
      </c>
      <c r="E1335" s="2" t="s">
        <v>25764</v>
      </c>
      <c r="F1335" s="2" t="s">
        <v>14902</v>
      </c>
      <c r="G1335" s="2" t="s">
        <v>14903</v>
      </c>
      <c r="H1335" s="2" t="s">
        <v>14904</v>
      </c>
      <c r="I1335" s="2" t="s">
        <v>14905</v>
      </c>
      <c r="J1335" s="2" t="s">
        <v>14906</v>
      </c>
      <c r="K1335" s="2" t="s">
        <v>14907</v>
      </c>
      <c r="L1335" s="2" t="s">
        <v>14908</v>
      </c>
      <c r="M1335" s="2" t="s">
        <v>14909</v>
      </c>
      <c r="N1335" s="2" t="s">
        <v>14910</v>
      </c>
      <c r="O1335" s="2" t="s">
        <v>14911</v>
      </c>
      <c r="P1335" s="2" t="s">
        <v>14899</v>
      </c>
    </row>
    <row r="1336" spans="1:16">
      <c r="A1336" s="1">
        <v>1335</v>
      </c>
      <c r="B1336" s="2" t="s">
        <v>14912</v>
      </c>
      <c r="C1336" s="2" t="s">
        <v>14913</v>
      </c>
      <c r="D1336" s="2" t="s">
        <v>14914</v>
      </c>
      <c r="E1336" s="2" t="s">
        <v>14915</v>
      </c>
      <c r="F1336" s="2" t="s">
        <v>14916</v>
      </c>
      <c r="G1336" s="2" t="s">
        <v>14917</v>
      </c>
      <c r="H1336" s="2" t="s">
        <v>14918</v>
      </c>
      <c r="I1336" s="2" t="s">
        <v>14919</v>
      </c>
      <c r="J1336" s="2" t="s">
        <v>14920</v>
      </c>
      <c r="K1336" s="2" t="s">
        <v>14921</v>
      </c>
      <c r="L1336" s="2" t="s">
        <v>14922</v>
      </c>
      <c r="M1336" s="2" t="s">
        <v>14923</v>
      </c>
      <c r="N1336" s="2" t="s">
        <v>14924</v>
      </c>
      <c r="O1336" s="2" t="s">
        <v>14925</v>
      </c>
      <c r="P1336" s="2" t="s">
        <v>14912</v>
      </c>
    </row>
    <row r="1337" spans="1:16">
      <c r="A1337" s="1">
        <v>1336</v>
      </c>
      <c r="B1337" s="2" t="s">
        <v>14926</v>
      </c>
      <c r="C1337" s="2" t="s">
        <v>14927</v>
      </c>
      <c r="D1337" s="2" t="s">
        <v>14928</v>
      </c>
      <c r="E1337" s="2" t="s">
        <v>14929</v>
      </c>
      <c r="F1337" s="2" t="s">
        <v>14930</v>
      </c>
      <c r="G1337" s="2" t="s">
        <v>14931</v>
      </c>
      <c r="H1337" s="2" t="s">
        <v>14932</v>
      </c>
      <c r="I1337" s="2" t="s">
        <v>14933</v>
      </c>
      <c r="J1337" s="2" t="s">
        <v>14934</v>
      </c>
      <c r="K1337" s="2" t="s">
        <v>14935</v>
      </c>
      <c r="L1337" s="2" t="s">
        <v>14936</v>
      </c>
      <c r="M1337" s="2" t="s">
        <v>14937</v>
      </c>
      <c r="N1337" s="2" t="s">
        <v>14938</v>
      </c>
      <c r="O1337" s="2" t="s">
        <v>14939</v>
      </c>
      <c r="P1337" s="2" t="s">
        <v>14926</v>
      </c>
    </row>
    <row r="1338" spans="1:16">
      <c r="A1338" s="1">
        <v>1337</v>
      </c>
      <c r="B1338" s="2" t="s">
        <v>14940</v>
      </c>
      <c r="C1338" s="2" t="s">
        <v>14941</v>
      </c>
      <c r="D1338" s="2" t="s">
        <v>14942</v>
      </c>
      <c r="E1338" s="2" t="s">
        <v>14943</v>
      </c>
      <c r="F1338" s="2" t="s">
        <v>14944</v>
      </c>
      <c r="G1338" s="2" t="s">
        <v>14945</v>
      </c>
      <c r="H1338" s="2" t="s">
        <v>14946</v>
      </c>
      <c r="I1338" s="2" t="s">
        <v>14947</v>
      </c>
      <c r="J1338" s="2" t="s">
        <v>14948</v>
      </c>
      <c r="K1338" s="2" t="s">
        <v>14949</v>
      </c>
      <c r="L1338" s="2" t="s">
        <v>14950</v>
      </c>
      <c r="M1338" s="2" t="s">
        <v>14951</v>
      </c>
      <c r="N1338" s="2" t="s">
        <v>14952</v>
      </c>
      <c r="O1338" s="2" t="s">
        <v>14953</v>
      </c>
      <c r="P1338" s="2" t="s">
        <v>14940</v>
      </c>
    </row>
    <row r="1339" spans="1:16">
      <c r="A1339" s="1">
        <v>1338</v>
      </c>
      <c r="B1339" s="2" t="s">
        <v>14954</v>
      </c>
      <c r="C1339" s="2" t="s">
        <v>14955</v>
      </c>
      <c r="D1339" s="2" t="s">
        <v>14956</v>
      </c>
      <c r="E1339" s="2" t="s">
        <v>14957</v>
      </c>
      <c r="F1339" s="2" t="s">
        <v>14958</v>
      </c>
      <c r="G1339" s="2" t="s">
        <v>14959</v>
      </c>
      <c r="H1339" s="2" t="s">
        <v>14960</v>
      </c>
      <c r="I1339" s="2" t="s">
        <v>14961</v>
      </c>
      <c r="J1339" s="2" t="s">
        <v>14962</v>
      </c>
      <c r="K1339" s="2" t="s">
        <v>14963</v>
      </c>
      <c r="L1339" s="2" t="s">
        <v>14964</v>
      </c>
      <c r="M1339" s="2" t="s">
        <v>14965</v>
      </c>
      <c r="N1339" s="2" t="s">
        <v>14966</v>
      </c>
      <c r="O1339" s="2" t="s">
        <v>14967</v>
      </c>
      <c r="P1339" s="2" t="s">
        <v>14954</v>
      </c>
    </row>
    <row r="1340" spans="1:16">
      <c r="A1340" s="1">
        <v>1339</v>
      </c>
      <c r="B1340" s="2" t="s">
        <v>14968</v>
      </c>
      <c r="C1340" s="2" t="s">
        <v>14969</v>
      </c>
      <c r="D1340" s="2" t="s">
        <v>14970</v>
      </c>
      <c r="E1340" s="2" t="s">
        <v>14971</v>
      </c>
      <c r="F1340" s="2" t="s">
        <v>14972</v>
      </c>
      <c r="G1340" s="2" t="s">
        <v>1281</v>
      </c>
      <c r="H1340" s="2" t="s">
        <v>14973</v>
      </c>
      <c r="I1340" s="2" t="s">
        <v>14974</v>
      </c>
      <c r="J1340" s="2" t="s">
        <v>1287</v>
      </c>
      <c r="K1340" s="2" t="s">
        <v>14975</v>
      </c>
      <c r="L1340" s="2" t="s">
        <v>14976</v>
      </c>
      <c r="M1340" s="2" t="s">
        <v>12119</v>
      </c>
      <c r="N1340" s="2" t="s">
        <v>1287</v>
      </c>
      <c r="O1340" s="2" t="s">
        <v>14977</v>
      </c>
      <c r="P1340" s="2" t="s">
        <v>14968</v>
      </c>
    </row>
    <row r="1341" spans="1:16">
      <c r="A1341" s="1">
        <v>1340</v>
      </c>
      <c r="B1341" s="2" t="s">
        <v>14978</v>
      </c>
      <c r="C1341" s="2" t="s">
        <v>14979</v>
      </c>
      <c r="D1341" s="2" t="s">
        <v>14980</v>
      </c>
      <c r="E1341" s="2" t="s">
        <v>14981</v>
      </c>
      <c r="F1341" s="2" t="s">
        <v>14982</v>
      </c>
      <c r="G1341" s="2" t="s">
        <v>14983</v>
      </c>
      <c r="H1341" s="2" t="s">
        <v>14984</v>
      </c>
      <c r="I1341" s="2" t="s">
        <v>14985</v>
      </c>
      <c r="J1341" s="2" t="s">
        <v>14986</v>
      </c>
      <c r="K1341" s="2" t="s">
        <v>14987</v>
      </c>
      <c r="L1341" s="2" t="s">
        <v>14988</v>
      </c>
      <c r="M1341" s="2" t="s">
        <v>14989</v>
      </c>
      <c r="N1341" s="2" t="s">
        <v>14990</v>
      </c>
      <c r="O1341" s="2" t="s">
        <v>14991</v>
      </c>
      <c r="P1341" s="2" t="s">
        <v>14978</v>
      </c>
    </row>
    <row r="1342" spans="1:16">
      <c r="A1342" s="1">
        <v>1341</v>
      </c>
      <c r="B1342" s="2" t="s">
        <v>14992</v>
      </c>
      <c r="C1342" s="2" t="s">
        <v>14993</v>
      </c>
      <c r="D1342" s="2" t="s">
        <v>14994</v>
      </c>
      <c r="E1342" s="2" t="s">
        <v>14995</v>
      </c>
      <c r="F1342" s="2" t="s">
        <v>14992</v>
      </c>
      <c r="G1342" s="2" t="s">
        <v>14996</v>
      </c>
      <c r="H1342" s="2" t="s">
        <v>14997</v>
      </c>
      <c r="I1342" s="2" t="s">
        <v>14998</v>
      </c>
      <c r="J1342" s="2" t="s">
        <v>14999</v>
      </c>
      <c r="K1342" s="2" t="s">
        <v>15000</v>
      </c>
      <c r="L1342" s="2" t="s">
        <v>15001</v>
      </c>
      <c r="M1342" s="2" t="s">
        <v>15002</v>
      </c>
      <c r="N1342" s="2" t="s">
        <v>15002</v>
      </c>
      <c r="O1342" s="2" t="s">
        <v>15003</v>
      </c>
      <c r="P1342" s="2" t="s">
        <v>14992</v>
      </c>
    </row>
    <row r="1343" spans="1:16">
      <c r="A1343" s="1">
        <v>1342</v>
      </c>
      <c r="B1343" s="2" t="s">
        <v>15004</v>
      </c>
      <c r="C1343" s="2" t="s">
        <v>15005</v>
      </c>
      <c r="D1343" s="2" t="s">
        <v>15006</v>
      </c>
      <c r="E1343" s="2" t="s">
        <v>15007</v>
      </c>
      <c r="F1343" s="2" t="s">
        <v>15008</v>
      </c>
      <c r="G1343" s="2" t="s">
        <v>15009</v>
      </c>
      <c r="H1343" s="2" t="s">
        <v>15010</v>
      </c>
      <c r="I1343" s="2" t="s">
        <v>15011</v>
      </c>
      <c r="J1343" s="2" t="s">
        <v>15012</v>
      </c>
      <c r="K1343" s="2" t="s">
        <v>15013</v>
      </c>
      <c r="L1343" s="2" t="s">
        <v>15014</v>
      </c>
      <c r="M1343" s="2" t="s">
        <v>15015</v>
      </c>
      <c r="N1343" s="2" t="s">
        <v>15016</v>
      </c>
      <c r="O1343" s="2" t="s">
        <v>15017</v>
      </c>
      <c r="P1343" s="2" t="s">
        <v>15004</v>
      </c>
    </row>
    <row r="1344" spans="1:16">
      <c r="A1344" s="1">
        <v>1343</v>
      </c>
      <c r="B1344" s="2" t="s">
        <v>15018</v>
      </c>
      <c r="C1344" s="2" t="s">
        <v>15019</v>
      </c>
      <c r="D1344" s="2" t="s">
        <v>15020</v>
      </c>
      <c r="E1344" s="2" t="s">
        <v>15021</v>
      </c>
      <c r="F1344" s="2" t="s">
        <v>15022</v>
      </c>
      <c r="G1344" s="2" t="s">
        <v>15023</v>
      </c>
      <c r="H1344" s="2" t="s">
        <v>15024</v>
      </c>
      <c r="I1344" s="2" t="s">
        <v>15025</v>
      </c>
      <c r="J1344" s="2" t="s">
        <v>15026</v>
      </c>
      <c r="K1344" s="2" t="s">
        <v>15027</v>
      </c>
      <c r="L1344" s="2" t="s">
        <v>15028</v>
      </c>
      <c r="M1344" s="2" t="s">
        <v>15029</v>
      </c>
      <c r="N1344" s="2" t="s">
        <v>15030</v>
      </c>
      <c r="O1344" s="2" t="s">
        <v>15031</v>
      </c>
      <c r="P1344" s="2" t="s">
        <v>15018</v>
      </c>
    </row>
    <row r="1345" spans="1:16">
      <c r="A1345" s="1">
        <v>1344</v>
      </c>
      <c r="B1345" s="2" t="s">
        <v>15032</v>
      </c>
      <c r="C1345" s="2" t="s">
        <v>15033</v>
      </c>
      <c r="D1345" s="2" t="s">
        <v>15034</v>
      </c>
      <c r="E1345" s="2" t="s">
        <v>15035</v>
      </c>
      <c r="F1345" s="2" t="s">
        <v>15036</v>
      </c>
      <c r="G1345" s="2" t="s">
        <v>15037</v>
      </c>
      <c r="H1345" s="2" t="s">
        <v>15032</v>
      </c>
      <c r="I1345" s="2" t="s">
        <v>15038</v>
      </c>
      <c r="J1345" s="2" t="s">
        <v>15032</v>
      </c>
      <c r="K1345" s="2" t="s">
        <v>15039</v>
      </c>
      <c r="L1345" s="2" t="s">
        <v>15040</v>
      </c>
      <c r="M1345" s="2" t="s">
        <v>15032</v>
      </c>
      <c r="N1345" s="2" t="s">
        <v>15041</v>
      </c>
      <c r="O1345" s="2" t="s">
        <v>15042</v>
      </c>
      <c r="P1345" s="2" t="s">
        <v>15032</v>
      </c>
    </row>
    <row r="1346" spans="1:16">
      <c r="A1346" s="1">
        <v>1345</v>
      </c>
      <c r="B1346" s="2" t="s">
        <v>15043</v>
      </c>
      <c r="C1346" s="2" t="s">
        <v>15044</v>
      </c>
      <c r="D1346" s="2" t="s">
        <v>15045</v>
      </c>
      <c r="E1346" s="2" t="s">
        <v>15046</v>
      </c>
      <c r="F1346" s="2" t="s">
        <v>15047</v>
      </c>
      <c r="G1346" s="2" t="s">
        <v>15048</v>
      </c>
      <c r="H1346" s="2" t="s">
        <v>15043</v>
      </c>
      <c r="I1346" s="2" t="s">
        <v>15049</v>
      </c>
      <c r="J1346" s="2" t="s">
        <v>15043</v>
      </c>
      <c r="K1346" s="2" t="s">
        <v>15050</v>
      </c>
      <c r="L1346" s="2" t="s">
        <v>15051</v>
      </c>
      <c r="M1346" s="2" t="s">
        <v>15043</v>
      </c>
      <c r="N1346" s="2" t="s">
        <v>15052</v>
      </c>
      <c r="O1346" s="2" t="s">
        <v>15053</v>
      </c>
      <c r="P1346" s="2" t="s">
        <v>15043</v>
      </c>
    </row>
    <row r="1347" spans="1:16">
      <c r="A1347" s="1">
        <v>1346</v>
      </c>
      <c r="B1347" s="2" t="s">
        <v>15054</v>
      </c>
      <c r="C1347" s="2" t="s">
        <v>15055</v>
      </c>
      <c r="D1347" s="2" t="s">
        <v>15056</v>
      </c>
      <c r="E1347" s="2" t="s">
        <v>15057</v>
      </c>
      <c r="F1347" s="2" t="s">
        <v>15058</v>
      </c>
      <c r="G1347" s="2" t="s">
        <v>15059</v>
      </c>
      <c r="H1347" s="2" t="s">
        <v>15060</v>
      </c>
      <c r="I1347" s="2" t="s">
        <v>15061</v>
      </c>
      <c r="J1347" s="2" t="s">
        <v>15062</v>
      </c>
      <c r="K1347" s="2" t="s">
        <v>15063</v>
      </c>
      <c r="L1347" s="2" t="s">
        <v>15064</v>
      </c>
      <c r="M1347" s="2" t="s">
        <v>15065</v>
      </c>
      <c r="N1347" s="2" t="s">
        <v>15066</v>
      </c>
      <c r="O1347" s="2" t="s">
        <v>15067</v>
      </c>
      <c r="P1347" s="2" t="s">
        <v>15054</v>
      </c>
    </row>
    <row r="1348" spans="1:16">
      <c r="A1348" s="1">
        <v>1347</v>
      </c>
      <c r="B1348" s="2" t="s">
        <v>15068</v>
      </c>
      <c r="C1348" s="2" t="s">
        <v>1898</v>
      </c>
      <c r="D1348" s="2" t="s">
        <v>1899</v>
      </c>
      <c r="E1348" s="2" t="s">
        <v>15069</v>
      </c>
      <c r="F1348" s="2" t="s">
        <v>1901</v>
      </c>
      <c r="G1348" s="2" t="s">
        <v>15070</v>
      </c>
      <c r="H1348" s="2" t="s">
        <v>15071</v>
      </c>
      <c r="I1348" s="2" t="s">
        <v>15072</v>
      </c>
      <c r="J1348" s="2" t="s">
        <v>15073</v>
      </c>
      <c r="K1348" s="2" t="s">
        <v>15074</v>
      </c>
      <c r="L1348" s="2" t="s">
        <v>15075</v>
      </c>
      <c r="M1348" s="2" t="s">
        <v>15076</v>
      </c>
      <c r="N1348" s="2" t="s">
        <v>15077</v>
      </c>
      <c r="O1348" s="2" t="s">
        <v>1910</v>
      </c>
      <c r="P1348" s="2" t="s">
        <v>15068</v>
      </c>
    </row>
    <row r="1349" spans="1:16">
      <c r="A1349" s="1">
        <v>1348</v>
      </c>
      <c r="B1349" s="2" t="s">
        <v>15078</v>
      </c>
      <c r="C1349" s="2" t="s">
        <v>15079</v>
      </c>
      <c r="D1349" s="2" t="s">
        <v>15080</v>
      </c>
      <c r="E1349" s="2" t="s">
        <v>15081</v>
      </c>
      <c r="F1349" s="2" t="s">
        <v>15082</v>
      </c>
      <c r="G1349" s="2" t="s">
        <v>15083</v>
      </c>
      <c r="H1349" s="2" t="s">
        <v>15084</v>
      </c>
      <c r="I1349" s="2" t="s">
        <v>15085</v>
      </c>
      <c r="J1349" s="2" t="s">
        <v>15086</v>
      </c>
      <c r="K1349" s="2" t="s">
        <v>15087</v>
      </c>
      <c r="L1349" s="2" t="s">
        <v>15088</v>
      </c>
      <c r="M1349" s="2" t="s">
        <v>3028</v>
      </c>
      <c r="N1349" s="2" t="s">
        <v>15089</v>
      </c>
      <c r="O1349" s="2" t="s">
        <v>15090</v>
      </c>
      <c r="P1349" s="2" t="s">
        <v>15078</v>
      </c>
    </row>
    <row r="1350" spans="1:16">
      <c r="A1350" s="1">
        <v>1349</v>
      </c>
      <c r="B1350" s="2" t="s">
        <v>15091</v>
      </c>
      <c r="C1350" s="2" t="s">
        <v>15092</v>
      </c>
      <c r="D1350" s="2" t="s">
        <v>15093</v>
      </c>
      <c r="E1350" s="2" t="s">
        <v>15094</v>
      </c>
      <c r="F1350" s="2" t="s">
        <v>15095</v>
      </c>
      <c r="G1350" s="2" t="s">
        <v>15096</v>
      </c>
      <c r="H1350" s="2" t="s">
        <v>15097</v>
      </c>
      <c r="I1350" s="2" t="s">
        <v>15098</v>
      </c>
      <c r="J1350" s="2" t="s">
        <v>15099</v>
      </c>
      <c r="K1350" s="2" t="s">
        <v>15100</v>
      </c>
      <c r="L1350" s="2" t="s">
        <v>15101</v>
      </c>
      <c r="M1350" s="2" t="s">
        <v>15102</v>
      </c>
      <c r="N1350" s="2" t="s">
        <v>15103</v>
      </c>
      <c r="O1350" s="2" t="s">
        <v>15104</v>
      </c>
      <c r="P1350" s="2" t="s">
        <v>15091</v>
      </c>
    </row>
    <row r="1351" spans="1:16">
      <c r="A1351" s="1">
        <v>1350</v>
      </c>
      <c r="B1351" s="2" t="s">
        <v>15105</v>
      </c>
      <c r="C1351" s="2" t="s">
        <v>15106</v>
      </c>
      <c r="D1351" s="2" t="s">
        <v>15107</v>
      </c>
      <c r="E1351" s="2" t="s">
        <v>15108</v>
      </c>
      <c r="F1351" s="2" t="s">
        <v>15109</v>
      </c>
      <c r="G1351" s="2" t="s">
        <v>15110</v>
      </c>
      <c r="H1351" s="2" t="s">
        <v>15111</v>
      </c>
      <c r="I1351" s="2" t="s">
        <v>15112</v>
      </c>
      <c r="J1351" s="2" t="s">
        <v>15113</v>
      </c>
      <c r="K1351" s="2" t="s">
        <v>15114</v>
      </c>
      <c r="L1351" s="2" t="s">
        <v>15115</v>
      </c>
      <c r="M1351" s="2" t="s">
        <v>15116</v>
      </c>
      <c r="N1351" s="2" t="s">
        <v>15117</v>
      </c>
      <c r="O1351" s="2" t="s">
        <v>15118</v>
      </c>
      <c r="P1351" s="2" t="s">
        <v>15105</v>
      </c>
    </row>
    <row r="1352" spans="1:16">
      <c r="A1352" s="1">
        <v>1351</v>
      </c>
      <c r="B1352" s="2" t="s">
        <v>15119</v>
      </c>
      <c r="C1352" s="2" t="s">
        <v>15120</v>
      </c>
      <c r="D1352" s="2" t="s">
        <v>15121</v>
      </c>
      <c r="E1352" s="2" t="s">
        <v>15122</v>
      </c>
      <c r="F1352" s="2" t="s">
        <v>15123</v>
      </c>
      <c r="G1352" s="2" t="s">
        <v>15124</v>
      </c>
      <c r="H1352" s="2" t="s">
        <v>15125</v>
      </c>
      <c r="I1352" s="2" t="s">
        <v>15126</v>
      </c>
      <c r="J1352" s="2" t="s">
        <v>15127</v>
      </c>
      <c r="K1352" s="2" t="s">
        <v>15128</v>
      </c>
      <c r="L1352" s="2" t="s">
        <v>15129</v>
      </c>
      <c r="M1352" s="2" t="s">
        <v>15130</v>
      </c>
      <c r="N1352" s="2" t="s">
        <v>15131</v>
      </c>
      <c r="O1352" s="2" t="s">
        <v>15132</v>
      </c>
      <c r="P1352" s="2" t="s">
        <v>15119</v>
      </c>
    </row>
    <row r="1353" spans="1:16">
      <c r="A1353" s="1">
        <v>1352</v>
      </c>
      <c r="B1353" s="2" t="s">
        <v>15133</v>
      </c>
      <c r="C1353" s="2" t="s">
        <v>15134</v>
      </c>
      <c r="D1353" s="2" t="s">
        <v>15135</v>
      </c>
      <c r="E1353" s="2" t="s">
        <v>15136</v>
      </c>
      <c r="F1353" s="2" t="s">
        <v>15137</v>
      </c>
      <c r="G1353" s="2" t="s">
        <v>15138</v>
      </c>
      <c r="H1353" s="2" t="s">
        <v>15139</v>
      </c>
      <c r="I1353" s="2" t="s">
        <v>15140</v>
      </c>
      <c r="J1353" s="2" t="s">
        <v>15141</v>
      </c>
      <c r="K1353" s="2" t="s">
        <v>15142</v>
      </c>
      <c r="L1353" s="2" t="s">
        <v>15143</v>
      </c>
      <c r="M1353" s="2" t="s">
        <v>15144</v>
      </c>
      <c r="N1353" s="2" t="s">
        <v>15145</v>
      </c>
      <c r="O1353" s="2" t="s">
        <v>15146</v>
      </c>
      <c r="P1353" s="2" t="s">
        <v>15133</v>
      </c>
    </row>
    <row r="1354" spans="1:16">
      <c r="A1354" s="1">
        <v>1353</v>
      </c>
      <c r="B1354" s="2" t="s">
        <v>15147</v>
      </c>
      <c r="C1354" s="2" t="s">
        <v>15148</v>
      </c>
      <c r="D1354" s="2" t="s">
        <v>15149</v>
      </c>
      <c r="E1354" s="2" t="s">
        <v>15150</v>
      </c>
      <c r="F1354" s="2" t="s">
        <v>15151</v>
      </c>
      <c r="G1354" s="2" t="s">
        <v>15152</v>
      </c>
      <c r="H1354" s="2" t="s">
        <v>15153</v>
      </c>
      <c r="I1354" s="2" t="s">
        <v>15154</v>
      </c>
      <c r="J1354" s="2" t="s">
        <v>15155</v>
      </c>
      <c r="K1354" s="2" t="s">
        <v>15156</v>
      </c>
      <c r="L1354" s="2" t="s">
        <v>15157</v>
      </c>
      <c r="M1354" s="2" t="s">
        <v>15158</v>
      </c>
      <c r="N1354" s="2" t="s">
        <v>15159</v>
      </c>
      <c r="O1354" s="2" t="s">
        <v>15160</v>
      </c>
      <c r="P1354" s="2" t="s">
        <v>15147</v>
      </c>
    </row>
    <row r="1355" spans="1:16">
      <c r="A1355" s="1">
        <v>1354</v>
      </c>
      <c r="B1355" s="2" t="s">
        <v>15161</v>
      </c>
      <c r="C1355" s="2" t="s">
        <v>15162</v>
      </c>
      <c r="D1355" s="2" t="s">
        <v>15163</v>
      </c>
      <c r="E1355" s="2" t="s">
        <v>15164</v>
      </c>
      <c r="F1355" s="2" t="s">
        <v>15165</v>
      </c>
      <c r="G1355" s="2" t="s">
        <v>15166</v>
      </c>
      <c r="H1355" s="2" t="s">
        <v>15167</v>
      </c>
      <c r="I1355" s="2" t="s">
        <v>15168</v>
      </c>
      <c r="J1355" s="2" t="s">
        <v>15169</v>
      </c>
      <c r="K1355" s="2" t="s">
        <v>15170</v>
      </c>
      <c r="L1355" s="2" t="s">
        <v>15171</v>
      </c>
      <c r="M1355" s="2" t="s">
        <v>15172</v>
      </c>
      <c r="N1355" s="2" t="s">
        <v>15173</v>
      </c>
      <c r="O1355" s="2" t="s">
        <v>15174</v>
      </c>
      <c r="P1355" s="2" t="s">
        <v>15161</v>
      </c>
    </row>
    <row r="1356" spans="1:16">
      <c r="A1356" s="1">
        <v>1355</v>
      </c>
      <c r="B1356" s="2" t="s">
        <v>15175</v>
      </c>
      <c r="C1356" s="2" t="s">
        <v>15176</v>
      </c>
      <c r="D1356" s="2" t="s">
        <v>15177</v>
      </c>
      <c r="E1356" s="2" t="s">
        <v>15178</v>
      </c>
      <c r="F1356" s="2" t="s">
        <v>15179</v>
      </c>
      <c r="G1356" s="2" t="s">
        <v>15180</v>
      </c>
      <c r="H1356" s="2" t="s">
        <v>15181</v>
      </c>
      <c r="I1356" s="2" t="s">
        <v>15182</v>
      </c>
      <c r="J1356" s="2" t="s">
        <v>15183</v>
      </c>
      <c r="K1356" s="2" t="s">
        <v>15184</v>
      </c>
      <c r="L1356" s="2" t="s">
        <v>15185</v>
      </c>
      <c r="M1356" s="2" t="s">
        <v>15186</v>
      </c>
      <c r="N1356" s="2" t="s">
        <v>15187</v>
      </c>
      <c r="O1356" s="2" t="s">
        <v>15188</v>
      </c>
      <c r="P1356" s="2" t="s">
        <v>15175</v>
      </c>
    </row>
    <row r="1357" spans="1:16">
      <c r="A1357" s="1">
        <v>1356</v>
      </c>
      <c r="B1357" s="2" t="s">
        <v>15189</v>
      </c>
      <c r="C1357" s="2" t="s">
        <v>15190</v>
      </c>
      <c r="D1357" s="2" t="s">
        <v>15191</v>
      </c>
      <c r="E1357" s="2" t="s">
        <v>15192</v>
      </c>
      <c r="F1357" s="2" t="s">
        <v>15193</v>
      </c>
      <c r="G1357" s="2" t="s">
        <v>15194</v>
      </c>
      <c r="H1357" s="2" t="s">
        <v>15195</v>
      </c>
      <c r="I1357" s="2" t="s">
        <v>15196</v>
      </c>
      <c r="J1357" s="2" t="s">
        <v>15197</v>
      </c>
      <c r="K1357" s="2" t="s">
        <v>15198</v>
      </c>
      <c r="L1357" s="2" t="s">
        <v>15199</v>
      </c>
      <c r="M1357" s="2" t="s">
        <v>15200</v>
      </c>
      <c r="N1357" s="2" t="s">
        <v>15201</v>
      </c>
      <c r="O1357" s="2" t="s">
        <v>15202</v>
      </c>
      <c r="P1357" s="2" t="s">
        <v>15189</v>
      </c>
    </row>
    <row r="1358" spans="1:16">
      <c r="A1358" s="1">
        <v>1357</v>
      </c>
      <c r="B1358" s="2" t="s">
        <v>15203</v>
      </c>
      <c r="C1358" s="2" t="s">
        <v>15204</v>
      </c>
      <c r="D1358" s="2" t="s">
        <v>15205</v>
      </c>
      <c r="E1358" s="2" t="s">
        <v>15206</v>
      </c>
      <c r="F1358" s="2" t="s">
        <v>15207</v>
      </c>
      <c r="G1358" s="2" t="s">
        <v>15208</v>
      </c>
      <c r="H1358" s="2" t="s">
        <v>15209</v>
      </c>
      <c r="I1358" s="2" t="s">
        <v>15210</v>
      </c>
      <c r="J1358" s="2" t="s">
        <v>15211</v>
      </c>
      <c r="K1358" s="2" t="s">
        <v>15212</v>
      </c>
      <c r="L1358" s="2" t="s">
        <v>15213</v>
      </c>
      <c r="M1358" s="2" t="s">
        <v>15214</v>
      </c>
      <c r="N1358" s="2" t="s">
        <v>15215</v>
      </c>
      <c r="O1358" s="2" t="s">
        <v>15216</v>
      </c>
      <c r="P1358" s="2" t="s">
        <v>15203</v>
      </c>
    </row>
    <row r="1359" spans="1:16">
      <c r="A1359" s="1">
        <v>1358</v>
      </c>
      <c r="B1359" s="2" t="s">
        <v>15217</v>
      </c>
      <c r="C1359" s="2" t="s">
        <v>15218</v>
      </c>
      <c r="D1359" s="2" t="s">
        <v>15219</v>
      </c>
      <c r="E1359" s="2" t="s">
        <v>15220</v>
      </c>
      <c r="F1359" s="2" t="s">
        <v>15221</v>
      </c>
      <c r="G1359" s="2" t="s">
        <v>15222</v>
      </c>
      <c r="H1359" s="2" t="s">
        <v>15223</v>
      </c>
      <c r="I1359" s="2" t="s">
        <v>15221</v>
      </c>
      <c r="J1359" s="2" t="s">
        <v>15224</v>
      </c>
      <c r="K1359" s="2" t="s">
        <v>15225</v>
      </c>
      <c r="L1359" s="2" t="s">
        <v>15226</v>
      </c>
      <c r="M1359" s="2" t="s">
        <v>15227</v>
      </c>
      <c r="N1359" s="2" t="s">
        <v>15228</v>
      </c>
      <c r="O1359" s="2" t="s">
        <v>15229</v>
      </c>
      <c r="P1359" s="2" t="s">
        <v>15217</v>
      </c>
    </row>
    <row r="1360" spans="1:16">
      <c r="A1360" s="1">
        <v>1359</v>
      </c>
      <c r="B1360" s="2" t="s">
        <v>15230</v>
      </c>
      <c r="C1360" s="2" t="s">
        <v>8571</v>
      </c>
      <c r="D1360" s="2" t="s">
        <v>8572</v>
      </c>
      <c r="E1360" s="2" t="s">
        <v>15231</v>
      </c>
      <c r="F1360" s="2" t="s">
        <v>8574</v>
      </c>
      <c r="G1360" s="2" t="s">
        <v>15232</v>
      </c>
      <c r="H1360" s="2" t="s">
        <v>15233</v>
      </c>
      <c r="I1360" s="2" t="s">
        <v>15234</v>
      </c>
      <c r="J1360" s="2" t="s">
        <v>15235</v>
      </c>
      <c r="K1360" s="2" t="s">
        <v>15236</v>
      </c>
      <c r="L1360" s="2" t="s">
        <v>15237</v>
      </c>
      <c r="M1360" s="2" t="s">
        <v>15238</v>
      </c>
      <c r="N1360" s="2" t="s">
        <v>15239</v>
      </c>
      <c r="O1360" s="2" t="s">
        <v>15240</v>
      </c>
      <c r="P1360" s="2" t="s">
        <v>15230</v>
      </c>
    </row>
    <row r="1361" spans="1:16">
      <c r="A1361" s="1">
        <v>1360</v>
      </c>
      <c r="B1361" s="2" t="s">
        <v>15241</v>
      </c>
      <c r="C1361" s="2" t="s">
        <v>15242</v>
      </c>
      <c r="D1361" s="2" t="s">
        <v>15243</v>
      </c>
      <c r="E1361" s="2" t="s">
        <v>15244</v>
      </c>
      <c r="F1361" s="2" t="s">
        <v>15245</v>
      </c>
      <c r="G1361" s="2" t="s">
        <v>15246</v>
      </c>
      <c r="H1361" s="2" t="s">
        <v>15247</v>
      </c>
      <c r="I1361" s="2" t="s">
        <v>15248</v>
      </c>
      <c r="J1361" s="2" t="s">
        <v>15249</v>
      </c>
      <c r="K1361" s="2" t="s">
        <v>15250</v>
      </c>
      <c r="L1361" s="2" t="s">
        <v>15251</v>
      </c>
      <c r="M1361" s="2" t="s">
        <v>15252</v>
      </c>
      <c r="N1361" s="2" t="s">
        <v>15253</v>
      </c>
      <c r="O1361" s="2" t="s">
        <v>15254</v>
      </c>
      <c r="P1361" s="2" t="s">
        <v>15241</v>
      </c>
    </row>
    <row r="1362" spans="1:16">
      <c r="A1362" s="1">
        <v>1361</v>
      </c>
      <c r="B1362" s="2" t="s">
        <v>15255</v>
      </c>
      <c r="C1362" s="2" t="s">
        <v>15256</v>
      </c>
      <c r="D1362" s="2" t="s">
        <v>15257</v>
      </c>
      <c r="E1362" s="2" t="s">
        <v>15258</v>
      </c>
      <c r="F1362" s="2" t="s">
        <v>15259</v>
      </c>
      <c r="G1362" s="2" t="s">
        <v>15260</v>
      </c>
      <c r="H1362" s="2" t="s">
        <v>15261</v>
      </c>
      <c r="I1362" s="2" t="s">
        <v>15262</v>
      </c>
      <c r="J1362" s="2" t="s">
        <v>15263</v>
      </c>
      <c r="K1362" s="2" t="s">
        <v>15264</v>
      </c>
      <c r="L1362" s="2" t="s">
        <v>15265</v>
      </c>
      <c r="M1362" s="2" t="s">
        <v>15266</v>
      </c>
      <c r="N1362" s="2" t="s">
        <v>15267</v>
      </c>
      <c r="O1362" s="2" t="s">
        <v>15268</v>
      </c>
      <c r="P1362" s="2" t="s">
        <v>15255</v>
      </c>
    </row>
    <row r="1363" spans="1:16">
      <c r="A1363" s="1">
        <v>1362</v>
      </c>
      <c r="B1363" s="2" t="s">
        <v>15269</v>
      </c>
      <c r="C1363" s="2" t="s">
        <v>15270</v>
      </c>
      <c r="D1363" s="2" t="s">
        <v>15271</v>
      </c>
      <c r="E1363" s="2" t="s">
        <v>15272</v>
      </c>
      <c r="F1363" s="2" t="s">
        <v>15273</v>
      </c>
      <c r="G1363" s="2" t="s">
        <v>15274</v>
      </c>
      <c r="H1363" s="2" t="s">
        <v>15275</v>
      </c>
      <c r="I1363" s="2" t="s">
        <v>15276</v>
      </c>
      <c r="J1363" s="2" t="s">
        <v>15277</v>
      </c>
      <c r="K1363" s="2" t="s">
        <v>15278</v>
      </c>
      <c r="L1363" s="2" t="s">
        <v>15279</v>
      </c>
      <c r="M1363" s="2" t="s">
        <v>15280</v>
      </c>
      <c r="N1363" s="2" t="s">
        <v>15281</v>
      </c>
      <c r="O1363" s="2" t="s">
        <v>15282</v>
      </c>
      <c r="P1363" s="2" t="s">
        <v>15269</v>
      </c>
    </row>
    <row r="1364" spans="1:16">
      <c r="A1364" s="1">
        <v>1363</v>
      </c>
      <c r="B1364" s="2" t="s">
        <v>15283</v>
      </c>
      <c r="C1364" s="2" t="s">
        <v>15284</v>
      </c>
      <c r="D1364" s="2" t="s">
        <v>15285</v>
      </c>
      <c r="E1364" s="2" t="s">
        <v>15286</v>
      </c>
      <c r="F1364" s="2" t="s">
        <v>15287</v>
      </c>
      <c r="G1364" s="2" t="s">
        <v>15288</v>
      </c>
      <c r="H1364" s="2" t="s">
        <v>15289</v>
      </c>
      <c r="I1364" s="2" t="s">
        <v>15290</v>
      </c>
      <c r="J1364" s="2" t="s">
        <v>15291</v>
      </c>
      <c r="K1364" s="2" t="s">
        <v>15292</v>
      </c>
      <c r="L1364" s="2" t="s">
        <v>15293</v>
      </c>
      <c r="M1364" s="2" t="s">
        <v>15294</v>
      </c>
      <c r="N1364" s="2" t="s">
        <v>15295</v>
      </c>
      <c r="O1364" s="2" t="s">
        <v>15296</v>
      </c>
      <c r="P1364" s="2" t="s">
        <v>15283</v>
      </c>
    </row>
    <row r="1365" spans="1:16">
      <c r="A1365" s="1">
        <v>1364</v>
      </c>
      <c r="B1365" s="2" t="s">
        <v>15297</v>
      </c>
      <c r="C1365" s="2" t="s">
        <v>15298</v>
      </c>
      <c r="D1365" s="2" t="s">
        <v>15299</v>
      </c>
      <c r="E1365" s="2" t="s">
        <v>15300</v>
      </c>
      <c r="F1365" s="2" t="s">
        <v>15301</v>
      </c>
      <c r="G1365" s="2" t="s">
        <v>15302</v>
      </c>
      <c r="H1365" s="2" t="s">
        <v>15303</v>
      </c>
      <c r="I1365" s="2" t="s">
        <v>15304</v>
      </c>
      <c r="J1365" s="2" t="s">
        <v>15305</v>
      </c>
      <c r="K1365" s="2" t="s">
        <v>15306</v>
      </c>
      <c r="L1365" s="2" t="s">
        <v>15307</v>
      </c>
      <c r="M1365" s="2" t="s">
        <v>15308</v>
      </c>
      <c r="N1365" s="2" t="s">
        <v>15309</v>
      </c>
      <c r="O1365" s="2" t="s">
        <v>15310</v>
      </c>
      <c r="P1365" s="2" t="s">
        <v>15297</v>
      </c>
    </row>
    <row r="1366" spans="1:16">
      <c r="A1366" s="1">
        <v>1365</v>
      </c>
      <c r="B1366" s="2" t="s">
        <v>15311</v>
      </c>
      <c r="C1366" s="2" t="s">
        <v>15312</v>
      </c>
      <c r="D1366" s="2" t="s">
        <v>15313</v>
      </c>
      <c r="E1366" s="2" t="s">
        <v>15314</v>
      </c>
      <c r="F1366" s="2" t="s">
        <v>15315</v>
      </c>
      <c r="G1366" s="2" t="s">
        <v>15316</v>
      </c>
      <c r="H1366" s="2" t="s">
        <v>15317</v>
      </c>
      <c r="I1366" s="2" t="s">
        <v>15318</v>
      </c>
      <c r="J1366" s="2" t="s">
        <v>15319</v>
      </c>
      <c r="K1366" s="2" t="s">
        <v>15320</v>
      </c>
      <c r="L1366" s="2" t="s">
        <v>15321</v>
      </c>
      <c r="M1366" s="2" t="s">
        <v>15322</v>
      </c>
      <c r="N1366" s="2" t="s">
        <v>15323</v>
      </c>
      <c r="O1366" s="2" t="s">
        <v>15324</v>
      </c>
      <c r="P1366" s="2" t="s">
        <v>15311</v>
      </c>
    </row>
    <row r="1367" spans="1:16">
      <c r="A1367" s="1">
        <v>1366</v>
      </c>
      <c r="B1367" s="2" t="s">
        <v>15325</v>
      </c>
      <c r="C1367" s="2" t="s">
        <v>15326</v>
      </c>
      <c r="D1367" s="2" t="s">
        <v>15327</v>
      </c>
      <c r="E1367" s="2" t="s">
        <v>15328</v>
      </c>
      <c r="F1367" s="2" t="s">
        <v>15329</v>
      </c>
      <c r="G1367" s="2" t="s">
        <v>15330</v>
      </c>
      <c r="H1367" s="2" t="s">
        <v>15331</v>
      </c>
      <c r="I1367" s="2" t="s">
        <v>15332</v>
      </c>
      <c r="J1367" s="2" t="s">
        <v>15333</v>
      </c>
      <c r="K1367" s="2" t="s">
        <v>15334</v>
      </c>
      <c r="L1367" s="2" t="s">
        <v>15335</v>
      </c>
      <c r="M1367" s="2" t="s">
        <v>15336</v>
      </c>
      <c r="N1367" s="2" t="s">
        <v>15337</v>
      </c>
      <c r="O1367" s="2" t="s">
        <v>15338</v>
      </c>
      <c r="P1367" s="2" t="s">
        <v>15325</v>
      </c>
    </row>
    <row r="1368" spans="1:16">
      <c r="A1368" s="1">
        <v>1367</v>
      </c>
      <c r="B1368" s="2" t="s">
        <v>15339</v>
      </c>
      <c r="C1368" s="2" t="s">
        <v>15340</v>
      </c>
      <c r="D1368" s="2" t="s">
        <v>15341</v>
      </c>
      <c r="E1368" s="2" t="s">
        <v>15342</v>
      </c>
      <c r="F1368" s="2" t="s">
        <v>15343</v>
      </c>
      <c r="G1368" s="2" t="s">
        <v>15344</v>
      </c>
      <c r="H1368" s="2" t="s">
        <v>15345</v>
      </c>
      <c r="I1368" s="2" t="s">
        <v>15346</v>
      </c>
      <c r="J1368" s="2" t="s">
        <v>15347</v>
      </c>
      <c r="K1368" s="2" t="s">
        <v>15348</v>
      </c>
      <c r="L1368" s="2" t="s">
        <v>15349</v>
      </c>
      <c r="M1368" s="2" t="s">
        <v>15350</v>
      </c>
      <c r="N1368" s="2" t="s">
        <v>15351</v>
      </c>
      <c r="O1368" s="2" t="s">
        <v>15352</v>
      </c>
      <c r="P1368" s="2" t="s">
        <v>15339</v>
      </c>
    </row>
    <row r="1369" spans="1:16">
      <c r="A1369" s="1">
        <v>1368</v>
      </c>
      <c r="B1369" s="2" t="s">
        <v>15353</v>
      </c>
      <c r="C1369" s="2" t="s">
        <v>15354</v>
      </c>
      <c r="D1369" s="2" t="s">
        <v>15355</v>
      </c>
      <c r="E1369" s="2" t="s">
        <v>15356</v>
      </c>
      <c r="F1369" s="2" t="s">
        <v>15357</v>
      </c>
      <c r="G1369" s="2" t="s">
        <v>15358</v>
      </c>
      <c r="H1369" s="2" t="s">
        <v>15359</v>
      </c>
      <c r="I1369" s="2" t="s">
        <v>15360</v>
      </c>
      <c r="J1369" s="2" t="s">
        <v>15361</v>
      </c>
      <c r="K1369" s="2" t="s">
        <v>15362</v>
      </c>
      <c r="L1369" s="2" t="s">
        <v>15363</v>
      </c>
      <c r="M1369" s="2" t="s">
        <v>15364</v>
      </c>
      <c r="N1369" s="2" t="s">
        <v>15365</v>
      </c>
      <c r="O1369" s="2" t="s">
        <v>15366</v>
      </c>
      <c r="P1369" s="2" t="s">
        <v>15353</v>
      </c>
    </row>
    <row r="1370" spans="1:16">
      <c r="A1370" s="1">
        <v>1369</v>
      </c>
      <c r="B1370" s="2" t="s">
        <v>15367</v>
      </c>
      <c r="C1370" s="2" t="s">
        <v>15368</v>
      </c>
      <c r="D1370" s="2" t="s">
        <v>15369</v>
      </c>
      <c r="E1370" s="2" t="s">
        <v>15370</v>
      </c>
      <c r="F1370" s="2" t="s">
        <v>15371</v>
      </c>
      <c r="G1370" s="2" t="s">
        <v>15372</v>
      </c>
      <c r="H1370" s="2" t="s">
        <v>15373</v>
      </c>
      <c r="I1370" s="2" t="s">
        <v>15374</v>
      </c>
      <c r="J1370" s="2" t="s">
        <v>15375</v>
      </c>
      <c r="K1370" s="2" t="s">
        <v>15376</v>
      </c>
      <c r="L1370" s="2" t="s">
        <v>15377</v>
      </c>
      <c r="M1370" s="2" t="s">
        <v>15378</v>
      </c>
      <c r="N1370" s="2" t="s">
        <v>15379</v>
      </c>
      <c r="O1370" s="2" t="s">
        <v>15380</v>
      </c>
      <c r="P1370" s="2" t="s">
        <v>15367</v>
      </c>
    </row>
    <row r="1371" spans="1:16">
      <c r="A1371" s="1">
        <v>1370</v>
      </c>
      <c r="B1371" s="2" t="s">
        <v>15381</v>
      </c>
      <c r="C1371" s="2" t="s">
        <v>15382</v>
      </c>
      <c r="D1371" s="2" t="s">
        <v>15383</v>
      </c>
      <c r="E1371" s="2" t="s">
        <v>15384</v>
      </c>
      <c r="F1371" s="2" t="s">
        <v>15385</v>
      </c>
      <c r="G1371" s="2" t="s">
        <v>15386</v>
      </c>
      <c r="H1371" s="2" t="s">
        <v>15387</v>
      </c>
      <c r="I1371" s="2" t="s">
        <v>15388</v>
      </c>
      <c r="J1371" s="2" t="s">
        <v>15389</v>
      </c>
      <c r="K1371" s="2" t="s">
        <v>15390</v>
      </c>
      <c r="L1371" s="2" t="s">
        <v>15391</v>
      </c>
      <c r="M1371" s="2" t="s">
        <v>15392</v>
      </c>
      <c r="N1371" s="2" t="s">
        <v>15393</v>
      </c>
      <c r="O1371" s="2" t="s">
        <v>15394</v>
      </c>
      <c r="P1371" s="2" t="s">
        <v>15381</v>
      </c>
    </row>
    <row r="1372" spans="1:16">
      <c r="A1372" s="1">
        <v>1371</v>
      </c>
      <c r="B1372" s="2" t="s">
        <v>15395</v>
      </c>
      <c r="C1372" s="2" t="s">
        <v>15396</v>
      </c>
      <c r="D1372" s="2" t="s">
        <v>15397</v>
      </c>
      <c r="E1372" s="2" t="s">
        <v>15398</v>
      </c>
      <c r="F1372" s="2" t="s">
        <v>15399</v>
      </c>
      <c r="G1372" s="2" t="s">
        <v>15400</v>
      </c>
      <c r="H1372" s="2" t="s">
        <v>15401</v>
      </c>
      <c r="I1372" s="2" t="s">
        <v>15402</v>
      </c>
      <c r="J1372" s="2" t="s">
        <v>15403</v>
      </c>
      <c r="K1372" s="2" t="s">
        <v>15404</v>
      </c>
      <c r="L1372" s="2" t="s">
        <v>15405</v>
      </c>
      <c r="M1372" s="2" t="s">
        <v>15406</v>
      </c>
      <c r="N1372" s="2" t="s">
        <v>15407</v>
      </c>
      <c r="O1372" s="2" t="s">
        <v>15408</v>
      </c>
      <c r="P1372" s="2" t="s">
        <v>15395</v>
      </c>
    </row>
    <row r="1373" spans="1:16">
      <c r="A1373" s="1">
        <v>1372</v>
      </c>
      <c r="B1373" s="2" t="s">
        <v>15409</v>
      </c>
      <c r="C1373" s="2" t="s">
        <v>15410</v>
      </c>
      <c r="D1373" s="2" t="s">
        <v>15411</v>
      </c>
      <c r="E1373" s="2" t="s">
        <v>15412</v>
      </c>
      <c r="F1373" s="2" t="s">
        <v>15413</v>
      </c>
      <c r="G1373" s="2" t="s">
        <v>15414</v>
      </c>
      <c r="H1373" s="2" t="s">
        <v>15415</v>
      </c>
      <c r="I1373" s="2" t="s">
        <v>15416</v>
      </c>
      <c r="J1373" s="2" t="s">
        <v>15417</v>
      </c>
      <c r="K1373" s="2" t="s">
        <v>15418</v>
      </c>
      <c r="L1373" s="2" t="s">
        <v>15419</v>
      </c>
      <c r="M1373" s="2" t="s">
        <v>15420</v>
      </c>
      <c r="N1373" s="2" t="s">
        <v>15421</v>
      </c>
      <c r="O1373" s="2" t="s">
        <v>15422</v>
      </c>
      <c r="P1373" s="2" t="s">
        <v>15409</v>
      </c>
    </row>
    <row r="1374" spans="1:16">
      <c r="A1374" s="1">
        <v>1373</v>
      </c>
      <c r="B1374" s="2" t="s">
        <v>15423</v>
      </c>
      <c r="C1374" s="2" t="s">
        <v>15424</v>
      </c>
      <c r="D1374" s="2" t="s">
        <v>15425</v>
      </c>
      <c r="E1374" s="2" t="s">
        <v>15426</v>
      </c>
      <c r="F1374" s="2" t="s">
        <v>15427</v>
      </c>
      <c r="G1374" s="2" t="s">
        <v>15428</v>
      </c>
      <c r="H1374" s="2" t="s">
        <v>15429</v>
      </c>
      <c r="I1374" s="2" t="s">
        <v>15430</v>
      </c>
      <c r="J1374" s="2" t="s">
        <v>15431</v>
      </c>
      <c r="K1374" s="2" t="s">
        <v>15432</v>
      </c>
      <c r="L1374" s="2" t="s">
        <v>15433</v>
      </c>
      <c r="M1374" s="2" t="s">
        <v>15434</v>
      </c>
      <c r="N1374" s="2" t="s">
        <v>15435</v>
      </c>
      <c r="O1374" s="2" t="s">
        <v>15436</v>
      </c>
      <c r="P1374" s="2" t="s">
        <v>15423</v>
      </c>
    </row>
    <row r="1375" spans="1:16">
      <c r="A1375" s="1">
        <v>1374</v>
      </c>
      <c r="B1375" s="2" t="s">
        <v>15437</v>
      </c>
      <c r="C1375" s="2" t="s">
        <v>10665</v>
      </c>
      <c r="D1375" s="2" t="s">
        <v>5102</v>
      </c>
      <c r="E1375" s="2" t="s">
        <v>15438</v>
      </c>
      <c r="F1375" s="2" t="s">
        <v>15439</v>
      </c>
      <c r="G1375" s="2" t="s">
        <v>15440</v>
      </c>
      <c r="H1375" s="2" t="s">
        <v>15441</v>
      </c>
      <c r="I1375" s="2" t="s">
        <v>15442</v>
      </c>
      <c r="J1375" s="2" t="s">
        <v>15443</v>
      </c>
      <c r="K1375" s="2" t="s">
        <v>15444</v>
      </c>
      <c r="L1375" s="2" t="s">
        <v>15445</v>
      </c>
      <c r="M1375" s="2" t="s">
        <v>15446</v>
      </c>
      <c r="N1375" s="2" t="s">
        <v>15447</v>
      </c>
      <c r="O1375" s="2" t="s">
        <v>15448</v>
      </c>
      <c r="P1375" s="2" t="s">
        <v>15437</v>
      </c>
    </row>
    <row r="1376" spans="1:16">
      <c r="A1376" s="1">
        <v>1375</v>
      </c>
      <c r="B1376" s="2" t="s">
        <v>15449</v>
      </c>
      <c r="C1376" s="2" t="s">
        <v>15450</v>
      </c>
      <c r="D1376" s="2" t="s">
        <v>15451</v>
      </c>
      <c r="E1376" s="2" t="s">
        <v>15452</v>
      </c>
      <c r="F1376" s="2" t="s">
        <v>15453</v>
      </c>
      <c r="G1376" s="2" t="s">
        <v>15454</v>
      </c>
      <c r="H1376" s="2" t="s">
        <v>15455</v>
      </c>
      <c r="I1376" s="2" t="s">
        <v>15456</v>
      </c>
      <c r="J1376" s="2" t="s">
        <v>15457</v>
      </c>
      <c r="K1376" s="2" t="s">
        <v>15458</v>
      </c>
      <c r="L1376" s="2" t="s">
        <v>15459</v>
      </c>
      <c r="M1376" s="2" t="s">
        <v>4159</v>
      </c>
      <c r="N1376" s="2" t="s">
        <v>15460</v>
      </c>
      <c r="O1376" s="2" t="s">
        <v>15461</v>
      </c>
      <c r="P1376" s="2" t="s">
        <v>15449</v>
      </c>
    </row>
    <row r="1377" spans="1:16" ht="16.5">
      <c r="A1377" s="1">
        <v>1376</v>
      </c>
      <c r="B1377" s="2" t="s">
        <v>15462</v>
      </c>
      <c r="C1377" s="2" t="s">
        <v>15463</v>
      </c>
      <c r="D1377" s="2" t="s">
        <v>15464</v>
      </c>
      <c r="E1377" s="2" t="s">
        <v>15465</v>
      </c>
      <c r="F1377" s="2" t="s">
        <v>15466</v>
      </c>
      <c r="G1377" s="2" t="s">
        <v>15467</v>
      </c>
      <c r="H1377" s="2" t="s">
        <v>15468</v>
      </c>
      <c r="I1377" s="2" t="s">
        <v>15469</v>
      </c>
      <c r="J1377" s="2" t="s">
        <v>15470</v>
      </c>
      <c r="K1377" s="2" t="s">
        <v>15471</v>
      </c>
      <c r="L1377" s="2" t="s">
        <v>15472</v>
      </c>
      <c r="M1377" s="2" t="s">
        <v>15473</v>
      </c>
      <c r="N1377" s="2" t="s">
        <v>15474</v>
      </c>
      <c r="O1377" s="2" t="s">
        <v>15475</v>
      </c>
      <c r="P1377" s="2" t="s">
        <v>15462</v>
      </c>
    </row>
    <row r="1378" spans="1:16">
      <c r="A1378" s="1">
        <v>1377</v>
      </c>
      <c r="B1378" s="2" t="s">
        <v>15476</v>
      </c>
      <c r="C1378" s="2" t="s">
        <v>15477</v>
      </c>
      <c r="D1378" s="2" t="s">
        <v>15478</v>
      </c>
      <c r="E1378" s="2" t="s">
        <v>15479</v>
      </c>
      <c r="F1378" s="2" t="s">
        <v>15480</v>
      </c>
      <c r="G1378" s="2" t="s">
        <v>15481</v>
      </c>
      <c r="H1378" s="2" t="s">
        <v>15482</v>
      </c>
      <c r="I1378" s="2" t="s">
        <v>15483</v>
      </c>
      <c r="J1378" s="2" t="s">
        <v>15484</v>
      </c>
      <c r="K1378" s="2" t="s">
        <v>15485</v>
      </c>
      <c r="L1378" s="2" t="s">
        <v>15486</v>
      </c>
      <c r="M1378" s="2" t="s">
        <v>15487</v>
      </c>
      <c r="N1378" s="2" t="s">
        <v>15488</v>
      </c>
      <c r="O1378" s="2" t="s">
        <v>15489</v>
      </c>
      <c r="P1378" s="2" t="s">
        <v>15476</v>
      </c>
    </row>
    <row r="1379" spans="1:16">
      <c r="A1379" s="1">
        <v>1378</v>
      </c>
      <c r="B1379" s="2" t="s">
        <v>15490</v>
      </c>
      <c r="C1379" s="2" t="s">
        <v>15491</v>
      </c>
      <c r="D1379" s="2" t="s">
        <v>15492</v>
      </c>
      <c r="E1379" s="2" t="s">
        <v>15493</v>
      </c>
      <c r="F1379" s="2" t="s">
        <v>15494</v>
      </c>
      <c r="G1379" s="2" t="s">
        <v>15495</v>
      </c>
      <c r="H1379" s="2" t="s">
        <v>15496</v>
      </c>
      <c r="I1379" s="2" t="s">
        <v>15497</v>
      </c>
      <c r="J1379" s="2" t="s">
        <v>15498</v>
      </c>
      <c r="K1379" s="2" t="s">
        <v>15499</v>
      </c>
      <c r="L1379" s="2" t="s">
        <v>15500</v>
      </c>
      <c r="M1379" s="2" t="s">
        <v>15501</v>
      </c>
      <c r="N1379" s="2" t="s">
        <v>15502</v>
      </c>
      <c r="O1379" s="2" t="s">
        <v>15503</v>
      </c>
      <c r="P1379" s="2" t="s">
        <v>15490</v>
      </c>
    </row>
    <row r="1380" spans="1:16">
      <c r="A1380" s="1">
        <v>1379</v>
      </c>
      <c r="B1380" s="2" t="s">
        <v>15504</v>
      </c>
      <c r="C1380" s="2" t="s">
        <v>15505</v>
      </c>
      <c r="D1380" s="2" t="s">
        <v>13171</v>
      </c>
      <c r="E1380" s="2" t="s">
        <v>13172</v>
      </c>
      <c r="F1380" s="2" t="s">
        <v>15506</v>
      </c>
      <c r="G1380" s="2" t="s">
        <v>13174</v>
      </c>
      <c r="H1380" s="2" t="s">
        <v>13175</v>
      </c>
      <c r="I1380" s="2" t="s">
        <v>13176</v>
      </c>
      <c r="J1380" s="2" t="s">
        <v>13177</v>
      </c>
      <c r="K1380" s="2" t="s">
        <v>13178</v>
      </c>
      <c r="L1380" s="2" t="s">
        <v>13179</v>
      </c>
      <c r="M1380" s="2" t="s">
        <v>13180</v>
      </c>
      <c r="N1380" s="2" t="s">
        <v>13181</v>
      </c>
      <c r="O1380" s="2" t="s">
        <v>15507</v>
      </c>
      <c r="P1380" s="2" t="s">
        <v>15504</v>
      </c>
    </row>
    <row r="1381" spans="1:16">
      <c r="A1381" s="1">
        <v>1380</v>
      </c>
      <c r="B1381" s="2" t="s">
        <v>15508</v>
      </c>
      <c r="C1381" s="2" t="s">
        <v>13184</v>
      </c>
      <c r="D1381" s="2" t="s">
        <v>13185</v>
      </c>
      <c r="E1381" s="2" t="s">
        <v>13186</v>
      </c>
      <c r="F1381" s="2" t="s">
        <v>15509</v>
      </c>
      <c r="G1381" s="2" t="s">
        <v>15510</v>
      </c>
      <c r="H1381" s="2" t="s">
        <v>13189</v>
      </c>
      <c r="I1381" s="2" t="s">
        <v>13190</v>
      </c>
      <c r="J1381" s="2" t="s">
        <v>13191</v>
      </c>
      <c r="K1381" s="2" t="s">
        <v>13192</v>
      </c>
      <c r="L1381" s="2" t="s">
        <v>13193</v>
      </c>
      <c r="M1381" s="2" t="s">
        <v>13194</v>
      </c>
      <c r="N1381" s="2" t="s">
        <v>13195</v>
      </c>
      <c r="O1381" s="2" t="s">
        <v>15511</v>
      </c>
      <c r="P1381" s="2" t="s">
        <v>15508</v>
      </c>
    </row>
    <row r="1382" spans="1:16">
      <c r="A1382" s="1">
        <v>1381</v>
      </c>
      <c r="B1382" s="2" t="s">
        <v>15512</v>
      </c>
      <c r="C1382" s="2" t="s">
        <v>15513</v>
      </c>
      <c r="D1382" s="2" t="s">
        <v>15514</v>
      </c>
      <c r="E1382" s="2" t="s">
        <v>15515</v>
      </c>
      <c r="F1382" s="2" t="s">
        <v>15516</v>
      </c>
      <c r="G1382" s="2" t="s">
        <v>15517</v>
      </c>
      <c r="H1382" s="2" t="s">
        <v>15518</v>
      </c>
      <c r="I1382" s="2" t="s">
        <v>15519</v>
      </c>
      <c r="J1382" s="2" t="s">
        <v>15520</v>
      </c>
      <c r="K1382" s="2" t="s">
        <v>15521</v>
      </c>
      <c r="L1382" s="2" t="s">
        <v>15522</v>
      </c>
      <c r="M1382" s="2" t="s">
        <v>15523</v>
      </c>
      <c r="N1382" s="2" t="s">
        <v>15524</v>
      </c>
      <c r="O1382" s="2" t="s">
        <v>15525</v>
      </c>
      <c r="P1382" s="2" t="s">
        <v>15512</v>
      </c>
    </row>
    <row r="1383" spans="1:16">
      <c r="A1383" s="1">
        <v>1382</v>
      </c>
      <c r="B1383" s="2" t="s">
        <v>15526</v>
      </c>
      <c r="C1383" s="2" t="s">
        <v>15527</v>
      </c>
      <c r="D1383" s="2" t="s">
        <v>6690</v>
      </c>
      <c r="E1383" s="2" t="s">
        <v>6691</v>
      </c>
      <c r="F1383" s="2" t="s">
        <v>6692</v>
      </c>
      <c r="G1383" s="2" t="s">
        <v>6693</v>
      </c>
      <c r="H1383" s="2" t="s">
        <v>6694</v>
      </c>
      <c r="I1383" s="2" t="s">
        <v>15528</v>
      </c>
      <c r="J1383" s="2" t="s">
        <v>15529</v>
      </c>
      <c r="K1383" s="2" t="s">
        <v>15530</v>
      </c>
      <c r="L1383" s="2" t="s">
        <v>15531</v>
      </c>
      <c r="M1383" s="2" t="s">
        <v>15532</v>
      </c>
      <c r="N1383" s="2" t="s">
        <v>15533</v>
      </c>
      <c r="O1383" s="2" t="s">
        <v>15534</v>
      </c>
      <c r="P1383" s="2" t="s">
        <v>15526</v>
      </c>
    </row>
    <row r="1384" spans="1:16">
      <c r="A1384" s="1">
        <v>1383</v>
      </c>
      <c r="B1384" s="2" t="s">
        <v>15535</v>
      </c>
      <c r="C1384" s="2" t="s">
        <v>15536</v>
      </c>
      <c r="D1384" s="2" t="s">
        <v>15537</v>
      </c>
      <c r="E1384" s="2" t="s">
        <v>15538</v>
      </c>
      <c r="F1384" s="2" t="s">
        <v>15539</v>
      </c>
      <c r="G1384" s="2" t="s">
        <v>15540</v>
      </c>
      <c r="H1384" s="2" t="s">
        <v>15541</v>
      </c>
      <c r="I1384" s="2" t="s">
        <v>15542</v>
      </c>
      <c r="J1384" s="2" t="s">
        <v>15543</v>
      </c>
      <c r="K1384" s="2" t="s">
        <v>15544</v>
      </c>
      <c r="L1384" s="2" t="s">
        <v>15545</v>
      </c>
      <c r="M1384" s="2" t="s">
        <v>15546</v>
      </c>
      <c r="N1384" s="2" t="s">
        <v>15547</v>
      </c>
      <c r="O1384" s="2" t="s">
        <v>15548</v>
      </c>
      <c r="P1384" s="2" t="s">
        <v>15535</v>
      </c>
    </row>
    <row r="1385" spans="1:16">
      <c r="A1385" s="1">
        <v>1384</v>
      </c>
      <c r="B1385" s="2" t="s">
        <v>15549</v>
      </c>
      <c r="C1385" s="2" t="s">
        <v>15550</v>
      </c>
      <c r="D1385" s="2" t="s">
        <v>15551</v>
      </c>
      <c r="E1385" s="2" t="s">
        <v>15552</v>
      </c>
      <c r="F1385" s="2" t="s">
        <v>15553</v>
      </c>
      <c r="G1385" s="2" t="s">
        <v>15554</v>
      </c>
      <c r="H1385" s="2" t="s">
        <v>15555</v>
      </c>
      <c r="I1385" s="2" t="s">
        <v>15556</v>
      </c>
      <c r="J1385" s="2" t="s">
        <v>15557</v>
      </c>
      <c r="K1385" s="2" t="s">
        <v>15558</v>
      </c>
      <c r="L1385" s="2" t="s">
        <v>15559</v>
      </c>
      <c r="M1385" s="2" t="s">
        <v>15560</v>
      </c>
      <c r="N1385" s="2" t="s">
        <v>15561</v>
      </c>
      <c r="O1385" s="2" t="s">
        <v>15562</v>
      </c>
      <c r="P1385" s="2" t="s">
        <v>15549</v>
      </c>
    </row>
    <row r="1386" spans="1:16">
      <c r="A1386" s="1">
        <v>1385</v>
      </c>
      <c r="B1386" s="2" t="s">
        <v>15563</v>
      </c>
      <c r="C1386" s="2" t="s">
        <v>15564</v>
      </c>
      <c r="D1386" s="2" t="s">
        <v>15565</v>
      </c>
      <c r="E1386" s="2" t="s">
        <v>15566</v>
      </c>
      <c r="F1386" s="2" t="s">
        <v>15567</v>
      </c>
      <c r="G1386" s="2" t="s">
        <v>15568</v>
      </c>
      <c r="H1386" s="2" t="s">
        <v>15569</v>
      </c>
      <c r="I1386" s="2" t="s">
        <v>15570</v>
      </c>
      <c r="J1386" s="2" t="s">
        <v>15571</v>
      </c>
      <c r="K1386" s="2" t="s">
        <v>15572</v>
      </c>
      <c r="L1386" s="2" t="s">
        <v>15573</v>
      </c>
      <c r="M1386" s="2" t="s">
        <v>15574</v>
      </c>
      <c r="N1386" s="2" t="s">
        <v>15575</v>
      </c>
      <c r="O1386" s="2" t="s">
        <v>15576</v>
      </c>
      <c r="P1386" s="2" t="s">
        <v>15563</v>
      </c>
    </row>
    <row r="1387" spans="1:16">
      <c r="A1387" s="1">
        <v>1386</v>
      </c>
      <c r="B1387" s="2" t="s">
        <v>15577</v>
      </c>
      <c r="C1387" s="2" t="s">
        <v>15578</v>
      </c>
      <c r="D1387" s="2" t="s">
        <v>15579</v>
      </c>
      <c r="E1387" s="2" t="s">
        <v>15580</v>
      </c>
      <c r="F1387" s="2" t="s">
        <v>15581</v>
      </c>
      <c r="G1387" s="2" t="s">
        <v>15582</v>
      </c>
      <c r="H1387" s="2" t="s">
        <v>15583</v>
      </c>
      <c r="I1387" s="2" t="s">
        <v>15584</v>
      </c>
      <c r="J1387" s="2" t="s">
        <v>15585</v>
      </c>
      <c r="K1387" s="2" t="s">
        <v>15586</v>
      </c>
      <c r="L1387" s="2" t="s">
        <v>15587</v>
      </c>
      <c r="M1387" s="2" t="s">
        <v>15588</v>
      </c>
      <c r="N1387" s="2" t="s">
        <v>15589</v>
      </c>
      <c r="O1387" s="2" t="s">
        <v>15590</v>
      </c>
      <c r="P1387" s="2" t="s">
        <v>15577</v>
      </c>
    </row>
    <row r="1388" spans="1:16">
      <c r="A1388" s="1">
        <v>1387</v>
      </c>
      <c r="B1388" s="2" t="s">
        <v>15591</v>
      </c>
      <c r="C1388" s="2" t="s">
        <v>15592</v>
      </c>
      <c r="D1388" s="2" t="s">
        <v>15593</v>
      </c>
      <c r="E1388" s="2" t="s">
        <v>15594</v>
      </c>
      <c r="F1388" s="2" t="s">
        <v>15595</v>
      </c>
      <c r="G1388" s="2" t="s">
        <v>15596</v>
      </c>
      <c r="H1388" s="2" t="s">
        <v>15597</v>
      </c>
      <c r="I1388" s="2" t="s">
        <v>15598</v>
      </c>
      <c r="J1388" s="2" t="s">
        <v>15599</v>
      </c>
      <c r="K1388" s="2" t="s">
        <v>15598</v>
      </c>
      <c r="L1388" s="2" t="s">
        <v>15600</v>
      </c>
      <c r="M1388" s="2" t="s">
        <v>15601</v>
      </c>
      <c r="N1388" s="2" t="s">
        <v>15602</v>
      </c>
      <c r="O1388" s="2" t="s">
        <v>15603</v>
      </c>
      <c r="P1388" s="2" t="s">
        <v>15591</v>
      </c>
    </row>
    <row r="1389" spans="1:16">
      <c r="A1389" s="1">
        <v>1388</v>
      </c>
      <c r="B1389" s="2" t="s">
        <v>15604</v>
      </c>
      <c r="C1389" s="2" t="s">
        <v>15605</v>
      </c>
      <c r="D1389" s="2" t="s">
        <v>15606</v>
      </c>
      <c r="E1389" s="2" t="s">
        <v>15607</v>
      </c>
      <c r="F1389" s="2" t="s">
        <v>15608</v>
      </c>
      <c r="G1389" s="2" t="s">
        <v>15609</v>
      </c>
      <c r="H1389" s="2" t="s">
        <v>15610</v>
      </c>
      <c r="I1389" s="2" t="s">
        <v>15611</v>
      </c>
      <c r="J1389" s="2" t="s">
        <v>15612</v>
      </c>
      <c r="K1389" s="2" t="s">
        <v>15613</v>
      </c>
      <c r="L1389" s="2" t="s">
        <v>15614</v>
      </c>
      <c r="M1389" s="2" t="s">
        <v>15615</v>
      </c>
      <c r="N1389" s="2" t="s">
        <v>15616</v>
      </c>
      <c r="O1389" s="2" t="s">
        <v>15617</v>
      </c>
      <c r="P1389" s="2" t="s">
        <v>15604</v>
      </c>
    </row>
    <row r="1390" spans="1:16">
      <c r="A1390" s="1">
        <v>1389</v>
      </c>
      <c r="B1390" s="2" t="s">
        <v>15618</v>
      </c>
      <c r="C1390" s="2" t="s">
        <v>15619</v>
      </c>
      <c r="D1390" s="2" t="s">
        <v>15620</v>
      </c>
      <c r="E1390" s="2" t="s">
        <v>15621</v>
      </c>
      <c r="F1390" s="2" t="s">
        <v>15622</v>
      </c>
      <c r="G1390" s="2" t="s">
        <v>15623</v>
      </c>
      <c r="H1390" s="2" t="s">
        <v>15624</v>
      </c>
      <c r="I1390" s="2" t="s">
        <v>15625</v>
      </c>
      <c r="J1390" s="2" t="s">
        <v>15626</v>
      </c>
      <c r="K1390" s="2" t="s">
        <v>15627</v>
      </c>
      <c r="L1390" s="2" t="s">
        <v>15628</v>
      </c>
      <c r="M1390" s="2" t="s">
        <v>15629</v>
      </c>
      <c r="N1390" s="2" t="s">
        <v>15630</v>
      </c>
      <c r="O1390" s="2" t="s">
        <v>15631</v>
      </c>
      <c r="P1390" s="2" t="s">
        <v>15618</v>
      </c>
    </row>
    <row r="1391" spans="1:16">
      <c r="A1391" s="1">
        <v>1390</v>
      </c>
      <c r="B1391" s="2" t="s">
        <v>15632</v>
      </c>
      <c r="C1391" s="2" t="s">
        <v>15633</v>
      </c>
      <c r="D1391" s="2" t="s">
        <v>15634</v>
      </c>
      <c r="E1391" s="2" t="s">
        <v>15635</v>
      </c>
      <c r="F1391" s="2" t="s">
        <v>15636</v>
      </c>
      <c r="G1391" s="2" t="s">
        <v>15637</v>
      </c>
      <c r="H1391" s="2" t="s">
        <v>15638</v>
      </c>
      <c r="I1391" s="2" t="s">
        <v>15639</v>
      </c>
      <c r="J1391" s="2" t="s">
        <v>15640</v>
      </c>
      <c r="K1391" s="2" t="s">
        <v>15641</v>
      </c>
      <c r="L1391" s="2" t="s">
        <v>15642</v>
      </c>
      <c r="M1391" s="2" t="s">
        <v>15643</v>
      </c>
      <c r="N1391" s="2" t="s">
        <v>15644</v>
      </c>
      <c r="O1391" s="2" t="s">
        <v>15645</v>
      </c>
      <c r="P1391" s="2" t="s">
        <v>15632</v>
      </c>
    </row>
    <row r="1392" spans="1:16">
      <c r="A1392" s="1">
        <v>1391</v>
      </c>
      <c r="B1392" s="2" t="s">
        <v>15646</v>
      </c>
      <c r="C1392" s="2" t="s">
        <v>15647</v>
      </c>
      <c r="D1392" s="2" t="s">
        <v>15648</v>
      </c>
      <c r="E1392" s="2" t="s">
        <v>15646</v>
      </c>
      <c r="F1392" s="2" t="s">
        <v>15649</v>
      </c>
      <c r="G1392" s="2" t="s">
        <v>15650</v>
      </c>
      <c r="H1392" s="2" t="s">
        <v>15651</v>
      </c>
      <c r="I1392" s="2" t="s">
        <v>15652</v>
      </c>
      <c r="J1392" s="2" t="s">
        <v>15653</v>
      </c>
      <c r="K1392" s="2" t="s">
        <v>15654</v>
      </c>
      <c r="L1392" s="2" t="s">
        <v>15653</v>
      </c>
      <c r="M1392" s="2" t="s">
        <v>15653</v>
      </c>
      <c r="N1392" s="2" t="s">
        <v>15653</v>
      </c>
      <c r="O1392" s="2" t="s">
        <v>15655</v>
      </c>
      <c r="P1392" s="2" t="s">
        <v>15646</v>
      </c>
    </row>
    <row r="1393" spans="1:16">
      <c r="A1393" s="1">
        <v>1392</v>
      </c>
      <c r="B1393" s="2" t="s">
        <v>15656</v>
      </c>
      <c r="C1393" s="2" t="s">
        <v>15657</v>
      </c>
      <c r="D1393" s="2" t="s">
        <v>15658</v>
      </c>
      <c r="E1393" s="2" t="s">
        <v>15656</v>
      </c>
      <c r="F1393" s="2" t="s">
        <v>15659</v>
      </c>
      <c r="G1393" s="2" t="s">
        <v>15660</v>
      </c>
      <c r="H1393" s="2" t="s">
        <v>15661</v>
      </c>
      <c r="I1393" s="2" t="s">
        <v>15662</v>
      </c>
      <c r="J1393" s="2" t="s">
        <v>15663</v>
      </c>
      <c r="K1393" s="2" t="s">
        <v>15664</v>
      </c>
      <c r="L1393" s="2" t="s">
        <v>15663</v>
      </c>
      <c r="M1393" s="2" t="s">
        <v>15663</v>
      </c>
      <c r="N1393" s="2" t="s">
        <v>15663</v>
      </c>
      <c r="O1393" s="2" t="s">
        <v>15665</v>
      </c>
      <c r="P1393" s="2" t="s">
        <v>15656</v>
      </c>
    </row>
    <row r="1394" spans="1:16">
      <c r="A1394" s="1">
        <v>1393</v>
      </c>
      <c r="B1394" s="2" t="s">
        <v>15666</v>
      </c>
      <c r="C1394" s="2" t="s">
        <v>15667</v>
      </c>
      <c r="D1394" s="2" t="s">
        <v>15668</v>
      </c>
      <c r="E1394" s="2" t="s">
        <v>15666</v>
      </c>
      <c r="F1394" s="2" t="s">
        <v>15669</v>
      </c>
      <c r="G1394" s="2" t="s">
        <v>15670</v>
      </c>
      <c r="H1394" s="2" t="s">
        <v>15671</v>
      </c>
      <c r="I1394" s="2" t="s">
        <v>15672</v>
      </c>
      <c r="J1394" s="2" t="s">
        <v>15673</v>
      </c>
      <c r="K1394" s="2" t="s">
        <v>15674</v>
      </c>
      <c r="L1394" s="2" t="s">
        <v>15673</v>
      </c>
      <c r="M1394" s="2" t="s">
        <v>15673</v>
      </c>
      <c r="N1394" s="2" t="s">
        <v>15673</v>
      </c>
      <c r="O1394" s="2" t="s">
        <v>15675</v>
      </c>
      <c r="P1394" s="2" t="s">
        <v>15666</v>
      </c>
    </row>
    <row r="1395" spans="1:16">
      <c r="A1395" s="1">
        <v>1394</v>
      </c>
      <c r="B1395" s="2" t="s">
        <v>15676</v>
      </c>
      <c r="C1395" s="2" t="s">
        <v>15677</v>
      </c>
      <c r="D1395" s="2" t="s">
        <v>15678</v>
      </c>
      <c r="E1395" s="2" t="s">
        <v>15679</v>
      </c>
      <c r="F1395" s="2" t="s">
        <v>15680</v>
      </c>
      <c r="G1395" s="2" t="s">
        <v>15681</v>
      </c>
      <c r="H1395" s="2" t="s">
        <v>15682</v>
      </c>
      <c r="I1395" s="2" t="s">
        <v>15683</v>
      </c>
      <c r="J1395" s="2" t="s">
        <v>15684</v>
      </c>
      <c r="K1395" s="2" t="s">
        <v>15685</v>
      </c>
      <c r="L1395" s="2" t="s">
        <v>15686</v>
      </c>
      <c r="M1395" s="2" t="s">
        <v>15687</v>
      </c>
      <c r="N1395" s="2" t="s">
        <v>15688</v>
      </c>
      <c r="O1395" s="2" t="s">
        <v>15689</v>
      </c>
      <c r="P1395" s="2" t="s">
        <v>15676</v>
      </c>
    </row>
    <row r="1396" spans="1:16">
      <c r="A1396" s="1">
        <v>1395</v>
      </c>
      <c r="B1396" s="2" t="s">
        <v>11585</v>
      </c>
      <c r="C1396" s="2" t="s">
        <v>15690</v>
      </c>
      <c r="D1396" s="2" t="s">
        <v>11587</v>
      </c>
      <c r="E1396" s="2" t="s">
        <v>11588</v>
      </c>
      <c r="F1396" s="2" t="s">
        <v>15691</v>
      </c>
      <c r="G1396" s="2" t="s">
        <v>11590</v>
      </c>
      <c r="H1396" s="2" t="s">
        <v>11591</v>
      </c>
      <c r="I1396" s="2" t="s">
        <v>11592</v>
      </c>
      <c r="J1396" s="2" t="s">
        <v>11593</v>
      </c>
      <c r="K1396" s="2" t="s">
        <v>11594</v>
      </c>
      <c r="L1396" s="2" t="s">
        <v>11595</v>
      </c>
      <c r="M1396" s="2" t="s">
        <v>11596</v>
      </c>
      <c r="N1396" s="2" t="s">
        <v>11597</v>
      </c>
      <c r="O1396" s="2" t="s">
        <v>11598</v>
      </c>
      <c r="P1396" s="2" t="s">
        <v>11585</v>
      </c>
    </row>
    <row r="1397" spans="1:16">
      <c r="A1397" s="1">
        <v>1396</v>
      </c>
      <c r="B1397" s="2" t="s">
        <v>15692</v>
      </c>
      <c r="C1397" s="2" t="s">
        <v>15693</v>
      </c>
      <c r="D1397" s="2" t="s">
        <v>15694</v>
      </c>
      <c r="E1397" s="2" t="s">
        <v>15695</v>
      </c>
      <c r="F1397" s="2" t="s">
        <v>15696</v>
      </c>
      <c r="G1397" s="2" t="s">
        <v>15697</v>
      </c>
      <c r="H1397" s="2" t="s">
        <v>15698</v>
      </c>
      <c r="I1397" s="2" t="s">
        <v>15699</v>
      </c>
      <c r="J1397" s="2" t="s">
        <v>15700</v>
      </c>
      <c r="K1397" s="2" t="s">
        <v>15701</v>
      </c>
      <c r="L1397" s="2" t="s">
        <v>15702</v>
      </c>
      <c r="M1397" s="2" t="s">
        <v>15703</v>
      </c>
      <c r="N1397" s="2" t="s">
        <v>15704</v>
      </c>
      <c r="O1397" s="2" t="s">
        <v>15705</v>
      </c>
      <c r="P1397" s="2" t="s">
        <v>15692</v>
      </c>
    </row>
    <row r="1398" spans="1:16">
      <c r="A1398" s="1">
        <v>1397</v>
      </c>
      <c r="B1398" s="2" t="s">
        <v>15706</v>
      </c>
      <c r="C1398" s="2" t="s">
        <v>15707</v>
      </c>
      <c r="D1398" s="2" t="s">
        <v>15708</v>
      </c>
      <c r="E1398" s="2" t="s">
        <v>15709</v>
      </c>
      <c r="F1398" s="2" t="s">
        <v>15710</v>
      </c>
      <c r="G1398" s="2" t="s">
        <v>15711</v>
      </c>
      <c r="H1398" s="2" t="s">
        <v>15712</v>
      </c>
      <c r="I1398" s="2" t="s">
        <v>15713</v>
      </c>
      <c r="J1398" s="2" t="s">
        <v>15714</v>
      </c>
      <c r="K1398" s="2" t="s">
        <v>15715</v>
      </c>
      <c r="L1398" s="2" t="s">
        <v>15716</v>
      </c>
      <c r="M1398" s="2" t="s">
        <v>15717</v>
      </c>
      <c r="N1398" s="2" t="s">
        <v>15718</v>
      </c>
      <c r="O1398" s="2" t="s">
        <v>15719</v>
      </c>
      <c r="P1398" s="2" t="s">
        <v>15706</v>
      </c>
    </row>
    <row r="1399" spans="1:16">
      <c r="A1399" s="1">
        <v>1398</v>
      </c>
      <c r="B1399" s="2" t="s">
        <v>15720</v>
      </c>
      <c r="C1399" s="2" t="s">
        <v>15721</v>
      </c>
      <c r="D1399" s="2" t="s">
        <v>15722</v>
      </c>
      <c r="E1399" s="2" t="s">
        <v>15723</v>
      </c>
      <c r="F1399" s="2" t="s">
        <v>15724</v>
      </c>
      <c r="G1399" s="2" t="s">
        <v>15725</v>
      </c>
      <c r="H1399" s="2" t="s">
        <v>15726</v>
      </c>
      <c r="I1399" s="2" t="s">
        <v>15727</v>
      </c>
      <c r="J1399" s="2" t="s">
        <v>15728</v>
      </c>
      <c r="K1399" s="2" t="s">
        <v>15729</v>
      </c>
      <c r="L1399" s="2" t="s">
        <v>11651</v>
      </c>
      <c r="M1399" s="2" t="s">
        <v>15730</v>
      </c>
      <c r="N1399" s="2" t="s">
        <v>15731</v>
      </c>
      <c r="O1399" s="2" t="s">
        <v>15732</v>
      </c>
      <c r="P1399" s="2" t="s">
        <v>15720</v>
      </c>
    </row>
    <row r="1400" spans="1:16">
      <c r="A1400" s="1">
        <v>1399</v>
      </c>
      <c r="B1400" s="2" t="s">
        <v>22880</v>
      </c>
      <c r="C1400" s="2" t="s">
        <v>15734</v>
      </c>
      <c r="D1400" s="2" t="s">
        <v>15735</v>
      </c>
      <c r="E1400" s="2" t="s">
        <v>25765</v>
      </c>
      <c r="F1400" s="2" t="s">
        <v>15736</v>
      </c>
      <c r="G1400" s="2" t="s">
        <v>15737</v>
      </c>
      <c r="H1400" s="2" t="s">
        <v>15738</v>
      </c>
      <c r="I1400" s="2" t="s">
        <v>15736</v>
      </c>
      <c r="J1400" s="2" t="s">
        <v>15739</v>
      </c>
      <c r="K1400" s="2" t="s">
        <v>15740</v>
      </c>
      <c r="L1400" s="2" t="s">
        <v>15741</v>
      </c>
      <c r="M1400" s="2" t="s">
        <v>15733</v>
      </c>
      <c r="N1400" s="2" t="s">
        <v>15742</v>
      </c>
      <c r="O1400" s="2" t="s">
        <v>15743</v>
      </c>
      <c r="P1400" s="2" t="s">
        <v>15733</v>
      </c>
    </row>
    <row r="1401" spans="1:16">
      <c r="A1401" s="1">
        <v>1400</v>
      </c>
      <c r="B1401" s="2" t="s">
        <v>22881</v>
      </c>
      <c r="C1401" s="2" t="s">
        <v>15745</v>
      </c>
      <c r="D1401" s="2" t="s">
        <v>15746</v>
      </c>
      <c r="E1401" s="2" t="s">
        <v>25766</v>
      </c>
      <c r="F1401" s="2" t="s">
        <v>15747</v>
      </c>
      <c r="G1401" s="2" t="s">
        <v>15748</v>
      </c>
      <c r="H1401" s="2" t="s">
        <v>15749</v>
      </c>
      <c r="I1401" s="2" t="s">
        <v>15750</v>
      </c>
      <c r="J1401" s="2" t="s">
        <v>15751</v>
      </c>
      <c r="K1401" s="2" t="s">
        <v>15752</v>
      </c>
      <c r="L1401" s="2" t="s">
        <v>15753</v>
      </c>
      <c r="M1401" s="2" t="s">
        <v>15754</v>
      </c>
      <c r="N1401" s="2" t="s">
        <v>15755</v>
      </c>
      <c r="O1401" s="2" t="s">
        <v>15756</v>
      </c>
      <c r="P1401" s="2" t="s">
        <v>15744</v>
      </c>
    </row>
    <row r="1402" spans="1:16">
      <c r="A1402" s="1">
        <v>1401</v>
      </c>
      <c r="B1402" s="2" t="s">
        <v>15757</v>
      </c>
      <c r="C1402" s="2" t="s">
        <v>15758</v>
      </c>
      <c r="D1402" s="2" t="s">
        <v>15759</v>
      </c>
      <c r="E1402" s="2" t="s">
        <v>15760</v>
      </c>
      <c r="F1402" s="2" t="s">
        <v>15761</v>
      </c>
      <c r="G1402" s="2" t="s">
        <v>15762</v>
      </c>
      <c r="H1402" s="2" t="s">
        <v>15763</v>
      </c>
      <c r="I1402" s="2" t="s">
        <v>15764</v>
      </c>
      <c r="J1402" s="2" t="s">
        <v>15765</v>
      </c>
      <c r="K1402" s="2" t="s">
        <v>15766</v>
      </c>
      <c r="L1402" s="2" t="s">
        <v>15767</v>
      </c>
      <c r="M1402" s="2" t="s">
        <v>15768</v>
      </c>
      <c r="N1402" s="2" t="s">
        <v>15769</v>
      </c>
      <c r="O1402" s="2" t="s">
        <v>15770</v>
      </c>
      <c r="P1402" s="2" t="s">
        <v>15757</v>
      </c>
    </row>
    <row r="1403" spans="1:16">
      <c r="A1403" s="1">
        <v>1402</v>
      </c>
      <c r="B1403" s="2" t="s">
        <v>22882</v>
      </c>
      <c r="C1403" s="2" t="s">
        <v>15772</v>
      </c>
      <c r="D1403" s="2" t="s">
        <v>15773</v>
      </c>
      <c r="E1403" s="2" t="s">
        <v>25767</v>
      </c>
      <c r="F1403" s="2" t="s">
        <v>15774</v>
      </c>
      <c r="G1403" s="2" t="s">
        <v>15775</v>
      </c>
      <c r="H1403" s="2" t="s">
        <v>15776</v>
      </c>
      <c r="I1403" s="2" t="s">
        <v>15777</v>
      </c>
      <c r="J1403" s="2" t="s">
        <v>15778</v>
      </c>
      <c r="K1403" s="2" t="s">
        <v>15779</v>
      </c>
      <c r="L1403" s="2" t="s">
        <v>15780</v>
      </c>
      <c r="M1403" s="2" t="s">
        <v>15781</v>
      </c>
      <c r="N1403" s="2" t="s">
        <v>15782</v>
      </c>
      <c r="O1403" s="2" t="s">
        <v>15779</v>
      </c>
      <c r="P1403" s="2" t="s">
        <v>15771</v>
      </c>
    </row>
    <row r="1404" spans="1:16">
      <c r="A1404" s="1">
        <v>1403</v>
      </c>
      <c r="B1404" s="2" t="s">
        <v>15783</v>
      </c>
      <c r="C1404" s="2" t="s">
        <v>15784</v>
      </c>
      <c r="D1404" s="2" t="s">
        <v>15785</v>
      </c>
      <c r="E1404" s="2" t="s">
        <v>15786</v>
      </c>
      <c r="F1404" s="2" t="s">
        <v>15787</v>
      </c>
      <c r="G1404" s="2" t="s">
        <v>15788</v>
      </c>
      <c r="H1404" s="2" t="s">
        <v>15789</v>
      </c>
      <c r="I1404" s="2" t="s">
        <v>15790</v>
      </c>
      <c r="J1404" s="2" t="s">
        <v>15791</v>
      </c>
      <c r="K1404" s="2" t="s">
        <v>15792</v>
      </c>
      <c r="L1404" s="2" t="s">
        <v>15793</v>
      </c>
      <c r="M1404" s="2" t="s">
        <v>15794</v>
      </c>
      <c r="N1404" s="2" t="s">
        <v>15795</v>
      </c>
      <c r="O1404" s="2" t="s">
        <v>15796</v>
      </c>
      <c r="P1404" s="2" t="s">
        <v>15783</v>
      </c>
    </row>
    <row r="1405" spans="1:16">
      <c r="A1405" s="1">
        <v>1404</v>
      </c>
      <c r="B1405" s="2" t="s">
        <v>15797</v>
      </c>
      <c r="C1405" s="2" t="s">
        <v>15798</v>
      </c>
      <c r="D1405" s="2" t="s">
        <v>15799</v>
      </c>
      <c r="E1405" s="2" t="s">
        <v>15800</v>
      </c>
      <c r="F1405" s="2" t="s">
        <v>15801</v>
      </c>
      <c r="G1405" s="2" t="s">
        <v>15802</v>
      </c>
      <c r="H1405" s="2" t="s">
        <v>15803</v>
      </c>
      <c r="I1405" s="2" t="s">
        <v>15804</v>
      </c>
      <c r="J1405" s="2" t="s">
        <v>15805</v>
      </c>
      <c r="K1405" s="2" t="s">
        <v>15806</v>
      </c>
      <c r="L1405" s="2" t="s">
        <v>15807</v>
      </c>
      <c r="M1405" s="2" t="s">
        <v>15808</v>
      </c>
      <c r="N1405" s="2" t="s">
        <v>15809</v>
      </c>
      <c r="O1405" s="2" t="s">
        <v>15810</v>
      </c>
      <c r="P1405" s="2" t="s">
        <v>15797</v>
      </c>
    </row>
    <row r="1406" spans="1:16">
      <c r="A1406" s="1">
        <v>1405</v>
      </c>
      <c r="B1406" s="2" t="s">
        <v>15811</v>
      </c>
      <c r="C1406" s="2" t="s">
        <v>15812</v>
      </c>
      <c r="D1406" s="2" t="s">
        <v>15813</v>
      </c>
      <c r="E1406" s="2" t="s">
        <v>15814</v>
      </c>
      <c r="F1406" s="2" t="s">
        <v>15815</v>
      </c>
      <c r="G1406" s="2" t="s">
        <v>24989</v>
      </c>
      <c r="H1406" s="2" t="s">
        <v>15816</v>
      </c>
      <c r="I1406" s="2" t="s">
        <v>15815</v>
      </c>
      <c r="J1406" s="2" t="s">
        <v>15817</v>
      </c>
      <c r="K1406" s="2" t="s">
        <v>15818</v>
      </c>
      <c r="L1406" s="2" t="s">
        <v>15819</v>
      </c>
      <c r="M1406" s="2" t="s">
        <v>15820</v>
      </c>
      <c r="N1406" s="2" t="s">
        <v>15821</v>
      </c>
      <c r="O1406" s="2" t="s">
        <v>15822</v>
      </c>
      <c r="P1406" s="2" t="s">
        <v>15811</v>
      </c>
    </row>
    <row r="1407" spans="1:16">
      <c r="A1407" s="1">
        <v>1406</v>
      </c>
      <c r="B1407" s="2" t="s">
        <v>15823</v>
      </c>
      <c r="C1407" s="2" t="s">
        <v>15824</v>
      </c>
      <c r="D1407" s="2" t="s">
        <v>15825</v>
      </c>
      <c r="E1407" s="2" t="s">
        <v>15826</v>
      </c>
      <c r="F1407" s="2" t="s">
        <v>15827</v>
      </c>
      <c r="G1407" s="2" t="s">
        <v>15828</v>
      </c>
      <c r="H1407" s="2" t="s">
        <v>15829</v>
      </c>
      <c r="I1407" s="2" t="s">
        <v>15830</v>
      </c>
      <c r="J1407" s="2" t="s">
        <v>15831</v>
      </c>
      <c r="K1407" s="2" t="s">
        <v>15832</v>
      </c>
      <c r="L1407" s="2" t="s">
        <v>15833</v>
      </c>
      <c r="M1407" s="2" t="s">
        <v>15834</v>
      </c>
      <c r="N1407" s="2" t="s">
        <v>15835</v>
      </c>
      <c r="O1407" s="2" t="s">
        <v>15836</v>
      </c>
      <c r="P1407" s="2" t="s">
        <v>15823</v>
      </c>
    </row>
    <row r="1408" spans="1:16">
      <c r="A1408" s="1">
        <v>1407</v>
      </c>
      <c r="B1408" s="2" t="s">
        <v>15837</v>
      </c>
      <c r="C1408" s="2" t="s">
        <v>15838</v>
      </c>
      <c r="D1408" s="2" t="s">
        <v>15839</v>
      </c>
      <c r="E1408" s="2" t="s">
        <v>15840</v>
      </c>
      <c r="F1408" s="2" t="s">
        <v>15841</v>
      </c>
      <c r="G1408" s="2" t="s">
        <v>15842</v>
      </c>
      <c r="H1408" s="2" t="s">
        <v>15843</v>
      </c>
      <c r="I1408" s="2" t="s">
        <v>15844</v>
      </c>
      <c r="J1408" s="2" t="s">
        <v>15845</v>
      </c>
      <c r="K1408" s="2" t="s">
        <v>15846</v>
      </c>
      <c r="L1408" s="2" t="s">
        <v>15847</v>
      </c>
      <c r="M1408" s="2" t="s">
        <v>15848</v>
      </c>
      <c r="N1408" s="2" t="s">
        <v>15849</v>
      </c>
      <c r="O1408" s="2" t="s">
        <v>15850</v>
      </c>
      <c r="P1408" s="2" t="s">
        <v>15837</v>
      </c>
    </row>
    <row r="1409" spans="1:16">
      <c r="A1409" s="1">
        <v>1408</v>
      </c>
      <c r="B1409" s="2" t="s">
        <v>15851</v>
      </c>
      <c r="C1409" s="2" t="s">
        <v>15852</v>
      </c>
      <c r="D1409" s="2" t="s">
        <v>15853</v>
      </c>
      <c r="E1409" s="2" t="s">
        <v>15854</v>
      </c>
      <c r="F1409" s="2" t="s">
        <v>15855</v>
      </c>
      <c r="G1409" s="2" t="s">
        <v>15856</v>
      </c>
      <c r="H1409" s="2" t="s">
        <v>15857</v>
      </c>
      <c r="I1409" s="2" t="s">
        <v>15858</v>
      </c>
      <c r="J1409" s="2" t="s">
        <v>15859</v>
      </c>
      <c r="K1409" s="2" t="s">
        <v>15860</v>
      </c>
      <c r="L1409" s="2" t="s">
        <v>15861</v>
      </c>
      <c r="M1409" s="2" t="s">
        <v>15862</v>
      </c>
      <c r="N1409" s="2" t="s">
        <v>15863</v>
      </c>
      <c r="O1409" s="2" t="s">
        <v>15864</v>
      </c>
      <c r="P1409" s="2" t="s">
        <v>15851</v>
      </c>
    </row>
    <row r="1410" spans="1:16">
      <c r="A1410" s="1">
        <v>1409</v>
      </c>
      <c r="B1410" s="2" t="s">
        <v>15865</v>
      </c>
      <c r="C1410" s="2" t="s">
        <v>15866</v>
      </c>
      <c r="D1410" s="2" t="s">
        <v>15867</v>
      </c>
      <c r="E1410" s="2" t="s">
        <v>15868</v>
      </c>
      <c r="F1410" s="2" t="s">
        <v>15869</v>
      </c>
      <c r="G1410" s="2" t="s">
        <v>15870</v>
      </c>
      <c r="H1410" s="2" t="s">
        <v>15871</v>
      </c>
      <c r="I1410" s="2" t="s">
        <v>15872</v>
      </c>
      <c r="J1410" s="2" t="s">
        <v>15873</v>
      </c>
      <c r="K1410" s="2" t="s">
        <v>15874</v>
      </c>
      <c r="L1410" s="2" t="s">
        <v>15875</v>
      </c>
      <c r="M1410" s="2" t="s">
        <v>15876</v>
      </c>
      <c r="N1410" s="2" t="s">
        <v>15877</v>
      </c>
      <c r="O1410" s="2" t="s">
        <v>15878</v>
      </c>
      <c r="P1410" s="2" t="s">
        <v>15865</v>
      </c>
    </row>
    <row r="1411" spans="1:16">
      <c r="A1411" s="1">
        <v>1410</v>
      </c>
      <c r="B1411" s="2" t="s">
        <v>15879</v>
      </c>
      <c r="C1411" s="2" t="s">
        <v>15880</v>
      </c>
      <c r="D1411" s="2" t="s">
        <v>15881</v>
      </c>
      <c r="E1411" s="2" t="s">
        <v>15882</v>
      </c>
      <c r="F1411" s="2" t="s">
        <v>15883</v>
      </c>
      <c r="G1411" s="2" t="s">
        <v>15884</v>
      </c>
      <c r="H1411" s="2" t="s">
        <v>15885</v>
      </c>
      <c r="I1411" s="2" t="s">
        <v>15886</v>
      </c>
      <c r="J1411" s="2" t="s">
        <v>15887</v>
      </c>
      <c r="K1411" s="2" t="s">
        <v>15888</v>
      </c>
      <c r="L1411" s="2" t="s">
        <v>15889</v>
      </c>
      <c r="M1411" s="2" t="s">
        <v>15890</v>
      </c>
      <c r="N1411" s="2" t="s">
        <v>15891</v>
      </c>
      <c r="O1411" s="2" t="s">
        <v>15892</v>
      </c>
      <c r="P1411" s="2" t="s">
        <v>15879</v>
      </c>
    </row>
    <row r="1412" spans="1:16">
      <c r="A1412" s="1">
        <v>1411</v>
      </c>
      <c r="B1412" s="2" t="s">
        <v>15893</v>
      </c>
      <c r="C1412" s="2" t="s">
        <v>15894</v>
      </c>
      <c r="D1412" s="2" t="s">
        <v>15895</v>
      </c>
      <c r="E1412" s="2" t="s">
        <v>15896</v>
      </c>
      <c r="F1412" s="2" t="s">
        <v>15897</v>
      </c>
      <c r="G1412" s="2" t="s">
        <v>15898</v>
      </c>
      <c r="H1412" s="2" t="s">
        <v>15899</v>
      </c>
      <c r="I1412" s="2" t="s">
        <v>15900</v>
      </c>
      <c r="J1412" s="2" t="s">
        <v>15901</v>
      </c>
      <c r="K1412" s="2" t="s">
        <v>15902</v>
      </c>
      <c r="L1412" s="2" t="s">
        <v>15903</v>
      </c>
      <c r="M1412" s="2" t="s">
        <v>15904</v>
      </c>
      <c r="N1412" s="2" t="s">
        <v>15904</v>
      </c>
      <c r="O1412" s="2" t="s">
        <v>15905</v>
      </c>
      <c r="P1412" s="2" t="s">
        <v>15893</v>
      </c>
    </row>
    <row r="1413" spans="1:16">
      <c r="A1413" s="1">
        <v>1412</v>
      </c>
      <c r="B1413" s="2" t="s">
        <v>15906</v>
      </c>
      <c r="C1413" s="2" t="s">
        <v>15907</v>
      </c>
      <c r="D1413" s="2" t="s">
        <v>15908</v>
      </c>
      <c r="E1413" s="2" t="s">
        <v>15909</v>
      </c>
      <c r="F1413" s="2" t="s">
        <v>15910</v>
      </c>
      <c r="G1413" s="2" t="s">
        <v>15911</v>
      </c>
      <c r="H1413" s="2" t="s">
        <v>15912</v>
      </c>
      <c r="I1413" s="2" t="s">
        <v>15913</v>
      </c>
      <c r="J1413" s="2" t="s">
        <v>15914</v>
      </c>
      <c r="K1413" s="2" t="s">
        <v>15915</v>
      </c>
      <c r="L1413" s="2" t="s">
        <v>15916</v>
      </c>
      <c r="M1413" s="2" t="s">
        <v>15917</v>
      </c>
      <c r="N1413" s="2" t="s">
        <v>15918</v>
      </c>
      <c r="O1413" s="2" t="s">
        <v>15919</v>
      </c>
      <c r="P1413" s="2" t="s">
        <v>15906</v>
      </c>
    </row>
    <row r="1414" spans="1:16">
      <c r="A1414" s="1">
        <v>1413</v>
      </c>
      <c r="B1414" s="2" t="s">
        <v>15920</v>
      </c>
      <c r="C1414" s="2" t="s">
        <v>15921</v>
      </c>
      <c r="D1414" s="2" t="s">
        <v>15922</v>
      </c>
      <c r="E1414" s="2" t="s">
        <v>15923</v>
      </c>
      <c r="F1414" s="2" t="s">
        <v>15924</v>
      </c>
      <c r="G1414" s="2" t="s">
        <v>15925</v>
      </c>
      <c r="H1414" s="2" t="s">
        <v>15926</v>
      </c>
      <c r="I1414" s="2" t="s">
        <v>15927</v>
      </c>
      <c r="J1414" s="2" t="s">
        <v>15928</v>
      </c>
      <c r="K1414" s="2" t="s">
        <v>15929</v>
      </c>
      <c r="L1414" s="2" t="s">
        <v>15930</v>
      </c>
      <c r="M1414" s="2" t="s">
        <v>15931</v>
      </c>
      <c r="N1414" s="2" t="s">
        <v>15932</v>
      </c>
      <c r="O1414" s="2" t="s">
        <v>15933</v>
      </c>
      <c r="P1414" s="2" t="s">
        <v>15920</v>
      </c>
    </row>
    <row r="1415" spans="1:16">
      <c r="A1415" s="1">
        <v>1414</v>
      </c>
      <c r="B1415" s="2" t="s">
        <v>15934</v>
      </c>
      <c r="C1415" s="2" t="s">
        <v>13198</v>
      </c>
      <c r="D1415" s="2" t="s">
        <v>15935</v>
      </c>
      <c r="E1415" s="2" t="s">
        <v>13200</v>
      </c>
      <c r="F1415" s="2" t="s">
        <v>15936</v>
      </c>
      <c r="G1415" s="2" t="s">
        <v>15937</v>
      </c>
      <c r="H1415" s="2" t="s">
        <v>13203</v>
      </c>
      <c r="I1415" s="2" t="s">
        <v>15936</v>
      </c>
      <c r="J1415" s="2" t="s">
        <v>13205</v>
      </c>
      <c r="K1415" s="2" t="s">
        <v>15938</v>
      </c>
      <c r="L1415" s="2" t="s">
        <v>15939</v>
      </c>
      <c r="M1415" s="2" t="s">
        <v>13207</v>
      </c>
      <c r="N1415" s="2" t="s">
        <v>15940</v>
      </c>
      <c r="O1415" s="2" t="s">
        <v>15941</v>
      </c>
      <c r="P1415" s="2" t="s">
        <v>15934</v>
      </c>
    </row>
    <row r="1416" spans="1:16">
      <c r="A1416" s="1">
        <v>1415</v>
      </c>
      <c r="B1416" s="2" t="s">
        <v>15942</v>
      </c>
      <c r="C1416" s="2" t="s">
        <v>15943</v>
      </c>
      <c r="D1416" s="2" t="s">
        <v>15944</v>
      </c>
      <c r="E1416" s="2" t="s">
        <v>15945</v>
      </c>
      <c r="F1416" s="2" t="s">
        <v>15946</v>
      </c>
      <c r="G1416" s="2" t="s">
        <v>15947</v>
      </c>
      <c r="H1416" s="2" t="s">
        <v>15948</v>
      </c>
      <c r="I1416" s="2" t="s">
        <v>15949</v>
      </c>
      <c r="J1416" s="2" t="s">
        <v>15950</v>
      </c>
      <c r="K1416" s="2" t="s">
        <v>15951</v>
      </c>
      <c r="L1416" s="2" t="s">
        <v>15952</v>
      </c>
      <c r="M1416" s="2" t="s">
        <v>15953</v>
      </c>
      <c r="N1416" s="2" t="s">
        <v>15954</v>
      </c>
      <c r="O1416" s="2" t="s">
        <v>15955</v>
      </c>
      <c r="P1416" s="2" t="s">
        <v>15942</v>
      </c>
    </row>
    <row r="1417" spans="1:16">
      <c r="A1417" s="1">
        <v>1416</v>
      </c>
      <c r="B1417" s="2" t="s">
        <v>15956</v>
      </c>
      <c r="C1417" s="2" t="s">
        <v>15957</v>
      </c>
      <c r="D1417" s="2" t="s">
        <v>15958</v>
      </c>
      <c r="E1417" s="2" t="s">
        <v>15959</v>
      </c>
      <c r="F1417" s="2" t="s">
        <v>15960</v>
      </c>
      <c r="G1417" s="2" t="s">
        <v>15961</v>
      </c>
      <c r="H1417" s="2" t="s">
        <v>15962</v>
      </c>
      <c r="I1417" s="2" t="s">
        <v>15963</v>
      </c>
      <c r="J1417" s="2" t="s">
        <v>15964</v>
      </c>
      <c r="K1417" s="2" t="s">
        <v>15965</v>
      </c>
      <c r="L1417" s="2" t="s">
        <v>15966</v>
      </c>
      <c r="M1417" s="2" t="s">
        <v>15967</v>
      </c>
      <c r="N1417" s="2" t="s">
        <v>15968</v>
      </c>
      <c r="O1417" s="2" t="s">
        <v>15969</v>
      </c>
      <c r="P1417" s="2" t="s">
        <v>15956</v>
      </c>
    </row>
    <row r="1418" spans="1:16">
      <c r="A1418" s="1">
        <v>1417</v>
      </c>
      <c r="B1418" s="2" t="s">
        <v>22883</v>
      </c>
      <c r="C1418" s="2" t="s">
        <v>15971</v>
      </c>
      <c r="D1418" s="2" t="s">
        <v>15972</v>
      </c>
      <c r="E1418" s="2" t="s">
        <v>15973</v>
      </c>
      <c r="F1418" s="2" t="s">
        <v>15974</v>
      </c>
      <c r="G1418" s="2" t="s">
        <v>15975</v>
      </c>
      <c r="H1418" s="2" t="s">
        <v>15976</v>
      </c>
      <c r="I1418" s="2" t="s">
        <v>15977</v>
      </c>
      <c r="J1418" s="2" t="s">
        <v>15978</v>
      </c>
      <c r="K1418" s="2" t="s">
        <v>15979</v>
      </c>
      <c r="L1418" s="2" t="s">
        <v>15980</v>
      </c>
      <c r="M1418" s="2" t="s">
        <v>15981</v>
      </c>
      <c r="N1418" s="2" t="s">
        <v>15982</v>
      </c>
      <c r="O1418" s="2" t="s">
        <v>15983</v>
      </c>
      <c r="P1418" s="2" t="s">
        <v>15970</v>
      </c>
    </row>
    <row r="1419" spans="1:16">
      <c r="A1419" s="1">
        <v>1418</v>
      </c>
      <c r="B1419" s="2" t="s">
        <v>22884</v>
      </c>
      <c r="C1419" s="2" t="s">
        <v>15985</v>
      </c>
      <c r="D1419" s="2" t="s">
        <v>15986</v>
      </c>
      <c r="E1419" s="2" t="s">
        <v>15987</v>
      </c>
      <c r="F1419" s="2" t="s">
        <v>15988</v>
      </c>
      <c r="G1419" s="2" t="s">
        <v>15989</v>
      </c>
      <c r="H1419" s="2" t="s">
        <v>15990</v>
      </c>
      <c r="I1419" s="2" t="s">
        <v>15991</v>
      </c>
      <c r="J1419" s="2" t="s">
        <v>15992</v>
      </c>
      <c r="K1419" s="2" t="s">
        <v>15993</v>
      </c>
      <c r="L1419" s="2" t="s">
        <v>15994</v>
      </c>
      <c r="M1419" s="2" t="s">
        <v>15995</v>
      </c>
      <c r="N1419" s="2" t="s">
        <v>15996</v>
      </c>
      <c r="O1419" s="2" t="s">
        <v>15997</v>
      </c>
      <c r="P1419" s="2" t="s">
        <v>15984</v>
      </c>
    </row>
    <row r="1420" spans="1:16">
      <c r="A1420" s="1">
        <v>1419</v>
      </c>
      <c r="B1420" s="2" t="s">
        <v>15998</v>
      </c>
      <c r="C1420" s="2" t="s">
        <v>15999</v>
      </c>
      <c r="D1420" s="2" t="s">
        <v>16000</v>
      </c>
      <c r="E1420" s="2" t="s">
        <v>16001</v>
      </c>
      <c r="F1420" s="2" t="s">
        <v>16002</v>
      </c>
      <c r="G1420" s="2" t="s">
        <v>16003</v>
      </c>
      <c r="H1420" s="2" t="s">
        <v>16004</v>
      </c>
      <c r="I1420" s="2" t="s">
        <v>16005</v>
      </c>
      <c r="J1420" s="2" t="s">
        <v>16006</v>
      </c>
      <c r="K1420" s="2" t="s">
        <v>16007</v>
      </c>
      <c r="L1420" s="2" t="s">
        <v>16008</v>
      </c>
      <c r="M1420" s="2" t="s">
        <v>16009</v>
      </c>
      <c r="N1420" s="2" t="s">
        <v>16010</v>
      </c>
      <c r="O1420" s="2" t="s">
        <v>16011</v>
      </c>
      <c r="P1420" s="2" t="s">
        <v>15998</v>
      </c>
    </row>
    <row r="1421" spans="1:16">
      <c r="A1421" s="1">
        <v>1420</v>
      </c>
      <c r="B1421" s="2" t="s">
        <v>16012</v>
      </c>
      <c r="C1421" s="2" t="s">
        <v>16013</v>
      </c>
      <c r="D1421" s="2" t="s">
        <v>16014</v>
      </c>
      <c r="E1421" s="2" t="s">
        <v>16015</v>
      </c>
      <c r="F1421" s="2" t="s">
        <v>16016</v>
      </c>
      <c r="G1421" s="2" t="s">
        <v>16017</v>
      </c>
      <c r="H1421" s="2" t="s">
        <v>16018</v>
      </c>
      <c r="I1421" s="2" t="s">
        <v>16019</v>
      </c>
      <c r="J1421" s="2" t="s">
        <v>16020</v>
      </c>
      <c r="K1421" s="2" t="s">
        <v>16021</v>
      </c>
      <c r="L1421" s="2" t="s">
        <v>16022</v>
      </c>
      <c r="M1421" s="2" t="s">
        <v>16023</v>
      </c>
      <c r="N1421" s="2" t="s">
        <v>16024</v>
      </c>
      <c r="O1421" s="2" t="s">
        <v>16025</v>
      </c>
      <c r="P1421" s="2" t="s">
        <v>16012</v>
      </c>
    </row>
    <row r="1422" spans="1:16">
      <c r="A1422" s="1">
        <v>1421</v>
      </c>
      <c r="B1422" s="2" t="s">
        <v>16026</v>
      </c>
      <c r="C1422" s="2" t="s">
        <v>16027</v>
      </c>
      <c r="D1422" s="2" t="s">
        <v>16028</v>
      </c>
      <c r="E1422" s="2" t="s">
        <v>16029</v>
      </c>
      <c r="F1422" s="2" t="s">
        <v>16030</v>
      </c>
      <c r="G1422" s="2" t="s">
        <v>16031</v>
      </c>
      <c r="H1422" s="2" t="s">
        <v>16032</v>
      </c>
      <c r="I1422" s="2" t="s">
        <v>16033</v>
      </c>
      <c r="J1422" s="2" t="s">
        <v>16034</v>
      </c>
      <c r="K1422" s="2" t="s">
        <v>16035</v>
      </c>
      <c r="L1422" s="2" t="s">
        <v>16036</v>
      </c>
      <c r="M1422" s="2" t="s">
        <v>16037</v>
      </c>
      <c r="N1422" s="2" t="s">
        <v>16038</v>
      </c>
      <c r="O1422" s="2" t="s">
        <v>16039</v>
      </c>
      <c r="P1422" s="2" t="s">
        <v>16026</v>
      </c>
    </row>
    <row r="1423" spans="1:16">
      <c r="A1423" s="1">
        <v>1422</v>
      </c>
      <c r="B1423" s="2" t="s">
        <v>16040</v>
      </c>
      <c r="C1423" s="2" t="s">
        <v>16041</v>
      </c>
      <c r="D1423" s="2" t="s">
        <v>16042</v>
      </c>
      <c r="E1423" s="2" t="s">
        <v>16043</v>
      </c>
      <c r="F1423" s="2" t="s">
        <v>16044</v>
      </c>
      <c r="G1423" s="2" t="s">
        <v>16045</v>
      </c>
      <c r="H1423" s="2" t="s">
        <v>16046</v>
      </c>
      <c r="I1423" s="2" t="s">
        <v>16047</v>
      </c>
      <c r="J1423" s="2" t="s">
        <v>16048</v>
      </c>
      <c r="K1423" s="2" t="s">
        <v>16049</v>
      </c>
      <c r="L1423" s="2" t="s">
        <v>16050</v>
      </c>
      <c r="M1423" s="2" t="s">
        <v>16051</v>
      </c>
      <c r="N1423" s="2" t="s">
        <v>16052</v>
      </c>
      <c r="O1423" s="2" t="s">
        <v>16053</v>
      </c>
      <c r="P1423" s="2" t="s">
        <v>16040</v>
      </c>
    </row>
    <row r="1424" spans="1:16">
      <c r="A1424" s="1">
        <v>1423</v>
      </c>
      <c r="B1424" s="2" t="s">
        <v>16054</v>
      </c>
      <c r="C1424" s="2" t="s">
        <v>16055</v>
      </c>
      <c r="D1424" s="2" t="s">
        <v>16056</v>
      </c>
      <c r="E1424" s="2" t="s">
        <v>16057</v>
      </c>
      <c r="F1424" s="2" t="s">
        <v>16058</v>
      </c>
      <c r="G1424" s="2" t="s">
        <v>16059</v>
      </c>
      <c r="H1424" s="2" t="s">
        <v>16060</v>
      </c>
      <c r="I1424" s="2" t="s">
        <v>16061</v>
      </c>
      <c r="J1424" s="2" t="s">
        <v>16062</v>
      </c>
      <c r="K1424" s="2" t="s">
        <v>16063</v>
      </c>
      <c r="L1424" s="2" t="s">
        <v>16064</v>
      </c>
      <c r="M1424" s="2" t="s">
        <v>16065</v>
      </c>
      <c r="N1424" s="2" t="s">
        <v>16066</v>
      </c>
      <c r="O1424" s="2" t="s">
        <v>16067</v>
      </c>
      <c r="P1424" s="2" t="s">
        <v>16054</v>
      </c>
    </row>
    <row r="1425" spans="1:16">
      <c r="A1425" s="1">
        <v>1424</v>
      </c>
      <c r="B1425" s="2" t="s">
        <v>24990</v>
      </c>
      <c r="C1425" s="2" t="s">
        <v>16068</v>
      </c>
      <c r="D1425" s="2" t="s">
        <v>16069</v>
      </c>
      <c r="E1425" s="2" t="s">
        <v>16070</v>
      </c>
      <c r="F1425" s="2" t="s">
        <v>16071</v>
      </c>
      <c r="G1425" s="2" t="s">
        <v>24991</v>
      </c>
      <c r="H1425" s="2" t="s">
        <v>24992</v>
      </c>
      <c r="I1425" s="2" t="s">
        <v>16072</v>
      </c>
      <c r="J1425" s="2" t="s">
        <v>24993</v>
      </c>
      <c r="K1425" s="2" t="s">
        <v>16073</v>
      </c>
      <c r="L1425" s="2" t="s">
        <v>24994</v>
      </c>
      <c r="M1425" s="2" t="s">
        <v>16074</v>
      </c>
      <c r="N1425" s="2" t="s">
        <v>24995</v>
      </c>
      <c r="O1425" s="2" t="s">
        <v>24996</v>
      </c>
      <c r="P1425" s="2" t="s">
        <v>24990</v>
      </c>
    </row>
    <row r="1426" spans="1:16">
      <c r="A1426" s="1">
        <v>1425</v>
      </c>
      <c r="B1426" s="2" t="s">
        <v>16075</v>
      </c>
      <c r="C1426" s="2" t="s">
        <v>16076</v>
      </c>
      <c r="D1426" s="2" t="s">
        <v>16077</v>
      </c>
      <c r="E1426" s="2" t="s">
        <v>16078</v>
      </c>
      <c r="F1426" s="2" t="s">
        <v>16079</v>
      </c>
      <c r="G1426" s="2" t="s">
        <v>16080</v>
      </c>
      <c r="H1426" s="2" t="s">
        <v>16081</v>
      </c>
      <c r="I1426" s="2" t="s">
        <v>16082</v>
      </c>
      <c r="J1426" s="2" t="s">
        <v>16083</v>
      </c>
      <c r="K1426" s="2" t="s">
        <v>16084</v>
      </c>
      <c r="L1426" s="2" t="s">
        <v>16085</v>
      </c>
      <c r="M1426" s="2" t="s">
        <v>16086</v>
      </c>
      <c r="N1426" s="2" t="s">
        <v>16087</v>
      </c>
      <c r="O1426" s="2" t="s">
        <v>16088</v>
      </c>
      <c r="P1426" s="2" t="s">
        <v>16075</v>
      </c>
    </row>
    <row r="1427" spans="1:16">
      <c r="A1427" s="1">
        <v>1426</v>
      </c>
      <c r="B1427" s="2" t="s">
        <v>16089</v>
      </c>
      <c r="C1427" s="2" t="s">
        <v>16090</v>
      </c>
      <c r="D1427" s="2" t="s">
        <v>16091</v>
      </c>
      <c r="E1427" s="2" t="s">
        <v>16092</v>
      </c>
      <c r="F1427" s="2" t="s">
        <v>16093</v>
      </c>
      <c r="G1427" s="2" t="s">
        <v>16094</v>
      </c>
      <c r="H1427" s="2" t="s">
        <v>16095</v>
      </c>
      <c r="I1427" s="2" t="s">
        <v>16096</v>
      </c>
      <c r="J1427" s="2" t="s">
        <v>16097</v>
      </c>
      <c r="K1427" s="2" t="s">
        <v>16098</v>
      </c>
      <c r="L1427" s="2" t="s">
        <v>16099</v>
      </c>
      <c r="M1427" s="2" t="s">
        <v>16100</v>
      </c>
      <c r="N1427" s="2" t="s">
        <v>16101</v>
      </c>
      <c r="O1427" s="2" t="s">
        <v>16102</v>
      </c>
      <c r="P1427" s="2" t="s">
        <v>16089</v>
      </c>
    </row>
    <row r="1428" spans="1:16">
      <c r="A1428" s="1">
        <v>1427</v>
      </c>
      <c r="B1428" s="2" t="s">
        <v>16103</v>
      </c>
      <c r="C1428" s="2" t="s">
        <v>16104</v>
      </c>
      <c r="D1428" s="2" t="s">
        <v>16105</v>
      </c>
      <c r="E1428" s="2" t="s">
        <v>16106</v>
      </c>
      <c r="F1428" s="2" t="s">
        <v>16107</v>
      </c>
      <c r="G1428" s="2" t="s">
        <v>16108</v>
      </c>
      <c r="H1428" s="2" t="s">
        <v>16109</v>
      </c>
      <c r="I1428" s="2" t="s">
        <v>16110</v>
      </c>
      <c r="J1428" s="2" t="s">
        <v>16111</v>
      </c>
      <c r="K1428" s="2" t="s">
        <v>16112</v>
      </c>
      <c r="L1428" s="2" t="s">
        <v>16113</v>
      </c>
      <c r="M1428" s="2" t="s">
        <v>16114</v>
      </c>
      <c r="N1428" s="2" t="s">
        <v>16115</v>
      </c>
      <c r="O1428" s="2" t="s">
        <v>16116</v>
      </c>
      <c r="P1428" s="2" t="s">
        <v>16103</v>
      </c>
    </row>
    <row r="1429" spans="1:16">
      <c r="A1429" s="1">
        <v>1428</v>
      </c>
      <c r="B1429" s="2" t="s">
        <v>22885</v>
      </c>
      <c r="C1429" s="2" t="s">
        <v>16118</v>
      </c>
      <c r="D1429" s="2" t="s">
        <v>16119</v>
      </c>
      <c r="E1429" s="2" t="s">
        <v>16120</v>
      </c>
      <c r="F1429" s="2" t="s">
        <v>16121</v>
      </c>
      <c r="G1429" s="2" t="s">
        <v>16122</v>
      </c>
      <c r="H1429" s="2" t="s">
        <v>16123</v>
      </c>
      <c r="I1429" s="2" t="s">
        <v>16124</v>
      </c>
      <c r="J1429" s="2" t="s">
        <v>16125</v>
      </c>
      <c r="K1429" s="2" t="s">
        <v>16126</v>
      </c>
      <c r="L1429" s="2" t="s">
        <v>16127</v>
      </c>
      <c r="M1429" s="2" t="s">
        <v>16128</v>
      </c>
      <c r="N1429" s="2" t="s">
        <v>16129</v>
      </c>
      <c r="O1429" s="2" t="s">
        <v>16130</v>
      </c>
      <c r="P1429" s="2" t="s">
        <v>16117</v>
      </c>
    </row>
    <row r="1430" spans="1:16">
      <c r="A1430" s="1">
        <v>1429</v>
      </c>
      <c r="B1430" s="2" t="s">
        <v>16131</v>
      </c>
      <c r="C1430" s="2" t="s">
        <v>16132</v>
      </c>
      <c r="D1430" s="2" t="s">
        <v>16133</v>
      </c>
      <c r="E1430" s="2" t="s">
        <v>16134</v>
      </c>
      <c r="F1430" s="2" t="s">
        <v>16135</v>
      </c>
      <c r="G1430" s="2" t="s">
        <v>16136</v>
      </c>
      <c r="H1430" s="2" t="s">
        <v>16137</v>
      </c>
      <c r="I1430" s="2" t="s">
        <v>16138</v>
      </c>
      <c r="J1430" s="2" t="s">
        <v>16139</v>
      </c>
      <c r="K1430" s="2" t="s">
        <v>16136</v>
      </c>
      <c r="L1430" s="2" t="s">
        <v>16140</v>
      </c>
      <c r="M1430" s="2" t="s">
        <v>16141</v>
      </c>
      <c r="N1430" s="2" t="s">
        <v>16142</v>
      </c>
      <c r="O1430" s="2" t="s">
        <v>16143</v>
      </c>
      <c r="P1430" s="2" t="s">
        <v>16131</v>
      </c>
    </row>
    <row r="1431" spans="1:16">
      <c r="A1431" s="1">
        <v>1430</v>
      </c>
      <c r="B1431" s="2" t="s">
        <v>16144</v>
      </c>
      <c r="C1431" s="2" t="s">
        <v>16145</v>
      </c>
      <c r="D1431" s="2" t="s">
        <v>16146</v>
      </c>
      <c r="E1431" s="2" t="s">
        <v>16147</v>
      </c>
      <c r="F1431" s="2" t="s">
        <v>16148</v>
      </c>
      <c r="G1431" s="2" t="s">
        <v>2554</v>
      </c>
      <c r="H1431" s="2" t="s">
        <v>16149</v>
      </c>
      <c r="I1431" s="2" t="s">
        <v>16148</v>
      </c>
      <c r="J1431" s="2" t="s">
        <v>16150</v>
      </c>
      <c r="K1431" s="2" t="s">
        <v>2554</v>
      </c>
      <c r="L1431" s="2" t="s">
        <v>16151</v>
      </c>
      <c r="M1431" s="2" t="s">
        <v>16152</v>
      </c>
      <c r="N1431" s="2" t="s">
        <v>16152</v>
      </c>
      <c r="O1431" s="2" t="s">
        <v>2554</v>
      </c>
      <c r="P1431" s="2" t="s">
        <v>16144</v>
      </c>
    </row>
    <row r="1432" spans="1:16">
      <c r="A1432" s="1">
        <v>1431</v>
      </c>
      <c r="B1432" s="2" t="s">
        <v>16153</v>
      </c>
      <c r="C1432" s="2" t="s">
        <v>16154</v>
      </c>
      <c r="D1432" s="2" t="s">
        <v>16155</v>
      </c>
      <c r="E1432" s="2" t="s">
        <v>16156</v>
      </c>
      <c r="F1432" s="2" t="s">
        <v>16157</v>
      </c>
      <c r="G1432" s="2" t="s">
        <v>16158</v>
      </c>
      <c r="H1432" s="2" t="s">
        <v>16159</v>
      </c>
      <c r="I1432" s="2" t="s">
        <v>16160</v>
      </c>
      <c r="J1432" s="2" t="s">
        <v>16161</v>
      </c>
      <c r="K1432" s="2" t="s">
        <v>16162</v>
      </c>
      <c r="L1432" s="2" t="s">
        <v>16163</v>
      </c>
      <c r="M1432" s="2" t="s">
        <v>16164</v>
      </c>
      <c r="N1432" s="2" t="s">
        <v>16165</v>
      </c>
      <c r="O1432" s="2" t="s">
        <v>16166</v>
      </c>
      <c r="P1432" s="2" t="s">
        <v>16153</v>
      </c>
    </row>
    <row r="1433" spans="1:16">
      <c r="A1433" s="1">
        <v>1432</v>
      </c>
      <c r="B1433" s="2" t="s">
        <v>16167</v>
      </c>
      <c r="C1433" s="2" t="s">
        <v>16168</v>
      </c>
      <c r="D1433" s="2" t="s">
        <v>16169</v>
      </c>
      <c r="E1433" s="2" t="s">
        <v>16170</v>
      </c>
      <c r="F1433" s="2" t="s">
        <v>16171</v>
      </c>
      <c r="G1433" s="2" t="s">
        <v>16172</v>
      </c>
      <c r="H1433" s="2" t="s">
        <v>16173</v>
      </c>
      <c r="I1433" s="2" t="s">
        <v>16174</v>
      </c>
      <c r="J1433" s="2" t="s">
        <v>16175</v>
      </c>
      <c r="K1433" s="2" t="s">
        <v>16176</v>
      </c>
      <c r="L1433" s="2" t="s">
        <v>16177</v>
      </c>
      <c r="M1433" s="2" t="s">
        <v>16178</v>
      </c>
      <c r="N1433" s="2" t="s">
        <v>16179</v>
      </c>
      <c r="O1433" s="2" t="s">
        <v>16176</v>
      </c>
      <c r="P1433" s="2" t="s">
        <v>16167</v>
      </c>
    </row>
    <row r="1434" spans="1:16">
      <c r="A1434" s="1">
        <v>1433</v>
      </c>
      <c r="B1434" s="2" t="s">
        <v>16180</v>
      </c>
      <c r="C1434" s="2" t="s">
        <v>16181</v>
      </c>
      <c r="D1434" s="2" t="s">
        <v>16182</v>
      </c>
      <c r="E1434" s="2" t="s">
        <v>16183</v>
      </c>
      <c r="F1434" s="2" t="s">
        <v>16184</v>
      </c>
      <c r="G1434" s="2" t="s">
        <v>16185</v>
      </c>
      <c r="H1434" s="2" t="s">
        <v>16186</v>
      </c>
      <c r="I1434" s="2" t="s">
        <v>16184</v>
      </c>
      <c r="J1434" s="2" t="s">
        <v>16187</v>
      </c>
      <c r="K1434" s="2" t="s">
        <v>16188</v>
      </c>
      <c r="L1434" s="2" t="s">
        <v>16189</v>
      </c>
      <c r="M1434" s="2" t="s">
        <v>16189</v>
      </c>
      <c r="N1434" s="2" t="s">
        <v>16189</v>
      </c>
      <c r="O1434" s="2" t="s">
        <v>16190</v>
      </c>
      <c r="P1434" s="2" t="s">
        <v>16180</v>
      </c>
    </row>
    <row r="1435" spans="1:16">
      <c r="A1435" s="1">
        <v>1434</v>
      </c>
      <c r="B1435" s="2" t="s">
        <v>16191</v>
      </c>
      <c r="C1435" s="2" t="s">
        <v>16192</v>
      </c>
      <c r="D1435" s="2" t="s">
        <v>16192</v>
      </c>
      <c r="E1435" s="2" t="s">
        <v>16192</v>
      </c>
      <c r="F1435" s="2" t="s">
        <v>16192</v>
      </c>
      <c r="G1435" s="2" t="s">
        <v>16192</v>
      </c>
      <c r="H1435" s="2" t="s">
        <v>16192</v>
      </c>
      <c r="I1435" s="2" t="s">
        <v>16192</v>
      </c>
      <c r="J1435" s="2" t="s">
        <v>16192</v>
      </c>
      <c r="K1435" s="2" t="s">
        <v>16192</v>
      </c>
      <c r="L1435" s="2" t="s">
        <v>16192</v>
      </c>
      <c r="M1435" s="2" t="s">
        <v>16192</v>
      </c>
      <c r="N1435" s="2" t="s">
        <v>16192</v>
      </c>
      <c r="O1435" s="2" t="s">
        <v>16192</v>
      </c>
      <c r="P1435" s="2" t="s">
        <v>16191</v>
      </c>
    </row>
    <row r="1436" spans="1:16">
      <c r="A1436" s="1">
        <v>1435</v>
      </c>
      <c r="B1436" s="2" t="s">
        <v>25768</v>
      </c>
      <c r="C1436" s="2" t="s">
        <v>16193</v>
      </c>
      <c r="D1436" s="2" t="s">
        <v>16193</v>
      </c>
      <c r="E1436" s="2" t="s">
        <v>16193</v>
      </c>
      <c r="F1436" s="2" t="s">
        <v>16193</v>
      </c>
      <c r="G1436" s="2" t="s">
        <v>16193</v>
      </c>
      <c r="H1436" s="2" t="s">
        <v>16193</v>
      </c>
      <c r="I1436" s="2" t="s">
        <v>16193</v>
      </c>
      <c r="J1436" s="2" t="s">
        <v>16193</v>
      </c>
      <c r="K1436" s="2" t="s">
        <v>16193</v>
      </c>
      <c r="L1436" s="2" t="s">
        <v>16193</v>
      </c>
      <c r="M1436" s="2" t="s">
        <v>16193</v>
      </c>
      <c r="N1436" s="2" t="s">
        <v>16193</v>
      </c>
      <c r="O1436" s="2" t="s">
        <v>16193</v>
      </c>
      <c r="P1436" s="2" t="s">
        <v>25768</v>
      </c>
    </row>
    <row r="1437" spans="1:16">
      <c r="A1437" s="1">
        <v>1436</v>
      </c>
      <c r="B1437" s="2" t="s">
        <v>16194</v>
      </c>
      <c r="C1437" s="2" t="s">
        <v>16195</v>
      </c>
      <c r="D1437" s="2" t="s">
        <v>16195</v>
      </c>
      <c r="E1437" s="2" t="s">
        <v>10050</v>
      </c>
      <c r="F1437" s="2" t="s">
        <v>16196</v>
      </c>
      <c r="G1437" s="2" t="s">
        <v>16197</v>
      </c>
      <c r="H1437" s="2" t="s">
        <v>16198</v>
      </c>
      <c r="I1437" s="2" t="s">
        <v>16199</v>
      </c>
      <c r="J1437" s="2" t="s">
        <v>16200</v>
      </c>
      <c r="K1437" s="2" t="s">
        <v>16201</v>
      </c>
      <c r="L1437" s="2" t="s">
        <v>16202</v>
      </c>
      <c r="M1437" s="2" t="s">
        <v>16203</v>
      </c>
      <c r="N1437" s="2" t="s">
        <v>16204</v>
      </c>
      <c r="O1437" s="2" t="s">
        <v>16205</v>
      </c>
      <c r="P1437" s="2" t="s">
        <v>16194</v>
      </c>
    </row>
    <row r="1438" spans="1:16">
      <c r="A1438" s="1">
        <v>1437</v>
      </c>
      <c r="B1438" s="2" t="s">
        <v>22886</v>
      </c>
      <c r="C1438" s="2" t="s">
        <v>16206</v>
      </c>
      <c r="D1438" s="2" t="s">
        <v>16207</v>
      </c>
      <c r="E1438" s="2" t="s">
        <v>16208</v>
      </c>
      <c r="F1438" s="2" t="s">
        <v>16209</v>
      </c>
      <c r="G1438" s="2" t="s">
        <v>16210</v>
      </c>
      <c r="H1438" s="2" t="s">
        <v>16211</v>
      </c>
      <c r="I1438" s="2" t="s">
        <v>16212</v>
      </c>
      <c r="J1438" s="2" t="s">
        <v>16213</v>
      </c>
      <c r="K1438" s="2" t="s">
        <v>16214</v>
      </c>
      <c r="L1438" s="2" t="s">
        <v>16215</v>
      </c>
      <c r="M1438" s="2" t="s">
        <v>16216</v>
      </c>
      <c r="N1438" s="2" t="s">
        <v>16216</v>
      </c>
      <c r="O1438" s="2" t="s">
        <v>16217</v>
      </c>
      <c r="P1438" s="2" t="s">
        <v>22886</v>
      </c>
    </row>
    <row r="1439" spans="1:16">
      <c r="A1439" s="1">
        <v>1438</v>
      </c>
      <c r="B1439" s="2" t="s">
        <v>16218</v>
      </c>
      <c r="C1439" s="2" t="s">
        <v>16219</v>
      </c>
      <c r="D1439" s="2" t="s">
        <v>16220</v>
      </c>
      <c r="E1439" s="2" t="s">
        <v>16221</v>
      </c>
      <c r="F1439" s="2" t="s">
        <v>16222</v>
      </c>
      <c r="G1439" s="2" t="s">
        <v>16223</v>
      </c>
      <c r="H1439" s="2" t="s">
        <v>16224</v>
      </c>
      <c r="I1439" s="2" t="s">
        <v>16225</v>
      </c>
      <c r="J1439" s="2" t="s">
        <v>16226</v>
      </c>
      <c r="K1439" s="2" t="s">
        <v>16227</v>
      </c>
      <c r="L1439" s="2" t="s">
        <v>16228</v>
      </c>
      <c r="M1439" s="2" t="s">
        <v>16229</v>
      </c>
      <c r="N1439" s="2" t="s">
        <v>16230</v>
      </c>
      <c r="O1439" s="2" t="s">
        <v>16231</v>
      </c>
      <c r="P1439" s="2" t="s">
        <v>16218</v>
      </c>
    </row>
    <row r="1440" spans="1:16">
      <c r="A1440" s="1">
        <v>1439</v>
      </c>
      <c r="B1440" s="2" t="s">
        <v>16232</v>
      </c>
      <c r="C1440" s="2" t="s">
        <v>16233</v>
      </c>
      <c r="D1440" s="2" t="s">
        <v>16234</v>
      </c>
      <c r="E1440" s="2" t="s">
        <v>16235</v>
      </c>
      <c r="F1440" s="2" t="s">
        <v>16236</v>
      </c>
      <c r="G1440" s="2" t="s">
        <v>16237</v>
      </c>
      <c r="H1440" s="2" t="s">
        <v>16238</v>
      </c>
      <c r="I1440" s="2" t="s">
        <v>10498</v>
      </c>
      <c r="J1440" s="2" t="s">
        <v>16239</v>
      </c>
      <c r="K1440" s="2" t="s">
        <v>16240</v>
      </c>
      <c r="L1440" s="2" t="s">
        <v>16241</v>
      </c>
      <c r="M1440" s="2" t="s">
        <v>16242</v>
      </c>
      <c r="N1440" s="2" t="s">
        <v>16243</v>
      </c>
      <c r="O1440" s="2" t="s">
        <v>16244</v>
      </c>
      <c r="P1440" s="2" t="s">
        <v>16232</v>
      </c>
    </row>
    <row r="1441" spans="1:16">
      <c r="A1441" s="1">
        <v>1440</v>
      </c>
      <c r="B1441" s="2" t="s">
        <v>16245</v>
      </c>
      <c r="C1441" s="2" t="s">
        <v>16246</v>
      </c>
      <c r="D1441" s="2" t="s">
        <v>16246</v>
      </c>
      <c r="E1441" s="2" t="s">
        <v>16246</v>
      </c>
      <c r="F1441" s="2" t="s">
        <v>16246</v>
      </c>
      <c r="G1441" s="2" t="s">
        <v>16246</v>
      </c>
      <c r="H1441" s="2" t="s">
        <v>16246</v>
      </c>
      <c r="I1441" s="2" t="s">
        <v>16246</v>
      </c>
      <c r="J1441" s="2" t="s">
        <v>16246</v>
      </c>
      <c r="K1441" s="2" t="s">
        <v>16246</v>
      </c>
      <c r="L1441" s="2" t="s">
        <v>16246</v>
      </c>
      <c r="M1441" s="2" t="s">
        <v>16246</v>
      </c>
      <c r="N1441" s="2" t="s">
        <v>16246</v>
      </c>
      <c r="O1441" s="2" t="s">
        <v>16246</v>
      </c>
      <c r="P1441" s="2" t="s">
        <v>16245</v>
      </c>
    </row>
    <row r="1442" spans="1:16">
      <c r="A1442" s="1">
        <v>1441</v>
      </c>
      <c r="B1442" s="2" t="s">
        <v>16247</v>
      </c>
      <c r="C1442" s="2" t="s">
        <v>16248</v>
      </c>
      <c r="D1442" s="2" t="s">
        <v>16248</v>
      </c>
      <c r="E1442" s="2" t="s">
        <v>16248</v>
      </c>
      <c r="F1442" s="2" t="s">
        <v>16248</v>
      </c>
      <c r="G1442" s="2" t="s">
        <v>16248</v>
      </c>
      <c r="H1442" s="2" t="s">
        <v>16248</v>
      </c>
      <c r="I1442" s="2" t="s">
        <v>16248</v>
      </c>
      <c r="J1442" s="2" t="s">
        <v>16248</v>
      </c>
      <c r="K1442" s="2" t="s">
        <v>16248</v>
      </c>
      <c r="L1442" s="2" t="s">
        <v>16248</v>
      </c>
      <c r="M1442" s="2" t="s">
        <v>16248</v>
      </c>
      <c r="N1442" s="2" t="s">
        <v>16248</v>
      </c>
      <c r="O1442" s="2" t="s">
        <v>16248</v>
      </c>
      <c r="P1442" s="2" t="s">
        <v>16247</v>
      </c>
    </row>
    <row r="1443" spans="1:16">
      <c r="A1443" s="1">
        <v>1442</v>
      </c>
      <c r="B1443" s="2" t="s">
        <v>16249</v>
      </c>
      <c r="C1443" s="2" t="s">
        <v>16250</v>
      </c>
      <c r="D1443" s="2" t="s">
        <v>16251</v>
      </c>
      <c r="E1443" s="2" t="s">
        <v>16252</v>
      </c>
      <c r="F1443" s="2" t="s">
        <v>16253</v>
      </c>
      <c r="G1443" s="2" t="s">
        <v>16254</v>
      </c>
      <c r="H1443" s="2" t="s">
        <v>16255</v>
      </c>
      <c r="I1443" s="2" t="s">
        <v>16256</v>
      </c>
      <c r="J1443" s="2" t="s">
        <v>16257</v>
      </c>
      <c r="K1443" s="2" t="s">
        <v>16258</v>
      </c>
      <c r="L1443" s="2" t="s">
        <v>16259</v>
      </c>
      <c r="M1443" s="2" t="s">
        <v>16260</v>
      </c>
      <c r="N1443" s="2" t="s">
        <v>16261</v>
      </c>
      <c r="O1443" s="2" t="s">
        <v>16262</v>
      </c>
      <c r="P1443" s="2" t="s">
        <v>16249</v>
      </c>
    </row>
    <row r="1444" spans="1:16">
      <c r="A1444" s="1">
        <v>1443</v>
      </c>
      <c r="B1444" s="2" t="s">
        <v>16263</v>
      </c>
      <c r="C1444" s="2" t="s">
        <v>16263</v>
      </c>
      <c r="D1444" s="2" t="s">
        <v>16263</v>
      </c>
      <c r="E1444" s="2" t="s">
        <v>16263</v>
      </c>
      <c r="F1444" s="2" t="s">
        <v>16263</v>
      </c>
      <c r="G1444" s="2" t="s">
        <v>16263</v>
      </c>
      <c r="H1444" s="2" t="s">
        <v>16263</v>
      </c>
      <c r="I1444" s="2" t="s">
        <v>16263</v>
      </c>
      <c r="J1444" s="2" t="s">
        <v>16263</v>
      </c>
      <c r="K1444" s="2" t="s">
        <v>16263</v>
      </c>
      <c r="L1444" s="2" t="s">
        <v>16263</v>
      </c>
      <c r="M1444" s="2" t="s">
        <v>16263</v>
      </c>
      <c r="N1444" s="2" t="s">
        <v>16263</v>
      </c>
      <c r="O1444" s="2" t="s">
        <v>16263</v>
      </c>
      <c r="P1444" s="2" t="s">
        <v>16263</v>
      </c>
    </row>
    <row r="1445" spans="1:16">
      <c r="A1445" s="1">
        <v>1444</v>
      </c>
      <c r="B1445" s="2" t="s">
        <v>16264</v>
      </c>
      <c r="C1445" s="2" t="s">
        <v>16264</v>
      </c>
      <c r="D1445" s="2" t="s">
        <v>16264</v>
      </c>
      <c r="E1445" s="2" t="s">
        <v>16264</v>
      </c>
      <c r="F1445" s="2" t="s">
        <v>16264</v>
      </c>
      <c r="G1445" s="2" t="s">
        <v>16264</v>
      </c>
      <c r="H1445" s="2" t="s">
        <v>16264</v>
      </c>
      <c r="I1445" s="2" t="s">
        <v>16264</v>
      </c>
      <c r="J1445" s="2" t="s">
        <v>16264</v>
      </c>
      <c r="K1445" s="2" t="s">
        <v>16264</v>
      </c>
      <c r="L1445" s="2" t="s">
        <v>16264</v>
      </c>
      <c r="M1445" s="2" t="s">
        <v>16264</v>
      </c>
      <c r="N1445" s="2" t="s">
        <v>16264</v>
      </c>
      <c r="O1445" s="2" t="s">
        <v>16264</v>
      </c>
      <c r="P1445" s="2" t="s">
        <v>16264</v>
      </c>
    </row>
    <row r="1446" spans="1:16">
      <c r="A1446" s="1">
        <v>1445</v>
      </c>
      <c r="B1446" s="2" t="s">
        <v>16265</v>
      </c>
      <c r="C1446" s="2" t="s">
        <v>16266</v>
      </c>
      <c r="D1446" s="2" t="s">
        <v>16267</v>
      </c>
      <c r="E1446" s="2" t="s">
        <v>16268</v>
      </c>
      <c r="F1446" s="2" t="s">
        <v>16268</v>
      </c>
      <c r="G1446" s="2" t="s">
        <v>16268</v>
      </c>
      <c r="H1446" s="2" t="s">
        <v>16268</v>
      </c>
      <c r="I1446" s="2" t="s">
        <v>16268</v>
      </c>
      <c r="J1446" s="2" t="s">
        <v>16268</v>
      </c>
      <c r="K1446" s="2" t="s">
        <v>16268</v>
      </c>
      <c r="L1446" s="2" t="s">
        <v>16268</v>
      </c>
      <c r="M1446" s="2" t="s">
        <v>16268</v>
      </c>
      <c r="N1446" s="2" t="s">
        <v>16268</v>
      </c>
      <c r="O1446" s="2" t="s">
        <v>16268</v>
      </c>
      <c r="P1446" s="2" t="s">
        <v>16265</v>
      </c>
    </row>
    <row r="1447" spans="1:16">
      <c r="A1447" s="1">
        <v>1446</v>
      </c>
      <c r="B1447" s="2" t="s">
        <v>16269</v>
      </c>
      <c r="C1447" s="2" t="s">
        <v>16270</v>
      </c>
      <c r="D1447" s="2" t="s">
        <v>16271</v>
      </c>
      <c r="E1447" s="2" t="s">
        <v>16272</v>
      </c>
      <c r="F1447" s="2" t="s">
        <v>16272</v>
      </c>
      <c r="G1447" s="2" t="s">
        <v>16272</v>
      </c>
      <c r="H1447" s="2" t="s">
        <v>16272</v>
      </c>
      <c r="I1447" s="2" t="s">
        <v>16272</v>
      </c>
      <c r="J1447" s="2" t="s">
        <v>16272</v>
      </c>
      <c r="K1447" s="2" t="s">
        <v>16272</v>
      </c>
      <c r="L1447" s="2" t="s">
        <v>16272</v>
      </c>
      <c r="M1447" s="2" t="s">
        <v>16272</v>
      </c>
      <c r="N1447" s="2" t="s">
        <v>16272</v>
      </c>
      <c r="O1447" s="2" t="s">
        <v>16272</v>
      </c>
      <c r="P1447" s="2" t="s">
        <v>16269</v>
      </c>
    </row>
    <row r="1448" spans="1:16">
      <c r="A1448" s="1">
        <v>1447</v>
      </c>
      <c r="B1448" s="2" t="s">
        <v>16273</v>
      </c>
      <c r="C1448" s="2" t="s">
        <v>16274</v>
      </c>
      <c r="D1448" s="2" t="s">
        <v>16275</v>
      </c>
      <c r="E1448" s="2" t="s">
        <v>16276</v>
      </c>
      <c r="F1448" s="2" t="s">
        <v>16277</v>
      </c>
      <c r="G1448" s="2" t="s">
        <v>16278</v>
      </c>
      <c r="H1448" s="2" t="s">
        <v>16279</v>
      </c>
      <c r="I1448" s="2" t="s">
        <v>16280</v>
      </c>
      <c r="J1448" s="2" t="s">
        <v>16281</v>
      </c>
      <c r="K1448" s="2" t="s">
        <v>16282</v>
      </c>
      <c r="L1448" s="2" t="s">
        <v>16283</v>
      </c>
      <c r="M1448" s="2" t="s">
        <v>16284</v>
      </c>
      <c r="N1448" s="2" t="s">
        <v>16285</v>
      </c>
      <c r="O1448" s="2" t="s">
        <v>16286</v>
      </c>
      <c r="P1448" s="2" t="s">
        <v>16273</v>
      </c>
    </row>
    <row r="1449" spans="1:16">
      <c r="A1449" s="1">
        <v>1448</v>
      </c>
      <c r="B1449" s="2" t="s">
        <v>22887</v>
      </c>
      <c r="C1449" s="2" t="s">
        <v>16288</v>
      </c>
      <c r="D1449" s="2" t="s">
        <v>16289</v>
      </c>
      <c r="E1449" s="2" t="s">
        <v>25769</v>
      </c>
      <c r="F1449" s="2" t="s">
        <v>16290</v>
      </c>
      <c r="G1449" s="2" t="s">
        <v>16291</v>
      </c>
      <c r="H1449" s="2" t="s">
        <v>16292</v>
      </c>
      <c r="I1449" s="2" t="s">
        <v>16293</v>
      </c>
      <c r="J1449" s="2" t="s">
        <v>16294</v>
      </c>
      <c r="K1449" s="2" t="s">
        <v>16295</v>
      </c>
      <c r="L1449" s="2" t="s">
        <v>16296</v>
      </c>
      <c r="M1449" s="2" t="s">
        <v>16297</v>
      </c>
      <c r="N1449" s="2" t="s">
        <v>16297</v>
      </c>
      <c r="O1449" s="2" t="s">
        <v>16298</v>
      </c>
      <c r="P1449" s="2" t="s">
        <v>16287</v>
      </c>
    </row>
    <row r="1450" spans="1:16">
      <c r="A1450" s="1">
        <v>1449</v>
      </c>
      <c r="B1450" s="2" t="s">
        <v>16299</v>
      </c>
      <c r="C1450" s="2" t="s">
        <v>16300</v>
      </c>
      <c r="D1450" s="2" t="s">
        <v>16301</v>
      </c>
      <c r="E1450" s="2" t="s">
        <v>16302</v>
      </c>
      <c r="F1450" s="2" t="s">
        <v>16303</v>
      </c>
      <c r="G1450" s="2" t="s">
        <v>16304</v>
      </c>
      <c r="H1450" s="2" t="s">
        <v>16305</v>
      </c>
      <c r="I1450" s="2" t="s">
        <v>16303</v>
      </c>
      <c r="J1450" s="2" t="s">
        <v>16306</v>
      </c>
      <c r="K1450" s="2" t="s">
        <v>16307</v>
      </c>
      <c r="L1450" s="2" t="s">
        <v>16305</v>
      </c>
      <c r="M1450" s="2" t="s">
        <v>16308</v>
      </c>
      <c r="N1450" s="2" t="s">
        <v>16309</v>
      </c>
      <c r="O1450" s="2" t="s">
        <v>16307</v>
      </c>
      <c r="P1450" s="2" t="s">
        <v>16299</v>
      </c>
    </row>
    <row r="1451" spans="1:16">
      <c r="A1451" s="1">
        <v>1450</v>
      </c>
      <c r="B1451" s="2" t="s">
        <v>16310</v>
      </c>
      <c r="C1451" s="2" t="s">
        <v>16311</v>
      </c>
      <c r="D1451" s="2" t="s">
        <v>16312</v>
      </c>
      <c r="E1451" s="2" t="s">
        <v>16313</v>
      </c>
      <c r="F1451" s="2" t="s">
        <v>16314</v>
      </c>
      <c r="G1451" s="2" t="s">
        <v>16315</v>
      </c>
      <c r="H1451" s="2" t="s">
        <v>16316</v>
      </c>
      <c r="I1451" s="2" t="s">
        <v>16317</v>
      </c>
      <c r="J1451" s="2" t="s">
        <v>16318</v>
      </c>
      <c r="K1451" s="2" t="s">
        <v>16319</v>
      </c>
      <c r="L1451" s="2" t="s">
        <v>16320</v>
      </c>
      <c r="M1451" s="2" t="s">
        <v>16321</v>
      </c>
      <c r="N1451" s="2" t="s">
        <v>16322</v>
      </c>
      <c r="O1451" s="2" t="s">
        <v>16323</v>
      </c>
      <c r="P1451" s="2" t="s">
        <v>16310</v>
      </c>
    </row>
    <row r="1452" spans="1:16">
      <c r="A1452" s="1">
        <v>1451</v>
      </c>
      <c r="B1452" s="2" t="s">
        <v>16324</v>
      </c>
      <c r="C1452" s="2" t="s">
        <v>16325</v>
      </c>
      <c r="D1452" s="2" t="s">
        <v>16326</v>
      </c>
      <c r="E1452" s="2" t="s">
        <v>16327</v>
      </c>
      <c r="F1452" s="2" t="s">
        <v>16328</v>
      </c>
      <c r="G1452" s="2" t="s">
        <v>16329</v>
      </c>
      <c r="H1452" s="2" t="s">
        <v>16330</v>
      </c>
      <c r="I1452" s="2" t="s">
        <v>16331</v>
      </c>
      <c r="J1452" s="2" t="s">
        <v>16332</v>
      </c>
      <c r="K1452" s="2" t="s">
        <v>16333</v>
      </c>
      <c r="L1452" s="2" t="s">
        <v>16334</v>
      </c>
      <c r="M1452" s="2" t="s">
        <v>16335</v>
      </c>
      <c r="N1452" s="2" t="s">
        <v>16336</v>
      </c>
      <c r="O1452" s="2" t="s">
        <v>16337</v>
      </c>
      <c r="P1452" s="2" t="s">
        <v>16324</v>
      </c>
    </row>
    <row r="1453" spans="1:16">
      <c r="A1453" s="1">
        <v>1452</v>
      </c>
      <c r="B1453" s="2" t="s">
        <v>16338</v>
      </c>
      <c r="C1453" s="2" t="s">
        <v>16339</v>
      </c>
      <c r="D1453" s="2" t="s">
        <v>16340</v>
      </c>
      <c r="E1453" s="2" t="s">
        <v>16341</v>
      </c>
      <c r="F1453" s="2" t="s">
        <v>16342</v>
      </c>
      <c r="G1453" s="2" t="s">
        <v>16343</v>
      </c>
      <c r="H1453" s="2" t="s">
        <v>16344</v>
      </c>
      <c r="I1453" s="2" t="s">
        <v>16345</v>
      </c>
      <c r="J1453" s="2" t="s">
        <v>16346</v>
      </c>
      <c r="K1453" s="2" t="s">
        <v>16347</v>
      </c>
      <c r="L1453" s="2" t="s">
        <v>16348</v>
      </c>
      <c r="M1453" s="2" t="s">
        <v>16349</v>
      </c>
      <c r="N1453" s="2" t="s">
        <v>16350</v>
      </c>
      <c r="O1453" s="2" t="s">
        <v>16351</v>
      </c>
      <c r="P1453" s="2" t="s">
        <v>16338</v>
      </c>
    </row>
    <row r="1454" spans="1:16">
      <c r="A1454" s="1">
        <v>1453</v>
      </c>
      <c r="B1454" s="2" t="s">
        <v>16352</v>
      </c>
      <c r="C1454" s="2" t="s">
        <v>16353</v>
      </c>
      <c r="D1454" s="2" t="s">
        <v>16354</v>
      </c>
      <c r="E1454" s="2" t="s">
        <v>16355</v>
      </c>
      <c r="F1454" s="2" t="s">
        <v>16356</v>
      </c>
      <c r="G1454" s="2" t="s">
        <v>16357</v>
      </c>
      <c r="H1454" s="2" t="s">
        <v>16358</v>
      </c>
      <c r="I1454" s="2" t="s">
        <v>16359</v>
      </c>
      <c r="J1454" s="2" t="s">
        <v>16360</v>
      </c>
      <c r="K1454" s="2" t="s">
        <v>16361</v>
      </c>
      <c r="L1454" s="2" t="s">
        <v>16362</v>
      </c>
      <c r="M1454" s="2" t="s">
        <v>16363</v>
      </c>
      <c r="N1454" s="2" t="s">
        <v>16364</v>
      </c>
      <c r="O1454" s="2" t="s">
        <v>16365</v>
      </c>
      <c r="P1454" s="2" t="s">
        <v>16352</v>
      </c>
    </row>
    <row r="1455" spans="1:16">
      <c r="A1455" s="1">
        <v>1454</v>
      </c>
      <c r="B1455" s="2" t="s">
        <v>16366</v>
      </c>
      <c r="C1455" s="2" t="s">
        <v>16367</v>
      </c>
      <c r="D1455" s="2" t="s">
        <v>16368</v>
      </c>
      <c r="E1455" s="2" t="s">
        <v>4719</v>
      </c>
      <c r="F1455" s="2" t="s">
        <v>16369</v>
      </c>
      <c r="G1455" s="2" t="s">
        <v>16370</v>
      </c>
      <c r="H1455" s="2" t="s">
        <v>16371</v>
      </c>
      <c r="I1455" s="2" t="s">
        <v>16372</v>
      </c>
      <c r="J1455" s="2" t="s">
        <v>16373</v>
      </c>
      <c r="K1455" s="2" t="s">
        <v>16374</v>
      </c>
      <c r="L1455" s="2" t="s">
        <v>16375</v>
      </c>
      <c r="M1455" s="2" t="s">
        <v>16376</v>
      </c>
      <c r="N1455" s="2" t="s">
        <v>16377</v>
      </c>
      <c r="O1455" s="2" t="s">
        <v>16378</v>
      </c>
      <c r="P1455" s="2" t="s">
        <v>16366</v>
      </c>
    </row>
    <row r="1456" spans="1:16">
      <c r="A1456" s="1">
        <v>1455</v>
      </c>
      <c r="B1456" s="2" t="s">
        <v>16379</v>
      </c>
      <c r="C1456" s="2" t="s">
        <v>16380</v>
      </c>
      <c r="D1456" s="2" t="s">
        <v>16381</v>
      </c>
      <c r="E1456" s="2" t="s">
        <v>16382</v>
      </c>
      <c r="F1456" s="2" t="s">
        <v>16383</v>
      </c>
      <c r="G1456" s="2" t="s">
        <v>16384</v>
      </c>
      <c r="H1456" s="2" t="s">
        <v>16385</v>
      </c>
      <c r="I1456" s="2" t="s">
        <v>16386</v>
      </c>
      <c r="J1456" s="2" t="s">
        <v>16387</v>
      </c>
      <c r="K1456" s="2" t="s">
        <v>16388</v>
      </c>
      <c r="L1456" s="2" t="s">
        <v>16389</v>
      </c>
      <c r="M1456" s="2" t="s">
        <v>16390</v>
      </c>
      <c r="N1456" s="2" t="s">
        <v>16391</v>
      </c>
      <c r="O1456" s="2" t="s">
        <v>16392</v>
      </c>
      <c r="P1456" s="2" t="s">
        <v>16379</v>
      </c>
    </row>
    <row r="1457" spans="1:16">
      <c r="A1457" s="1">
        <v>1456</v>
      </c>
      <c r="B1457" s="2" t="s">
        <v>16393</v>
      </c>
      <c r="C1457" s="2" t="s">
        <v>16394</v>
      </c>
      <c r="D1457" s="2" t="s">
        <v>16395</v>
      </c>
      <c r="E1457" s="2" t="s">
        <v>16396</v>
      </c>
      <c r="F1457" s="2" t="s">
        <v>16397</v>
      </c>
      <c r="G1457" s="2" t="s">
        <v>16398</v>
      </c>
      <c r="H1457" s="2" t="s">
        <v>16399</v>
      </c>
      <c r="I1457" s="2" t="s">
        <v>16400</v>
      </c>
      <c r="J1457" s="2" t="s">
        <v>16401</v>
      </c>
      <c r="K1457" s="2" t="s">
        <v>16402</v>
      </c>
      <c r="L1457" s="2" t="s">
        <v>16403</v>
      </c>
      <c r="M1457" s="2" t="s">
        <v>16404</v>
      </c>
      <c r="N1457" s="2" t="s">
        <v>16405</v>
      </c>
      <c r="O1457" s="2" t="s">
        <v>16406</v>
      </c>
      <c r="P1457" s="2" t="s">
        <v>16393</v>
      </c>
    </row>
    <row r="1458" spans="1:16">
      <c r="A1458" s="1">
        <v>1457</v>
      </c>
      <c r="B1458" s="2" t="s">
        <v>16407</v>
      </c>
      <c r="C1458" s="2" t="s">
        <v>16408</v>
      </c>
      <c r="D1458" s="2" t="s">
        <v>16409</v>
      </c>
      <c r="E1458" s="2" t="s">
        <v>16410</v>
      </c>
      <c r="F1458" s="2" t="s">
        <v>16411</v>
      </c>
      <c r="G1458" s="2" t="s">
        <v>16412</v>
      </c>
      <c r="H1458" s="2" t="s">
        <v>16413</v>
      </c>
      <c r="I1458" s="2" t="s">
        <v>16414</v>
      </c>
      <c r="J1458" s="2" t="s">
        <v>16415</v>
      </c>
      <c r="K1458" s="2" t="s">
        <v>16416</v>
      </c>
      <c r="L1458" s="2" t="s">
        <v>16417</v>
      </c>
      <c r="M1458" s="2" t="s">
        <v>16418</v>
      </c>
      <c r="N1458" s="2" t="s">
        <v>16419</v>
      </c>
      <c r="O1458" s="2" t="s">
        <v>16420</v>
      </c>
      <c r="P1458" s="2" t="s">
        <v>16407</v>
      </c>
    </row>
    <row r="1459" spans="1:16">
      <c r="A1459" s="1">
        <v>1458</v>
      </c>
      <c r="B1459" s="2" t="s">
        <v>16421</v>
      </c>
      <c r="C1459" s="2" t="s">
        <v>16422</v>
      </c>
      <c r="D1459" s="2" t="s">
        <v>16423</v>
      </c>
      <c r="E1459" s="2" t="s">
        <v>16424</v>
      </c>
      <c r="F1459" s="2" t="s">
        <v>16425</v>
      </c>
      <c r="G1459" s="2" t="s">
        <v>16426</v>
      </c>
      <c r="H1459" s="2" t="s">
        <v>16427</v>
      </c>
      <c r="I1459" s="2" t="s">
        <v>16428</v>
      </c>
      <c r="J1459" s="2" t="s">
        <v>16429</v>
      </c>
      <c r="K1459" s="2" t="s">
        <v>16430</v>
      </c>
      <c r="L1459" s="2" t="s">
        <v>16431</v>
      </c>
      <c r="M1459" s="2" t="s">
        <v>16432</v>
      </c>
      <c r="N1459" s="2" t="s">
        <v>16433</v>
      </c>
      <c r="O1459" s="2" t="s">
        <v>16434</v>
      </c>
      <c r="P1459" s="2" t="s">
        <v>16421</v>
      </c>
    </row>
    <row r="1460" spans="1:16">
      <c r="A1460" s="1">
        <v>1459</v>
      </c>
      <c r="B1460" s="2" t="s">
        <v>16435</v>
      </c>
      <c r="C1460" s="2" t="s">
        <v>16436</v>
      </c>
      <c r="D1460" s="2" t="s">
        <v>16437</v>
      </c>
      <c r="E1460" s="2" t="s">
        <v>16438</v>
      </c>
      <c r="F1460" s="2" t="s">
        <v>16439</v>
      </c>
      <c r="G1460" s="2" t="s">
        <v>16440</v>
      </c>
      <c r="H1460" s="2" t="s">
        <v>16441</v>
      </c>
      <c r="I1460" s="2" t="s">
        <v>16442</v>
      </c>
      <c r="J1460" s="2" t="s">
        <v>16443</v>
      </c>
      <c r="K1460" s="2" t="s">
        <v>16444</v>
      </c>
      <c r="L1460" s="2" t="s">
        <v>16445</v>
      </c>
      <c r="M1460" s="2" t="s">
        <v>16446</v>
      </c>
      <c r="N1460" s="2" t="s">
        <v>16447</v>
      </c>
      <c r="O1460" s="2" t="s">
        <v>16448</v>
      </c>
      <c r="P1460" s="2" t="s">
        <v>16435</v>
      </c>
    </row>
    <row r="1461" spans="1:16">
      <c r="A1461" s="1">
        <v>1460</v>
      </c>
      <c r="B1461" s="2" t="s">
        <v>16449</v>
      </c>
      <c r="C1461" s="2" t="s">
        <v>16450</v>
      </c>
      <c r="D1461" s="2" t="s">
        <v>16451</v>
      </c>
      <c r="E1461" s="2" t="s">
        <v>16452</v>
      </c>
      <c r="F1461" s="2" t="s">
        <v>16453</v>
      </c>
      <c r="G1461" s="2" t="s">
        <v>16454</v>
      </c>
      <c r="H1461" s="2" t="s">
        <v>16455</v>
      </c>
      <c r="I1461" s="2" t="s">
        <v>16456</v>
      </c>
      <c r="J1461" s="2" t="s">
        <v>16457</v>
      </c>
      <c r="K1461" s="2" t="s">
        <v>16458</v>
      </c>
      <c r="L1461" s="2" t="s">
        <v>16459</v>
      </c>
      <c r="M1461" s="2" t="s">
        <v>16460</v>
      </c>
      <c r="N1461" s="2" t="s">
        <v>16461</v>
      </c>
      <c r="O1461" s="2" t="s">
        <v>16462</v>
      </c>
      <c r="P1461" s="2" t="s">
        <v>16449</v>
      </c>
    </row>
    <row r="1462" spans="1:16">
      <c r="A1462" s="1">
        <v>1461</v>
      </c>
      <c r="B1462" s="2" t="s">
        <v>16463</v>
      </c>
      <c r="C1462" s="2" t="s">
        <v>16464</v>
      </c>
      <c r="D1462" s="2" t="s">
        <v>16465</v>
      </c>
      <c r="E1462" s="2" t="s">
        <v>16466</v>
      </c>
      <c r="F1462" s="2" t="s">
        <v>16467</v>
      </c>
      <c r="G1462" s="2" t="s">
        <v>16468</v>
      </c>
      <c r="H1462" s="2" t="s">
        <v>16469</v>
      </c>
      <c r="I1462" s="2" t="s">
        <v>16470</v>
      </c>
      <c r="J1462" s="2" t="s">
        <v>16471</v>
      </c>
      <c r="K1462" s="2" t="s">
        <v>16472</v>
      </c>
      <c r="L1462" s="2" t="s">
        <v>16473</v>
      </c>
      <c r="M1462" s="2" t="s">
        <v>16474</v>
      </c>
      <c r="N1462" s="2" t="s">
        <v>16475</v>
      </c>
      <c r="O1462" s="2" t="s">
        <v>16476</v>
      </c>
      <c r="P1462" s="2" t="s">
        <v>16463</v>
      </c>
    </row>
    <row r="1463" spans="1:16">
      <c r="A1463" s="1">
        <v>1462</v>
      </c>
      <c r="B1463" s="2" t="s">
        <v>16477</v>
      </c>
      <c r="C1463" s="2" t="s">
        <v>16478</v>
      </c>
      <c r="D1463" s="2" t="s">
        <v>16479</v>
      </c>
      <c r="E1463" s="2" t="s">
        <v>16480</v>
      </c>
      <c r="F1463" s="2" t="s">
        <v>16481</v>
      </c>
      <c r="G1463" s="2" t="s">
        <v>16482</v>
      </c>
      <c r="H1463" s="2" t="s">
        <v>16483</v>
      </c>
      <c r="I1463" s="2" t="s">
        <v>16484</v>
      </c>
      <c r="J1463" s="2" t="s">
        <v>16485</v>
      </c>
      <c r="K1463" s="2" t="s">
        <v>16486</v>
      </c>
      <c r="L1463" s="2" t="s">
        <v>16487</v>
      </c>
      <c r="M1463" s="2" t="s">
        <v>16488</v>
      </c>
      <c r="N1463" s="2" t="s">
        <v>16489</v>
      </c>
      <c r="O1463" s="2" t="s">
        <v>16490</v>
      </c>
      <c r="P1463" s="2" t="s">
        <v>16477</v>
      </c>
    </row>
    <row r="1464" spans="1:16">
      <c r="A1464" s="1">
        <v>1463</v>
      </c>
      <c r="B1464" s="2" t="s">
        <v>16491</v>
      </c>
      <c r="C1464" s="2" t="s">
        <v>16492</v>
      </c>
      <c r="D1464" s="2" t="s">
        <v>16493</v>
      </c>
      <c r="E1464" s="2" t="s">
        <v>16494</v>
      </c>
      <c r="F1464" s="2" t="s">
        <v>16495</v>
      </c>
      <c r="G1464" s="2" t="s">
        <v>16496</v>
      </c>
      <c r="H1464" s="2" t="s">
        <v>16497</v>
      </c>
      <c r="I1464" s="2" t="s">
        <v>16498</v>
      </c>
      <c r="J1464" s="2" t="s">
        <v>16499</v>
      </c>
      <c r="K1464" s="2" t="s">
        <v>16500</v>
      </c>
      <c r="L1464" s="2" t="s">
        <v>16501</v>
      </c>
      <c r="M1464" s="2" t="s">
        <v>16502</v>
      </c>
      <c r="N1464" s="2" t="s">
        <v>16503</v>
      </c>
      <c r="O1464" s="2" t="s">
        <v>16504</v>
      </c>
      <c r="P1464" s="2" t="s">
        <v>16491</v>
      </c>
    </row>
    <row r="1465" spans="1:16">
      <c r="A1465" s="1">
        <v>1464</v>
      </c>
      <c r="B1465" s="2" t="s">
        <v>16505</v>
      </c>
      <c r="C1465" s="2" t="s">
        <v>16506</v>
      </c>
      <c r="D1465" s="2" t="s">
        <v>16507</v>
      </c>
      <c r="E1465" s="2" t="s">
        <v>16508</v>
      </c>
      <c r="F1465" s="2" t="s">
        <v>16509</v>
      </c>
      <c r="G1465" s="2" t="s">
        <v>16510</v>
      </c>
      <c r="H1465" s="2" t="s">
        <v>16511</v>
      </c>
      <c r="I1465" s="2" t="s">
        <v>16512</v>
      </c>
      <c r="J1465" s="2" t="s">
        <v>16513</v>
      </c>
      <c r="K1465" s="2" t="s">
        <v>16514</v>
      </c>
      <c r="L1465" s="2" t="s">
        <v>16515</v>
      </c>
      <c r="M1465" s="2" t="s">
        <v>16516</v>
      </c>
      <c r="N1465" s="2" t="s">
        <v>16517</v>
      </c>
      <c r="O1465" s="2" t="s">
        <v>16518</v>
      </c>
      <c r="P1465" s="2" t="s">
        <v>16505</v>
      </c>
    </row>
    <row r="1466" spans="1:16">
      <c r="A1466" s="1">
        <v>1465</v>
      </c>
      <c r="B1466" s="2" t="s">
        <v>16519</v>
      </c>
      <c r="C1466" s="2" t="s">
        <v>16520</v>
      </c>
      <c r="D1466" s="2" t="s">
        <v>16521</v>
      </c>
      <c r="E1466" s="2" t="s">
        <v>16522</v>
      </c>
      <c r="F1466" s="2" t="s">
        <v>16523</v>
      </c>
      <c r="G1466" s="2" t="s">
        <v>16524</v>
      </c>
      <c r="H1466" s="2" t="s">
        <v>16525</v>
      </c>
      <c r="I1466" s="2" t="s">
        <v>16526</v>
      </c>
      <c r="J1466" s="2" t="s">
        <v>16527</v>
      </c>
      <c r="K1466" s="2" t="s">
        <v>16528</v>
      </c>
      <c r="L1466" s="2" t="s">
        <v>16529</v>
      </c>
      <c r="M1466" s="2" t="s">
        <v>16530</v>
      </c>
      <c r="N1466" s="2" t="s">
        <v>16531</v>
      </c>
      <c r="O1466" s="2" t="s">
        <v>16532</v>
      </c>
      <c r="P1466" s="2" t="s">
        <v>16519</v>
      </c>
    </row>
    <row r="1467" spans="1:16">
      <c r="A1467" s="1">
        <v>1466</v>
      </c>
      <c r="B1467" s="2" t="s">
        <v>16533</v>
      </c>
      <c r="C1467" s="2" t="s">
        <v>16534</v>
      </c>
      <c r="D1467" s="2" t="s">
        <v>16535</v>
      </c>
      <c r="E1467" s="2" t="s">
        <v>16536</v>
      </c>
      <c r="F1467" s="2" t="s">
        <v>16537</v>
      </c>
      <c r="G1467" s="2" t="s">
        <v>16538</v>
      </c>
      <c r="H1467" s="2" t="s">
        <v>16539</v>
      </c>
      <c r="I1467" s="2" t="s">
        <v>16540</v>
      </c>
      <c r="J1467" s="2" t="s">
        <v>16541</v>
      </c>
      <c r="K1467" s="2" t="s">
        <v>16542</v>
      </c>
      <c r="L1467" s="2" t="s">
        <v>16543</v>
      </c>
      <c r="M1467" s="2" t="s">
        <v>16544</v>
      </c>
      <c r="N1467" s="2" t="s">
        <v>16545</v>
      </c>
      <c r="O1467" s="2" t="s">
        <v>16546</v>
      </c>
      <c r="P1467" s="2" t="s">
        <v>16533</v>
      </c>
    </row>
    <row r="1468" spans="1:16">
      <c r="A1468" s="1">
        <v>1467</v>
      </c>
      <c r="B1468" s="2" t="s">
        <v>22888</v>
      </c>
      <c r="C1468" s="2" t="s">
        <v>16548</v>
      </c>
      <c r="D1468" s="2" t="s">
        <v>16549</v>
      </c>
      <c r="E1468" s="2" t="s">
        <v>16550</v>
      </c>
      <c r="F1468" s="2" t="s">
        <v>16551</v>
      </c>
      <c r="G1468" s="2" t="s">
        <v>16552</v>
      </c>
      <c r="H1468" s="2" t="s">
        <v>16553</v>
      </c>
      <c r="I1468" s="2" t="s">
        <v>16554</v>
      </c>
      <c r="J1468" s="2" t="s">
        <v>16555</v>
      </c>
      <c r="K1468" s="2" t="s">
        <v>16556</v>
      </c>
      <c r="L1468" s="2" t="s">
        <v>16557</v>
      </c>
      <c r="M1468" s="2" t="s">
        <v>16558</v>
      </c>
      <c r="N1468" s="2" t="s">
        <v>16558</v>
      </c>
      <c r="O1468" s="2" t="s">
        <v>16556</v>
      </c>
      <c r="P1468" s="2" t="s">
        <v>16547</v>
      </c>
    </row>
    <row r="1469" spans="1:16">
      <c r="A1469" s="1">
        <v>1468</v>
      </c>
      <c r="B1469" s="2" t="s">
        <v>22889</v>
      </c>
      <c r="C1469" s="2" t="s">
        <v>16560</v>
      </c>
      <c r="D1469" s="2" t="s">
        <v>16561</v>
      </c>
      <c r="E1469" s="2" t="s">
        <v>16562</v>
      </c>
      <c r="F1469" s="2" t="s">
        <v>16563</v>
      </c>
      <c r="G1469" s="2" t="s">
        <v>16564</v>
      </c>
      <c r="H1469" s="2" t="s">
        <v>16565</v>
      </c>
      <c r="I1469" s="2" t="s">
        <v>16566</v>
      </c>
      <c r="J1469" s="2" t="s">
        <v>16567</v>
      </c>
      <c r="K1469" s="2" t="s">
        <v>16568</v>
      </c>
      <c r="L1469" s="2" t="s">
        <v>16569</v>
      </c>
      <c r="M1469" s="2" t="s">
        <v>16570</v>
      </c>
      <c r="N1469" s="2" t="s">
        <v>16570</v>
      </c>
      <c r="O1469" s="2" t="s">
        <v>16568</v>
      </c>
      <c r="P1469" s="2" t="s">
        <v>16559</v>
      </c>
    </row>
    <row r="1470" spans="1:16">
      <c r="A1470" s="1">
        <v>1469</v>
      </c>
      <c r="B1470" s="2" t="s">
        <v>16571</v>
      </c>
      <c r="C1470" s="2" t="s">
        <v>16572</v>
      </c>
      <c r="D1470" s="2" t="s">
        <v>16573</v>
      </c>
      <c r="E1470" s="2" t="s">
        <v>16574</v>
      </c>
      <c r="F1470" s="2" t="s">
        <v>16575</v>
      </c>
      <c r="G1470" s="2" t="s">
        <v>16576</v>
      </c>
      <c r="H1470" s="2" t="s">
        <v>16577</v>
      </c>
      <c r="I1470" s="2" t="s">
        <v>16578</v>
      </c>
      <c r="J1470" s="2" t="s">
        <v>16579</v>
      </c>
      <c r="K1470" s="2" t="s">
        <v>16580</v>
      </c>
      <c r="L1470" s="2" t="s">
        <v>16581</v>
      </c>
      <c r="M1470" s="2" t="s">
        <v>16582</v>
      </c>
      <c r="N1470" s="2" t="s">
        <v>16583</v>
      </c>
      <c r="O1470" s="2" t="s">
        <v>16584</v>
      </c>
      <c r="P1470" s="2" t="s">
        <v>16571</v>
      </c>
    </row>
    <row r="1471" spans="1:16">
      <c r="A1471" s="1">
        <v>1470</v>
      </c>
      <c r="B1471" s="2" t="s">
        <v>16585</v>
      </c>
      <c r="C1471" s="2" t="s">
        <v>16586</v>
      </c>
      <c r="D1471" s="2" t="s">
        <v>16587</v>
      </c>
      <c r="E1471" s="2" t="s">
        <v>16588</v>
      </c>
      <c r="F1471" s="2" t="s">
        <v>16589</v>
      </c>
      <c r="G1471" s="2" t="s">
        <v>16590</v>
      </c>
      <c r="H1471" s="2" t="s">
        <v>16591</v>
      </c>
      <c r="I1471" s="2" t="s">
        <v>16592</v>
      </c>
      <c r="J1471" s="2" t="s">
        <v>16593</v>
      </c>
      <c r="K1471" s="2" t="s">
        <v>16594</v>
      </c>
      <c r="L1471" s="2" t="s">
        <v>16595</v>
      </c>
      <c r="M1471" s="2" t="s">
        <v>16596</v>
      </c>
      <c r="N1471" s="2" t="s">
        <v>16597</v>
      </c>
      <c r="O1471" s="2" t="s">
        <v>16598</v>
      </c>
      <c r="P1471" s="2" t="s">
        <v>16585</v>
      </c>
    </row>
    <row r="1472" spans="1:16">
      <c r="A1472" s="1">
        <v>1471</v>
      </c>
      <c r="B1472" s="2" t="s">
        <v>16599</v>
      </c>
      <c r="C1472" s="2" t="s">
        <v>16600</v>
      </c>
      <c r="D1472" s="2" t="s">
        <v>16601</v>
      </c>
      <c r="E1472" s="2" t="s">
        <v>16602</v>
      </c>
      <c r="F1472" s="2" t="s">
        <v>16603</v>
      </c>
      <c r="G1472" s="2" t="s">
        <v>16604</v>
      </c>
      <c r="H1472" s="2" t="s">
        <v>16605</v>
      </c>
      <c r="I1472" s="2" t="s">
        <v>16606</v>
      </c>
      <c r="J1472" s="2" t="s">
        <v>16607</v>
      </c>
      <c r="K1472" s="2" t="s">
        <v>16608</v>
      </c>
      <c r="L1472" s="2" t="s">
        <v>16609</v>
      </c>
      <c r="M1472" s="2" t="s">
        <v>16610</v>
      </c>
      <c r="N1472" s="2" t="s">
        <v>16611</v>
      </c>
      <c r="O1472" s="2" t="s">
        <v>16612</v>
      </c>
      <c r="P1472" s="2" t="s">
        <v>16599</v>
      </c>
    </row>
    <row r="1473" spans="1:16">
      <c r="A1473" s="1">
        <v>1472</v>
      </c>
      <c r="B1473" s="2" t="s">
        <v>16613</v>
      </c>
      <c r="C1473" s="2" t="s">
        <v>16614</v>
      </c>
      <c r="D1473" s="2" t="s">
        <v>16615</v>
      </c>
      <c r="E1473" s="2" t="s">
        <v>16616</v>
      </c>
      <c r="F1473" s="2" t="s">
        <v>16617</v>
      </c>
      <c r="G1473" s="2" t="s">
        <v>16618</v>
      </c>
      <c r="H1473" s="2" t="s">
        <v>16619</v>
      </c>
      <c r="I1473" s="2" t="s">
        <v>16620</v>
      </c>
      <c r="J1473" s="2" t="s">
        <v>16621</v>
      </c>
      <c r="K1473" s="2" t="s">
        <v>16622</v>
      </c>
      <c r="L1473" s="2" t="s">
        <v>16623</v>
      </c>
      <c r="M1473" s="2" t="s">
        <v>16624</v>
      </c>
      <c r="N1473" s="2" t="s">
        <v>16625</v>
      </c>
      <c r="O1473" s="2" t="s">
        <v>16626</v>
      </c>
      <c r="P1473" s="2" t="s">
        <v>16613</v>
      </c>
    </row>
    <row r="1474" spans="1:16">
      <c r="A1474" s="1">
        <v>1473</v>
      </c>
      <c r="B1474" s="2" t="s">
        <v>16627</v>
      </c>
      <c r="C1474" s="2" t="s">
        <v>16628</v>
      </c>
      <c r="D1474" s="2" t="s">
        <v>16629</v>
      </c>
      <c r="E1474" s="2" t="s">
        <v>16630</v>
      </c>
      <c r="F1474" s="2" t="s">
        <v>16631</v>
      </c>
      <c r="G1474" s="2" t="s">
        <v>16632</v>
      </c>
      <c r="H1474" s="2" t="s">
        <v>16633</v>
      </c>
      <c r="I1474" s="2" t="s">
        <v>16634</v>
      </c>
      <c r="J1474" s="2" t="s">
        <v>16635</v>
      </c>
      <c r="K1474" s="2" t="s">
        <v>16636</v>
      </c>
      <c r="L1474" s="2" t="s">
        <v>16637</v>
      </c>
      <c r="M1474" s="2" t="s">
        <v>16638</v>
      </c>
      <c r="N1474" s="2" t="s">
        <v>16639</v>
      </c>
      <c r="O1474" s="2" t="s">
        <v>16640</v>
      </c>
      <c r="P1474" s="2" t="s">
        <v>16627</v>
      </c>
    </row>
    <row r="1475" spans="1:16">
      <c r="A1475" s="1">
        <v>1474</v>
      </c>
      <c r="B1475" s="2" t="s">
        <v>16641</v>
      </c>
      <c r="C1475" s="2" t="s">
        <v>16642</v>
      </c>
      <c r="D1475" s="2" t="s">
        <v>16643</v>
      </c>
      <c r="E1475" s="2" t="s">
        <v>16644</v>
      </c>
      <c r="F1475" s="2" t="s">
        <v>16645</v>
      </c>
      <c r="G1475" s="2" t="s">
        <v>16646</v>
      </c>
      <c r="H1475" s="2" t="s">
        <v>16647</v>
      </c>
      <c r="I1475" s="2" t="s">
        <v>16648</v>
      </c>
      <c r="J1475" s="2" t="s">
        <v>16649</v>
      </c>
      <c r="K1475" s="2" t="s">
        <v>16650</v>
      </c>
      <c r="L1475" s="2" t="s">
        <v>16651</v>
      </c>
      <c r="M1475" s="2" t="s">
        <v>16652</v>
      </c>
      <c r="N1475" s="2" t="s">
        <v>16653</v>
      </c>
      <c r="O1475" s="2" t="s">
        <v>16654</v>
      </c>
      <c r="P1475" s="2" t="s">
        <v>16641</v>
      </c>
    </row>
    <row r="1476" spans="1:16">
      <c r="A1476" s="1">
        <v>1475</v>
      </c>
      <c r="B1476" s="2" t="s">
        <v>16655</v>
      </c>
      <c r="C1476" s="2" t="s">
        <v>16656</v>
      </c>
      <c r="D1476" s="2" t="s">
        <v>16657</v>
      </c>
      <c r="E1476" s="2" t="s">
        <v>16658</v>
      </c>
      <c r="F1476" s="2" t="s">
        <v>16659</v>
      </c>
      <c r="G1476" s="2" t="s">
        <v>16660</v>
      </c>
      <c r="H1476" s="2" t="s">
        <v>16661</v>
      </c>
      <c r="I1476" s="2" t="s">
        <v>16662</v>
      </c>
      <c r="J1476" s="2" t="s">
        <v>16663</v>
      </c>
      <c r="K1476" s="2" t="s">
        <v>16664</v>
      </c>
      <c r="L1476" s="2" t="s">
        <v>16665</v>
      </c>
      <c r="M1476" s="2" t="s">
        <v>16666</v>
      </c>
      <c r="N1476" s="2" t="s">
        <v>16667</v>
      </c>
      <c r="O1476" s="2" t="s">
        <v>16668</v>
      </c>
      <c r="P1476" s="2" t="s">
        <v>16655</v>
      </c>
    </row>
    <row r="1477" spans="1:16">
      <c r="A1477" s="1">
        <v>1476</v>
      </c>
      <c r="B1477" s="2" t="s">
        <v>22890</v>
      </c>
      <c r="C1477" s="2" t="s">
        <v>16670</v>
      </c>
      <c r="D1477" s="2" t="s">
        <v>16671</v>
      </c>
      <c r="E1477" s="2" t="s">
        <v>16672</v>
      </c>
      <c r="F1477" s="2" t="s">
        <v>16673</v>
      </c>
      <c r="G1477" s="2" t="s">
        <v>16674</v>
      </c>
      <c r="H1477" s="2" t="s">
        <v>16675</v>
      </c>
      <c r="I1477" s="2" t="s">
        <v>16676</v>
      </c>
      <c r="J1477" s="2" t="s">
        <v>16677</v>
      </c>
      <c r="K1477" s="2" t="s">
        <v>16678</v>
      </c>
      <c r="L1477" s="2" t="s">
        <v>16679</v>
      </c>
      <c r="M1477" s="2" t="s">
        <v>16680</v>
      </c>
      <c r="N1477" s="2" t="s">
        <v>16681</v>
      </c>
      <c r="O1477" s="2" t="s">
        <v>16682</v>
      </c>
      <c r="P1477" s="2" t="s">
        <v>16669</v>
      </c>
    </row>
    <row r="1478" spans="1:16">
      <c r="A1478" s="1">
        <v>1477</v>
      </c>
      <c r="B1478" s="2" t="s">
        <v>16683</v>
      </c>
      <c r="C1478" s="2" t="s">
        <v>16684</v>
      </c>
      <c r="D1478" s="2" t="s">
        <v>16685</v>
      </c>
      <c r="E1478" s="2" t="s">
        <v>16686</v>
      </c>
      <c r="F1478" s="2" t="s">
        <v>16687</v>
      </c>
      <c r="G1478" s="2" t="s">
        <v>16688</v>
      </c>
      <c r="H1478" s="2" t="s">
        <v>16689</v>
      </c>
      <c r="I1478" s="2" t="s">
        <v>16690</v>
      </c>
      <c r="J1478" s="2" t="s">
        <v>16691</v>
      </c>
      <c r="K1478" s="2" t="s">
        <v>16692</v>
      </c>
      <c r="L1478" s="2" t="s">
        <v>16693</v>
      </c>
      <c r="M1478" s="2" t="s">
        <v>16694</v>
      </c>
      <c r="N1478" s="2" t="s">
        <v>16695</v>
      </c>
      <c r="O1478" s="2" t="s">
        <v>16696</v>
      </c>
      <c r="P1478" s="2" t="s">
        <v>16683</v>
      </c>
    </row>
    <row r="1479" spans="1:16">
      <c r="A1479" s="1">
        <v>1478</v>
      </c>
      <c r="B1479" s="2" t="s">
        <v>16697</v>
      </c>
      <c r="C1479" s="2" t="s">
        <v>16698</v>
      </c>
      <c r="D1479" s="2" t="s">
        <v>16699</v>
      </c>
      <c r="E1479" s="2" t="s">
        <v>16700</v>
      </c>
      <c r="F1479" s="2" t="s">
        <v>16701</v>
      </c>
      <c r="G1479" s="2" t="s">
        <v>16702</v>
      </c>
      <c r="H1479" s="2" t="s">
        <v>16703</v>
      </c>
      <c r="I1479" s="2" t="s">
        <v>16704</v>
      </c>
      <c r="J1479" s="2" t="s">
        <v>16705</v>
      </c>
      <c r="K1479" s="2" t="s">
        <v>16706</v>
      </c>
      <c r="L1479" s="2" t="s">
        <v>16707</v>
      </c>
      <c r="M1479" s="2" t="s">
        <v>16708</v>
      </c>
      <c r="N1479" s="2" t="s">
        <v>16709</v>
      </c>
      <c r="O1479" s="2" t="s">
        <v>16710</v>
      </c>
      <c r="P1479" s="2" t="s">
        <v>16697</v>
      </c>
    </row>
    <row r="1480" spans="1:16">
      <c r="A1480" s="1">
        <v>1479</v>
      </c>
      <c r="B1480" s="2" t="s">
        <v>16711</v>
      </c>
      <c r="C1480" s="2" t="s">
        <v>16712</v>
      </c>
      <c r="D1480" s="2" t="s">
        <v>16713</v>
      </c>
      <c r="E1480" s="2" t="s">
        <v>16714</v>
      </c>
      <c r="F1480" s="2" t="s">
        <v>16715</v>
      </c>
      <c r="G1480" s="2" t="s">
        <v>16716</v>
      </c>
      <c r="H1480" s="2" t="s">
        <v>16717</v>
      </c>
      <c r="I1480" s="2" t="s">
        <v>16718</v>
      </c>
      <c r="J1480" s="2" t="s">
        <v>16719</v>
      </c>
      <c r="K1480" s="2" t="s">
        <v>16720</v>
      </c>
      <c r="L1480" s="2" t="s">
        <v>16721</v>
      </c>
      <c r="M1480" s="2" t="s">
        <v>16722</v>
      </c>
      <c r="N1480" s="2" t="s">
        <v>16723</v>
      </c>
      <c r="O1480" s="2" t="s">
        <v>16724</v>
      </c>
      <c r="P1480" s="2" t="s">
        <v>16711</v>
      </c>
    </row>
    <row r="1481" spans="1:16">
      <c r="A1481" s="1">
        <v>1480</v>
      </c>
      <c r="B1481" s="2" t="s">
        <v>16725</v>
      </c>
      <c r="C1481" s="2" t="s">
        <v>16726</v>
      </c>
      <c r="D1481" s="2" t="s">
        <v>16727</v>
      </c>
      <c r="E1481" s="2" t="s">
        <v>16728</v>
      </c>
      <c r="F1481" s="2" t="s">
        <v>16729</v>
      </c>
      <c r="G1481" s="2" t="s">
        <v>16730</v>
      </c>
      <c r="H1481" s="2" t="s">
        <v>1745</v>
      </c>
      <c r="I1481" s="2" t="s">
        <v>16731</v>
      </c>
      <c r="J1481" s="2" t="s">
        <v>1746</v>
      </c>
      <c r="K1481" s="2" t="s">
        <v>16732</v>
      </c>
      <c r="L1481" s="2" t="s">
        <v>1748</v>
      </c>
      <c r="M1481" s="2" t="s">
        <v>1748</v>
      </c>
      <c r="N1481" s="2" t="s">
        <v>1748</v>
      </c>
      <c r="O1481" s="2" t="s">
        <v>1749</v>
      </c>
      <c r="P1481" s="2" t="s">
        <v>16725</v>
      </c>
    </row>
    <row r="1482" spans="1:16">
      <c r="A1482" s="1">
        <v>1481</v>
      </c>
      <c r="B1482" s="2" t="s">
        <v>16733</v>
      </c>
      <c r="C1482" s="2" t="s">
        <v>16734</v>
      </c>
      <c r="D1482" s="2" t="s">
        <v>16735</v>
      </c>
      <c r="E1482" s="2" t="s">
        <v>16736</v>
      </c>
      <c r="F1482" s="2" t="s">
        <v>16737</v>
      </c>
      <c r="G1482" s="2" t="s">
        <v>16738</v>
      </c>
      <c r="H1482" s="2" t="s">
        <v>16739</v>
      </c>
      <c r="I1482" s="2" t="s">
        <v>16740</v>
      </c>
      <c r="J1482" s="2" t="s">
        <v>16741</v>
      </c>
      <c r="K1482" s="2" t="s">
        <v>16742</v>
      </c>
      <c r="L1482" s="2" t="s">
        <v>16743</v>
      </c>
      <c r="M1482" s="2" t="s">
        <v>16744</v>
      </c>
      <c r="N1482" s="2" t="s">
        <v>16745</v>
      </c>
      <c r="O1482" s="2" t="s">
        <v>16746</v>
      </c>
      <c r="P1482" s="2" t="s">
        <v>16733</v>
      </c>
    </row>
    <row r="1483" spans="1:16">
      <c r="A1483" s="1">
        <v>1482</v>
      </c>
      <c r="B1483" s="2" t="s">
        <v>16747</v>
      </c>
      <c r="C1483" s="2" t="s">
        <v>16748</v>
      </c>
      <c r="D1483" s="2" t="s">
        <v>16749</v>
      </c>
      <c r="E1483" s="2" t="s">
        <v>16750</v>
      </c>
      <c r="F1483" s="2" t="s">
        <v>16751</v>
      </c>
      <c r="G1483" s="2" t="s">
        <v>16752</v>
      </c>
      <c r="H1483" s="2" t="s">
        <v>16753</v>
      </c>
      <c r="I1483" s="2" t="s">
        <v>16754</v>
      </c>
      <c r="J1483" s="2" t="s">
        <v>16755</v>
      </c>
      <c r="K1483" s="2" t="s">
        <v>16756</v>
      </c>
      <c r="L1483" s="2" t="s">
        <v>16757</v>
      </c>
      <c r="M1483" s="2" t="s">
        <v>16758</v>
      </c>
      <c r="N1483" s="2" t="s">
        <v>16759</v>
      </c>
      <c r="O1483" s="2" t="s">
        <v>16760</v>
      </c>
      <c r="P1483" s="2" t="s">
        <v>16747</v>
      </c>
    </row>
    <row r="1484" spans="1:16">
      <c r="A1484" s="1">
        <v>1483</v>
      </c>
      <c r="B1484" s="2" t="s">
        <v>16761</v>
      </c>
      <c r="C1484" s="2" t="s">
        <v>16762</v>
      </c>
      <c r="D1484" s="2" t="s">
        <v>16763</v>
      </c>
      <c r="E1484" s="2" t="s">
        <v>16764</v>
      </c>
      <c r="F1484" s="2" t="s">
        <v>16765</v>
      </c>
      <c r="G1484" s="2" t="s">
        <v>16766</v>
      </c>
      <c r="H1484" s="2" t="s">
        <v>16767</v>
      </c>
      <c r="I1484" s="2" t="s">
        <v>16768</v>
      </c>
      <c r="J1484" s="2" t="s">
        <v>16769</v>
      </c>
      <c r="K1484" s="2" t="s">
        <v>16770</v>
      </c>
      <c r="L1484" s="2" t="s">
        <v>16771</v>
      </c>
      <c r="M1484" s="2" t="s">
        <v>16772</v>
      </c>
      <c r="N1484" s="2" t="s">
        <v>16773</v>
      </c>
      <c r="O1484" s="2" t="s">
        <v>16774</v>
      </c>
      <c r="P1484" s="2" t="s">
        <v>16761</v>
      </c>
    </row>
    <row r="1485" spans="1:16">
      <c r="A1485" s="1">
        <v>1484</v>
      </c>
      <c r="B1485" s="2" t="s">
        <v>16775</v>
      </c>
      <c r="C1485" s="2" t="s">
        <v>16776</v>
      </c>
      <c r="D1485" s="2" t="s">
        <v>16777</v>
      </c>
      <c r="E1485" s="2" t="s">
        <v>16778</v>
      </c>
      <c r="F1485" s="2" t="s">
        <v>16779</v>
      </c>
      <c r="G1485" s="2" t="s">
        <v>16780</v>
      </c>
      <c r="H1485" s="2" t="s">
        <v>16781</v>
      </c>
      <c r="I1485" s="2" t="s">
        <v>16782</v>
      </c>
      <c r="J1485" s="2" t="s">
        <v>16783</v>
      </c>
      <c r="K1485" s="2" t="s">
        <v>16784</v>
      </c>
      <c r="L1485" s="2" t="s">
        <v>16785</v>
      </c>
      <c r="M1485" s="2" t="s">
        <v>16786</v>
      </c>
      <c r="N1485" s="2" t="s">
        <v>16787</v>
      </c>
      <c r="O1485" s="2" t="s">
        <v>16788</v>
      </c>
      <c r="P1485" s="2" t="s">
        <v>16775</v>
      </c>
    </row>
    <row r="1486" spans="1:16">
      <c r="A1486" s="1">
        <v>1485</v>
      </c>
      <c r="B1486" s="2" t="s">
        <v>16789</v>
      </c>
      <c r="C1486" s="2" t="s">
        <v>16790</v>
      </c>
      <c r="D1486" s="2" t="s">
        <v>16791</v>
      </c>
      <c r="E1486" s="2" t="s">
        <v>16792</v>
      </c>
      <c r="F1486" s="2" t="s">
        <v>16793</v>
      </c>
      <c r="G1486" s="2" t="s">
        <v>16794</v>
      </c>
      <c r="H1486" s="2" t="s">
        <v>16795</v>
      </c>
      <c r="I1486" s="2" t="s">
        <v>16796</v>
      </c>
      <c r="J1486" s="2" t="s">
        <v>16797</v>
      </c>
      <c r="K1486" s="2" t="s">
        <v>16798</v>
      </c>
      <c r="L1486" s="2" t="s">
        <v>16799</v>
      </c>
      <c r="M1486" s="2" t="s">
        <v>16800</v>
      </c>
      <c r="N1486" s="2" t="s">
        <v>16801</v>
      </c>
      <c r="O1486" s="2" t="s">
        <v>16802</v>
      </c>
      <c r="P1486" s="2" t="s">
        <v>16789</v>
      </c>
    </row>
    <row r="1487" spans="1:16">
      <c r="A1487" s="1">
        <v>1486</v>
      </c>
      <c r="B1487" s="2" t="s">
        <v>16803</v>
      </c>
      <c r="C1487" s="2" t="s">
        <v>16804</v>
      </c>
      <c r="D1487" s="2" t="s">
        <v>16805</v>
      </c>
      <c r="E1487" s="2" t="s">
        <v>16806</v>
      </c>
      <c r="F1487" s="2" t="s">
        <v>16807</v>
      </c>
      <c r="G1487" s="2" t="s">
        <v>16808</v>
      </c>
      <c r="H1487" s="2" t="s">
        <v>16809</v>
      </c>
      <c r="I1487" s="2" t="s">
        <v>16810</v>
      </c>
      <c r="J1487" s="2" t="s">
        <v>16811</v>
      </c>
      <c r="K1487" s="2" t="s">
        <v>5274</v>
      </c>
      <c r="L1487" s="2" t="s">
        <v>16812</v>
      </c>
      <c r="M1487" s="2" t="s">
        <v>16813</v>
      </c>
      <c r="N1487" s="2" t="s">
        <v>16814</v>
      </c>
      <c r="O1487" s="2" t="s">
        <v>16815</v>
      </c>
      <c r="P1487" s="2" t="s">
        <v>16803</v>
      </c>
    </row>
    <row r="1488" spans="1:16">
      <c r="A1488" s="1">
        <v>1487</v>
      </c>
      <c r="B1488" s="2" t="s">
        <v>16816</v>
      </c>
      <c r="C1488" s="2" t="s">
        <v>16817</v>
      </c>
      <c r="D1488" s="2" t="s">
        <v>16818</v>
      </c>
      <c r="E1488" s="2" t="s">
        <v>16819</v>
      </c>
      <c r="F1488" s="2" t="s">
        <v>16820</v>
      </c>
      <c r="G1488" s="2" t="s">
        <v>16821</v>
      </c>
      <c r="H1488" s="2" t="s">
        <v>16822</v>
      </c>
      <c r="I1488" s="2" t="s">
        <v>16820</v>
      </c>
      <c r="J1488" s="2" t="s">
        <v>16823</v>
      </c>
      <c r="K1488" s="2" t="s">
        <v>16824</v>
      </c>
      <c r="L1488" s="2" t="s">
        <v>16825</v>
      </c>
      <c r="M1488" s="2" t="s">
        <v>16825</v>
      </c>
      <c r="N1488" s="2" t="s">
        <v>16826</v>
      </c>
      <c r="O1488" s="2" t="s">
        <v>16827</v>
      </c>
      <c r="P1488" s="2" t="s">
        <v>16816</v>
      </c>
    </row>
    <row r="1489" spans="1:16">
      <c r="A1489" s="1">
        <v>1488</v>
      </c>
      <c r="B1489" s="2" t="s">
        <v>16828</v>
      </c>
      <c r="C1489" s="2" t="s">
        <v>16829</v>
      </c>
      <c r="D1489" s="2" t="s">
        <v>16830</v>
      </c>
      <c r="E1489" s="2" t="s">
        <v>16831</v>
      </c>
      <c r="F1489" s="2" t="s">
        <v>16832</v>
      </c>
      <c r="G1489" s="2" t="s">
        <v>16833</v>
      </c>
      <c r="H1489" s="2" t="s">
        <v>16834</v>
      </c>
      <c r="I1489" s="2" t="s">
        <v>16835</v>
      </c>
      <c r="J1489" s="2" t="s">
        <v>16836</v>
      </c>
      <c r="K1489" s="2" t="s">
        <v>16837</v>
      </c>
      <c r="L1489" s="2" t="s">
        <v>16838</v>
      </c>
      <c r="M1489" s="2" t="s">
        <v>16839</v>
      </c>
      <c r="N1489" s="2" t="s">
        <v>16840</v>
      </c>
      <c r="O1489" s="2" t="s">
        <v>16841</v>
      </c>
      <c r="P1489" s="2" t="s">
        <v>16828</v>
      </c>
    </row>
    <row r="1490" spans="1:16">
      <c r="A1490" s="1">
        <v>1489</v>
      </c>
      <c r="B1490" s="2" t="s">
        <v>22891</v>
      </c>
      <c r="C1490" s="2" t="s">
        <v>16843</v>
      </c>
      <c r="D1490" s="2" t="s">
        <v>16844</v>
      </c>
      <c r="E1490" s="2" t="s">
        <v>16845</v>
      </c>
      <c r="F1490" s="2" t="s">
        <v>16846</v>
      </c>
      <c r="G1490" s="2" t="s">
        <v>16847</v>
      </c>
      <c r="H1490" s="2" t="s">
        <v>16848</v>
      </c>
      <c r="I1490" s="2" t="s">
        <v>16849</v>
      </c>
      <c r="J1490" s="2" t="s">
        <v>16850</v>
      </c>
      <c r="K1490" s="2" t="s">
        <v>16851</v>
      </c>
      <c r="L1490" s="2" t="s">
        <v>16852</v>
      </c>
      <c r="M1490" s="2" t="s">
        <v>16853</v>
      </c>
      <c r="N1490" s="2" t="s">
        <v>16854</v>
      </c>
      <c r="O1490" s="2" t="s">
        <v>16855</v>
      </c>
      <c r="P1490" s="2" t="s">
        <v>16842</v>
      </c>
    </row>
    <row r="1491" spans="1:16">
      <c r="A1491" s="1">
        <v>1490</v>
      </c>
      <c r="B1491" s="2" t="s">
        <v>16856</v>
      </c>
      <c r="C1491" s="2" t="s">
        <v>16857</v>
      </c>
      <c r="D1491" s="2" t="s">
        <v>16858</v>
      </c>
      <c r="E1491" s="2" t="s">
        <v>16859</v>
      </c>
      <c r="F1491" s="2" t="s">
        <v>16860</v>
      </c>
      <c r="G1491" s="2" t="s">
        <v>16861</v>
      </c>
      <c r="H1491" s="2" t="s">
        <v>16862</v>
      </c>
      <c r="I1491" s="2" t="s">
        <v>16863</v>
      </c>
      <c r="J1491" s="2" t="s">
        <v>16864</v>
      </c>
      <c r="K1491" s="2" t="s">
        <v>16865</v>
      </c>
      <c r="L1491" s="2" t="s">
        <v>16866</v>
      </c>
      <c r="M1491" s="2" t="s">
        <v>16867</v>
      </c>
      <c r="N1491" s="2" t="s">
        <v>16868</v>
      </c>
      <c r="O1491" s="2" t="s">
        <v>16869</v>
      </c>
      <c r="P1491" s="2" t="s">
        <v>16856</v>
      </c>
    </row>
    <row r="1492" spans="1:16">
      <c r="A1492" s="1">
        <v>1491</v>
      </c>
      <c r="B1492" s="2" t="s">
        <v>16870</v>
      </c>
      <c r="C1492" s="2" t="s">
        <v>16871</v>
      </c>
      <c r="D1492" s="2" t="s">
        <v>16872</v>
      </c>
      <c r="E1492" s="2" t="s">
        <v>16873</v>
      </c>
      <c r="F1492" s="2" t="s">
        <v>10987</v>
      </c>
      <c r="G1492" s="2" t="s">
        <v>10987</v>
      </c>
      <c r="H1492" s="2" t="s">
        <v>16874</v>
      </c>
      <c r="I1492" s="2" t="s">
        <v>16875</v>
      </c>
      <c r="J1492" s="2" t="s">
        <v>16876</v>
      </c>
      <c r="K1492" s="2" t="s">
        <v>16877</v>
      </c>
      <c r="L1492" s="2" t="s">
        <v>16878</v>
      </c>
      <c r="M1492" s="2" t="s">
        <v>16879</v>
      </c>
      <c r="N1492" s="2" t="s">
        <v>16879</v>
      </c>
      <c r="O1492" s="2" t="s">
        <v>10994</v>
      </c>
      <c r="P1492" s="2" t="s">
        <v>16870</v>
      </c>
    </row>
    <row r="1493" spans="1:16">
      <c r="A1493" s="1">
        <v>1492</v>
      </c>
      <c r="B1493" s="2" t="s">
        <v>15757</v>
      </c>
      <c r="C1493" s="2" t="s">
        <v>15758</v>
      </c>
      <c r="D1493" s="2" t="s">
        <v>15759</v>
      </c>
      <c r="E1493" s="2" t="s">
        <v>15760</v>
      </c>
      <c r="F1493" s="2" t="s">
        <v>15761</v>
      </c>
      <c r="G1493" s="2" t="s">
        <v>15762</v>
      </c>
      <c r="H1493" s="2" t="s">
        <v>15763</v>
      </c>
      <c r="I1493" s="2" t="s">
        <v>15764</v>
      </c>
      <c r="J1493" s="2" t="s">
        <v>15765</v>
      </c>
      <c r="K1493" s="2" t="s">
        <v>15766</v>
      </c>
      <c r="L1493" s="2" t="s">
        <v>15767</v>
      </c>
      <c r="M1493" s="2" t="s">
        <v>15768</v>
      </c>
      <c r="N1493" s="2" t="s">
        <v>15769</v>
      </c>
      <c r="O1493" s="2" t="s">
        <v>15770</v>
      </c>
      <c r="P1493" s="2" t="s">
        <v>15757</v>
      </c>
    </row>
    <row r="1494" spans="1:16">
      <c r="A1494" s="1">
        <v>1493</v>
      </c>
      <c r="B1494" s="2" t="s">
        <v>16880</v>
      </c>
      <c r="C1494" s="2" t="s">
        <v>16881</v>
      </c>
      <c r="D1494" s="2" t="s">
        <v>16882</v>
      </c>
      <c r="E1494" s="2" t="s">
        <v>16883</v>
      </c>
      <c r="F1494" s="2" t="s">
        <v>16884</v>
      </c>
      <c r="G1494" s="2" t="s">
        <v>16885</v>
      </c>
      <c r="H1494" s="2" t="s">
        <v>16886</v>
      </c>
      <c r="I1494" s="2" t="s">
        <v>16887</v>
      </c>
      <c r="J1494" s="2" t="s">
        <v>16888</v>
      </c>
      <c r="K1494" s="2" t="s">
        <v>16889</v>
      </c>
      <c r="L1494" s="2" t="s">
        <v>16890</v>
      </c>
      <c r="M1494" s="2" t="s">
        <v>16891</v>
      </c>
      <c r="N1494" s="2" t="s">
        <v>16892</v>
      </c>
      <c r="O1494" s="2" t="s">
        <v>16893</v>
      </c>
      <c r="P1494" s="2" t="s">
        <v>16880</v>
      </c>
    </row>
    <row r="1495" spans="1:16">
      <c r="A1495" s="1">
        <v>1494</v>
      </c>
      <c r="B1495" s="2" t="s">
        <v>16894</v>
      </c>
      <c r="C1495" s="2" t="s">
        <v>16895</v>
      </c>
      <c r="D1495" s="2" t="s">
        <v>16896</v>
      </c>
      <c r="E1495" s="2" t="s">
        <v>16897</v>
      </c>
      <c r="F1495" s="2" t="s">
        <v>16898</v>
      </c>
      <c r="G1495" s="2" t="s">
        <v>16899</v>
      </c>
      <c r="H1495" s="2" t="s">
        <v>16900</v>
      </c>
      <c r="I1495" s="2" t="s">
        <v>16901</v>
      </c>
      <c r="J1495" s="2" t="s">
        <v>16902</v>
      </c>
      <c r="K1495" s="2" t="s">
        <v>16903</v>
      </c>
      <c r="L1495" s="2" t="s">
        <v>16904</v>
      </c>
      <c r="M1495" s="2" t="s">
        <v>16905</v>
      </c>
      <c r="N1495" s="2" t="s">
        <v>16906</v>
      </c>
      <c r="O1495" s="2" t="s">
        <v>16907</v>
      </c>
      <c r="P1495" s="2" t="s">
        <v>16894</v>
      </c>
    </row>
    <row r="1496" spans="1:16">
      <c r="A1496" s="1">
        <v>1495</v>
      </c>
      <c r="B1496" s="2" t="s">
        <v>16908</v>
      </c>
      <c r="C1496" s="2" t="s">
        <v>16909</v>
      </c>
      <c r="D1496" s="2" t="s">
        <v>16910</v>
      </c>
      <c r="E1496" s="2" t="s">
        <v>16911</v>
      </c>
      <c r="F1496" s="2" t="s">
        <v>16912</v>
      </c>
      <c r="G1496" s="2" t="s">
        <v>16913</v>
      </c>
      <c r="H1496" s="2" t="s">
        <v>16914</v>
      </c>
      <c r="I1496" s="2" t="s">
        <v>16915</v>
      </c>
      <c r="J1496" s="2" t="s">
        <v>16916</v>
      </c>
      <c r="K1496" s="2" t="s">
        <v>16917</v>
      </c>
      <c r="L1496" s="2" t="s">
        <v>16918</v>
      </c>
      <c r="M1496" s="2" t="s">
        <v>16919</v>
      </c>
      <c r="N1496" s="2" t="s">
        <v>16920</v>
      </c>
      <c r="O1496" s="2" t="s">
        <v>16921</v>
      </c>
      <c r="P1496" s="2" t="s">
        <v>16908</v>
      </c>
    </row>
    <row r="1497" spans="1:16">
      <c r="A1497" s="1">
        <v>1496</v>
      </c>
      <c r="B1497" s="2" t="s">
        <v>16922</v>
      </c>
      <c r="C1497" s="2" t="s">
        <v>16923</v>
      </c>
      <c r="D1497" s="2" t="s">
        <v>16924</v>
      </c>
      <c r="E1497" s="2" t="s">
        <v>16925</v>
      </c>
      <c r="F1497" s="2" t="s">
        <v>16926</v>
      </c>
      <c r="G1497" s="2" t="s">
        <v>16927</v>
      </c>
      <c r="H1497" s="2" t="s">
        <v>16928</v>
      </c>
      <c r="I1497" s="2" t="s">
        <v>16929</v>
      </c>
      <c r="J1497" s="2" t="s">
        <v>16930</v>
      </c>
      <c r="K1497" s="2" t="s">
        <v>16931</v>
      </c>
      <c r="L1497" s="2" t="s">
        <v>16932</v>
      </c>
      <c r="M1497" s="2" t="s">
        <v>16933</v>
      </c>
      <c r="N1497" s="2" t="s">
        <v>16934</v>
      </c>
      <c r="O1497" s="2" t="s">
        <v>16935</v>
      </c>
      <c r="P1497" s="2" t="s">
        <v>16922</v>
      </c>
    </row>
    <row r="1498" spans="1:16">
      <c r="A1498" s="1">
        <v>1497</v>
      </c>
      <c r="B1498" s="2" t="s">
        <v>16936</v>
      </c>
      <c r="C1498" s="2" t="s">
        <v>16937</v>
      </c>
      <c r="D1498" s="2" t="s">
        <v>16938</v>
      </c>
      <c r="E1498" s="2" t="s">
        <v>16939</v>
      </c>
      <c r="F1498" s="2" t="s">
        <v>16940</v>
      </c>
      <c r="G1498" s="2" t="s">
        <v>16941</v>
      </c>
      <c r="H1498" s="2" t="s">
        <v>16942</v>
      </c>
      <c r="I1498" s="2" t="s">
        <v>16943</v>
      </c>
      <c r="J1498" s="2" t="s">
        <v>16944</v>
      </c>
      <c r="K1498" s="2" t="s">
        <v>16945</v>
      </c>
      <c r="L1498" s="2" t="s">
        <v>16946</v>
      </c>
      <c r="M1498" s="2" t="s">
        <v>16947</v>
      </c>
      <c r="N1498" s="2" t="s">
        <v>16948</v>
      </c>
      <c r="O1498" s="2" t="s">
        <v>16949</v>
      </c>
      <c r="P1498" s="2" t="s">
        <v>16936</v>
      </c>
    </row>
    <row r="1499" spans="1:16">
      <c r="A1499" s="1">
        <v>1498</v>
      </c>
      <c r="B1499" s="2" t="s">
        <v>16950</v>
      </c>
      <c r="C1499" s="2" t="s">
        <v>16951</v>
      </c>
      <c r="D1499" s="2" t="s">
        <v>16952</v>
      </c>
      <c r="E1499" s="2" t="s">
        <v>16953</v>
      </c>
      <c r="F1499" s="2" t="s">
        <v>16954</v>
      </c>
      <c r="G1499" s="2" t="s">
        <v>16955</v>
      </c>
      <c r="H1499" s="2" t="s">
        <v>16956</v>
      </c>
      <c r="I1499" s="2" t="s">
        <v>16957</v>
      </c>
      <c r="J1499" s="2" t="s">
        <v>16958</v>
      </c>
      <c r="K1499" s="2" t="s">
        <v>16959</v>
      </c>
      <c r="L1499" s="2" t="s">
        <v>16960</v>
      </c>
      <c r="M1499" s="2" t="s">
        <v>16961</v>
      </c>
      <c r="N1499" s="2" t="s">
        <v>16962</v>
      </c>
      <c r="O1499" s="2" t="s">
        <v>16963</v>
      </c>
      <c r="P1499" s="2" t="s">
        <v>16950</v>
      </c>
    </row>
    <row r="1500" spans="1:16">
      <c r="A1500" s="1">
        <v>1499</v>
      </c>
      <c r="B1500" s="2" t="s">
        <v>16964</v>
      </c>
      <c r="C1500" s="2" t="s">
        <v>16965</v>
      </c>
      <c r="D1500" s="2" t="s">
        <v>16966</v>
      </c>
      <c r="E1500" s="2" t="s">
        <v>16967</v>
      </c>
      <c r="F1500" s="2" t="s">
        <v>16968</v>
      </c>
      <c r="G1500" s="2" t="s">
        <v>16969</v>
      </c>
      <c r="H1500" s="2" t="s">
        <v>16970</v>
      </c>
      <c r="I1500" s="2" t="s">
        <v>16971</v>
      </c>
      <c r="J1500" s="2" t="s">
        <v>16972</v>
      </c>
      <c r="K1500" s="2" t="s">
        <v>16973</v>
      </c>
      <c r="L1500" s="2" t="s">
        <v>16974</v>
      </c>
      <c r="M1500" s="2" t="s">
        <v>16975</v>
      </c>
      <c r="N1500" s="2" t="s">
        <v>16976</v>
      </c>
      <c r="O1500" s="2" t="s">
        <v>16977</v>
      </c>
      <c r="P1500" s="2" t="s">
        <v>16964</v>
      </c>
    </row>
    <row r="1501" spans="1:16">
      <c r="A1501" s="1">
        <v>1500</v>
      </c>
      <c r="B1501" s="2" t="s">
        <v>16978</v>
      </c>
      <c r="C1501" s="2" t="s">
        <v>16979</v>
      </c>
      <c r="D1501" s="2" t="s">
        <v>16980</v>
      </c>
      <c r="E1501" s="2" t="s">
        <v>16981</v>
      </c>
      <c r="F1501" s="2" t="s">
        <v>16982</v>
      </c>
      <c r="G1501" s="2" t="s">
        <v>16983</v>
      </c>
      <c r="H1501" s="2" t="s">
        <v>16984</v>
      </c>
      <c r="I1501" s="2" t="s">
        <v>16985</v>
      </c>
      <c r="J1501" s="2" t="s">
        <v>16986</v>
      </c>
      <c r="K1501" s="2" t="s">
        <v>16987</v>
      </c>
      <c r="L1501" s="2" t="s">
        <v>16988</v>
      </c>
      <c r="M1501" s="2" t="s">
        <v>16989</v>
      </c>
      <c r="N1501" s="2" t="s">
        <v>16990</v>
      </c>
      <c r="O1501" s="2" t="s">
        <v>16991</v>
      </c>
      <c r="P1501" s="2" t="s">
        <v>16978</v>
      </c>
    </row>
    <row r="1502" spans="1:16">
      <c r="A1502" s="1">
        <v>1501</v>
      </c>
      <c r="B1502" s="2" t="s">
        <v>16992</v>
      </c>
      <c r="C1502" s="2" t="s">
        <v>24997</v>
      </c>
      <c r="D1502" s="2" t="s">
        <v>16993</v>
      </c>
      <c r="E1502" s="2" t="s">
        <v>25770</v>
      </c>
      <c r="F1502" s="2" t="s">
        <v>24998</v>
      </c>
      <c r="G1502" s="2" t="s">
        <v>24999</v>
      </c>
      <c r="H1502" s="2" t="s">
        <v>25000</v>
      </c>
      <c r="I1502" s="2" t="s">
        <v>25001</v>
      </c>
      <c r="J1502" s="2" t="s">
        <v>25002</v>
      </c>
      <c r="K1502" s="2" t="s">
        <v>25003</v>
      </c>
      <c r="L1502" s="2" t="s">
        <v>25004</v>
      </c>
      <c r="M1502" s="2" t="s">
        <v>25005</v>
      </c>
      <c r="N1502" s="2" t="s">
        <v>25006</v>
      </c>
      <c r="O1502" s="2" t="s">
        <v>25007</v>
      </c>
      <c r="P1502" s="2" t="s">
        <v>16992</v>
      </c>
    </row>
    <row r="1503" spans="1:16">
      <c r="A1503" s="1">
        <v>1502</v>
      </c>
      <c r="B1503" s="2" t="s">
        <v>16994</v>
      </c>
      <c r="C1503" s="2" t="s">
        <v>25008</v>
      </c>
      <c r="D1503" s="2" t="s">
        <v>16995</v>
      </c>
      <c r="E1503" s="2" t="s">
        <v>25771</v>
      </c>
      <c r="F1503" s="2" t="s">
        <v>25009</v>
      </c>
      <c r="G1503" s="2" t="s">
        <v>25010</v>
      </c>
      <c r="H1503" s="2" t="s">
        <v>25011</v>
      </c>
      <c r="I1503" s="2" t="s">
        <v>25012</v>
      </c>
      <c r="J1503" s="2" t="s">
        <v>25013</v>
      </c>
      <c r="K1503" s="2" t="s">
        <v>25014</v>
      </c>
      <c r="L1503" s="2" t="s">
        <v>25015</v>
      </c>
      <c r="M1503" s="2" t="s">
        <v>25016</v>
      </c>
      <c r="N1503" s="2" t="s">
        <v>25017</v>
      </c>
      <c r="O1503" s="2" t="s">
        <v>25018</v>
      </c>
      <c r="P1503" s="2" t="s">
        <v>16994</v>
      </c>
    </row>
    <row r="1504" spans="1:16">
      <c r="A1504" s="1">
        <v>1503</v>
      </c>
      <c r="B1504" s="2" t="s">
        <v>22892</v>
      </c>
      <c r="C1504" s="2" t="s">
        <v>16997</v>
      </c>
      <c r="D1504" s="2" t="s">
        <v>16998</v>
      </c>
      <c r="E1504" s="2" t="s">
        <v>16999</v>
      </c>
      <c r="F1504" s="2" t="s">
        <v>17000</v>
      </c>
      <c r="G1504" s="2" t="s">
        <v>17001</v>
      </c>
      <c r="H1504" s="2" t="s">
        <v>17002</v>
      </c>
      <c r="I1504" s="2" t="s">
        <v>17003</v>
      </c>
      <c r="J1504" s="2" t="s">
        <v>17004</v>
      </c>
      <c r="K1504" s="2" t="s">
        <v>17005</v>
      </c>
      <c r="L1504" s="2" t="s">
        <v>17006</v>
      </c>
      <c r="M1504" s="2" t="s">
        <v>17007</v>
      </c>
      <c r="N1504" s="2" t="s">
        <v>17008</v>
      </c>
      <c r="O1504" s="2" t="s">
        <v>17009</v>
      </c>
      <c r="P1504" s="2" t="s">
        <v>16996</v>
      </c>
    </row>
    <row r="1505" spans="1:16">
      <c r="A1505" s="1">
        <v>1504</v>
      </c>
      <c r="B1505" s="2" t="s">
        <v>22893</v>
      </c>
      <c r="C1505" s="2" t="s">
        <v>17011</v>
      </c>
      <c r="D1505" s="2" t="s">
        <v>17012</v>
      </c>
      <c r="E1505" s="2" t="s">
        <v>17013</v>
      </c>
      <c r="F1505" s="2" t="s">
        <v>17014</v>
      </c>
      <c r="G1505" s="2" t="s">
        <v>17015</v>
      </c>
      <c r="H1505" s="2" t="s">
        <v>17016</v>
      </c>
      <c r="I1505" s="2" t="s">
        <v>17017</v>
      </c>
      <c r="J1505" s="2" t="s">
        <v>17018</v>
      </c>
      <c r="K1505" s="2" t="s">
        <v>17019</v>
      </c>
      <c r="L1505" s="2" t="s">
        <v>17020</v>
      </c>
      <c r="M1505" s="2" t="s">
        <v>17021</v>
      </c>
      <c r="N1505" s="2" t="s">
        <v>17022</v>
      </c>
      <c r="O1505" s="2" t="s">
        <v>17023</v>
      </c>
      <c r="P1505" s="2" t="s">
        <v>17010</v>
      </c>
    </row>
    <row r="1506" spans="1:16">
      <c r="A1506" s="1">
        <v>1505</v>
      </c>
      <c r="B1506" s="2" t="s">
        <v>17024</v>
      </c>
      <c r="C1506" s="2" t="s">
        <v>17025</v>
      </c>
      <c r="D1506" s="2" t="s">
        <v>17026</v>
      </c>
      <c r="E1506" s="2" t="s">
        <v>17027</v>
      </c>
      <c r="F1506" s="2" t="s">
        <v>17028</v>
      </c>
      <c r="G1506" s="2" t="s">
        <v>17029</v>
      </c>
      <c r="H1506" s="2" t="s">
        <v>17030</v>
      </c>
      <c r="I1506" s="2" t="s">
        <v>17031</v>
      </c>
      <c r="J1506" s="2" t="s">
        <v>17032</v>
      </c>
      <c r="K1506" s="2" t="s">
        <v>17033</v>
      </c>
      <c r="L1506" s="2" t="s">
        <v>17034</v>
      </c>
      <c r="M1506" s="2" t="s">
        <v>17035</v>
      </c>
      <c r="N1506" s="2" t="s">
        <v>17036</v>
      </c>
      <c r="O1506" s="2" t="s">
        <v>17037</v>
      </c>
      <c r="P1506" s="2" t="s">
        <v>17024</v>
      </c>
    </row>
    <row r="1507" spans="1:16">
      <c r="A1507" s="1">
        <v>1506</v>
      </c>
      <c r="B1507" s="2" t="s">
        <v>17038</v>
      </c>
      <c r="C1507" s="2" t="s">
        <v>17039</v>
      </c>
      <c r="D1507" s="2" t="s">
        <v>17040</v>
      </c>
      <c r="E1507" s="2" t="s">
        <v>17041</v>
      </c>
      <c r="F1507" s="2" t="s">
        <v>17042</v>
      </c>
      <c r="G1507" s="2" t="s">
        <v>17043</v>
      </c>
      <c r="H1507" s="2" t="s">
        <v>17044</v>
      </c>
      <c r="I1507" s="2" t="s">
        <v>17045</v>
      </c>
      <c r="J1507" s="2" t="s">
        <v>17046</v>
      </c>
      <c r="K1507" s="2" t="s">
        <v>17047</v>
      </c>
      <c r="L1507" s="2" t="s">
        <v>17048</v>
      </c>
      <c r="M1507" s="2" t="s">
        <v>17049</v>
      </c>
      <c r="N1507" s="2" t="s">
        <v>17050</v>
      </c>
      <c r="O1507" s="2" t="s">
        <v>17051</v>
      </c>
      <c r="P1507" s="2" t="s">
        <v>17038</v>
      </c>
    </row>
    <row r="1508" spans="1:16">
      <c r="A1508" s="1">
        <v>1507</v>
      </c>
      <c r="B1508" s="2" t="s">
        <v>17052</v>
      </c>
      <c r="C1508" s="2" t="s">
        <v>17053</v>
      </c>
      <c r="D1508" s="2" t="s">
        <v>17054</v>
      </c>
      <c r="E1508" s="2" t="s">
        <v>17055</v>
      </c>
      <c r="F1508" s="2" t="s">
        <v>17056</v>
      </c>
      <c r="G1508" s="2" t="s">
        <v>17057</v>
      </c>
      <c r="H1508" s="2" t="s">
        <v>17058</v>
      </c>
      <c r="I1508" s="2" t="s">
        <v>17059</v>
      </c>
      <c r="J1508" s="2" t="s">
        <v>17060</v>
      </c>
      <c r="K1508" s="2" t="s">
        <v>17061</v>
      </c>
      <c r="L1508" s="2" t="s">
        <v>17062</v>
      </c>
      <c r="M1508" s="2" t="s">
        <v>17063</v>
      </c>
      <c r="N1508" s="2" t="s">
        <v>17064</v>
      </c>
      <c r="O1508" s="2" t="s">
        <v>17065</v>
      </c>
      <c r="P1508" s="2" t="s">
        <v>17052</v>
      </c>
    </row>
    <row r="1509" spans="1:16">
      <c r="A1509" s="1">
        <v>1508</v>
      </c>
      <c r="B1509" s="2" t="s">
        <v>17066</v>
      </c>
      <c r="C1509" s="2" t="s">
        <v>17067</v>
      </c>
      <c r="D1509" s="2" t="s">
        <v>17068</v>
      </c>
      <c r="E1509" s="2" t="s">
        <v>17069</v>
      </c>
      <c r="F1509" s="2" t="s">
        <v>17070</v>
      </c>
      <c r="G1509" s="2" t="s">
        <v>17071</v>
      </c>
      <c r="H1509" s="2" t="s">
        <v>17072</v>
      </c>
      <c r="I1509" s="2" t="s">
        <v>17073</v>
      </c>
      <c r="J1509" s="2" t="s">
        <v>17074</v>
      </c>
      <c r="K1509" s="2" t="s">
        <v>17075</v>
      </c>
      <c r="L1509" s="2" t="s">
        <v>17076</v>
      </c>
      <c r="M1509" s="2" t="s">
        <v>17077</v>
      </c>
      <c r="N1509" s="2" t="s">
        <v>17078</v>
      </c>
      <c r="O1509" s="2" t="s">
        <v>17079</v>
      </c>
      <c r="P1509" s="2" t="s">
        <v>17066</v>
      </c>
    </row>
    <row r="1510" spans="1:16">
      <c r="A1510" s="1">
        <v>1509</v>
      </c>
      <c r="B1510" s="2" t="s">
        <v>17080</v>
      </c>
      <c r="C1510" s="2" t="s">
        <v>17081</v>
      </c>
      <c r="D1510" s="2" t="s">
        <v>17082</v>
      </c>
      <c r="E1510" s="2" t="s">
        <v>17083</v>
      </c>
      <c r="F1510" s="2" t="s">
        <v>17084</v>
      </c>
      <c r="G1510" s="2" t="s">
        <v>17085</v>
      </c>
      <c r="H1510" s="2" t="s">
        <v>17086</v>
      </c>
      <c r="I1510" s="2" t="s">
        <v>17087</v>
      </c>
      <c r="J1510" s="2" t="s">
        <v>17088</v>
      </c>
      <c r="K1510" s="2" t="s">
        <v>2075</v>
      </c>
      <c r="L1510" s="2" t="s">
        <v>17089</v>
      </c>
      <c r="M1510" s="2" t="s">
        <v>17090</v>
      </c>
      <c r="N1510" s="2" t="s">
        <v>17090</v>
      </c>
      <c r="O1510" s="2" t="s">
        <v>2075</v>
      </c>
      <c r="P1510" s="2" t="s">
        <v>17080</v>
      </c>
    </row>
    <row r="1511" spans="1:16">
      <c r="A1511" s="1">
        <v>1510</v>
      </c>
      <c r="B1511" s="2" t="s">
        <v>17091</v>
      </c>
      <c r="C1511" s="2" t="s">
        <v>17092</v>
      </c>
      <c r="D1511" s="2" t="s">
        <v>17093</v>
      </c>
      <c r="E1511" s="2" t="s">
        <v>17094</v>
      </c>
      <c r="F1511" s="2" t="s">
        <v>17095</v>
      </c>
      <c r="G1511" s="2" t="s">
        <v>17096</v>
      </c>
      <c r="H1511" s="2" t="s">
        <v>17097</v>
      </c>
      <c r="I1511" s="2" t="s">
        <v>17098</v>
      </c>
      <c r="J1511" s="2" t="s">
        <v>17099</v>
      </c>
      <c r="K1511" s="2" t="s">
        <v>17100</v>
      </c>
      <c r="L1511" s="2" t="s">
        <v>17101</v>
      </c>
      <c r="M1511" s="2" t="s">
        <v>17102</v>
      </c>
      <c r="N1511" s="2" t="s">
        <v>17102</v>
      </c>
      <c r="O1511" s="2" t="s">
        <v>17103</v>
      </c>
      <c r="P1511" s="2" t="s">
        <v>17091</v>
      </c>
    </row>
    <row r="1512" spans="1:16">
      <c r="A1512" s="1">
        <v>1511</v>
      </c>
      <c r="B1512" s="2" t="s">
        <v>17104</v>
      </c>
      <c r="C1512" s="2" t="s">
        <v>17105</v>
      </c>
      <c r="D1512" s="2" t="s">
        <v>17105</v>
      </c>
      <c r="E1512" s="2" t="s">
        <v>7896</v>
      </c>
      <c r="F1512" s="2" t="s">
        <v>17106</v>
      </c>
      <c r="G1512" s="2" t="s">
        <v>17107</v>
      </c>
      <c r="H1512" s="2" t="s">
        <v>17108</v>
      </c>
      <c r="I1512" s="2" t="s">
        <v>17109</v>
      </c>
      <c r="J1512" s="2" t="s">
        <v>17110</v>
      </c>
      <c r="K1512" s="2" t="s">
        <v>17111</v>
      </c>
      <c r="L1512" s="2" t="s">
        <v>17112</v>
      </c>
      <c r="M1512" s="2" t="s">
        <v>17113</v>
      </c>
      <c r="N1512" s="2" t="s">
        <v>17114</v>
      </c>
      <c r="O1512" s="2" t="s">
        <v>17111</v>
      </c>
      <c r="P1512" s="2" t="s">
        <v>17104</v>
      </c>
    </row>
    <row r="1513" spans="1:16" ht="16.5">
      <c r="A1513" s="1">
        <v>1512</v>
      </c>
      <c r="B1513" s="2" t="s">
        <v>17115</v>
      </c>
      <c r="C1513" s="2" t="s">
        <v>6945</v>
      </c>
      <c r="D1513" s="2" t="s">
        <v>17116</v>
      </c>
      <c r="E1513" s="2" t="s">
        <v>6945</v>
      </c>
      <c r="F1513" s="2" t="s">
        <v>6946</v>
      </c>
      <c r="G1513" s="2" t="s">
        <v>6945</v>
      </c>
      <c r="H1513" s="2" t="s">
        <v>6948</v>
      </c>
      <c r="I1513" s="2" t="s">
        <v>6946</v>
      </c>
      <c r="J1513" s="2" t="s">
        <v>25019</v>
      </c>
      <c r="K1513" s="2" t="s">
        <v>6950</v>
      </c>
      <c r="L1513" s="2" t="s">
        <v>6951</v>
      </c>
      <c r="M1513" s="2" t="s">
        <v>6952</v>
      </c>
      <c r="N1513" s="2" t="s">
        <v>6953</v>
      </c>
      <c r="O1513" s="2" t="s">
        <v>17117</v>
      </c>
      <c r="P1513" s="2" t="s">
        <v>17115</v>
      </c>
    </row>
    <row r="1514" spans="1:16">
      <c r="A1514" s="1">
        <v>1513</v>
      </c>
      <c r="B1514" s="2" t="s">
        <v>17118</v>
      </c>
      <c r="C1514" s="2" t="s">
        <v>17119</v>
      </c>
      <c r="D1514" s="2" t="s">
        <v>17120</v>
      </c>
      <c r="E1514" s="2" t="s">
        <v>17121</v>
      </c>
      <c r="F1514" s="2" t="s">
        <v>17122</v>
      </c>
      <c r="G1514" s="2" t="s">
        <v>17123</v>
      </c>
      <c r="H1514" s="2" t="s">
        <v>17124</v>
      </c>
      <c r="I1514" s="2" t="s">
        <v>17125</v>
      </c>
      <c r="J1514" s="2" t="s">
        <v>17126</v>
      </c>
      <c r="K1514" s="2" t="s">
        <v>17127</v>
      </c>
      <c r="L1514" s="2" t="s">
        <v>17128</v>
      </c>
      <c r="M1514" s="2" t="s">
        <v>17129</v>
      </c>
      <c r="N1514" s="2" t="s">
        <v>17130</v>
      </c>
      <c r="O1514" s="2" t="s">
        <v>17131</v>
      </c>
      <c r="P1514" s="2" t="s">
        <v>17118</v>
      </c>
    </row>
    <row r="1515" spans="1:16">
      <c r="A1515" s="1">
        <v>1514</v>
      </c>
      <c r="B1515" s="2" t="s">
        <v>17132</v>
      </c>
      <c r="C1515" s="2" t="s">
        <v>17133</v>
      </c>
      <c r="D1515" s="2" t="s">
        <v>17134</v>
      </c>
      <c r="E1515" s="2" t="s">
        <v>17135</v>
      </c>
      <c r="F1515" s="2" t="s">
        <v>17136</v>
      </c>
      <c r="G1515" s="2" t="s">
        <v>17137</v>
      </c>
      <c r="H1515" s="2" t="s">
        <v>17138</v>
      </c>
      <c r="I1515" s="2" t="s">
        <v>17139</v>
      </c>
      <c r="J1515" s="2" t="s">
        <v>17140</v>
      </c>
      <c r="K1515" s="2" t="s">
        <v>17141</v>
      </c>
      <c r="L1515" s="2" t="s">
        <v>17142</v>
      </c>
      <c r="M1515" s="2" t="s">
        <v>17143</v>
      </c>
      <c r="N1515" s="2" t="s">
        <v>17144</v>
      </c>
      <c r="O1515" s="2" t="s">
        <v>17145</v>
      </c>
      <c r="P1515" s="2" t="s">
        <v>17132</v>
      </c>
    </row>
    <row r="1516" spans="1:16">
      <c r="A1516" s="1">
        <v>1515</v>
      </c>
      <c r="B1516" s="2" t="s">
        <v>17146</v>
      </c>
      <c r="C1516" s="2" t="s">
        <v>17147</v>
      </c>
      <c r="D1516" s="2" t="s">
        <v>17148</v>
      </c>
      <c r="E1516" s="2" t="s">
        <v>17149</v>
      </c>
      <c r="F1516" s="2" t="s">
        <v>17150</v>
      </c>
      <c r="G1516" s="2" t="s">
        <v>17151</v>
      </c>
      <c r="H1516" s="2" t="s">
        <v>17152</v>
      </c>
      <c r="I1516" s="2" t="s">
        <v>17153</v>
      </c>
      <c r="J1516" s="2" t="s">
        <v>17154</v>
      </c>
      <c r="K1516" s="2" t="s">
        <v>17155</v>
      </c>
      <c r="L1516" s="2" t="s">
        <v>17156</v>
      </c>
      <c r="M1516" s="2" t="s">
        <v>17157</v>
      </c>
      <c r="N1516" s="2" t="s">
        <v>17158</v>
      </c>
      <c r="O1516" s="2" t="s">
        <v>17159</v>
      </c>
      <c r="P1516" s="2" t="s">
        <v>17146</v>
      </c>
    </row>
    <row r="1517" spans="1:16">
      <c r="A1517" s="1">
        <v>1516</v>
      </c>
      <c r="B1517" s="2" t="s">
        <v>22894</v>
      </c>
      <c r="C1517" s="2" t="s">
        <v>17161</v>
      </c>
      <c r="D1517" s="2" t="s">
        <v>17162</v>
      </c>
      <c r="E1517" s="2" t="s">
        <v>17163</v>
      </c>
      <c r="F1517" s="2" t="s">
        <v>17164</v>
      </c>
      <c r="G1517" s="2" t="s">
        <v>17165</v>
      </c>
      <c r="H1517" s="2" t="s">
        <v>17166</v>
      </c>
      <c r="I1517" s="2" t="s">
        <v>17167</v>
      </c>
      <c r="J1517" s="2" t="s">
        <v>17168</v>
      </c>
      <c r="K1517" s="2" t="s">
        <v>17169</v>
      </c>
      <c r="L1517" s="2" t="s">
        <v>17170</v>
      </c>
      <c r="M1517" s="2" t="s">
        <v>17171</v>
      </c>
      <c r="N1517" s="2" t="s">
        <v>17172</v>
      </c>
      <c r="O1517" s="2" t="s">
        <v>17173</v>
      </c>
      <c r="P1517" s="2" t="s">
        <v>17160</v>
      </c>
    </row>
    <row r="1518" spans="1:16">
      <c r="A1518" s="1">
        <v>1517</v>
      </c>
      <c r="B1518" s="2" t="s">
        <v>17174</v>
      </c>
      <c r="C1518" s="2" t="s">
        <v>17175</v>
      </c>
      <c r="D1518" s="2" t="s">
        <v>17176</v>
      </c>
      <c r="E1518" s="2" t="s">
        <v>17177</v>
      </c>
      <c r="F1518" s="2" t="s">
        <v>7406</v>
      </c>
      <c r="G1518" s="2" t="s">
        <v>17178</v>
      </c>
      <c r="H1518" s="2" t="s">
        <v>17179</v>
      </c>
      <c r="I1518" s="2" t="s">
        <v>17180</v>
      </c>
      <c r="J1518" s="2" t="s">
        <v>17181</v>
      </c>
      <c r="K1518" s="2" t="s">
        <v>17182</v>
      </c>
      <c r="L1518" s="2" t="s">
        <v>17183</v>
      </c>
      <c r="M1518" s="2" t="s">
        <v>17184</v>
      </c>
      <c r="N1518" s="2" t="s">
        <v>17185</v>
      </c>
      <c r="O1518" s="2" t="s">
        <v>17186</v>
      </c>
      <c r="P1518" s="2" t="s">
        <v>17174</v>
      </c>
    </row>
    <row r="1519" spans="1:16">
      <c r="A1519" s="1">
        <v>1518</v>
      </c>
      <c r="B1519" s="2" t="s">
        <v>22895</v>
      </c>
      <c r="C1519" s="2" t="s">
        <v>17188</v>
      </c>
      <c r="D1519" s="2" t="s">
        <v>17189</v>
      </c>
      <c r="E1519" s="2" t="s">
        <v>17190</v>
      </c>
      <c r="F1519" s="2" t="s">
        <v>15109</v>
      </c>
      <c r="G1519" s="2" t="s">
        <v>17191</v>
      </c>
      <c r="H1519" s="2" t="s">
        <v>17192</v>
      </c>
      <c r="I1519" s="2" t="s">
        <v>17193</v>
      </c>
      <c r="J1519" s="2" t="s">
        <v>17194</v>
      </c>
      <c r="K1519" s="2" t="s">
        <v>17195</v>
      </c>
      <c r="L1519" s="2" t="s">
        <v>17196</v>
      </c>
      <c r="M1519" s="2" t="s">
        <v>17197</v>
      </c>
      <c r="N1519" s="2" t="s">
        <v>17198</v>
      </c>
      <c r="O1519" s="2" t="s">
        <v>17199</v>
      </c>
      <c r="P1519" s="2" t="s">
        <v>17187</v>
      </c>
    </row>
    <row r="1520" spans="1:16">
      <c r="A1520" s="1">
        <v>1519</v>
      </c>
      <c r="B1520" s="2" t="s">
        <v>17200</v>
      </c>
      <c r="C1520" s="2" t="s">
        <v>17201</v>
      </c>
      <c r="D1520" s="2" t="s">
        <v>17202</v>
      </c>
      <c r="E1520" s="2" t="s">
        <v>17203</v>
      </c>
      <c r="F1520" s="2" t="s">
        <v>17204</v>
      </c>
      <c r="G1520" s="2" t="s">
        <v>17205</v>
      </c>
      <c r="H1520" s="2" t="s">
        <v>17206</v>
      </c>
      <c r="I1520" s="2" t="s">
        <v>17207</v>
      </c>
      <c r="J1520" s="2" t="s">
        <v>17208</v>
      </c>
      <c r="K1520" s="2" t="s">
        <v>17209</v>
      </c>
      <c r="L1520" s="2" t="s">
        <v>17210</v>
      </c>
      <c r="M1520" s="2" t="s">
        <v>17211</v>
      </c>
      <c r="N1520" s="2" t="s">
        <v>17212</v>
      </c>
      <c r="O1520" s="2" t="s">
        <v>17213</v>
      </c>
      <c r="P1520" s="2" t="s">
        <v>17200</v>
      </c>
    </row>
    <row r="1521" spans="1:16">
      <c r="A1521" s="1">
        <v>1520</v>
      </c>
      <c r="B1521" s="2" t="s">
        <v>17214</v>
      </c>
      <c r="C1521" s="2" t="s">
        <v>17215</v>
      </c>
      <c r="D1521" s="2" t="s">
        <v>22896</v>
      </c>
      <c r="E1521" s="2" t="s">
        <v>17216</v>
      </c>
      <c r="F1521" s="2" t="s">
        <v>17217</v>
      </c>
      <c r="G1521" s="2" t="s">
        <v>17218</v>
      </c>
      <c r="H1521" s="2" t="s">
        <v>17219</v>
      </c>
      <c r="I1521" s="2" t="s">
        <v>17220</v>
      </c>
      <c r="J1521" s="2" t="s">
        <v>17221</v>
      </c>
      <c r="K1521" s="2" t="s">
        <v>17222</v>
      </c>
      <c r="L1521" s="2" t="s">
        <v>17223</v>
      </c>
      <c r="M1521" s="2" t="s">
        <v>17224</v>
      </c>
      <c r="N1521" s="2" t="s">
        <v>17225</v>
      </c>
      <c r="O1521" s="2" t="s">
        <v>17226</v>
      </c>
      <c r="P1521" s="2" t="s">
        <v>17214</v>
      </c>
    </row>
    <row r="1522" spans="1:16">
      <c r="A1522" s="1">
        <v>1521</v>
      </c>
      <c r="B1522" s="2" t="s">
        <v>17227</v>
      </c>
      <c r="C1522" s="2" t="s">
        <v>17228</v>
      </c>
      <c r="D1522" s="2" t="s">
        <v>17229</v>
      </c>
      <c r="E1522" s="2" t="s">
        <v>17230</v>
      </c>
      <c r="F1522" s="2" t="s">
        <v>17231</v>
      </c>
      <c r="G1522" s="2" t="s">
        <v>17232</v>
      </c>
      <c r="H1522" s="2" t="s">
        <v>17233</v>
      </c>
      <c r="I1522" s="2" t="s">
        <v>17234</v>
      </c>
      <c r="J1522" s="2" t="s">
        <v>17235</v>
      </c>
      <c r="K1522" s="2" t="s">
        <v>17236</v>
      </c>
      <c r="L1522" s="2" t="s">
        <v>17237</v>
      </c>
      <c r="M1522" s="2" t="s">
        <v>17238</v>
      </c>
      <c r="N1522" s="2" t="s">
        <v>17239</v>
      </c>
      <c r="O1522" s="2" t="s">
        <v>17240</v>
      </c>
      <c r="P1522" s="2" t="s">
        <v>17227</v>
      </c>
    </row>
    <row r="1523" spans="1:16">
      <c r="A1523" s="1">
        <v>1522</v>
      </c>
      <c r="B1523" s="2" t="s">
        <v>22897</v>
      </c>
      <c r="C1523" s="2" t="s">
        <v>17242</v>
      </c>
      <c r="D1523" s="2" t="s">
        <v>17243</v>
      </c>
      <c r="E1523" s="2" t="s">
        <v>25772</v>
      </c>
      <c r="F1523" s="2" t="s">
        <v>17244</v>
      </c>
      <c r="G1523" s="2" t="s">
        <v>17245</v>
      </c>
      <c r="H1523" s="2" t="s">
        <v>17246</v>
      </c>
      <c r="I1523" s="2" t="s">
        <v>17247</v>
      </c>
      <c r="J1523" s="2" t="s">
        <v>17248</v>
      </c>
      <c r="K1523" s="2" t="s">
        <v>17249</v>
      </c>
      <c r="L1523" s="2" t="s">
        <v>17250</v>
      </c>
      <c r="M1523" s="2" t="s">
        <v>17251</v>
      </c>
      <c r="N1523" s="2" t="s">
        <v>17252</v>
      </c>
      <c r="O1523" s="2" t="s">
        <v>17253</v>
      </c>
      <c r="P1523" s="2" t="s">
        <v>17241</v>
      </c>
    </row>
    <row r="1524" spans="1:16">
      <c r="A1524" s="1">
        <v>1523</v>
      </c>
      <c r="B1524" s="2" t="s">
        <v>17254</v>
      </c>
      <c r="C1524" s="2" t="s">
        <v>17255</v>
      </c>
      <c r="D1524" s="2" t="s">
        <v>17256</v>
      </c>
      <c r="E1524" s="2" t="s">
        <v>17257</v>
      </c>
      <c r="F1524" s="2" t="s">
        <v>15449</v>
      </c>
      <c r="G1524" s="2" t="s">
        <v>17258</v>
      </c>
      <c r="H1524" s="2" t="s">
        <v>17259</v>
      </c>
      <c r="I1524" s="2" t="s">
        <v>17260</v>
      </c>
      <c r="J1524" s="2" t="s">
        <v>17261</v>
      </c>
      <c r="K1524" s="2" t="s">
        <v>17262</v>
      </c>
      <c r="L1524" s="2" t="s">
        <v>17263</v>
      </c>
      <c r="M1524" s="2" t="s">
        <v>17264</v>
      </c>
      <c r="N1524" s="2" t="s">
        <v>17265</v>
      </c>
      <c r="O1524" s="2" t="s">
        <v>17266</v>
      </c>
      <c r="P1524" s="2" t="s">
        <v>17254</v>
      </c>
    </row>
    <row r="1525" spans="1:16">
      <c r="A1525" s="1">
        <v>1524</v>
      </c>
      <c r="B1525" s="2" t="s">
        <v>17267</v>
      </c>
      <c r="C1525" s="2" t="s">
        <v>17268</v>
      </c>
      <c r="D1525" s="2" t="s">
        <v>17269</v>
      </c>
      <c r="E1525" s="2" t="s">
        <v>17270</v>
      </c>
      <c r="F1525" s="2" t="s">
        <v>17271</v>
      </c>
      <c r="G1525" s="2" t="s">
        <v>17272</v>
      </c>
      <c r="H1525" s="2" t="s">
        <v>17273</v>
      </c>
      <c r="I1525" s="2" t="s">
        <v>17274</v>
      </c>
      <c r="J1525" s="2" t="s">
        <v>17275</v>
      </c>
      <c r="K1525" s="2" t="s">
        <v>17276</v>
      </c>
      <c r="L1525" s="2" t="s">
        <v>17277</v>
      </c>
      <c r="M1525" s="2" t="s">
        <v>17278</v>
      </c>
      <c r="N1525" s="2" t="s">
        <v>17279</v>
      </c>
      <c r="O1525" s="2" t="s">
        <v>1386</v>
      </c>
      <c r="P1525" s="2" t="s">
        <v>17267</v>
      </c>
    </row>
    <row r="1526" spans="1:16">
      <c r="A1526" s="1">
        <v>1525</v>
      </c>
      <c r="B1526" s="2" t="s">
        <v>17280</v>
      </c>
      <c r="C1526" s="2" t="s">
        <v>17281</v>
      </c>
      <c r="D1526" s="2" t="s">
        <v>17282</v>
      </c>
      <c r="E1526" s="2" t="s">
        <v>17283</v>
      </c>
      <c r="F1526" s="2" t="s">
        <v>17284</v>
      </c>
      <c r="G1526" s="2" t="s">
        <v>17285</v>
      </c>
      <c r="H1526" s="2" t="s">
        <v>17286</v>
      </c>
      <c r="I1526" s="2" t="s">
        <v>17287</v>
      </c>
      <c r="J1526" s="2" t="s">
        <v>17288</v>
      </c>
      <c r="K1526" s="2" t="s">
        <v>17289</v>
      </c>
      <c r="L1526" s="2" t="s">
        <v>17290</v>
      </c>
      <c r="M1526" s="2" t="s">
        <v>4600</v>
      </c>
      <c r="N1526" s="2" t="s">
        <v>17291</v>
      </c>
      <c r="O1526" s="2" t="s">
        <v>17292</v>
      </c>
      <c r="P1526" s="2" t="s">
        <v>17280</v>
      </c>
    </row>
    <row r="1527" spans="1:16">
      <c r="A1527" s="1">
        <v>1526</v>
      </c>
      <c r="B1527" s="2" t="s">
        <v>17293</v>
      </c>
      <c r="C1527" s="2" t="s">
        <v>17294</v>
      </c>
      <c r="D1527" s="2" t="s">
        <v>17295</v>
      </c>
      <c r="E1527" s="2" t="s">
        <v>17296</v>
      </c>
      <c r="F1527" s="2" t="s">
        <v>17297</v>
      </c>
      <c r="G1527" s="2" t="s">
        <v>17298</v>
      </c>
      <c r="H1527" s="2" t="s">
        <v>17299</v>
      </c>
      <c r="I1527" s="2" t="s">
        <v>17300</v>
      </c>
      <c r="J1527" s="2" t="s">
        <v>17301</v>
      </c>
      <c r="K1527" s="2" t="s">
        <v>17302</v>
      </c>
      <c r="L1527" s="2" t="s">
        <v>17303</v>
      </c>
      <c r="M1527" s="2" t="s">
        <v>17304</v>
      </c>
      <c r="N1527" s="2" t="s">
        <v>17305</v>
      </c>
      <c r="O1527" s="2" t="s">
        <v>17306</v>
      </c>
      <c r="P1527" s="2" t="s">
        <v>17293</v>
      </c>
    </row>
    <row r="1528" spans="1:16">
      <c r="A1528" s="1">
        <v>1527</v>
      </c>
      <c r="B1528" s="2" t="s">
        <v>17307</v>
      </c>
      <c r="C1528" s="2" t="s">
        <v>17308</v>
      </c>
      <c r="D1528" s="2" t="s">
        <v>17309</v>
      </c>
      <c r="E1528" s="2" t="s">
        <v>17310</v>
      </c>
      <c r="F1528" s="2" t="s">
        <v>17311</v>
      </c>
      <c r="G1528" s="2" t="s">
        <v>17312</v>
      </c>
      <c r="H1528" s="2" t="s">
        <v>17313</v>
      </c>
      <c r="I1528" s="2" t="s">
        <v>17314</v>
      </c>
      <c r="J1528" s="2" t="s">
        <v>17315</v>
      </c>
      <c r="K1528" s="2" t="s">
        <v>17316</v>
      </c>
      <c r="L1528" s="2" t="s">
        <v>17317</v>
      </c>
      <c r="M1528" s="2" t="s">
        <v>17318</v>
      </c>
      <c r="N1528" s="2" t="s">
        <v>17319</v>
      </c>
      <c r="O1528" s="2" t="s">
        <v>17320</v>
      </c>
      <c r="P1528" s="2" t="s">
        <v>17307</v>
      </c>
    </row>
    <row r="1529" spans="1:16">
      <c r="A1529" s="1">
        <v>1528</v>
      </c>
      <c r="B1529" s="2" t="s">
        <v>17321</v>
      </c>
      <c r="C1529" s="2" t="s">
        <v>17322</v>
      </c>
      <c r="D1529" s="2" t="s">
        <v>17323</v>
      </c>
      <c r="E1529" s="2" t="s">
        <v>17324</v>
      </c>
      <c r="F1529" s="2" t="s">
        <v>17325</v>
      </c>
      <c r="G1529" s="2" t="s">
        <v>17326</v>
      </c>
      <c r="H1529" s="2" t="s">
        <v>17327</v>
      </c>
      <c r="I1529" s="2" t="s">
        <v>17328</v>
      </c>
      <c r="J1529" s="2" t="s">
        <v>17329</v>
      </c>
      <c r="K1529" s="2" t="s">
        <v>17330</v>
      </c>
      <c r="L1529" s="2" t="s">
        <v>17331</v>
      </c>
      <c r="M1529" s="2" t="s">
        <v>17332</v>
      </c>
      <c r="N1529" s="2" t="s">
        <v>17333</v>
      </c>
      <c r="O1529" s="2" t="s">
        <v>17334</v>
      </c>
      <c r="P1529" s="2" t="s">
        <v>17321</v>
      </c>
    </row>
    <row r="1530" spans="1:16">
      <c r="A1530" s="1">
        <v>1529</v>
      </c>
      <c r="B1530" s="2" t="s">
        <v>22897</v>
      </c>
      <c r="C1530" s="2" t="s">
        <v>17242</v>
      </c>
      <c r="D1530" s="2" t="s">
        <v>17243</v>
      </c>
      <c r="E1530" s="2" t="s">
        <v>25772</v>
      </c>
      <c r="F1530" s="2" t="s">
        <v>17244</v>
      </c>
      <c r="G1530" s="2" t="s">
        <v>17245</v>
      </c>
      <c r="H1530" s="2" t="s">
        <v>17246</v>
      </c>
      <c r="I1530" s="2" t="s">
        <v>17247</v>
      </c>
      <c r="J1530" s="2" t="s">
        <v>17248</v>
      </c>
      <c r="K1530" s="2" t="s">
        <v>17249</v>
      </c>
      <c r="L1530" s="2" t="s">
        <v>17250</v>
      </c>
      <c r="M1530" s="2" t="s">
        <v>17251</v>
      </c>
      <c r="N1530" s="2" t="s">
        <v>17252</v>
      </c>
      <c r="O1530" s="2" t="s">
        <v>17253</v>
      </c>
      <c r="P1530" s="2" t="s">
        <v>17241</v>
      </c>
    </row>
    <row r="1531" spans="1:16">
      <c r="A1531" s="1">
        <v>1530</v>
      </c>
      <c r="B1531" s="2" t="s">
        <v>17335</v>
      </c>
      <c r="C1531" s="2" t="s">
        <v>17335</v>
      </c>
      <c r="D1531" s="2" t="s">
        <v>17335</v>
      </c>
      <c r="E1531" s="2" t="s">
        <v>17336</v>
      </c>
      <c r="F1531" s="2" t="s">
        <v>17337</v>
      </c>
      <c r="G1531" s="2" t="s">
        <v>17336</v>
      </c>
      <c r="H1531" s="2" t="s">
        <v>17335</v>
      </c>
      <c r="I1531" s="2" t="s">
        <v>17336</v>
      </c>
      <c r="J1531" s="2" t="s">
        <v>17336</v>
      </c>
      <c r="K1531" s="2" t="s">
        <v>17336</v>
      </c>
      <c r="L1531" s="2" t="s">
        <v>17336</v>
      </c>
      <c r="M1531" s="2" t="s">
        <v>17335</v>
      </c>
      <c r="N1531" s="2" t="s">
        <v>17336</v>
      </c>
      <c r="O1531" s="2" t="s">
        <v>17335</v>
      </c>
      <c r="P1531" s="2" t="s">
        <v>17335</v>
      </c>
    </row>
    <row r="1532" spans="1:16">
      <c r="A1532" s="1">
        <v>1531</v>
      </c>
      <c r="B1532" s="2" t="s">
        <v>17338</v>
      </c>
      <c r="C1532" s="2" t="s">
        <v>17338</v>
      </c>
      <c r="D1532" s="2" t="s">
        <v>17338</v>
      </c>
      <c r="E1532" s="2" t="s">
        <v>17339</v>
      </c>
      <c r="F1532" s="2" t="s">
        <v>17340</v>
      </c>
      <c r="G1532" s="2" t="s">
        <v>17339</v>
      </c>
      <c r="H1532" s="2" t="s">
        <v>17338</v>
      </c>
      <c r="I1532" s="2" t="s">
        <v>17339</v>
      </c>
      <c r="J1532" s="2" t="s">
        <v>17339</v>
      </c>
      <c r="K1532" s="2" t="s">
        <v>17339</v>
      </c>
      <c r="L1532" s="2" t="s">
        <v>17339</v>
      </c>
      <c r="M1532" s="2" t="s">
        <v>17338</v>
      </c>
      <c r="N1532" s="2" t="s">
        <v>17339</v>
      </c>
      <c r="O1532" s="2" t="s">
        <v>17338</v>
      </c>
      <c r="P1532" s="2" t="s">
        <v>17338</v>
      </c>
    </row>
    <row r="1533" spans="1:16">
      <c r="A1533" s="1">
        <v>1532</v>
      </c>
      <c r="B1533" s="2" t="s">
        <v>17341</v>
      </c>
      <c r="C1533" s="2" t="s">
        <v>17341</v>
      </c>
      <c r="D1533" s="2" t="s">
        <v>17341</v>
      </c>
      <c r="E1533" s="2" t="s">
        <v>17342</v>
      </c>
      <c r="F1533" s="2" t="s">
        <v>17343</v>
      </c>
      <c r="G1533" s="2" t="s">
        <v>17342</v>
      </c>
      <c r="H1533" s="2" t="s">
        <v>17341</v>
      </c>
      <c r="I1533" s="2" t="s">
        <v>17342</v>
      </c>
      <c r="J1533" s="2" t="s">
        <v>17342</v>
      </c>
      <c r="K1533" s="2" t="s">
        <v>17342</v>
      </c>
      <c r="L1533" s="2" t="s">
        <v>17342</v>
      </c>
      <c r="M1533" s="2" t="s">
        <v>17341</v>
      </c>
      <c r="N1533" s="2" t="s">
        <v>17342</v>
      </c>
      <c r="O1533" s="2" t="s">
        <v>17341</v>
      </c>
      <c r="P1533" s="2" t="s">
        <v>17341</v>
      </c>
    </row>
    <row r="1534" spans="1:16">
      <c r="A1534" s="1">
        <v>1533</v>
      </c>
      <c r="B1534" s="2" t="s">
        <v>17344</v>
      </c>
      <c r="C1534" s="2" t="s">
        <v>17344</v>
      </c>
      <c r="D1534" s="2" t="s">
        <v>17344</v>
      </c>
      <c r="E1534" s="2" t="s">
        <v>17345</v>
      </c>
      <c r="F1534" s="2" t="s">
        <v>17346</v>
      </c>
      <c r="G1534" s="2" t="s">
        <v>17345</v>
      </c>
      <c r="H1534" s="2" t="s">
        <v>17344</v>
      </c>
      <c r="I1534" s="2" t="s">
        <v>17345</v>
      </c>
      <c r="J1534" s="2" t="s">
        <v>17345</v>
      </c>
      <c r="K1534" s="2" t="s">
        <v>17345</v>
      </c>
      <c r="L1534" s="2" t="s">
        <v>17345</v>
      </c>
      <c r="M1534" s="2" t="s">
        <v>17344</v>
      </c>
      <c r="N1534" s="2" t="s">
        <v>17345</v>
      </c>
      <c r="O1534" s="2" t="s">
        <v>17344</v>
      </c>
      <c r="P1534" s="2" t="s">
        <v>17344</v>
      </c>
    </row>
    <row r="1535" spans="1:16">
      <c r="A1535" s="1">
        <v>1534</v>
      </c>
      <c r="B1535" s="2" t="s">
        <v>17347</v>
      </c>
      <c r="C1535" s="2" t="s">
        <v>17347</v>
      </c>
      <c r="D1535" s="2" t="s">
        <v>17347</v>
      </c>
      <c r="E1535" s="2" t="s">
        <v>17348</v>
      </c>
      <c r="F1535" s="2" t="s">
        <v>17349</v>
      </c>
      <c r="G1535" s="2" t="s">
        <v>17348</v>
      </c>
      <c r="H1535" s="2" t="s">
        <v>17347</v>
      </c>
      <c r="I1535" s="2" t="s">
        <v>17348</v>
      </c>
      <c r="J1535" s="2" t="s">
        <v>17348</v>
      </c>
      <c r="K1535" s="2" t="s">
        <v>17348</v>
      </c>
      <c r="L1535" s="2" t="s">
        <v>17348</v>
      </c>
      <c r="M1535" s="2" t="s">
        <v>17347</v>
      </c>
      <c r="N1535" s="2" t="s">
        <v>17348</v>
      </c>
      <c r="O1535" s="2" t="s">
        <v>17347</v>
      </c>
      <c r="P1535" s="2" t="s">
        <v>17347</v>
      </c>
    </row>
    <row r="1536" spans="1:16">
      <c r="A1536" s="1">
        <v>1535</v>
      </c>
      <c r="B1536" s="2" t="s">
        <v>17350</v>
      </c>
      <c r="C1536" s="2" t="s">
        <v>17350</v>
      </c>
      <c r="D1536" s="2" t="s">
        <v>17350</v>
      </c>
      <c r="E1536" s="2" t="s">
        <v>17351</v>
      </c>
      <c r="F1536" s="2" t="s">
        <v>17352</v>
      </c>
      <c r="G1536" s="2" t="s">
        <v>17353</v>
      </c>
      <c r="H1536" s="2" t="s">
        <v>17350</v>
      </c>
      <c r="I1536" s="2" t="s">
        <v>17351</v>
      </c>
      <c r="J1536" s="2" t="s">
        <v>17351</v>
      </c>
      <c r="K1536" s="2" t="s">
        <v>17353</v>
      </c>
      <c r="L1536" s="2" t="s">
        <v>17353</v>
      </c>
      <c r="M1536" s="2" t="s">
        <v>17350</v>
      </c>
      <c r="N1536" s="2" t="s">
        <v>17353</v>
      </c>
      <c r="O1536" s="2" t="s">
        <v>17350</v>
      </c>
      <c r="P1536" s="2" t="s">
        <v>17350</v>
      </c>
    </row>
    <row r="1537" spans="1:16">
      <c r="A1537" s="1">
        <v>1536</v>
      </c>
      <c r="B1537" s="2" t="s">
        <v>17354</v>
      </c>
      <c r="C1537" s="2" t="s">
        <v>17355</v>
      </c>
      <c r="D1537" s="2" t="s">
        <v>17356</v>
      </c>
      <c r="E1537" s="2" t="s">
        <v>17357</v>
      </c>
      <c r="F1537" s="2" t="s">
        <v>17358</v>
      </c>
      <c r="G1537" s="2" t="s">
        <v>17359</v>
      </c>
      <c r="H1537" s="2" t="s">
        <v>17360</v>
      </c>
      <c r="I1537" s="2" t="s">
        <v>17361</v>
      </c>
      <c r="J1537" s="2" t="s">
        <v>17362</v>
      </c>
      <c r="K1537" s="2" t="s">
        <v>17363</v>
      </c>
      <c r="L1537" s="2" t="s">
        <v>17364</v>
      </c>
      <c r="M1537" s="2" t="s">
        <v>17365</v>
      </c>
      <c r="N1537" s="2" t="s">
        <v>17366</v>
      </c>
      <c r="O1537" s="2" t="s">
        <v>17367</v>
      </c>
      <c r="P1537" s="2" t="s">
        <v>17354</v>
      </c>
    </row>
    <row r="1538" spans="1:16">
      <c r="A1538" s="1">
        <v>1537</v>
      </c>
      <c r="B1538" s="2" t="s">
        <v>17368</v>
      </c>
      <c r="C1538" s="2" t="s">
        <v>17369</v>
      </c>
      <c r="D1538" s="2" t="s">
        <v>17370</v>
      </c>
      <c r="E1538" s="2" t="s">
        <v>17371</v>
      </c>
      <c r="F1538" s="2" t="s">
        <v>17372</v>
      </c>
      <c r="G1538" s="2" t="s">
        <v>17373</v>
      </c>
      <c r="H1538" s="2" t="s">
        <v>17374</v>
      </c>
      <c r="I1538" s="2" t="s">
        <v>17375</v>
      </c>
      <c r="J1538" s="2" t="s">
        <v>17376</v>
      </c>
      <c r="K1538" s="2" t="s">
        <v>17377</v>
      </c>
      <c r="L1538" s="2" t="s">
        <v>17378</v>
      </c>
      <c r="M1538" s="2" t="s">
        <v>17379</v>
      </c>
      <c r="N1538" s="2" t="s">
        <v>17380</v>
      </c>
      <c r="O1538" s="2" t="s">
        <v>17381</v>
      </c>
      <c r="P1538" s="2" t="s">
        <v>17368</v>
      </c>
    </row>
    <row r="1539" spans="1:16">
      <c r="A1539" s="1">
        <v>1538</v>
      </c>
      <c r="B1539" s="2" t="s">
        <v>22898</v>
      </c>
      <c r="C1539" s="2" t="s">
        <v>17383</v>
      </c>
      <c r="D1539" s="2" t="s">
        <v>17384</v>
      </c>
      <c r="E1539" s="2" t="s">
        <v>25773</v>
      </c>
      <c r="F1539" s="2" t="s">
        <v>17385</v>
      </c>
      <c r="G1539" s="2" t="s">
        <v>17386</v>
      </c>
      <c r="H1539" s="2" t="s">
        <v>17387</v>
      </c>
      <c r="I1539" s="2" t="s">
        <v>17388</v>
      </c>
      <c r="J1539" s="2" t="s">
        <v>17389</v>
      </c>
      <c r="K1539" s="2" t="s">
        <v>17390</v>
      </c>
      <c r="L1539" s="2" t="s">
        <v>17391</v>
      </c>
      <c r="M1539" s="2" t="s">
        <v>17392</v>
      </c>
      <c r="N1539" s="2" t="s">
        <v>17393</v>
      </c>
      <c r="O1539" s="2" t="s">
        <v>17394</v>
      </c>
      <c r="P1539" s="2" t="s">
        <v>17382</v>
      </c>
    </row>
    <row r="1540" spans="1:16">
      <c r="A1540" s="1">
        <v>1539</v>
      </c>
      <c r="B1540" s="2" t="s">
        <v>22899</v>
      </c>
      <c r="C1540" s="2" t="s">
        <v>17268</v>
      </c>
      <c r="D1540" s="2" t="s">
        <v>17269</v>
      </c>
      <c r="E1540" s="2" t="s">
        <v>17270</v>
      </c>
      <c r="F1540" s="2" t="s">
        <v>17396</v>
      </c>
      <c r="G1540" s="2" t="s">
        <v>17397</v>
      </c>
      <c r="H1540" s="2" t="s">
        <v>17398</v>
      </c>
      <c r="I1540" s="2" t="s">
        <v>17399</v>
      </c>
      <c r="J1540" s="2" t="s">
        <v>17400</v>
      </c>
      <c r="K1540" s="2" t="s">
        <v>17401</v>
      </c>
      <c r="L1540" s="2" t="s">
        <v>17402</v>
      </c>
      <c r="M1540" s="2" t="s">
        <v>17403</v>
      </c>
      <c r="N1540" s="2" t="s">
        <v>17404</v>
      </c>
      <c r="O1540" s="2" t="s">
        <v>17405</v>
      </c>
      <c r="P1540" s="2" t="s">
        <v>17395</v>
      </c>
    </row>
    <row r="1541" spans="1:16">
      <c r="A1541" s="1">
        <v>1540</v>
      </c>
      <c r="B1541" s="2" t="s">
        <v>1939</v>
      </c>
      <c r="C1541" s="2" t="s">
        <v>17406</v>
      </c>
      <c r="D1541" s="2" t="s">
        <v>1941</v>
      </c>
      <c r="E1541" s="2" t="s">
        <v>1942</v>
      </c>
      <c r="F1541" s="2" t="s">
        <v>1943</v>
      </c>
      <c r="G1541" s="2" t="s">
        <v>1944</v>
      </c>
      <c r="H1541" s="2" t="s">
        <v>1945</v>
      </c>
      <c r="I1541" s="2" t="s">
        <v>1946</v>
      </c>
      <c r="J1541" s="2" t="s">
        <v>1947</v>
      </c>
      <c r="K1541" s="2" t="s">
        <v>1948</v>
      </c>
      <c r="L1541" s="2" t="s">
        <v>1949</v>
      </c>
      <c r="M1541" s="2" t="s">
        <v>1950</v>
      </c>
      <c r="N1541" s="2" t="s">
        <v>1951</v>
      </c>
      <c r="O1541" s="2" t="s">
        <v>1952</v>
      </c>
      <c r="P1541" s="2" t="s">
        <v>1939</v>
      </c>
    </row>
    <row r="1542" spans="1:16">
      <c r="A1542" s="1">
        <v>1541</v>
      </c>
      <c r="B1542" s="2" t="s">
        <v>17407</v>
      </c>
      <c r="C1542" s="2" t="s">
        <v>17408</v>
      </c>
      <c r="D1542" s="2" t="s">
        <v>17409</v>
      </c>
      <c r="E1542" s="2" t="s">
        <v>17410</v>
      </c>
      <c r="F1542" s="2" t="s">
        <v>17411</v>
      </c>
      <c r="G1542" s="2" t="s">
        <v>17412</v>
      </c>
      <c r="H1542" s="2" t="s">
        <v>17413</v>
      </c>
      <c r="I1542" s="2" t="s">
        <v>17414</v>
      </c>
      <c r="J1542" s="2" t="s">
        <v>17415</v>
      </c>
      <c r="K1542" s="2" t="s">
        <v>17416</v>
      </c>
      <c r="L1542" s="2" t="s">
        <v>17417</v>
      </c>
      <c r="M1542" s="2" t="s">
        <v>17418</v>
      </c>
      <c r="N1542" s="2" t="s">
        <v>17419</v>
      </c>
      <c r="O1542" s="2" t="s">
        <v>17420</v>
      </c>
      <c r="P1542" s="2" t="s">
        <v>17407</v>
      </c>
    </row>
    <row r="1543" spans="1:16">
      <c r="A1543" s="1">
        <v>1542</v>
      </c>
      <c r="B1543" s="2" t="s">
        <v>17421</v>
      </c>
      <c r="C1543" s="2" t="s">
        <v>17422</v>
      </c>
      <c r="D1543" s="2" t="s">
        <v>17423</v>
      </c>
      <c r="E1543" s="2" t="s">
        <v>17424</v>
      </c>
      <c r="F1543" s="2" t="s">
        <v>17425</v>
      </c>
      <c r="G1543" s="2" t="s">
        <v>17426</v>
      </c>
      <c r="H1543" s="2" t="s">
        <v>17427</v>
      </c>
      <c r="I1543" s="2" t="s">
        <v>17428</v>
      </c>
      <c r="J1543" s="2" t="s">
        <v>17429</v>
      </c>
      <c r="K1543" s="2" t="s">
        <v>17430</v>
      </c>
      <c r="L1543" s="2" t="s">
        <v>17431</v>
      </c>
      <c r="M1543" s="2" t="s">
        <v>17432</v>
      </c>
      <c r="N1543" s="2" t="s">
        <v>17433</v>
      </c>
      <c r="O1543" s="2" t="s">
        <v>17434</v>
      </c>
      <c r="P1543" s="2" t="s">
        <v>17421</v>
      </c>
    </row>
    <row r="1544" spans="1:16">
      <c r="A1544" s="1">
        <v>1543</v>
      </c>
      <c r="B1544" s="2" t="s">
        <v>22900</v>
      </c>
      <c r="C1544" s="2" t="s">
        <v>17436</v>
      </c>
      <c r="D1544" s="2" t="s">
        <v>17437</v>
      </c>
      <c r="E1544" s="2" t="s">
        <v>17438</v>
      </c>
      <c r="F1544" s="2" t="s">
        <v>17439</v>
      </c>
      <c r="G1544" s="2" t="s">
        <v>17440</v>
      </c>
      <c r="H1544" s="2" t="s">
        <v>17441</v>
      </c>
      <c r="I1544" s="2" t="s">
        <v>17442</v>
      </c>
      <c r="J1544" s="2" t="s">
        <v>17443</v>
      </c>
      <c r="K1544" s="2" t="s">
        <v>17444</v>
      </c>
      <c r="L1544" s="2" t="s">
        <v>17445</v>
      </c>
      <c r="M1544" s="2" t="s">
        <v>17446</v>
      </c>
      <c r="N1544" s="2" t="s">
        <v>17447</v>
      </c>
      <c r="O1544" s="2" t="s">
        <v>17448</v>
      </c>
      <c r="P1544" s="2" t="s">
        <v>17435</v>
      </c>
    </row>
    <row r="1545" spans="1:16">
      <c r="A1545" s="1">
        <v>1544</v>
      </c>
      <c r="B1545" s="2" t="s">
        <v>17449</v>
      </c>
      <c r="C1545" s="2" t="s">
        <v>17450</v>
      </c>
      <c r="D1545" s="2" t="s">
        <v>17451</v>
      </c>
      <c r="E1545" s="2" t="s">
        <v>17452</v>
      </c>
      <c r="F1545" s="2" t="s">
        <v>11645</v>
      </c>
      <c r="G1545" s="2" t="s">
        <v>17453</v>
      </c>
      <c r="H1545" s="2" t="s">
        <v>17454</v>
      </c>
      <c r="I1545" s="2" t="s">
        <v>17455</v>
      </c>
      <c r="J1545" s="2" t="s">
        <v>17456</v>
      </c>
      <c r="K1545" s="2" t="s">
        <v>17457</v>
      </c>
      <c r="L1545" s="2" t="s">
        <v>17458</v>
      </c>
      <c r="M1545" s="2" t="s">
        <v>17459</v>
      </c>
      <c r="N1545" s="2" t="s">
        <v>17460</v>
      </c>
      <c r="O1545" s="2" t="s">
        <v>17461</v>
      </c>
      <c r="P1545" s="2" t="s">
        <v>17449</v>
      </c>
    </row>
    <row r="1546" spans="1:16">
      <c r="A1546" s="1">
        <v>1545</v>
      </c>
      <c r="B1546" s="2" t="s">
        <v>22901</v>
      </c>
      <c r="C1546" s="2" t="s">
        <v>17463</v>
      </c>
      <c r="D1546" s="2" t="s">
        <v>4449</v>
      </c>
      <c r="E1546" s="2" t="s">
        <v>25774</v>
      </c>
      <c r="F1546" s="2" t="s">
        <v>11645</v>
      </c>
      <c r="G1546" s="2" t="s">
        <v>17464</v>
      </c>
      <c r="H1546" s="2" t="s">
        <v>17465</v>
      </c>
      <c r="I1546" s="2" t="s">
        <v>17466</v>
      </c>
      <c r="J1546" s="2" t="s">
        <v>17467</v>
      </c>
      <c r="K1546" s="2" t="s">
        <v>17468</v>
      </c>
      <c r="L1546" s="2" t="s">
        <v>17469</v>
      </c>
      <c r="M1546" s="2" t="s">
        <v>17470</v>
      </c>
      <c r="N1546" s="2" t="s">
        <v>17471</v>
      </c>
      <c r="O1546" s="2" t="s">
        <v>17472</v>
      </c>
      <c r="P1546" s="2" t="s">
        <v>17462</v>
      </c>
    </row>
    <row r="1547" spans="1:16">
      <c r="A1547" s="1">
        <v>1546</v>
      </c>
      <c r="B1547" s="2" t="s">
        <v>17473</v>
      </c>
      <c r="C1547" s="2" t="s">
        <v>17474</v>
      </c>
      <c r="D1547" s="2" t="s">
        <v>22902</v>
      </c>
      <c r="E1547" s="2" t="s">
        <v>25775</v>
      </c>
      <c r="F1547" s="2" t="s">
        <v>17475</v>
      </c>
      <c r="G1547" s="2" t="s">
        <v>17476</v>
      </c>
      <c r="H1547" s="2" t="s">
        <v>17477</v>
      </c>
      <c r="I1547" s="2" t="s">
        <v>17478</v>
      </c>
      <c r="J1547" s="2" t="s">
        <v>17479</v>
      </c>
      <c r="K1547" s="2" t="s">
        <v>17480</v>
      </c>
      <c r="L1547" s="2" t="s">
        <v>17481</v>
      </c>
      <c r="M1547" s="2" t="s">
        <v>17482</v>
      </c>
      <c r="N1547" s="2" t="s">
        <v>17482</v>
      </c>
      <c r="O1547" s="2" t="s">
        <v>17483</v>
      </c>
      <c r="P1547" s="2" t="s">
        <v>17473</v>
      </c>
    </row>
    <row r="1548" spans="1:16">
      <c r="A1548" s="1">
        <v>1547</v>
      </c>
      <c r="B1548" s="2" t="s">
        <v>17484</v>
      </c>
      <c r="C1548" s="2" t="s">
        <v>17485</v>
      </c>
      <c r="D1548" s="2" t="s">
        <v>17486</v>
      </c>
      <c r="E1548" s="2" t="s">
        <v>17487</v>
      </c>
      <c r="F1548" s="2" t="s">
        <v>17484</v>
      </c>
      <c r="G1548" s="2" t="s">
        <v>17484</v>
      </c>
      <c r="H1548" s="2" t="s">
        <v>17484</v>
      </c>
      <c r="I1548" s="2" t="s">
        <v>17484</v>
      </c>
      <c r="J1548" s="2" t="s">
        <v>17484</v>
      </c>
      <c r="K1548" s="2" t="s">
        <v>17484</v>
      </c>
      <c r="L1548" s="2" t="s">
        <v>17488</v>
      </c>
      <c r="M1548" s="2" t="s">
        <v>17484</v>
      </c>
      <c r="N1548" s="2" t="s">
        <v>17489</v>
      </c>
      <c r="O1548" s="2" t="s">
        <v>17490</v>
      </c>
      <c r="P1548" s="2" t="s">
        <v>17484</v>
      </c>
    </row>
    <row r="1549" spans="1:16">
      <c r="A1549" s="1">
        <v>1548</v>
      </c>
      <c r="B1549" s="2" t="s">
        <v>17491</v>
      </c>
      <c r="C1549" s="2" t="s">
        <v>17492</v>
      </c>
      <c r="D1549" s="2" t="s">
        <v>17493</v>
      </c>
      <c r="E1549" s="2" t="s">
        <v>25776</v>
      </c>
      <c r="F1549" s="2" t="s">
        <v>17494</v>
      </c>
      <c r="G1549" s="2" t="s">
        <v>17495</v>
      </c>
      <c r="H1549" s="2" t="s">
        <v>17496</v>
      </c>
      <c r="I1549" s="2" t="s">
        <v>17497</v>
      </c>
      <c r="J1549" s="2" t="s">
        <v>17498</v>
      </c>
      <c r="K1549" s="2" t="s">
        <v>17499</v>
      </c>
      <c r="L1549" s="2" t="s">
        <v>17500</v>
      </c>
      <c r="M1549" s="2" t="s">
        <v>17501</v>
      </c>
      <c r="N1549" s="2" t="s">
        <v>17502</v>
      </c>
      <c r="O1549" s="2" t="s">
        <v>17503</v>
      </c>
      <c r="P1549" s="2" t="s">
        <v>17491</v>
      </c>
    </row>
    <row r="1550" spans="1:16" ht="15" customHeight="1">
      <c r="A1550" s="1">
        <v>1549</v>
      </c>
      <c r="B1550" s="2" t="s">
        <v>17504</v>
      </c>
      <c r="C1550" s="2" t="s">
        <v>17505</v>
      </c>
      <c r="D1550" s="2" t="s">
        <v>17506</v>
      </c>
      <c r="E1550" s="2" t="s">
        <v>17507</v>
      </c>
      <c r="F1550" s="2" t="s">
        <v>17508</v>
      </c>
      <c r="G1550" s="2" t="s">
        <v>17509</v>
      </c>
      <c r="H1550" s="2" t="s">
        <v>17510</v>
      </c>
      <c r="I1550" s="2" t="s">
        <v>17511</v>
      </c>
      <c r="J1550" s="2" t="s">
        <v>17512</v>
      </c>
      <c r="K1550" s="2" t="s">
        <v>17513</v>
      </c>
      <c r="L1550" s="2" t="s">
        <v>17514</v>
      </c>
      <c r="M1550" s="2" t="s">
        <v>17515</v>
      </c>
      <c r="N1550" s="2" t="s">
        <v>17516</v>
      </c>
      <c r="O1550" s="2" t="s">
        <v>17517</v>
      </c>
      <c r="P1550" s="2" t="s">
        <v>17504</v>
      </c>
    </row>
    <row r="1551" spans="1:16" ht="15" customHeight="1">
      <c r="A1551" s="1">
        <v>1550</v>
      </c>
      <c r="B1551" s="2" t="s">
        <v>17518</v>
      </c>
      <c r="C1551" s="2" t="s">
        <v>17519</v>
      </c>
      <c r="D1551" s="2" t="s">
        <v>17520</v>
      </c>
      <c r="E1551" s="2" t="s">
        <v>17521</v>
      </c>
      <c r="F1551" s="2" t="s">
        <v>17522</v>
      </c>
      <c r="G1551" s="2" t="s">
        <v>17523</v>
      </c>
      <c r="H1551" s="2" t="s">
        <v>17524</v>
      </c>
      <c r="I1551" s="2" t="s">
        <v>17525</v>
      </c>
      <c r="J1551" s="2" t="s">
        <v>17526</v>
      </c>
      <c r="K1551" s="2" t="s">
        <v>17527</v>
      </c>
      <c r="L1551" s="2" t="s">
        <v>17528</v>
      </c>
      <c r="M1551" s="2" t="s">
        <v>17529</v>
      </c>
      <c r="N1551" s="2" t="s">
        <v>17530</v>
      </c>
      <c r="O1551" s="2" t="s">
        <v>17531</v>
      </c>
      <c r="P1551" s="2" t="s">
        <v>17518</v>
      </c>
    </row>
    <row r="1552" spans="1:16">
      <c r="A1552" s="1">
        <v>1551</v>
      </c>
      <c r="B1552" s="2" t="s">
        <v>22903</v>
      </c>
      <c r="C1552" s="2" t="s">
        <v>17533</v>
      </c>
      <c r="D1552" s="2" t="s">
        <v>17534</v>
      </c>
      <c r="E1552" s="2" t="s">
        <v>25777</v>
      </c>
      <c r="F1552" s="2" t="s">
        <v>17535</v>
      </c>
      <c r="G1552" s="2" t="s">
        <v>17536</v>
      </c>
      <c r="H1552" s="2" t="s">
        <v>17537</v>
      </c>
      <c r="I1552" s="2" t="s">
        <v>17538</v>
      </c>
      <c r="J1552" s="2" t="s">
        <v>17539</v>
      </c>
      <c r="K1552" s="2" t="s">
        <v>17540</v>
      </c>
      <c r="L1552" s="2" t="s">
        <v>17541</v>
      </c>
      <c r="M1552" s="2" t="s">
        <v>17541</v>
      </c>
      <c r="N1552" s="2" t="s">
        <v>17541</v>
      </c>
      <c r="O1552" s="2" t="s">
        <v>17542</v>
      </c>
      <c r="P1552" s="2" t="s">
        <v>17532</v>
      </c>
    </row>
    <row r="1553" spans="1:16">
      <c r="A1553" s="1">
        <v>1552</v>
      </c>
      <c r="B1553" s="2" t="s">
        <v>10844</v>
      </c>
      <c r="C1553" s="2" t="s">
        <v>10832</v>
      </c>
      <c r="D1553" s="2" t="s">
        <v>10833</v>
      </c>
      <c r="E1553" s="2" t="s">
        <v>17543</v>
      </c>
      <c r="F1553" s="2" t="s">
        <v>17544</v>
      </c>
      <c r="G1553" s="2" t="s">
        <v>17545</v>
      </c>
      <c r="H1553" s="2" t="s">
        <v>17546</v>
      </c>
      <c r="I1553" s="2" t="s">
        <v>17547</v>
      </c>
      <c r="J1553" s="2" t="s">
        <v>17548</v>
      </c>
      <c r="K1553" s="2" t="s">
        <v>10851</v>
      </c>
      <c r="L1553" s="2" t="s">
        <v>17549</v>
      </c>
      <c r="M1553" s="2" t="s">
        <v>17550</v>
      </c>
      <c r="N1553" s="2" t="s">
        <v>17551</v>
      </c>
      <c r="O1553" s="2" t="s">
        <v>17552</v>
      </c>
      <c r="P1553" s="2" t="s">
        <v>10844</v>
      </c>
    </row>
    <row r="1554" spans="1:16" ht="15" customHeight="1">
      <c r="A1554" s="1">
        <v>1553</v>
      </c>
      <c r="B1554" s="2" t="s">
        <v>17553</v>
      </c>
      <c r="C1554" s="2" t="s">
        <v>11986</v>
      </c>
      <c r="D1554" s="2" t="s">
        <v>11987</v>
      </c>
      <c r="E1554" s="2" t="s">
        <v>11988</v>
      </c>
      <c r="F1554" s="2" t="s">
        <v>17554</v>
      </c>
      <c r="G1554" s="2" t="s">
        <v>17555</v>
      </c>
      <c r="H1554" s="2" t="s">
        <v>11991</v>
      </c>
      <c r="I1554" s="2" t="s">
        <v>17556</v>
      </c>
      <c r="J1554" s="2" t="s">
        <v>17557</v>
      </c>
      <c r="K1554" s="2" t="s">
        <v>17558</v>
      </c>
      <c r="L1554" s="2" t="s">
        <v>17559</v>
      </c>
      <c r="M1554" s="2" t="s">
        <v>17560</v>
      </c>
      <c r="N1554" s="2" t="s">
        <v>17561</v>
      </c>
      <c r="O1554" s="2" t="s">
        <v>17562</v>
      </c>
      <c r="P1554" s="2" t="s">
        <v>17553</v>
      </c>
    </row>
    <row r="1555" spans="1:16">
      <c r="A1555" s="1">
        <v>1554</v>
      </c>
      <c r="B1555" s="2" t="s">
        <v>17563</v>
      </c>
      <c r="C1555" s="2" t="s">
        <v>17564</v>
      </c>
      <c r="D1555" s="2" t="s">
        <v>17565</v>
      </c>
      <c r="E1555" s="2" t="s">
        <v>17566</v>
      </c>
      <c r="F1555" s="2" t="s">
        <v>17567</v>
      </c>
      <c r="G1555" s="2" t="s">
        <v>17568</v>
      </c>
      <c r="H1555" s="2" t="s">
        <v>17569</v>
      </c>
      <c r="I1555" s="2" t="s">
        <v>17570</v>
      </c>
      <c r="J1555" s="2" t="s">
        <v>17571</v>
      </c>
      <c r="K1555" s="2" t="s">
        <v>17572</v>
      </c>
      <c r="L1555" s="2" t="s">
        <v>17573</v>
      </c>
      <c r="M1555" s="2" t="s">
        <v>17574</v>
      </c>
      <c r="N1555" s="2" t="s">
        <v>17575</v>
      </c>
      <c r="O1555" s="2" t="s">
        <v>17576</v>
      </c>
      <c r="P1555" s="2" t="s">
        <v>17563</v>
      </c>
    </row>
    <row r="1556" spans="1:16" ht="15" customHeight="1">
      <c r="A1556" s="1">
        <v>1555</v>
      </c>
      <c r="B1556" s="2" t="s">
        <v>17577</v>
      </c>
      <c r="C1556" s="2" t="s">
        <v>17577</v>
      </c>
      <c r="D1556" s="2" t="s">
        <v>17577</v>
      </c>
      <c r="E1556" s="2" t="s">
        <v>17578</v>
      </c>
      <c r="F1556" s="2" t="s">
        <v>17579</v>
      </c>
      <c r="G1556" s="2" t="s">
        <v>17580</v>
      </c>
      <c r="H1556" s="2" t="s">
        <v>17581</v>
      </c>
      <c r="I1556" s="2" t="s">
        <v>17582</v>
      </c>
      <c r="J1556" s="2" t="s">
        <v>17583</v>
      </c>
      <c r="K1556" s="2" t="s">
        <v>17584</v>
      </c>
      <c r="L1556" s="2" t="s">
        <v>17585</v>
      </c>
      <c r="M1556" s="2" t="s">
        <v>17586</v>
      </c>
      <c r="N1556" s="2" t="s">
        <v>17586</v>
      </c>
      <c r="O1556" s="2" t="s">
        <v>17587</v>
      </c>
      <c r="P1556" s="2" t="s">
        <v>17577</v>
      </c>
    </row>
    <row r="1557" spans="1:16">
      <c r="A1557" s="1">
        <v>1556</v>
      </c>
      <c r="B1557" s="2" t="s">
        <v>22904</v>
      </c>
      <c r="C1557" s="2" t="s">
        <v>17589</v>
      </c>
      <c r="D1557" s="2" t="s">
        <v>17590</v>
      </c>
      <c r="E1557" s="2" t="s">
        <v>25778</v>
      </c>
      <c r="F1557" s="2" t="s">
        <v>17591</v>
      </c>
      <c r="G1557" s="2" t="s">
        <v>17592</v>
      </c>
      <c r="H1557" s="2" t="s">
        <v>17593</v>
      </c>
      <c r="I1557" s="2" t="s">
        <v>17594</v>
      </c>
      <c r="J1557" s="2" t="s">
        <v>17595</v>
      </c>
      <c r="K1557" s="2" t="s">
        <v>17596</v>
      </c>
      <c r="L1557" s="2" t="s">
        <v>17597</v>
      </c>
      <c r="M1557" s="2" t="s">
        <v>17588</v>
      </c>
      <c r="N1557" s="2" t="s">
        <v>17598</v>
      </c>
      <c r="O1557" s="2" t="s">
        <v>17599</v>
      </c>
      <c r="P1557" s="2" t="s">
        <v>17588</v>
      </c>
    </row>
    <row r="1558" spans="1:16">
      <c r="A1558" s="1">
        <v>1557</v>
      </c>
      <c r="B1558" s="2" t="s">
        <v>22905</v>
      </c>
      <c r="C1558" s="2" t="s">
        <v>17601</v>
      </c>
      <c r="D1558" s="2" t="s">
        <v>17602</v>
      </c>
      <c r="E1558" s="2" t="s">
        <v>25779</v>
      </c>
      <c r="F1558" s="2" t="s">
        <v>17603</v>
      </c>
      <c r="G1558" s="2" t="s">
        <v>17604</v>
      </c>
      <c r="H1558" s="2" t="s">
        <v>17605</v>
      </c>
      <c r="I1558" s="2" t="s">
        <v>17606</v>
      </c>
      <c r="J1558" s="2" t="s">
        <v>17607</v>
      </c>
      <c r="K1558" s="2" t="s">
        <v>17608</v>
      </c>
      <c r="L1558" s="2" t="s">
        <v>17609</v>
      </c>
      <c r="M1558" s="2" t="s">
        <v>17610</v>
      </c>
      <c r="N1558" s="2" t="s">
        <v>17611</v>
      </c>
      <c r="O1558" s="2" t="s">
        <v>17612</v>
      </c>
      <c r="P1558" s="2" t="s">
        <v>17600</v>
      </c>
    </row>
    <row r="1559" spans="1:16">
      <c r="A1559" s="1">
        <v>1558</v>
      </c>
      <c r="B1559" s="2" t="s">
        <v>22906</v>
      </c>
      <c r="C1559" s="2" t="s">
        <v>17614</v>
      </c>
      <c r="D1559" s="2" t="s">
        <v>17615</v>
      </c>
      <c r="E1559" s="2" t="s">
        <v>25780</v>
      </c>
      <c r="F1559" s="2" t="s">
        <v>17616</v>
      </c>
      <c r="G1559" s="2" t="s">
        <v>17617</v>
      </c>
      <c r="H1559" s="2" t="s">
        <v>17618</v>
      </c>
      <c r="I1559" s="2" t="s">
        <v>17619</v>
      </c>
      <c r="J1559" s="2" t="s">
        <v>17620</v>
      </c>
      <c r="K1559" s="2" t="s">
        <v>17621</v>
      </c>
      <c r="L1559" s="2" t="s">
        <v>17622</v>
      </c>
      <c r="M1559" s="2" t="s">
        <v>17623</v>
      </c>
      <c r="N1559" s="2" t="s">
        <v>17624</v>
      </c>
      <c r="O1559" s="2" t="s">
        <v>17625</v>
      </c>
      <c r="P1559" s="2" t="s">
        <v>17613</v>
      </c>
    </row>
    <row r="1560" spans="1:16">
      <c r="A1560" s="1">
        <v>1559</v>
      </c>
      <c r="B1560" s="2" t="s">
        <v>22907</v>
      </c>
      <c r="C1560" s="2" t="s">
        <v>17627</v>
      </c>
      <c r="D1560" s="2" t="s">
        <v>17628</v>
      </c>
      <c r="E1560" s="2" t="s">
        <v>25781</v>
      </c>
      <c r="F1560" s="2" t="s">
        <v>17629</v>
      </c>
      <c r="G1560" s="2" t="s">
        <v>17630</v>
      </c>
      <c r="H1560" s="2" t="s">
        <v>17631</v>
      </c>
      <c r="I1560" s="2" t="s">
        <v>17632</v>
      </c>
      <c r="J1560" s="2" t="s">
        <v>17633</v>
      </c>
      <c r="K1560" s="2" t="s">
        <v>17634</v>
      </c>
      <c r="L1560" s="2" t="s">
        <v>17635</v>
      </c>
      <c r="M1560" s="2" t="s">
        <v>17636</v>
      </c>
      <c r="N1560" s="2" t="s">
        <v>17637</v>
      </c>
      <c r="O1560" s="2" t="s">
        <v>17638</v>
      </c>
      <c r="P1560" s="2" t="s">
        <v>17626</v>
      </c>
    </row>
    <row r="1561" spans="1:16">
      <c r="A1561" s="1">
        <v>1560</v>
      </c>
      <c r="B1561" s="2" t="s">
        <v>17639</v>
      </c>
      <c r="C1561" s="2" t="s">
        <v>17640</v>
      </c>
      <c r="D1561" s="2" t="s">
        <v>17641</v>
      </c>
      <c r="E1561" s="2" t="s">
        <v>25782</v>
      </c>
      <c r="F1561" s="2" t="s">
        <v>17642</v>
      </c>
      <c r="G1561" s="2" t="s">
        <v>17643</v>
      </c>
      <c r="H1561" s="2" t="s">
        <v>17644</v>
      </c>
      <c r="I1561" s="2" t="s">
        <v>17645</v>
      </c>
      <c r="J1561" s="2" t="s">
        <v>17646</v>
      </c>
      <c r="K1561" s="2" t="s">
        <v>17647</v>
      </c>
      <c r="L1561" s="2" t="s">
        <v>17648</v>
      </c>
      <c r="M1561" s="2" t="s">
        <v>17649</v>
      </c>
      <c r="N1561" s="2" t="s">
        <v>17650</v>
      </c>
      <c r="O1561" s="2" t="s">
        <v>17651</v>
      </c>
      <c r="P1561" s="2" t="s">
        <v>17639</v>
      </c>
    </row>
    <row r="1562" spans="1:16">
      <c r="A1562" s="1">
        <v>1561</v>
      </c>
      <c r="B1562" s="2" t="s">
        <v>17652</v>
      </c>
      <c r="C1562" s="2" t="s">
        <v>17653</v>
      </c>
      <c r="D1562" s="2" t="s">
        <v>17654</v>
      </c>
      <c r="E1562" s="2" t="s">
        <v>25783</v>
      </c>
      <c r="F1562" s="2" t="s">
        <v>17655</v>
      </c>
      <c r="G1562" s="2" t="s">
        <v>17656</v>
      </c>
      <c r="H1562" s="2" t="s">
        <v>17657</v>
      </c>
      <c r="I1562" s="2" t="s">
        <v>17658</v>
      </c>
      <c r="J1562" s="2" t="s">
        <v>17659</v>
      </c>
      <c r="K1562" s="2" t="s">
        <v>17660</v>
      </c>
      <c r="L1562" s="2" t="s">
        <v>17661</v>
      </c>
      <c r="M1562" s="2" t="s">
        <v>17662</v>
      </c>
      <c r="N1562" s="2" t="s">
        <v>17663</v>
      </c>
      <c r="O1562" s="2" t="s">
        <v>17664</v>
      </c>
      <c r="P1562" s="2" t="s">
        <v>17652</v>
      </c>
    </row>
    <row r="1563" spans="1:16">
      <c r="A1563" s="1">
        <v>1562</v>
      </c>
      <c r="B1563" s="2" t="s">
        <v>17665</v>
      </c>
      <c r="C1563" s="2" t="s">
        <v>17666</v>
      </c>
      <c r="D1563" s="2" t="s">
        <v>17667</v>
      </c>
      <c r="E1563" s="2" t="s">
        <v>17668</v>
      </c>
      <c r="F1563" s="2" t="s">
        <v>17669</v>
      </c>
      <c r="G1563" s="2" t="s">
        <v>17670</v>
      </c>
      <c r="H1563" s="2" t="s">
        <v>17671</v>
      </c>
      <c r="I1563" s="2" t="s">
        <v>17672</v>
      </c>
      <c r="J1563" s="2" t="s">
        <v>17673</v>
      </c>
      <c r="K1563" s="2" t="s">
        <v>17674</v>
      </c>
      <c r="L1563" s="2" t="s">
        <v>17675</v>
      </c>
      <c r="M1563" s="2" t="s">
        <v>17676</v>
      </c>
      <c r="N1563" s="2" t="s">
        <v>17677</v>
      </c>
      <c r="O1563" s="2" t="s">
        <v>17678</v>
      </c>
      <c r="P1563" s="2" t="s">
        <v>17665</v>
      </c>
    </row>
    <row r="1564" spans="1:16">
      <c r="A1564" s="1">
        <v>1563</v>
      </c>
      <c r="B1564" s="2" t="s">
        <v>22908</v>
      </c>
      <c r="C1564" s="2" t="s">
        <v>17679</v>
      </c>
      <c r="D1564" s="2" t="s">
        <v>17679</v>
      </c>
      <c r="E1564" s="2" t="s">
        <v>17679</v>
      </c>
      <c r="F1564" s="2" t="s">
        <v>17679</v>
      </c>
      <c r="G1564" s="2" t="s">
        <v>17679</v>
      </c>
      <c r="H1564" s="2" t="s">
        <v>17679</v>
      </c>
      <c r="I1564" s="2" t="s">
        <v>17679</v>
      </c>
      <c r="J1564" s="2" t="s">
        <v>17679</v>
      </c>
      <c r="K1564" s="2" t="s">
        <v>17679</v>
      </c>
      <c r="L1564" s="2" t="s">
        <v>17679</v>
      </c>
      <c r="M1564" s="2" t="s">
        <v>17679</v>
      </c>
      <c r="N1564" s="2" t="s">
        <v>17679</v>
      </c>
      <c r="O1564" s="2" t="s">
        <v>17679</v>
      </c>
      <c r="P1564" s="2" t="s">
        <v>17679</v>
      </c>
    </row>
    <row r="1565" spans="1:16">
      <c r="A1565" s="1">
        <v>1564</v>
      </c>
      <c r="B1565" s="2" t="s">
        <v>22909</v>
      </c>
      <c r="C1565" s="2" t="s">
        <v>17681</v>
      </c>
      <c r="D1565" s="2" t="s">
        <v>17682</v>
      </c>
      <c r="E1565" s="2" t="s">
        <v>17683</v>
      </c>
      <c r="F1565" s="2" t="s">
        <v>17684</v>
      </c>
      <c r="G1565" s="2" t="s">
        <v>17685</v>
      </c>
      <c r="H1565" s="2" t="s">
        <v>17686</v>
      </c>
      <c r="I1565" s="2" t="s">
        <v>17687</v>
      </c>
      <c r="J1565" s="2" t="s">
        <v>17688</v>
      </c>
      <c r="K1565" s="2" t="s">
        <v>17689</v>
      </c>
      <c r="L1565" s="2" t="s">
        <v>17690</v>
      </c>
      <c r="M1565" s="2" t="s">
        <v>17691</v>
      </c>
      <c r="N1565" s="2" t="s">
        <v>17692</v>
      </c>
      <c r="O1565" s="2" t="s">
        <v>17693</v>
      </c>
      <c r="P1565" s="2" t="s">
        <v>17680</v>
      </c>
    </row>
    <row r="1566" spans="1:16">
      <c r="A1566" s="1">
        <v>1565</v>
      </c>
      <c r="B1566" s="2" t="s">
        <v>17694</v>
      </c>
      <c r="C1566" s="2" t="s">
        <v>17695</v>
      </c>
      <c r="D1566" s="2" t="s">
        <v>17696</v>
      </c>
      <c r="E1566" s="2" t="s">
        <v>17697</v>
      </c>
      <c r="F1566" s="2" t="s">
        <v>17698</v>
      </c>
      <c r="G1566" s="2" t="s">
        <v>17699</v>
      </c>
      <c r="H1566" s="2" t="s">
        <v>17700</v>
      </c>
      <c r="I1566" s="2" t="s">
        <v>17701</v>
      </c>
      <c r="J1566" s="2" t="s">
        <v>17702</v>
      </c>
      <c r="K1566" s="2" t="s">
        <v>17703</v>
      </c>
      <c r="L1566" s="2" t="s">
        <v>17704</v>
      </c>
      <c r="M1566" s="2" t="s">
        <v>17705</v>
      </c>
      <c r="N1566" s="2" t="s">
        <v>17706</v>
      </c>
      <c r="O1566" s="2" t="s">
        <v>17707</v>
      </c>
      <c r="P1566" s="2" t="s">
        <v>17694</v>
      </c>
    </row>
    <row r="1567" spans="1:16">
      <c r="A1567" s="1">
        <v>1566</v>
      </c>
      <c r="B1567" s="2" t="s">
        <v>22910</v>
      </c>
      <c r="C1567" s="2" t="s">
        <v>17709</v>
      </c>
      <c r="D1567" s="2" t="s">
        <v>17710</v>
      </c>
      <c r="E1567" s="2" t="s">
        <v>25784</v>
      </c>
      <c r="F1567" s="2" t="s">
        <v>17711</v>
      </c>
      <c r="G1567" s="2" t="s">
        <v>17712</v>
      </c>
      <c r="H1567" s="2" t="s">
        <v>17713</v>
      </c>
      <c r="I1567" s="2" t="s">
        <v>17714</v>
      </c>
      <c r="J1567" s="2" t="s">
        <v>17715</v>
      </c>
      <c r="K1567" s="2" t="s">
        <v>17716</v>
      </c>
      <c r="L1567" s="2" t="s">
        <v>17717</v>
      </c>
      <c r="M1567" s="2" t="s">
        <v>17718</v>
      </c>
      <c r="N1567" s="2" t="s">
        <v>17719</v>
      </c>
      <c r="O1567" s="2" t="s">
        <v>17720</v>
      </c>
      <c r="P1567" s="2" t="s">
        <v>17708</v>
      </c>
    </row>
    <row r="1568" spans="1:16">
      <c r="A1568" s="1">
        <v>1567</v>
      </c>
      <c r="B1568" s="2" t="s">
        <v>22911</v>
      </c>
      <c r="C1568" s="2" t="s">
        <v>17722</v>
      </c>
      <c r="D1568" s="2" t="s">
        <v>17723</v>
      </c>
      <c r="E1568" s="2" t="s">
        <v>25785</v>
      </c>
      <c r="F1568" s="2" t="s">
        <v>17724</v>
      </c>
      <c r="G1568" s="2" t="s">
        <v>17725</v>
      </c>
      <c r="H1568" s="2" t="s">
        <v>17726</v>
      </c>
      <c r="I1568" s="2" t="s">
        <v>17727</v>
      </c>
      <c r="J1568" s="2" t="s">
        <v>17728</v>
      </c>
      <c r="K1568" s="2" t="s">
        <v>17729</v>
      </c>
      <c r="L1568" s="2" t="s">
        <v>17730</v>
      </c>
      <c r="M1568" s="2" t="s">
        <v>17731</v>
      </c>
      <c r="N1568" s="2" t="s">
        <v>17732</v>
      </c>
      <c r="O1568" s="2" t="s">
        <v>17733</v>
      </c>
      <c r="P1568" s="2" t="s">
        <v>17721</v>
      </c>
    </row>
    <row r="1569" spans="1:16">
      <c r="A1569" s="1">
        <v>1568</v>
      </c>
      <c r="B1569" s="2" t="s">
        <v>22912</v>
      </c>
      <c r="C1569" s="2" t="s">
        <v>17735</v>
      </c>
      <c r="D1569" s="2" t="s">
        <v>17736</v>
      </c>
      <c r="E1569" s="2" t="s">
        <v>25786</v>
      </c>
      <c r="F1569" s="2" t="s">
        <v>17737</v>
      </c>
      <c r="G1569" s="2" t="s">
        <v>17738</v>
      </c>
      <c r="H1569" s="2" t="s">
        <v>17739</v>
      </c>
      <c r="I1569" s="2" t="s">
        <v>17740</v>
      </c>
      <c r="J1569" s="2" t="s">
        <v>17741</v>
      </c>
      <c r="K1569" s="2" t="s">
        <v>17742</v>
      </c>
      <c r="L1569" s="2" t="s">
        <v>17743</v>
      </c>
      <c r="M1569" s="2" t="s">
        <v>17744</v>
      </c>
      <c r="N1569" s="2" t="s">
        <v>17745</v>
      </c>
      <c r="O1569" s="2" t="s">
        <v>17746</v>
      </c>
      <c r="P1569" s="2" t="s">
        <v>17734</v>
      </c>
    </row>
    <row r="1570" spans="1:16">
      <c r="A1570" s="1">
        <v>1569</v>
      </c>
      <c r="B1570" s="2" t="s">
        <v>22913</v>
      </c>
      <c r="C1570" s="2" t="s">
        <v>17748</v>
      </c>
      <c r="D1570" s="2" t="s">
        <v>17749</v>
      </c>
      <c r="E1570" s="2" t="s">
        <v>25787</v>
      </c>
      <c r="F1570" s="2" t="s">
        <v>17750</v>
      </c>
      <c r="G1570" s="2" t="s">
        <v>17751</v>
      </c>
      <c r="H1570" s="2" t="s">
        <v>17752</v>
      </c>
      <c r="I1570" s="2" t="s">
        <v>17753</v>
      </c>
      <c r="J1570" s="2" t="s">
        <v>17754</v>
      </c>
      <c r="K1570" s="2" t="s">
        <v>17755</v>
      </c>
      <c r="L1570" s="2" t="s">
        <v>17756</v>
      </c>
      <c r="M1570" s="2" t="s">
        <v>17757</v>
      </c>
      <c r="N1570" s="2" t="s">
        <v>17758</v>
      </c>
      <c r="O1570" s="2" t="s">
        <v>17759</v>
      </c>
      <c r="P1570" s="2" t="s">
        <v>17747</v>
      </c>
    </row>
    <row r="1571" spans="1:16">
      <c r="A1571" s="1">
        <v>1570</v>
      </c>
      <c r="B1571" s="2" t="s">
        <v>22914</v>
      </c>
      <c r="C1571" s="2" t="s">
        <v>17761</v>
      </c>
      <c r="D1571" s="2" t="s">
        <v>17762</v>
      </c>
      <c r="E1571" s="2" t="s">
        <v>17763</v>
      </c>
      <c r="F1571" s="2" t="s">
        <v>17764</v>
      </c>
      <c r="G1571" s="2" t="s">
        <v>17765</v>
      </c>
      <c r="H1571" s="2" t="s">
        <v>17766</v>
      </c>
      <c r="I1571" s="2" t="s">
        <v>17767</v>
      </c>
      <c r="J1571" s="2" t="s">
        <v>17768</v>
      </c>
      <c r="K1571" s="2" t="s">
        <v>17769</v>
      </c>
      <c r="L1571" s="2" t="s">
        <v>17770</v>
      </c>
      <c r="M1571" s="2" t="s">
        <v>17771</v>
      </c>
      <c r="N1571" s="2" t="s">
        <v>17772</v>
      </c>
      <c r="O1571" s="2" t="s">
        <v>17773</v>
      </c>
      <c r="P1571" s="2" t="s">
        <v>17760</v>
      </c>
    </row>
    <row r="1572" spans="1:16">
      <c r="A1572" s="1">
        <v>1571</v>
      </c>
      <c r="B1572" s="2" t="s">
        <v>17774</v>
      </c>
      <c r="C1572" s="2" t="s">
        <v>25020</v>
      </c>
      <c r="D1572" s="2" t="s">
        <v>17775</v>
      </c>
      <c r="E1572" s="2" t="s">
        <v>24954</v>
      </c>
      <c r="F1572" s="2" t="s">
        <v>24955</v>
      </c>
      <c r="G1572" s="2" t="s">
        <v>24956</v>
      </c>
      <c r="H1572" s="2" t="s">
        <v>24957</v>
      </c>
      <c r="I1572" s="2" t="s">
        <v>25021</v>
      </c>
      <c r="J1572" s="2" t="s">
        <v>24958</v>
      </c>
      <c r="K1572" s="2" t="s">
        <v>17776</v>
      </c>
      <c r="L1572" s="2" t="s">
        <v>24959</v>
      </c>
      <c r="M1572" s="2" t="s">
        <v>24960</v>
      </c>
      <c r="N1572" s="2" t="s">
        <v>24961</v>
      </c>
      <c r="O1572" s="2" t="s">
        <v>24962</v>
      </c>
      <c r="P1572" s="2" t="s">
        <v>17774</v>
      </c>
    </row>
    <row r="1573" spans="1:16">
      <c r="A1573" s="1">
        <v>1572</v>
      </c>
      <c r="B1573" s="2" t="s">
        <v>17777</v>
      </c>
      <c r="C1573" s="2" t="s">
        <v>17778</v>
      </c>
      <c r="D1573" s="2" t="s">
        <v>17779</v>
      </c>
      <c r="E1573" s="2" t="s">
        <v>17780</v>
      </c>
      <c r="F1573" s="2" t="s">
        <v>17781</v>
      </c>
      <c r="G1573" s="2" t="s">
        <v>17782</v>
      </c>
      <c r="H1573" s="2" t="s">
        <v>17783</v>
      </c>
      <c r="I1573" s="2" t="s">
        <v>17784</v>
      </c>
      <c r="J1573" s="2" t="s">
        <v>17785</v>
      </c>
      <c r="K1573" s="2" t="s">
        <v>17786</v>
      </c>
      <c r="L1573" s="2" t="s">
        <v>17787</v>
      </c>
      <c r="M1573" s="2" t="s">
        <v>17788</v>
      </c>
      <c r="N1573" s="2" t="s">
        <v>17789</v>
      </c>
      <c r="O1573" s="2" t="s">
        <v>17790</v>
      </c>
      <c r="P1573" s="2" t="s">
        <v>17777</v>
      </c>
    </row>
    <row r="1574" spans="1:16">
      <c r="A1574" s="1">
        <v>1573</v>
      </c>
      <c r="B1574" s="2" t="s">
        <v>17791</v>
      </c>
      <c r="C1574" s="2" t="s">
        <v>17792</v>
      </c>
      <c r="D1574" s="2" t="s">
        <v>17793</v>
      </c>
      <c r="E1574" s="2" t="s">
        <v>17794</v>
      </c>
      <c r="F1574" s="2" t="s">
        <v>17795</v>
      </c>
      <c r="G1574" s="2" t="s">
        <v>17796</v>
      </c>
      <c r="H1574" s="2" t="s">
        <v>17797</v>
      </c>
      <c r="I1574" s="2" t="s">
        <v>17798</v>
      </c>
      <c r="J1574" s="2" t="s">
        <v>17799</v>
      </c>
      <c r="K1574" s="2" t="s">
        <v>17800</v>
      </c>
      <c r="L1574" s="2" t="s">
        <v>17801</v>
      </c>
      <c r="M1574" s="2" t="s">
        <v>17802</v>
      </c>
      <c r="N1574" s="2" t="s">
        <v>17803</v>
      </c>
      <c r="O1574" s="2" t="s">
        <v>17804</v>
      </c>
      <c r="P1574" s="2" t="s">
        <v>17791</v>
      </c>
    </row>
    <row r="1575" spans="1:16">
      <c r="A1575" s="1">
        <v>1574</v>
      </c>
      <c r="B1575" s="2" t="s">
        <v>17805</v>
      </c>
      <c r="C1575" s="2" t="s">
        <v>17806</v>
      </c>
      <c r="D1575" s="2" t="s">
        <v>17807</v>
      </c>
      <c r="E1575" s="2" t="s">
        <v>17808</v>
      </c>
      <c r="F1575" s="2" t="s">
        <v>17809</v>
      </c>
      <c r="G1575" s="2" t="s">
        <v>17810</v>
      </c>
      <c r="H1575" s="2" t="s">
        <v>17811</v>
      </c>
      <c r="I1575" s="2" t="s">
        <v>17812</v>
      </c>
      <c r="J1575" s="2" t="s">
        <v>17813</v>
      </c>
      <c r="K1575" s="2" t="s">
        <v>17814</v>
      </c>
      <c r="L1575" s="2" t="s">
        <v>17815</v>
      </c>
      <c r="M1575" s="2" t="s">
        <v>17816</v>
      </c>
      <c r="N1575" s="2" t="s">
        <v>17817</v>
      </c>
      <c r="O1575" s="2" t="s">
        <v>17818</v>
      </c>
      <c r="P1575" s="2" t="s">
        <v>17805</v>
      </c>
    </row>
    <row r="1576" spans="1:16">
      <c r="A1576" s="1">
        <v>1575</v>
      </c>
      <c r="B1576" s="2" t="s">
        <v>22915</v>
      </c>
      <c r="C1576" s="2" t="s">
        <v>17820</v>
      </c>
      <c r="D1576" s="2" t="s">
        <v>17821</v>
      </c>
      <c r="E1576" s="2" t="s">
        <v>25788</v>
      </c>
      <c r="F1576" s="2" t="s">
        <v>17822</v>
      </c>
      <c r="G1576" s="2" t="s">
        <v>17823</v>
      </c>
      <c r="H1576" s="2" t="s">
        <v>17824</v>
      </c>
      <c r="I1576" s="2" t="s">
        <v>17825</v>
      </c>
      <c r="J1576" s="2" t="s">
        <v>17826</v>
      </c>
      <c r="K1576" s="2" t="s">
        <v>17827</v>
      </c>
      <c r="L1576" s="2" t="s">
        <v>17828</v>
      </c>
      <c r="M1576" s="2" t="s">
        <v>17829</v>
      </c>
      <c r="N1576" s="2" t="s">
        <v>17830</v>
      </c>
      <c r="O1576" s="2" t="s">
        <v>17831</v>
      </c>
      <c r="P1576" s="2" t="s">
        <v>17819</v>
      </c>
    </row>
    <row r="1577" spans="1:16">
      <c r="A1577" s="1">
        <v>1576</v>
      </c>
      <c r="B1577" s="2" t="s">
        <v>17832</v>
      </c>
      <c r="C1577" s="2" t="s">
        <v>17833</v>
      </c>
      <c r="D1577" s="2" t="s">
        <v>17834</v>
      </c>
      <c r="E1577" s="2" t="s">
        <v>17835</v>
      </c>
      <c r="F1577" s="2" t="s">
        <v>17836</v>
      </c>
      <c r="G1577" s="2" t="s">
        <v>17837</v>
      </c>
      <c r="H1577" s="2" t="s">
        <v>17838</v>
      </c>
      <c r="I1577" s="2" t="s">
        <v>17839</v>
      </c>
      <c r="J1577" s="2" t="s">
        <v>17840</v>
      </c>
      <c r="K1577" s="2" t="s">
        <v>17841</v>
      </c>
      <c r="L1577" s="2" t="s">
        <v>17842</v>
      </c>
      <c r="M1577" s="2" t="s">
        <v>17843</v>
      </c>
      <c r="N1577" s="2" t="s">
        <v>17844</v>
      </c>
      <c r="O1577" s="2" t="s">
        <v>17845</v>
      </c>
      <c r="P1577" s="2" t="s">
        <v>17832</v>
      </c>
    </row>
    <row r="1578" spans="1:16">
      <c r="A1578" s="1">
        <v>1577</v>
      </c>
      <c r="B1578" s="2" t="s">
        <v>17846</v>
      </c>
      <c r="C1578" s="2" t="s">
        <v>17847</v>
      </c>
      <c r="D1578" s="2" t="s">
        <v>17848</v>
      </c>
      <c r="E1578" s="2" t="s">
        <v>17849</v>
      </c>
      <c r="F1578" s="2" t="s">
        <v>17850</v>
      </c>
      <c r="G1578" s="2" t="s">
        <v>17851</v>
      </c>
      <c r="H1578" s="2" t="s">
        <v>17852</v>
      </c>
      <c r="I1578" s="2" t="s">
        <v>17853</v>
      </c>
      <c r="J1578" s="2" t="s">
        <v>17854</v>
      </c>
      <c r="K1578" s="2" t="s">
        <v>17855</v>
      </c>
      <c r="L1578" s="2" t="s">
        <v>17856</v>
      </c>
      <c r="M1578" s="2" t="s">
        <v>17857</v>
      </c>
      <c r="N1578" s="2" t="s">
        <v>17858</v>
      </c>
      <c r="O1578" s="2" t="s">
        <v>17859</v>
      </c>
      <c r="P1578" s="2" t="s">
        <v>17846</v>
      </c>
    </row>
    <row r="1579" spans="1:16">
      <c r="A1579" s="1">
        <v>1578</v>
      </c>
      <c r="B1579" s="2" t="s">
        <v>1939</v>
      </c>
      <c r="C1579" s="2" t="s">
        <v>17406</v>
      </c>
      <c r="D1579" s="2" t="s">
        <v>1941</v>
      </c>
      <c r="E1579" s="2" t="s">
        <v>1942</v>
      </c>
      <c r="F1579" s="2" t="s">
        <v>1943</v>
      </c>
      <c r="G1579" s="2" t="s">
        <v>1944</v>
      </c>
      <c r="H1579" s="2" t="s">
        <v>1945</v>
      </c>
      <c r="I1579" s="2" t="s">
        <v>1946</v>
      </c>
      <c r="J1579" s="2" t="s">
        <v>1947</v>
      </c>
      <c r="K1579" s="2" t="s">
        <v>1948</v>
      </c>
      <c r="L1579" s="2" t="s">
        <v>1949</v>
      </c>
      <c r="M1579" s="2" t="s">
        <v>1950</v>
      </c>
      <c r="N1579" s="2" t="s">
        <v>1951</v>
      </c>
      <c r="O1579" s="2" t="s">
        <v>1952</v>
      </c>
      <c r="P1579" s="2" t="s">
        <v>1939</v>
      </c>
    </row>
    <row r="1580" spans="1:16">
      <c r="A1580" s="1">
        <v>1579</v>
      </c>
      <c r="B1580" s="2" t="s">
        <v>1965</v>
      </c>
      <c r="C1580" s="2" t="s">
        <v>17860</v>
      </c>
      <c r="D1580" s="2" t="s">
        <v>1967</v>
      </c>
      <c r="E1580" s="2" t="s">
        <v>1968</v>
      </c>
      <c r="F1580" s="2" t="s">
        <v>1969</v>
      </c>
      <c r="G1580" s="2" t="s">
        <v>1970</v>
      </c>
      <c r="H1580" s="2" t="s">
        <v>1971</v>
      </c>
      <c r="I1580" s="2" t="s">
        <v>1972</v>
      </c>
      <c r="J1580" s="2" t="s">
        <v>1973</v>
      </c>
      <c r="K1580" s="2" t="s">
        <v>1974</v>
      </c>
      <c r="L1580" s="2" t="s">
        <v>1975</v>
      </c>
      <c r="M1580" s="2" t="s">
        <v>1976</v>
      </c>
      <c r="N1580" s="2" t="s">
        <v>1977</v>
      </c>
      <c r="O1580" s="2" t="s">
        <v>1978</v>
      </c>
      <c r="P1580" s="2" t="s">
        <v>1965</v>
      </c>
    </row>
    <row r="1581" spans="1:16">
      <c r="A1581" s="1">
        <v>1580</v>
      </c>
      <c r="B1581" s="2" t="s">
        <v>5125</v>
      </c>
      <c r="C1581" s="2" t="s">
        <v>17861</v>
      </c>
      <c r="D1581" s="2" t="s">
        <v>5127</v>
      </c>
      <c r="E1581" s="2" t="s">
        <v>5128</v>
      </c>
      <c r="F1581" s="2" t="s">
        <v>5129</v>
      </c>
      <c r="G1581" s="2" t="s">
        <v>5130</v>
      </c>
      <c r="H1581" s="2" t="s">
        <v>5131</v>
      </c>
      <c r="I1581" s="2" t="s">
        <v>5132</v>
      </c>
      <c r="J1581" s="2" t="s">
        <v>5133</v>
      </c>
      <c r="K1581" s="2" t="s">
        <v>5134</v>
      </c>
      <c r="L1581" s="2" t="s">
        <v>5135</v>
      </c>
      <c r="M1581" s="2" t="s">
        <v>5136</v>
      </c>
      <c r="N1581" s="2" t="s">
        <v>5137</v>
      </c>
      <c r="O1581" s="2" t="s">
        <v>5138</v>
      </c>
      <c r="P1581" s="2" t="s">
        <v>5125</v>
      </c>
    </row>
    <row r="1582" spans="1:16">
      <c r="A1582" s="1">
        <v>1581</v>
      </c>
      <c r="B1582" s="2" t="s">
        <v>17862</v>
      </c>
      <c r="C1582" s="2" t="s">
        <v>17863</v>
      </c>
      <c r="D1582" s="2" t="s">
        <v>17864</v>
      </c>
      <c r="E1582" s="2" t="s">
        <v>17865</v>
      </c>
      <c r="F1582" s="2" t="s">
        <v>17866</v>
      </c>
      <c r="G1582" s="2" t="s">
        <v>17867</v>
      </c>
      <c r="H1582" s="2" t="s">
        <v>17868</v>
      </c>
      <c r="I1582" s="2" t="s">
        <v>17869</v>
      </c>
      <c r="J1582" s="2" t="s">
        <v>17870</v>
      </c>
      <c r="K1582" s="2" t="s">
        <v>17871</v>
      </c>
      <c r="L1582" s="2" t="s">
        <v>17872</v>
      </c>
      <c r="M1582" s="2" t="s">
        <v>17873</v>
      </c>
      <c r="N1582" s="2" t="s">
        <v>17874</v>
      </c>
      <c r="O1582" s="2" t="s">
        <v>17875</v>
      </c>
      <c r="P1582" s="2" t="s">
        <v>17862</v>
      </c>
    </row>
    <row r="1583" spans="1:16">
      <c r="A1583" s="1">
        <v>1582</v>
      </c>
      <c r="B1583" s="2" t="s">
        <v>17876</v>
      </c>
      <c r="C1583" s="2" t="s">
        <v>17877</v>
      </c>
      <c r="D1583" s="2" t="s">
        <v>17878</v>
      </c>
      <c r="E1583" s="2" t="s">
        <v>17879</v>
      </c>
      <c r="F1583" s="2" t="s">
        <v>17880</v>
      </c>
      <c r="G1583" s="2" t="s">
        <v>17881</v>
      </c>
      <c r="H1583" s="2" t="s">
        <v>17882</v>
      </c>
      <c r="I1583" s="2" t="s">
        <v>17883</v>
      </c>
      <c r="J1583" s="2" t="s">
        <v>17884</v>
      </c>
      <c r="K1583" s="2" t="s">
        <v>17885</v>
      </c>
      <c r="L1583" s="2" t="s">
        <v>17886</v>
      </c>
      <c r="M1583" s="2" t="s">
        <v>17887</v>
      </c>
      <c r="N1583" s="2" t="s">
        <v>17888</v>
      </c>
      <c r="O1583" s="2" t="s">
        <v>17889</v>
      </c>
      <c r="P1583" s="2" t="s">
        <v>17876</v>
      </c>
    </row>
    <row r="1584" spans="1:16">
      <c r="A1584" s="1">
        <v>1583</v>
      </c>
      <c r="B1584" s="2" t="s">
        <v>17890</v>
      </c>
      <c r="C1584" s="2" t="s">
        <v>25022</v>
      </c>
      <c r="D1584" s="2" t="s">
        <v>17891</v>
      </c>
      <c r="E1584" s="2" t="s">
        <v>17892</v>
      </c>
      <c r="F1584" s="2" t="s">
        <v>17893</v>
      </c>
      <c r="G1584" s="2" t="s">
        <v>17894</v>
      </c>
      <c r="H1584" s="2" t="s">
        <v>17895</v>
      </c>
      <c r="I1584" s="2" t="s">
        <v>17896</v>
      </c>
      <c r="J1584" s="2" t="s">
        <v>17897</v>
      </c>
      <c r="K1584" s="2" t="s">
        <v>17898</v>
      </c>
      <c r="L1584" s="2" t="s">
        <v>17899</v>
      </c>
      <c r="M1584" s="2" t="s">
        <v>17900</v>
      </c>
      <c r="N1584" s="2" t="s">
        <v>17901</v>
      </c>
      <c r="O1584" s="2" t="s">
        <v>17902</v>
      </c>
      <c r="P1584" s="2" t="s">
        <v>17890</v>
      </c>
    </row>
    <row r="1585" spans="1:16">
      <c r="A1585" s="1">
        <v>1584</v>
      </c>
      <c r="B1585" s="2" t="s">
        <v>5139</v>
      </c>
      <c r="C1585" s="2" t="s">
        <v>17903</v>
      </c>
      <c r="D1585" s="2" t="s">
        <v>5141</v>
      </c>
      <c r="E1585" s="2" t="s">
        <v>5142</v>
      </c>
      <c r="F1585" s="2" t="s">
        <v>5143</v>
      </c>
      <c r="G1585" s="2" t="s">
        <v>5144</v>
      </c>
      <c r="H1585" s="2" t="s">
        <v>5145</v>
      </c>
      <c r="I1585" s="2" t="s">
        <v>5146</v>
      </c>
      <c r="J1585" s="2" t="s">
        <v>5147</v>
      </c>
      <c r="K1585" s="2" t="s">
        <v>5148</v>
      </c>
      <c r="L1585" s="2" t="s">
        <v>5149</v>
      </c>
      <c r="M1585" s="2" t="s">
        <v>5150</v>
      </c>
      <c r="N1585" s="2" t="s">
        <v>5151</v>
      </c>
      <c r="O1585" s="2" t="s">
        <v>5152</v>
      </c>
      <c r="P1585" s="2" t="s">
        <v>5139</v>
      </c>
    </row>
    <row r="1586" spans="1:16">
      <c r="A1586" s="1">
        <v>1585</v>
      </c>
      <c r="B1586" s="2" t="s">
        <v>22916</v>
      </c>
      <c r="C1586" s="2" t="s">
        <v>17905</v>
      </c>
      <c r="D1586" s="2" t="s">
        <v>17906</v>
      </c>
      <c r="E1586" s="2" t="s">
        <v>25789</v>
      </c>
      <c r="F1586" s="2" t="s">
        <v>17907</v>
      </c>
      <c r="G1586" s="2" t="s">
        <v>17908</v>
      </c>
      <c r="H1586" s="2" t="s">
        <v>17909</v>
      </c>
      <c r="I1586" s="2" t="s">
        <v>17910</v>
      </c>
      <c r="J1586" s="2" t="s">
        <v>17911</v>
      </c>
      <c r="K1586" s="2" t="s">
        <v>17912</v>
      </c>
      <c r="L1586" s="2" t="s">
        <v>17913</v>
      </c>
      <c r="M1586" s="2" t="s">
        <v>17914</v>
      </c>
      <c r="N1586" s="2" t="s">
        <v>17915</v>
      </c>
      <c r="O1586" s="2" t="s">
        <v>17916</v>
      </c>
      <c r="P1586" s="2" t="s">
        <v>17904</v>
      </c>
    </row>
    <row r="1587" spans="1:16">
      <c r="A1587" s="1">
        <v>1586</v>
      </c>
      <c r="B1587" s="2" t="s">
        <v>17917</v>
      </c>
      <c r="C1587" s="2" t="s">
        <v>17918</v>
      </c>
      <c r="D1587" s="2" t="s">
        <v>17082</v>
      </c>
      <c r="E1587" s="2" t="s">
        <v>17919</v>
      </c>
      <c r="F1587" s="2" t="s">
        <v>17920</v>
      </c>
      <c r="G1587" s="2" t="s">
        <v>17921</v>
      </c>
      <c r="H1587" s="2" t="s">
        <v>17922</v>
      </c>
      <c r="I1587" s="2" t="s">
        <v>17923</v>
      </c>
      <c r="J1587" s="2" t="s">
        <v>17924</v>
      </c>
      <c r="K1587" s="2" t="s">
        <v>17925</v>
      </c>
      <c r="L1587" s="2" t="s">
        <v>17926</v>
      </c>
      <c r="M1587" s="2" t="s">
        <v>17927</v>
      </c>
      <c r="N1587" s="2" t="s">
        <v>17928</v>
      </c>
      <c r="O1587" s="2" t="s">
        <v>17929</v>
      </c>
      <c r="P1587" s="2" t="s">
        <v>17917</v>
      </c>
    </row>
    <row r="1588" spans="1:16">
      <c r="A1588" s="1">
        <v>1587</v>
      </c>
      <c r="B1588" s="2" t="s">
        <v>17930</v>
      </c>
      <c r="C1588" s="2" t="s">
        <v>17931</v>
      </c>
      <c r="D1588" s="2" t="s">
        <v>22917</v>
      </c>
      <c r="E1588" s="2" t="s">
        <v>17932</v>
      </c>
      <c r="F1588" s="2" t="s">
        <v>17933</v>
      </c>
      <c r="G1588" s="2" t="s">
        <v>17934</v>
      </c>
      <c r="H1588" s="2" t="s">
        <v>17935</v>
      </c>
      <c r="I1588" s="2" t="s">
        <v>17936</v>
      </c>
      <c r="J1588" s="2" t="s">
        <v>17937</v>
      </c>
      <c r="K1588" s="2" t="s">
        <v>17938</v>
      </c>
      <c r="L1588" s="2" t="s">
        <v>17939</v>
      </c>
      <c r="M1588" s="2" t="s">
        <v>17934</v>
      </c>
      <c r="N1588" s="2" t="s">
        <v>17940</v>
      </c>
      <c r="O1588" s="2" t="s">
        <v>17938</v>
      </c>
      <c r="P1588" s="2" t="s">
        <v>17930</v>
      </c>
    </row>
    <row r="1589" spans="1:16">
      <c r="A1589" s="1">
        <v>1588</v>
      </c>
      <c r="B1589" s="2" t="s">
        <v>17941</v>
      </c>
      <c r="C1589" s="2" t="s">
        <v>17942</v>
      </c>
      <c r="D1589" s="2" t="s">
        <v>17943</v>
      </c>
      <c r="E1589" s="2" t="s">
        <v>17944</v>
      </c>
      <c r="F1589" s="2" t="s">
        <v>17945</v>
      </c>
      <c r="G1589" s="2" t="s">
        <v>17946</v>
      </c>
      <c r="H1589" s="2" t="s">
        <v>17947</v>
      </c>
      <c r="I1589" s="2" t="s">
        <v>17948</v>
      </c>
      <c r="J1589" s="2" t="s">
        <v>17949</v>
      </c>
      <c r="K1589" s="2" t="s">
        <v>17950</v>
      </c>
      <c r="L1589" s="2" t="s">
        <v>17951</v>
      </c>
      <c r="M1589" s="2" t="s">
        <v>17952</v>
      </c>
      <c r="N1589" s="2" t="s">
        <v>17953</v>
      </c>
      <c r="O1589" s="2" t="s">
        <v>17954</v>
      </c>
      <c r="P1589" s="2" t="s">
        <v>17941</v>
      </c>
    </row>
    <row r="1590" spans="1:16" ht="15" customHeight="1">
      <c r="A1590" s="1">
        <v>1589</v>
      </c>
      <c r="B1590" s="2" t="s">
        <v>17955</v>
      </c>
      <c r="C1590" s="2" t="s">
        <v>17956</v>
      </c>
      <c r="D1590" s="2" t="s">
        <v>17957</v>
      </c>
      <c r="E1590" s="2" t="s">
        <v>17958</v>
      </c>
      <c r="F1590" s="2" t="s">
        <v>17959</v>
      </c>
      <c r="G1590" s="2" t="s">
        <v>17960</v>
      </c>
      <c r="H1590" s="2" t="s">
        <v>17961</v>
      </c>
      <c r="I1590" s="2" t="s">
        <v>17962</v>
      </c>
      <c r="J1590" s="2" t="s">
        <v>17963</v>
      </c>
      <c r="K1590" s="2" t="s">
        <v>17964</v>
      </c>
      <c r="L1590" s="2" t="s">
        <v>17965</v>
      </c>
      <c r="M1590" s="2" t="s">
        <v>17966</v>
      </c>
      <c r="N1590" s="2" t="s">
        <v>17967</v>
      </c>
      <c r="O1590" s="2" t="s">
        <v>17968</v>
      </c>
      <c r="P1590" s="2" t="s">
        <v>17955</v>
      </c>
    </row>
    <row r="1591" spans="1:16" ht="15" customHeight="1">
      <c r="A1591" s="1">
        <v>1590</v>
      </c>
      <c r="B1591" s="2" t="s">
        <v>17969</v>
      </c>
      <c r="C1591" s="2" t="s">
        <v>17970</v>
      </c>
      <c r="D1591" s="2" t="s">
        <v>22918</v>
      </c>
      <c r="E1591" s="2" t="s">
        <v>17971</v>
      </c>
      <c r="F1591" s="2" t="s">
        <v>17972</v>
      </c>
      <c r="G1591" s="2" t="s">
        <v>17972</v>
      </c>
      <c r="H1591" s="2" t="s">
        <v>17973</v>
      </c>
      <c r="I1591" s="2" t="s">
        <v>17974</v>
      </c>
      <c r="J1591" s="2" t="s">
        <v>17975</v>
      </c>
      <c r="K1591" s="2" t="s">
        <v>17976</v>
      </c>
      <c r="L1591" s="2" t="s">
        <v>17977</v>
      </c>
      <c r="M1591" s="2" t="s">
        <v>17978</v>
      </c>
      <c r="N1591" s="2" t="s">
        <v>17979</v>
      </c>
      <c r="O1591" s="2" t="s">
        <v>17976</v>
      </c>
      <c r="P1591" s="2" t="s">
        <v>17969</v>
      </c>
    </row>
    <row r="1592" spans="1:16" ht="15" customHeight="1">
      <c r="A1592" s="1">
        <v>1591</v>
      </c>
      <c r="B1592" s="2" t="s">
        <v>17980</v>
      </c>
      <c r="C1592" s="2" t="s">
        <v>17981</v>
      </c>
      <c r="D1592" s="2" t="s">
        <v>17982</v>
      </c>
      <c r="E1592" s="2" t="s">
        <v>17983</v>
      </c>
      <c r="F1592" s="2" t="s">
        <v>17984</v>
      </c>
      <c r="G1592" s="2" t="s">
        <v>17985</v>
      </c>
      <c r="H1592" s="2" t="s">
        <v>17986</v>
      </c>
      <c r="I1592" s="2" t="s">
        <v>17987</v>
      </c>
      <c r="J1592" s="2" t="s">
        <v>17988</v>
      </c>
      <c r="K1592" s="2" t="s">
        <v>17989</v>
      </c>
      <c r="L1592" s="2" t="s">
        <v>17990</v>
      </c>
      <c r="M1592" s="2" t="s">
        <v>17991</v>
      </c>
      <c r="N1592" s="2" t="s">
        <v>17992</v>
      </c>
      <c r="O1592" s="2" t="s">
        <v>17993</v>
      </c>
      <c r="P1592" s="2" t="s">
        <v>17980</v>
      </c>
    </row>
    <row r="1593" spans="1:16" ht="15" customHeight="1">
      <c r="A1593" s="1">
        <v>1592</v>
      </c>
      <c r="B1593" s="2" t="s">
        <v>17994</v>
      </c>
      <c r="C1593" s="2" t="s">
        <v>17995</v>
      </c>
      <c r="D1593" s="2" t="s">
        <v>17996</v>
      </c>
      <c r="E1593" s="2" t="s">
        <v>17997</v>
      </c>
      <c r="F1593" s="2" t="s">
        <v>17998</v>
      </c>
      <c r="G1593" s="2" t="s">
        <v>17999</v>
      </c>
      <c r="H1593" s="2" t="s">
        <v>18000</v>
      </c>
      <c r="I1593" s="2" t="s">
        <v>18001</v>
      </c>
      <c r="J1593" s="2" t="s">
        <v>18002</v>
      </c>
      <c r="K1593" s="2" t="s">
        <v>18003</v>
      </c>
      <c r="L1593" s="2" t="s">
        <v>18004</v>
      </c>
      <c r="M1593" s="2" t="s">
        <v>18005</v>
      </c>
      <c r="N1593" s="2" t="s">
        <v>18006</v>
      </c>
      <c r="O1593" s="2" t="s">
        <v>18007</v>
      </c>
      <c r="P1593" s="2" t="s">
        <v>17994</v>
      </c>
    </row>
    <row r="1594" spans="1:16" ht="15" customHeight="1">
      <c r="A1594" s="1">
        <v>1593</v>
      </c>
      <c r="B1594" s="2" t="s">
        <v>18008</v>
      </c>
      <c r="C1594" s="2" t="s">
        <v>18009</v>
      </c>
      <c r="D1594" s="2" t="s">
        <v>18010</v>
      </c>
      <c r="E1594" s="2" t="s">
        <v>18011</v>
      </c>
      <c r="F1594" s="2" t="s">
        <v>18012</v>
      </c>
      <c r="G1594" s="2" t="s">
        <v>18013</v>
      </c>
      <c r="H1594" s="2" t="s">
        <v>18014</v>
      </c>
      <c r="I1594" s="2" t="s">
        <v>18015</v>
      </c>
      <c r="J1594" s="2" t="s">
        <v>18016</v>
      </c>
      <c r="K1594" s="2" t="s">
        <v>18017</v>
      </c>
      <c r="L1594" s="2" t="s">
        <v>18018</v>
      </c>
      <c r="M1594" s="2" t="s">
        <v>18019</v>
      </c>
      <c r="N1594" s="2" t="s">
        <v>18020</v>
      </c>
      <c r="O1594" s="2" t="s">
        <v>18021</v>
      </c>
      <c r="P1594" s="2" t="s">
        <v>18008</v>
      </c>
    </row>
    <row r="1595" spans="1:16" ht="15" customHeight="1">
      <c r="A1595" s="1">
        <v>1594</v>
      </c>
      <c r="B1595" s="2" t="s">
        <v>18022</v>
      </c>
      <c r="C1595" s="2" t="s">
        <v>18023</v>
      </c>
      <c r="D1595" s="2" t="s">
        <v>18023</v>
      </c>
      <c r="E1595" s="2" t="s">
        <v>18024</v>
      </c>
      <c r="F1595" s="2" t="s">
        <v>18025</v>
      </c>
      <c r="G1595" s="2" t="s">
        <v>18026</v>
      </c>
      <c r="H1595" s="2" t="s">
        <v>18022</v>
      </c>
      <c r="I1595" s="2" t="s">
        <v>18025</v>
      </c>
      <c r="J1595" s="2" t="s">
        <v>18027</v>
      </c>
      <c r="K1595" s="2" t="s">
        <v>25023</v>
      </c>
      <c r="L1595" s="2" t="s">
        <v>18028</v>
      </c>
      <c r="M1595" s="2" t="s">
        <v>18029</v>
      </c>
      <c r="N1595" s="2" t="s">
        <v>18022</v>
      </c>
      <c r="O1595" s="2" t="s">
        <v>18022</v>
      </c>
      <c r="P1595" s="2" t="s">
        <v>18022</v>
      </c>
    </row>
    <row r="1596" spans="1:16" ht="15" customHeight="1">
      <c r="A1596" s="1">
        <v>1595</v>
      </c>
      <c r="B1596" s="2" t="s">
        <v>18030</v>
      </c>
      <c r="C1596" s="2" t="s">
        <v>18031</v>
      </c>
      <c r="D1596" s="2" t="s">
        <v>18032</v>
      </c>
      <c r="E1596" s="2" t="s">
        <v>18033</v>
      </c>
      <c r="F1596" s="2" t="s">
        <v>18034</v>
      </c>
      <c r="G1596" s="2" t="s">
        <v>18035</v>
      </c>
      <c r="H1596" s="2" t="s">
        <v>18030</v>
      </c>
      <c r="I1596" s="2" t="s">
        <v>18036</v>
      </c>
      <c r="J1596" s="2" t="s">
        <v>18037</v>
      </c>
      <c r="K1596" s="2" t="s">
        <v>25024</v>
      </c>
      <c r="L1596" s="2" t="s">
        <v>18038</v>
      </c>
      <c r="M1596" s="2" t="s">
        <v>18039</v>
      </c>
      <c r="N1596" s="2" t="s">
        <v>18040</v>
      </c>
      <c r="O1596" s="2" t="s">
        <v>18041</v>
      </c>
      <c r="P1596" s="2" t="s">
        <v>18030</v>
      </c>
    </row>
    <row r="1597" spans="1:16" ht="15" customHeight="1">
      <c r="A1597" s="1">
        <v>1596</v>
      </c>
      <c r="B1597" s="2" t="s">
        <v>18042</v>
      </c>
      <c r="C1597" s="2" t="s">
        <v>18043</v>
      </c>
      <c r="D1597" s="2" t="s">
        <v>18044</v>
      </c>
      <c r="E1597" s="2" t="s">
        <v>18044</v>
      </c>
      <c r="F1597" s="2" t="s">
        <v>18045</v>
      </c>
      <c r="G1597" s="2" t="s">
        <v>18046</v>
      </c>
      <c r="H1597" s="2" t="s">
        <v>18042</v>
      </c>
      <c r="I1597" s="2" t="s">
        <v>18045</v>
      </c>
      <c r="J1597" s="2" t="s">
        <v>18047</v>
      </c>
      <c r="K1597" s="2" t="s">
        <v>25025</v>
      </c>
      <c r="L1597" s="2" t="s">
        <v>18048</v>
      </c>
      <c r="M1597" s="2" t="s">
        <v>18049</v>
      </c>
      <c r="N1597" s="2" t="s">
        <v>18050</v>
      </c>
      <c r="O1597" s="2" t="s">
        <v>18051</v>
      </c>
      <c r="P1597" s="2" t="s">
        <v>18042</v>
      </c>
    </row>
    <row r="1598" spans="1:16" ht="15" customHeight="1">
      <c r="A1598" s="1">
        <v>1597</v>
      </c>
      <c r="B1598" s="2" t="s">
        <v>18044</v>
      </c>
      <c r="C1598" s="2" t="s">
        <v>18044</v>
      </c>
      <c r="D1598" s="2" t="s">
        <v>18044</v>
      </c>
      <c r="E1598" s="2" t="s">
        <v>18044</v>
      </c>
      <c r="F1598" s="2" t="s">
        <v>18044</v>
      </c>
      <c r="G1598" s="2" t="s">
        <v>18044</v>
      </c>
      <c r="H1598" s="2" t="s">
        <v>18044</v>
      </c>
      <c r="I1598" s="2" t="s">
        <v>18044</v>
      </c>
      <c r="J1598" s="2" t="s">
        <v>18044</v>
      </c>
      <c r="K1598" s="2" t="s">
        <v>18044</v>
      </c>
      <c r="L1598" s="2" t="s">
        <v>18044</v>
      </c>
      <c r="M1598" s="2" t="s">
        <v>18044</v>
      </c>
      <c r="N1598" s="2" t="s">
        <v>18044</v>
      </c>
      <c r="O1598" s="2" t="s">
        <v>18044</v>
      </c>
      <c r="P1598" s="2" t="s">
        <v>18044</v>
      </c>
    </row>
    <row r="1599" spans="1:16" ht="15" customHeight="1">
      <c r="A1599" s="1">
        <v>1598</v>
      </c>
      <c r="B1599" s="2" t="s">
        <v>18052</v>
      </c>
      <c r="C1599" s="2" t="s">
        <v>18052</v>
      </c>
      <c r="D1599" s="2" t="s">
        <v>18052</v>
      </c>
      <c r="E1599" s="2" t="s">
        <v>18052</v>
      </c>
      <c r="F1599" s="2" t="s">
        <v>18052</v>
      </c>
      <c r="G1599" s="2" t="s">
        <v>18052</v>
      </c>
      <c r="H1599" s="2" t="s">
        <v>18052</v>
      </c>
      <c r="I1599" s="2" t="s">
        <v>18052</v>
      </c>
      <c r="J1599" s="2" t="s">
        <v>18052</v>
      </c>
      <c r="K1599" s="2" t="s">
        <v>18052</v>
      </c>
      <c r="L1599" s="2" t="s">
        <v>18052</v>
      </c>
      <c r="M1599" s="2" t="s">
        <v>18052</v>
      </c>
      <c r="N1599" s="2" t="s">
        <v>18052</v>
      </c>
      <c r="O1599" s="2" t="s">
        <v>18052</v>
      </c>
      <c r="P1599" s="2" t="s">
        <v>18052</v>
      </c>
    </row>
    <row r="1600" spans="1:16" ht="15" customHeight="1">
      <c r="A1600" s="1">
        <v>1599</v>
      </c>
      <c r="B1600" s="2" t="s">
        <v>18053</v>
      </c>
      <c r="C1600" s="2" t="s">
        <v>18054</v>
      </c>
      <c r="D1600" s="2" t="s">
        <v>18055</v>
      </c>
      <c r="E1600" s="2" t="s">
        <v>18056</v>
      </c>
      <c r="F1600" s="2" t="s">
        <v>18057</v>
      </c>
      <c r="G1600" s="2" t="s">
        <v>18058</v>
      </c>
      <c r="H1600" s="2" t="s">
        <v>18057</v>
      </c>
      <c r="I1600" s="2" t="s">
        <v>18057</v>
      </c>
      <c r="J1600" s="2" t="s">
        <v>18059</v>
      </c>
      <c r="K1600" s="2" t="s">
        <v>18060</v>
      </c>
      <c r="L1600" s="2" t="s">
        <v>18060</v>
      </c>
      <c r="M1600" s="2" t="s">
        <v>18060</v>
      </c>
      <c r="N1600" s="2" t="s">
        <v>18060</v>
      </c>
      <c r="O1600" s="2" t="s">
        <v>18060</v>
      </c>
      <c r="P1600" s="2" t="s">
        <v>18053</v>
      </c>
    </row>
    <row r="1601" spans="1:16" ht="15" customHeight="1">
      <c r="A1601" s="1">
        <v>1600</v>
      </c>
      <c r="B1601" s="2" t="s">
        <v>18061</v>
      </c>
      <c r="C1601" s="2" t="s">
        <v>18062</v>
      </c>
      <c r="D1601" s="2" t="s">
        <v>18063</v>
      </c>
      <c r="E1601" s="2" t="s">
        <v>18064</v>
      </c>
      <c r="F1601" s="2" t="s">
        <v>18065</v>
      </c>
      <c r="G1601" s="2" t="s">
        <v>18066</v>
      </c>
      <c r="H1601" s="2" t="s">
        <v>18061</v>
      </c>
      <c r="I1601" s="2" t="s">
        <v>18065</v>
      </c>
      <c r="J1601" s="2" t="s">
        <v>18067</v>
      </c>
      <c r="K1601" s="2" t="s">
        <v>25026</v>
      </c>
      <c r="L1601" s="2" t="s">
        <v>18068</v>
      </c>
      <c r="M1601" s="2" t="s">
        <v>18069</v>
      </c>
      <c r="N1601" s="2" t="s">
        <v>18070</v>
      </c>
      <c r="O1601" s="2" t="s">
        <v>18071</v>
      </c>
      <c r="P1601" s="2" t="s">
        <v>18061</v>
      </c>
    </row>
    <row r="1602" spans="1:16" ht="15" customHeight="1">
      <c r="A1602" s="1">
        <v>1601</v>
      </c>
      <c r="B1602" s="2" t="s">
        <v>18072</v>
      </c>
      <c r="C1602" s="2" t="s">
        <v>18073</v>
      </c>
      <c r="D1602" s="2" t="s">
        <v>18074</v>
      </c>
      <c r="E1602" s="2" t="s">
        <v>18075</v>
      </c>
      <c r="F1602" s="2" t="s">
        <v>18076</v>
      </c>
      <c r="G1602" s="2" t="s">
        <v>18072</v>
      </c>
      <c r="H1602" s="2" t="s">
        <v>18077</v>
      </c>
      <c r="I1602" s="2" t="s">
        <v>18078</v>
      </c>
      <c r="J1602" s="2" t="s">
        <v>18079</v>
      </c>
      <c r="K1602" s="2" t="s">
        <v>18072</v>
      </c>
      <c r="L1602" s="2" t="s">
        <v>18080</v>
      </c>
      <c r="M1602" s="2" t="s">
        <v>18081</v>
      </c>
      <c r="N1602" s="2" t="s">
        <v>18082</v>
      </c>
      <c r="O1602" s="2" t="s">
        <v>18083</v>
      </c>
      <c r="P1602" s="2" t="s">
        <v>18072</v>
      </c>
    </row>
    <row r="1603" spans="1:16" ht="15" customHeight="1">
      <c r="A1603" s="1">
        <v>1602</v>
      </c>
      <c r="B1603" s="2" t="s">
        <v>18084</v>
      </c>
      <c r="C1603" s="2" t="s">
        <v>18084</v>
      </c>
      <c r="D1603" s="3" t="s">
        <v>18085</v>
      </c>
      <c r="E1603" s="2" t="s">
        <v>18084</v>
      </c>
      <c r="F1603" s="2" t="s">
        <v>18084</v>
      </c>
      <c r="G1603" s="2" t="s">
        <v>18084</v>
      </c>
      <c r="H1603" s="2" t="s">
        <v>18086</v>
      </c>
      <c r="I1603" s="2" t="s">
        <v>18084</v>
      </c>
      <c r="J1603" s="2" t="s">
        <v>18084</v>
      </c>
      <c r="K1603" s="2" t="s">
        <v>18084</v>
      </c>
      <c r="L1603" s="2" t="s">
        <v>18084</v>
      </c>
      <c r="M1603" s="2" t="s">
        <v>18084</v>
      </c>
      <c r="N1603" s="2" t="s">
        <v>18084</v>
      </c>
      <c r="O1603" s="2" t="s">
        <v>18084</v>
      </c>
      <c r="P1603" s="2" t="s">
        <v>18084</v>
      </c>
    </row>
    <row r="1604" spans="1:16" ht="15" customHeight="1">
      <c r="A1604" s="1">
        <v>1603</v>
      </c>
      <c r="B1604" s="2" t="s">
        <v>18087</v>
      </c>
      <c r="C1604" s="2" t="s">
        <v>18088</v>
      </c>
      <c r="D1604" s="2" t="s">
        <v>18089</v>
      </c>
      <c r="E1604" s="2" t="s">
        <v>18087</v>
      </c>
      <c r="F1604" s="2" t="s">
        <v>18087</v>
      </c>
      <c r="G1604" s="2" t="s">
        <v>18087</v>
      </c>
      <c r="H1604" s="2" t="s">
        <v>18087</v>
      </c>
      <c r="I1604" s="2" t="s">
        <v>18087</v>
      </c>
      <c r="J1604" s="2" t="s">
        <v>18089</v>
      </c>
      <c r="K1604" s="2" t="s">
        <v>18088</v>
      </c>
      <c r="L1604" s="2" t="s">
        <v>18088</v>
      </c>
      <c r="M1604" s="2" t="s">
        <v>18088</v>
      </c>
      <c r="N1604" s="2" t="s">
        <v>18089</v>
      </c>
      <c r="O1604" s="2" t="s">
        <v>18087</v>
      </c>
      <c r="P1604" s="2" t="s">
        <v>18087</v>
      </c>
    </row>
    <row r="1605" spans="1:16" ht="15" customHeight="1">
      <c r="A1605" s="1">
        <v>1604</v>
      </c>
      <c r="B1605" s="2" t="s">
        <v>18090</v>
      </c>
      <c r="C1605" s="2" t="s">
        <v>18091</v>
      </c>
      <c r="D1605" s="2" t="s">
        <v>18092</v>
      </c>
      <c r="E1605" s="2" t="s">
        <v>18090</v>
      </c>
      <c r="F1605" s="2" t="s">
        <v>18090</v>
      </c>
      <c r="G1605" s="2" t="s">
        <v>18090</v>
      </c>
      <c r="H1605" s="2" t="s">
        <v>18090</v>
      </c>
      <c r="I1605" s="2" t="s">
        <v>18090</v>
      </c>
      <c r="J1605" s="2" t="s">
        <v>18092</v>
      </c>
      <c r="K1605" s="2" t="s">
        <v>18091</v>
      </c>
      <c r="L1605" s="2" t="s">
        <v>18091</v>
      </c>
      <c r="M1605" s="2" t="s">
        <v>18091</v>
      </c>
      <c r="N1605" s="2" t="s">
        <v>18092</v>
      </c>
      <c r="O1605" s="2" t="s">
        <v>18090</v>
      </c>
      <c r="P1605" s="2" t="s">
        <v>18090</v>
      </c>
    </row>
    <row r="1606" spans="1:16" ht="15" customHeight="1">
      <c r="A1606" s="1">
        <v>1605</v>
      </c>
      <c r="B1606" s="2" t="s">
        <v>18093</v>
      </c>
      <c r="C1606" s="2" t="s">
        <v>18094</v>
      </c>
      <c r="D1606" s="2" t="s">
        <v>18095</v>
      </c>
      <c r="E1606" s="2" t="s">
        <v>18093</v>
      </c>
      <c r="F1606" s="2" t="s">
        <v>18093</v>
      </c>
      <c r="G1606" s="2" t="s">
        <v>18093</v>
      </c>
      <c r="H1606" s="2" t="s">
        <v>18093</v>
      </c>
      <c r="I1606" s="2" t="s">
        <v>18093</v>
      </c>
      <c r="J1606" s="2" t="s">
        <v>18095</v>
      </c>
      <c r="K1606" s="2" t="s">
        <v>18094</v>
      </c>
      <c r="L1606" s="2" t="s">
        <v>18094</v>
      </c>
      <c r="M1606" s="2" t="s">
        <v>18094</v>
      </c>
      <c r="N1606" s="2" t="s">
        <v>18095</v>
      </c>
      <c r="O1606" s="2" t="s">
        <v>18093</v>
      </c>
      <c r="P1606" s="2" t="s">
        <v>18093</v>
      </c>
    </row>
    <row r="1607" spans="1:16" ht="15" customHeight="1">
      <c r="A1607" s="1">
        <v>1606</v>
      </c>
      <c r="B1607" s="2" t="s">
        <v>18096</v>
      </c>
      <c r="C1607" s="2" t="s">
        <v>18097</v>
      </c>
      <c r="D1607" s="2" t="s">
        <v>18098</v>
      </c>
      <c r="E1607" s="2" t="s">
        <v>18096</v>
      </c>
      <c r="F1607" s="2" t="s">
        <v>18096</v>
      </c>
      <c r="G1607" s="2" t="s">
        <v>18096</v>
      </c>
      <c r="H1607" s="2" t="s">
        <v>18096</v>
      </c>
      <c r="I1607" s="2" t="s">
        <v>18096</v>
      </c>
      <c r="J1607" s="2" t="s">
        <v>18098</v>
      </c>
      <c r="K1607" s="2" t="s">
        <v>18097</v>
      </c>
      <c r="L1607" s="2" t="s">
        <v>18097</v>
      </c>
      <c r="M1607" s="2" t="s">
        <v>18097</v>
      </c>
      <c r="N1607" s="2" t="s">
        <v>18098</v>
      </c>
      <c r="O1607" s="2" t="s">
        <v>18096</v>
      </c>
      <c r="P1607" s="2" t="s">
        <v>18096</v>
      </c>
    </row>
    <row r="1608" spans="1:16" ht="15" customHeight="1">
      <c r="A1608" s="1">
        <v>1607</v>
      </c>
      <c r="B1608" s="2" t="s">
        <v>18099</v>
      </c>
      <c r="C1608" s="2" t="s">
        <v>18100</v>
      </c>
      <c r="D1608" s="2" t="s">
        <v>18101</v>
      </c>
      <c r="E1608" s="2" t="s">
        <v>18102</v>
      </c>
      <c r="F1608" s="2" t="s">
        <v>18103</v>
      </c>
      <c r="G1608" s="2" t="s">
        <v>18104</v>
      </c>
      <c r="H1608" s="2" t="s">
        <v>18105</v>
      </c>
      <c r="I1608" s="2" t="s">
        <v>18106</v>
      </c>
      <c r="J1608" s="2" t="s">
        <v>18107</v>
      </c>
      <c r="K1608" s="2" t="s">
        <v>18110</v>
      </c>
      <c r="L1608" s="2" t="s">
        <v>18101</v>
      </c>
      <c r="M1608" s="2" t="s">
        <v>18108</v>
      </c>
      <c r="N1608" s="2" t="s">
        <v>18109</v>
      </c>
      <c r="O1608" s="2" t="s">
        <v>18110</v>
      </c>
      <c r="P1608" s="2" t="s">
        <v>18099</v>
      </c>
    </row>
    <row r="1609" spans="1:16" ht="15" customHeight="1">
      <c r="A1609" s="1">
        <v>1608</v>
      </c>
      <c r="B1609" s="2" t="s">
        <v>18111</v>
      </c>
      <c r="C1609" s="2" t="s">
        <v>18112</v>
      </c>
      <c r="D1609" s="2" t="s">
        <v>18113</v>
      </c>
      <c r="E1609" s="2" t="s">
        <v>14971</v>
      </c>
      <c r="F1609" s="2" t="s">
        <v>18114</v>
      </c>
      <c r="G1609" s="2" t="s">
        <v>18115</v>
      </c>
      <c r="H1609" s="2" t="s">
        <v>18116</v>
      </c>
      <c r="I1609" s="2" t="s">
        <v>18117</v>
      </c>
      <c r="J1609" s="2" t="s">
        <v>18118</v>
      </c>
      <c r="K1609" s="2" t="s">
        <v>14975</v>
      </c>
      <c r="L1609" s="2" t="s">
        <v>18119</v>
      </c>
      <c r="M1609" s="2" t="s">
        <v>12119</v>
      </c>
      <c r="N1609" s="2" t="s">
        <v>18120</v>
      </c>
      <c r="O1609" s="2" t="s">
        <v>14975</v>
      </c>
      <c r="P1609" s="2" t="s">
        <v>18111</v>
      </c>
    </row>
    <row r="1610" spans="1:16" ht="15" customHeight="1">
      <c r="A1610" s="1">
        <v>1609</v>
      </c>
      <c r="B1610" s="2" t="s">
        <v>18121</v>
      </c>
      <c r="C1610" s="2" t="s">
        <v>18122</v>
      </c>
      <c r="D1610" s="2" t="s">
        <v>18123</v>
      </c>
      <c r="E1610" s="2" t="s">
        <v>18124</v>
      </c>
      <c r="F1610" s="2" t="s">
        <v>18125</v>
      </c>
      <c r="G1610" s="2" t="s">
        <v>18126</v>
      </c>
      <c r="H1610" s="2" t="s">
        <v>18127</v>
      </c>
      <c r="I1610" s="2" t="s">
        <v>18128</v>
      </c>
      <c r="J1610" s="2" t="s">
        <v>18129</v>
      </c>
      <c r="K1610" s="2" t="s">
        <v>25027</v>
      </c>
      <c r="L1610" s="2" t="s">
        <v>18130</v>
      </c>
      <c r="M1610" s="2" t="s">
        <v>18131</v>
      </c>
      <c r="N1610" s="2" t="s">
        <v>18132</v>
      </c>
      <c r="O1610" s="2" t="s">
        <v>18133</v>
      </c>
      <c r="P1610" s="2" t="s">
        <v>18121</v>
      </c>
    </row>
    <row r="1611" spans="1:16" ht="15" customHeight="1">
      <c r="A1611" s="1">
        <v>1610</v>
      </c>
      <c r="B1611" s="2" t="s">
        <v>18134</v>
      </c>
      <c r="C1611" s="2" t="s">
        <v>18135</v>
      </c>
      <c r="D1611" s="2" t="s">
        <v>18136</v>
      </c>
      <c r="E1611" s="2" t="s">
        <v>18137</v>
      </c>
      <c r="F1611" s="2" t="s">
        <v>18138</v>
      </c>
      <c r="G1611" s="2" t="s">
        <v>18139</v>
      </c>
      <c r="H1611" s="2" t="s">
        <v>18140</v>
      </c>
      <c r="I1611" s="2" t="s">
        <v>18141</v>
      </c>
      <c r="J1611" s="2" t="s">
        <v>18142</v>
      </c>
      <c r="K1611" s="2" t="s">
        <v>25028</v>
      </c>
      <c r="L1611" s="2" t="s">
        <v>18143</v>
      </c>
      <c r="M1611" s="2" t="s">
        <v>18144</v>
      </c>
      <c r="N1611" s="2" t="s">
        <v>18145</v>
      </c>
      <c r="O1611" s="2" t="s">
        <v>18146</v>
      </c>
      <c r="P1611" s="2" t="s">
        <v>18134</v>
      </c>
    </row>
    <row r="1612" spans="1:16" ht="15" customHeight="1">
      <c r="A1612" s="1">
        <v>1611</v>
      </c>
      <c r="B1612" s="2" t="s">
        <v>18147</v>
      </c>
      <c r="C1612" s="2" t="s">
        <v>18148</v>
      </c>
      <c r="D1612" s="2" t="s">
        <v>18149</v>
      </c>
      <c r="E1612" s="2" t="s">
        <v>18150</v>
      </c>
      <c r="F1612" s="2" t="s">
        <v>18151</v>
      </c>
      <c r="G1612" s="2" t="s">
        <v>18152</v>
      </c>
      <c r="H1612" s="2" t="s">
        <v>18153</v>
      </c>
      <c r="I1612" s="2" t="s">
        <v>18154</v>
      </c>
      <c r="J1612" s="2" t="s">
        <v>18155</v>
      </c>
      <c r="K1612" s="2" t="s">
        <v>25029</v>
      </c>
      <c r="L1612" s="2" t="s">
        <v>18156</v>
      </c>
      <c r="M1612" s="2" t="s">
        <v>18157</v>
      </c>
      <c r="N1612" s="2" t="s">
        <v>18158</v>
      </c>
      <c r="O1612" s="2" t="s">
        <v>18159</v>
      </c>
      <c r="P1612" s="2" t="s">
        <v>18147</v>
      </c>
    </row>
    <row r="1613" spans="1:16" ht="15" customHeight="1">
      <c r="A1613" s="1">
        <v>1612</v>
      </c>
      <c r="B1613" s="2" t="s">
        <v>18160</v>
      </c>
      <c r="C1613" s="2" t="s">
        <v>18161</v>
      </c>
      <c r="D1613" s="2" t="s">
        <v>18162</v>
      </c>
      <c r="E1613" s="2" t="s">
        <v>18163</v>
      </c>
      <c r="F1613" s="2" t="s">
        <v>18164</v>
      </c>
      <c r="G1613" s="2" t="s">
        <v>18165</v>
      </c>
      <c r="H1613" s="2" t="s">
        <v>18166</v>
      </c>
      <c r="I1613" s="2" t="s">
        <v>18167</v>
      </c>
      <c r="J1613" s="2" t="s">
        <v>18168</v>
      </c>
      <c r="K1613" s="2" t="s">
        <v>25030</v>
      </c>
      <c r="L1613" s="2" t="s">
        <v>18169</v>
      </c>
      <c r="M1613" s="2" t="s">
        <v>18170</v>
      </c>
      <c r="N1613" s="2" t="s">
        <v>18171</v>
      </c>
      <c r="O1613" s="2" t="s">
        <v>18172</v>
      </c>
      <c r="P1613" s="2" t="s">
        <v>18160</v>
      </c>
    </row>
    <row r="1614" spans="1:16" ht="15" customHeight="1">
      <c r="A1614" s="1">
        <v>1613</v>
      </c>
      <c r="B1614" s="2" t="s">
        <v>18173</v>
      </c>
      <c r="C1614" s="2" t="s">
        <v>18174</v>
      </c>
      <c r="D1614" s="2" t="s">
        <v>18175</v>
      </c>
      <c r="E1614" s="2" t="s">
        <v>18176</v>
      </c>
      <c r="F1614" s="2" t="s">
        <v>18177</v>
      </c>
      <c r="G1614" s="2" t="s">
        <v>18178</v>
      </c>
      <c r="H1614" s="2" t="s">
        <v>18179</v>
      </c>
      <c r="I1614" s="2" t="s">
        <v>18180</v>
      </c>
      <c r="J1614" s="2" t="s">
        <v>18181</v>
      </c>
      <c r="K1614" s="2" t="s">
        <v>25031</v>
      </c>
      <c r="L1614" s="2" t="s">
        <v>18182</v>
      </c>
      <c r="M1614" s="2" t="s">
        <v>18183</v>
      </c>
      <c r="N1614" s="2" t="s">
        <v>18184</v>
      </c>
      <c r="O1614" s="2" t="s">
        <v>18185</v>
      </c>
      <c r="P1614" s="2" t="s">
        <v>18173</v>
      </c>
    </row>
    <row r="1615" spans="1:16" ht="15" customHeight="1">
      <c r="A1615" s="1">
        <v>1614</v>
      </c>
      <c r="B1615" s="2" t="s">
        <v>18186</v>
      </c>
      <c r="C1615" s="2" t="s">
        <v>18187</v>
      </c>
      <c r="D1615" s="2" t="s">
        <v>18188</v>
      </c>
      <c r="E1615" s="2" t="s">
        <v>18189</v>
      </c>
      <c r="F1615" s="2" t="s">
        <v>18190</v>
      </c>
      <c r="G1615" s="2" t="s">
        <v>18191</v>
      </c>
      <c r="H1615" s="2" t="s">
        <v>18192</v>
      </c>
      <c r="I1615" s="2" t="s">
        <v>18193</v>
      </c>
      <c r="J1615" s="2" t="s">
        <v>18194</v>
      </c>
      <c r="K1615" s="2" t="s">
        <v>25032</v>
      </c>
      <c r="L1615" s="2" t="s">
        <v>18195</v>
      </c>
      <c r="M1615" s="2" t="s">
        <v>18196</v>
      </c>
      <c r="N1615" s="2" t="s">
        <v>18197</v>
      </c>
      <c r="O1615" s="2" t="s">
        <v>18198</v>
      </c>
      <c r="P1615" s="2" t="s">
        <v>18186</v>
      </c>
    </row>
    <row r="1616" spans="1:16" ht="15" customHeight="1">
      <c r="A1616" s="1">
        <v>1615</v>
      </c>
      <c r="B1616" s="2" t="s">
        <v>18199</v>
      </c>
      <c r="C1616" s="2" t="s">
        <v>18200</v>
      </c>
      <c r="D1616" s="2" t="s">
        <v>22919</v>
      </c>
      <c r="E1616" s="2" t="s">
        <v>18201</v>
      </c>
      <c r="F1616" s="2" t="s">
        <v>18202</v>
      </c>
      <c r="G1616" s="2" t="s">
        <v>18203</v>
      </c>
      <c r="H1616" s="2" t="s">
        <v>18204</v>
      </c>
      <c r="I1616" s="2" t="s">
        <v>18205</v>
      </c>
      <c r="J1616" s="2" t="s">
        <v>18206</v>
      </c>
      <c r="K1616" s="2" t="s">
        <v>25033</v>
      </c>
      <c r="L1616" s="2" t="s">
        <v>18207</v>
      </c>
      <c r="M1616" s="2" t="s">
        <v>18208</v>
      </c>
      <c r="N1616" s="2" t="s">
        <v>18209</v>
      </c>
      <c r="O1616" s="2" t="s">
        <v>18210</v>
      </c>
      <c r="P1616" s="2" t="s">
        <v>18199</v>
      </c>
    </row>
    <row r="1617" spans="1:16" ht="15" customHeight="1">
      <c r="A1617" s="1">
        <v>1616</v>
      </c>
      <c r="B1617" s="2" t="s">
        <v>22920</v>
      </c>
      <c r="C1617" s="2" t="s">
        <v>18212</v>
      </c>
      <c r="D1617" s="2" t="s">
        <v>18213</v>
      </c>
      <c r="E1617" s="2" t="s">
        <v>18214</v>
      </c>
      <c r="F1617" s="2" t="s">
        <v>18215</v>
      </c>
      <c r="G1617" s="2" t="s">
        <v>18216</v>
      </c>
      <c r="H1617" s="2" t="s">
        <v>18217</v>
      </c>
      <c r="I1617" s="2" t="s">
        <v>18218</v>
      </c>
      <c r="J1617" s="2" t="s">
        <v>18219</v>
      </c>
      <c r="K1617" s="2" t="s">
        <v>25034</v>
      </c>
      <c r="L1617" s="2" t="s">
        <v>18220</v>
      </c>
      <c r="M1617" s="2" t="s">
        <v>18221</v>
      </c>
      <c r="N1617" s="2" t="s">
        <v>18222</v>
      </c>
      <c r="O1617" s="2" t="s">
        <v>18223</v>
      </c>
      <c r="P1617" s="2" t="s">
        <v>18211</v>
      </c>
    </row>
    <row r="1618" spans="1:16" ht="15" customHeight="1">
      <c r="A1618" s="1">
        <v>1617</v>
      </c>
      <c r="B1618" s="2" t="s">
        <v>18224</v>
      </c>
      <c r="C1618" s="2" t="s">
        <v>18224</v>
      </c>
      <c r="D1618" s="2" t="s">
        <v>18225</v>
      </c>
      <c r="E1618" s="2" t="s">
        <v>18226</v>
      </c>
      <c r="F1618" s="2" t="s">
        <v>18224</v>
      </c>
      <c r="G1618" s="2" t="s">
        <v>18224</v>
      </c>
      <c r="H1618" s="2" t="s">
        <v>18227</v>
      </c>
      <c r="I1618" s="2" t="s">
        <v>18228</v>
      </c>
      <c r="J1618" s="2" t="s">
        <v>18224</v>
      </c>
      <c r="K1618" s="2" t="s">
        <v>18229</v>
      </c>
      <c r="L1618" s="2" t="s">
        <v>18224</v>
      </c>
      <c r="M1618" s="2" t="s">
        <v>18224</v>
      </c>
      <c r="N1618" s="2" t="s">
        <v>18224</v>
      </c>
      <c r="O1618" s="2" t="s">
        <v>18229</v>
      </c>
      <c r="P1618" s="2" t="s">
        <v>18224</v>
      </c>
    </row>
    <row r="1619" spans="1:16" ht="15" customHeight="1">
      <c r="A1619" s="1">
        <v>1618</v>
      </c>
      <c r="B1619" s="2" t="s">
        <v>18230</v>
      </c>
      <c r="C1619" s="2" t="s">
        <v>18231</v>
      </c>
      <c r="D1619" s="2" t="s">
        <v>18232</v>
      </c>
      <c r="E1619" s="2" t="s">
        <v>18233</v>
      </c>
      <c r="F1619" s="2" t="s">
        <v>18234</v>
      </c>
      <c r="G1619" s="2" t="s">
        <v>18235</v>
      </c>
      <c r="H1619" s="2" t="s">
        <v>18236</v>
      </c>
      <c r="I1619" s="2" t="s">
        <v>18237</v>
      </c>
      <c r="J1619" s="2" t="s">
        <v>18238</v>
      </c>
      <c r="K1619" s="2" t="s">
        <v>25035</v>
      </c>
      <c r="L1619" s="2" t="s">
        <v>18239</v>
      </c>
      <c r="M1619" s="2" t="s">
        <v>18240</v>
      </c>
      <c r="N1619" s="2" t="s">
        <v>18241</v>
      </c>
      <c r="O1619" s="2" t="s">
        <v>18242</v>
      </c>
      <c r="P1619" s="2" t="s">
        <v>18230</v>
      </c>
    </row>
    <row r="1620" spans="1:16" ht="15" customHeight="1">
      <c r="A1620" s="1">
        <v>1619</v>
      </c>
      <c r="B1620" s="2" t="s">
        <v>18243</v>
      </c>
      <c r="C1620" s="2" t="s">
        <v>18244</v>
      </c>
      <c r="D1620" s="2" t="s">
        <v>18245</v>
      </c>
      <c r="E1620" s="2" t="s">
        <v>18246</v>
      </c>
      <c r="F1620" s="2" t="s">
        <v>18247</v>
      </c>
      <c r="G1620" s="2" t="s">
        <v>18243</v>
      </c>
      <c r="H1620" s="2" t="s">
        <v>18248</v>
      </c>
      <c r="I1620" s="2" t="s">
        <v>18249</v>
      </c>
      <c r="J1620" s="2" t="s">
        <v>18250</v>
      </c>
      <c r="K1620" s="2" t="s">
        <v>18251</v>
      </c>
      <c r="L1620" s="2" t="s">
        <v>18252</v>
      </c>
      <c r="M1620" s="2" t="s">
        <v>18253</v>
      </c>
      <c r="N1620" s="2" t="s">
        <v>18254</v>
      </c>
      <c r="O1620" s="2" t="s">
        <v>18255</v>
      </c>
      <c r="P1620" s="2" t="s">
        <v>18243</v>
      </c>
    </row>
    <row r="1621" spans="1:16" ht="15" customHeight="1">
      <c r="A1621" s="1">
        <v>1620</v>
      </c>
      <c r="B1621" s="2" t="s">
        <v>18256</v>
      </c>
      <c r="C1621" s="2" t="s">
        <v>18257</v>
      </c>
      <c r="D1621" s="2" t="s">
        <v>18258</v>
      </c>
      <c r="E1621" s="2" t="s">
        <v>18259</v>
      </c>
      <c r="F1621" s="2" t="s">
        <v>18260</v>
      </c>
      <c r="G1621" s="2" t="s">
        <v>18261</v>
      </c>
      <c r="H1621" s="2" t="s">
        <v>18262</v>
      </c>
      <c r="I1621" s="2" t="s">
        <v>18263</v>
      </c>
      <c r="J1621" s="2" t="s">
        <v>18264</v>
      </c>
      <c r="K1621" s="2" t="s">
        <v>25036</v>
      </c>
      <c r="L1621" s="2" t="s">
        <v>18265</v>
      </c>
      <c r="M1621" s="2" t="s">
        <v>18266</v>
      </c>
      <c r="N1621" s="2" t="s">
        <v>18267</v>
      </c>
      <c r="O1621" s="2" t="s">
        <v>18268</v>
      </c>
      <c r="P1621" s="2" t="s">
        <v>18256</v>
      </c>
    </row>
    <row r="1622" spans="1:16" ht="15" customHeight="1">
      <c r="A1622" s="1">
        <v>1621</v>
      </c>
      <c r="B1622" s="2" t="s">
        <v>18269</v>
      </c>
      <c r="C1622" s="2" t="s">
        <v>18270</v>
      </c>
      <c r="D1622" s="2" t="s">
        <v>18271</v>
      </c>
      <c r="E1622" s="2" t="s">
        <v>18272</v>
      </c>
      <c r="F1622" s="2" t="s">
        <v>18273</v>
      </c>
      <c r="G1622" s="2" t="s">
        <v>18274</v>
      </c>
      <c r="H1622" s="2" t="s">
        <v>18275</v>
      </c>
      <c r="I1622" s="2" t="s">
        <v>18276</v>
      </c>
      <c r="J1622" s="2" t="s">
        <v>18277</v>
      </c>
      <c r="K1622" s="2" t="s">
        <v>25037</v>
      </c>
      <c r="L1622" s="2" t="s">
        <v>18278</v>
      </c>
      <c r="M1622" s="2" t="s">
        <v>18279</v>
      </c>
      <c r="N1622" s="2" t="s">
        <v>18280</v>
      </c>
      <c r="O1622" s="2" t="s">
        <v>18281</v>
      </c>
      <c r="P1622" s="2" t="s">
        <v>18269</v>
      </c>
    </row>
    <row r="1623" spans="1:16" ht="15" customHeight="1">
      <c r="A1623" s="1">
        <v>1622</v>
      </c>
      <c r="B1623" s="2" t="s">
        <v>18282</v>
      </c>
      <c r="C1623" s="2" t="s">
        <v>18283</v>
      </c>
      <c r="D1623" s="2" t="s">
        <v>18284</v>
      </c>
      <c r="E1623" s="2" t="s">
        <v>18285</v>
      </c>
      <c r="F1623" s="2" t="s">
        <v>18286</v>
      </c>
      <c r="G1623" s="2" t="s">
        <v>18287</v>
      </c>
      <c r="H1623" s="2" t="s">
        <v>18288</v>
      </c>
      <c r="I1623" s="2" t="s">
        <v>18289</v>
      </c>
      <c r="J1623" s="2" t="s">
        <v>18290</v>
      </c>
      <c r="K1623" s="2" t="s">
        <v>18291</v>
      </c>
      <c r="L1623" s="2" t="s">
        <v>18292</v>
      </c>
      <c r="M1623" s="2" t="s">
        <v>18293</v>
      </c>
      <c r="N1623" s="2" t="s">
        <v>18294</v>
      </c>
      <c r="O1623" s="2" t="s">
        <v>18295</v>
      </c>
      <c r="P1623" s="2" t="s">
        <v>18282</v>
      </c>
    </row>
    <row r="1624" spans="1:16" ht="15" customHeight="1">
      <c r="A1624" s="1">
        <v>1623</v>
      </c>
      <c r="B1624" s="2" t="s">
        <v>18296</v>
      </c>
      <c r="C1624" s="2" t="s">
        <v>18297</v>
      </c>
      <c r="D1624" s="2" t="s">
        <v>18298</v>
      </c>
      <c r="E1624" s="2" t="s">
        <v>18299</v>
      </c>
      <c r="F1624" s="2" t="s">
        <v>18300</v>
      </c>
      <c r="G1624" s="2" t="s">
        <v>18301</v>
      </c>
      <c r="H1624" s="2" t="s">
        <v>18302</v>
      </c>
      <c r="I1624" s="2" t="s">
        <v>18300</v>
      </c>
      <c r="J1624" s="2" t="s">
        <v>18303</v>
      </c>
      <c r="K1624" s="2" t="s">
        <v>25038</v>
      </c>
      <c r="L1624" s="2" t="s">
        <v>18304</v>
      </c>
      <c r="M1624" s="2" t="s">
        <v>18305</v>
      </c>
      <c r="N1624" s="2" t="s">
        <v>18306</v>
      </c>
      <c r="O1624" s="2" t="s">
        <v>18307</v>
      </c>
      <c r="P1624" s="2" t="s">
        <v>18296</v>
      </c>
    </row>
    <row r="1625" spans="1:16" ht="15" customHeight="1">
      <c r="A1625" s="1">
        <v>1624</v>
      </c>
      <c r="B1625" s="2" t="s">
        <v>18308</v>
      </c>
      <c r="C1625" s="2" t="s">
        <v>18309</v>
      </c>
      <c r="D1625" s="2" t="s">
        <v>18310</v>
      </c>
      <c r="E1625" s="2" t="s">
        <v>18311</v>
      </c>
      <c r="F1625" s="2" t="s">
        <v>18312</v>
      </c>
      <c r="G1625" s="2" t="s">
        <v>18313</v>
      </c>
      <c r="H1625" s="2" t="s">
        <v>18314</v>
      </c>
      <c r="I1625" s="2" t="s">
        <v>18315</v>
      </c>
      <c r="J1625" s="2" t="s">
        <v>18316</v>
      </c>
      <c r="K1625" s="2" t="s">
        <v>25039</v>
      </c>
      <c r="L1625" s="2" t="s">
        <v>18317</v>
      </c>
      <c r="M1625" s="2" t="s">
        <v>18318</v>
      </c>
      <c r="N1625" s="2" t="s">
        <v>18319</v>
      </c>
      <c r="O1625" s="2" t="s">
        <v>18320</v>
      </c>
      <c r="P1625" s="2" t="s">
        <v>18308</v>
      </c>
    </row>
    <row r="1626" spans="1:16" ht="15" customHeight="1">
      <c r="A1626" s="1">
        <v>1625</v>
      </c>
      <c r="B1626" s="2" t="s">
        <v>25790</v>
      </c>
      <c r="C1626" s="2" t="s">
        <v>18321</v>
      </c>
      <c r="D1626" s="2" t="s">
        <v>18322</v>
      </c>
      <c r="E1626" s="2" t="s">
        <v>18323</v>
      </c>
      <c r="F1626" s="2" t="s">
        <v>18324</v>
      </c>
      <c r="G1626" s="2" t="s">
        <v>18325</v>
      </c>
      <c r="H1626" s="2" t="s">
        <v>18326</v>
      </c>
      <c r="I1626" s="2" t="s">
        <v>18327</v>
      </c>
      <c r="J1626" s="2" t="s">
        <v>18328</v>
      </c>
      <c r="K1626" s="2" t="s">
        <v>25040</v>
      </c>
      <c r="L1626" s="2" t="s">
        <v>18329</v>
      </c>
      <c r="M1626" s="2" t="s">
        <v>18330</v>
      </c>
      <c r="N1626" s="2" t="s">
        <v>18331</v>
      </c>
      <c r="O1626" s="2" t="s">
        <v>18332</v>
      </c>
      <c r="P1626" s="2" t="s">
        <v>25790</v>
      </c>
    </row>
    <row r="1627" spans="1:16" ht="15" customHeight="1">
      <c r="A1627" s="1">
        <v>1626</v>
      </c>
      <c r="B1627" s="2" t="s">
        <v>25791</v>
      </c>
      <c r="C1627" s="2" t="s">
        <v>18333</v>
      </c>
      <c r="D1627" s="2" t="s">
        <v>18334</v>
      </c>
      <c r="E1627" s="2" t="s">
        <v>18335</v>
      </c>
      <c r="F1627" s="2" t="s">
        <v>18336</v>
      </c>
      <c r="G1627" s="2" t="s">
        <v>18337</v>
      </c>
      <c r="H1627" s="2" t="s">
        <v>18338</v>
      </c>
      <c r="I1627" s="2" t="s">
        <v>18339</v>
      </c>
      <c r="J1627" s="2" t="s">
        <v>18340</v>
      </c>
      <c r="K1627" s="2" t="s">
        <v>25041</v>
      </c>
      <c r="L1627" s="2" t="s">
        <v>18341</v>
      </c>
      <c r="M1627" s="2" t="s">
        <v>18342</v>
      </c>
      <c r="N1627" s="2" t="s">
        <v>18343</v>
      </c>
      <c r="O1627" s="2" t="s">
        <v>18344</v>
      </c>
      <c r="P1627" s="2" t="s">
        <v>25791</v>
      </c>
    </row>
    <row r="1628" spans="1:16" ht="15" customHeight="1">
      <c r="A1628" s="1">
        <v>1627</v>
      </c>
      <c r="B1628" s="2" t="s">
        <v>18345</v>
      </c>
      <c r="C1628" s="2" t="s">
        <v>18346</v>
      </c>
      <c r="D1628" s="2" t="s">
        <v>18347</v>
      </c>
      <c r="E1628" s="2" t="s">
        <v>18348</v>
      </c>
      <c r="F1628" s="2" t="s">
        <v>18349</v>
      </c>
      <c r="G1628" s="2" t="s">
        <v>18350</v>
      </c>
      <c r="H1628" s="2" t="s">
        <v>18351</v>
      </c>
      <c r="I1628" s="2" t="s">
        <v>18352</v>
      </c>
      <c r="J1628" s="2" t="s">
        <v>18353</v>
      </c>
      <c r="K1628" s="2" t="s">
        <v>25042</v>
      </c>
      <c r="L1628" s="2" t="s">
        <v>18354</v>
      </c>
      <c r="M1628" s="2" t="s">
        <v>18355</v>
      </c>
      <c r="N1628" s="2" t="s">
        <v>18356</v>
      </c>
      <c r="O1628" s="2" t="s">
        <v>18357</v>
      </c>
      <c r="P1628" s="2" t="s">
        <v>18345</v>
      </c>
    </row>
    <row r="1629" spans="1:16" ht="15" customHeight="1">
      <c r="A1629" s="1">
        <v>1628</v>
      </c>
      <c r="B1629" s="2" t="s">
        <v>18358</v>
      </c>
      <c r="C1629" s="2" t="s">
        <v>18359</v>
      </c>
      <c r="D1629" s="2" t="s">
        <v>18360</v>
      </c>
      <c r="E1629" s="2" t="s">
        <v>18361</v>
      </c>
      <c r="F1629" s="2" t="s">
        <v>18362</v>
      </c>
      <c r="G1629" s="2" t="s">
        <v>18363</v>
      </c>
      <c r="H1629" s="2" t="s">
        <v>18364</v>
      </c>
      <c r="I1629" s="2" t="s">
        <v>18365</v>
      </c>
      <c r="J1629" s="2" t="s">
        <v>18366</v>
      </c>
      <c r="K1629" s="2" t="s">
        <v>25043</v>
      </c>
      <c r="L1629" s="2" t="s">
        <v>18367</v>
      </c>
      <c r="M1629" s="2" t="s">
        <v>18368</v>
      </c>
      <c r="N1629" s="2" t="s">
        <v>18369</v>
      </c>
      <c r="O1629" s="2" t="s">
        <v>18370</v>
      </c>
      <c r="P1629" s="2" t="s">
        <v>18358</v>
      </c>
    </row>
    <row r="1630" spans="1:16" ht="15" customHeight="1">
      <c r="A1630" s="1">
        <v>1629</v>
      </c>
      <c r="B1630" s="2" t="s">
        <v>25792</v>
      </c>
      <c r="C1630" s="2" t="s">
        <v>18371</v>
      </c>
      <c r="D1630" s="2" t="s">
        <v>18372</v>
      </c>
      <c r="E1630" s="2" t="s">
        <v>25793</v>
      </c>
      <c r="F1630" s="2" t="s">
        <v>18374</v>
      </c>
      <c r="G1630" s="2" t="s">
        <v>18375</v>
      </c>
      <c r="H1630" s="2" t="s">
        <v>18376</v>
      </c>
      <c r="I1630" s="2" t="s">
        <v>18377</v>
      </c>
      <c r="J1630" s="2" t="s">
        <v>18378</v>
      </c>
      <c r="K1630" s="2" t="s">
        <v>25044</v>
      </c>
      <c r="L1630" s="2" t="s">
        <v>18379</v>
      </c>
      <c r="M1630" s="2" t="s">
        <v>18380</v>
      </c>
      <c r="N1630" s="2" t="s">
        <v>18381</v>
      </c>
      <c r="O1630" s="2" t="s">
        <v>18382</v>
      </c>
      <c r="P1630" s="2" t="s">
        <v>25792</v>
      </c>
    </row>
    <row r="1631" spans="1:16" ht="15" customHeight="1">
      <c r="A1631" s="1">
        <v>1630</v>
      </c>
      <c r="B1631" s="2" t="s">
        <v>18383</v>
      </c>
      <c r="C1631" s="2" t="s">
        <v>18384</v>
      </c>
      <c r="D1631" s="2" t="s">
        <v>18385</v>
      </c>
      <c r="E1631" s="2" t="s">
        <v>18386</v>
      </c>
      <c r="F1631" s="2" t="s">
        <v>18387</v>
      </c>
      <c r="G1631" s="2" t="s">
        <v>18388</v>
      </c>
      <c r="H1631" s="2" t="s">
        <v>18389</v>
      </c>
      <c r="I1631" s="2" t="s">
        <v>18390</v>
      </c>
      <c r="J1631" s="2" t="s">
        <v>18391</v>
      </c>
      <c r="K1631" s="2" t="s">
        <v>25045</v>
      </c>
      <c r="L1631" s="2" t="s">
        <v>18392</v>
      </c>
      <c r="M1631" s="2" t="s">
        <v>18393</v>
      </c>
      <c r="N1631" s="2" t="s">
        <v>18394</v>
      </c>
      <c r="O1631" s="2" t="s">
        <v>18395</v>
      </c>
      <c r="P1631" s="2" t="s">
        <v>18383</v>
      </c>
    </row>
    <row r="1632" spans="1:16" ht="15" customHeight="1">
      <c r="A1632" s="1">
        <v>1631</v>
      </c>
      <c r="B1632" s="2" t="s">
        <v>18396</v>
      </c>
      <c r="C1632" s="2" t="s">
        <v>18397</v>
      </c>
      <c r="D1632" s="2" t="s">
        <v>18398</v>
      </c>
      <c r="E1632" s="2" t="s">
        <v>18399</v>
      </c>
      <c r="F1632" s="2" t="s">
        <v>18400</v>
      </c>
      <c r="G1632" s="2" t="s">
        <v>18401</v>
      </c>
      <c r="H1632" s="2" t="s">
        <v>18402</v>
      </c>
      <c r="I1632" s="2" t="s">
        <v>18403</v>
      </c>
      <c r="J1632" s="2" t="s">
        <v>18404</v>
      </c>
      <c r="K1632" s="2" t="s">
        <v>18405</v>
      </c>
      <c r="L1632" s="2" t="s">
        <v>18406</v>
      </c>
      <c r="M1632" s="2" t="s">
        <v>18407</v>
      </c>
      <c r="N1632" s="2" t="s">
        <v>18408</v>
      </c>
      <c r="O1632" s="2" t="s">
        <v>18409</v>
      </c>
      <c r="P1632" s="2" t="s">
        <v>18396</v>
      </c>
    </row>
    <row r="1633" spans="1:16" ht="15" customHeight="1">
      <c r="A1633" s="1">
        <v>1632</v>
      </c>
      <c r="B1633" s="2" t="s">
        <v>18410</v>
      </c>
      <c r="C1633" s="2" t="s">
        <v>18411</v>
      </c>
      <c r="D1633" s="2" t="s">
        <v>18412</v>
      </c>
      <c r="E1633" s="2" t="s">
        <v>18413</v>
      </c>
      <c r="F1633" s="2" t="s">
        <v>18414</v>
      </c>
      <c r="G1633" s="2" t="s">
        <v>18415</v>
      </c>
      <c r="H1633" s="2" t="s">
        <v>18416</v>
      </c>
      <c r="I1633" s="2" t="s">
        <v>18417</v>
      </c>
      <c r="J1633" s="2" t="s">
        <v>18418</v>
      </c>
      <c r="K1633" s="2" t="s">
        <v>18419</v>
      </c>
      <c r="L1633" s="2" t="s">
        <v>18420</v>
      </c>
      <c r="M1633" s="2" t="s">
        <v>18421</v>
      </c>
      <c r="N1633" s="2" t="s">
        <v>18422</v>
      </c>
      <c r="O1633" s="2" t="s">
        <v>18423</v>
      </c>
      <c r="P1633" s="2" t="s">
        <v>18410</v>
      </c>
    </row>
    <row r="1634" spans="1:16" ht="15" customHeight="1">
      <c r="A1634" s="1">
        <v>1633</v>
      </c>
      <c r="B1634" s="2" t="s">
        <v>18424</v>
      </c>
      <c r="C1634" s="2" t="s">
        <v>18425</v>
      </c>
      <c r="D1634" s="2" t="s">
        <v>18426</v>
      </c>
      <c r="E1634" s="2" t="s">
        <v>18427</v>
      </c>
      <c r="F1634" s="2" t="s">
        <v>18428</v>
      </c>
      <c r="G1634" s="2" t="s">
        <v>18429</v>
      </c>
      <c r="H1634" s="2" t="s">
        <v>18430</v>
      </c>
      <c r="I1634" s="2" t="s">
        <v>18431</v>
      </c>
      <c r="J1634" s="2" t="s">
        <v>18432</v>
      </c>
      <c r="K1634" s="2" t="s">
        <v>18433</v>
      </c>
      <c r="L1634" s="2" t="s">
        <v>18434</v>
      </c>
      <c r="M1634" s="2" t="s">
        <v>18435</v>
      </c>
      <c r="N1634" s="2" t="s">
        <v>18436</v>
      </c>
      <c r="O1634" s="2" t="s">
        <v>18437</v>
      </c>
      <c r="P1634" s="2" t="s">
        <v>18424</v>
      </c>
    </row>
    <row r="1635" spans="1:16" ht="15" customHeight="1">
      <c r="A1635" s="1">
        <v>1634</v>
      </c>
      <c r="B1635" s="2" t="s">
        <v>18438</v>
      </c>
      <c r="C1635" s="2" t="s">
        <v>18439</v>
      </c>
      <c r="D1635" s="2" t="s">
        <v>18440</v>
      </c>
      <c r="E1635" s="2" t="s">
        <v>18441</v>
      </c>
      <c r="F1635" s="2" t="s">
        <v>18442</v>
      </c>
      <c r="G1635" s="2" t="s">
        <v>18443</v>
      </c>
      <c r="H1635" s="2" t="s">
        <v>18444</v>
      </c>
      <c r="I1635" s="2" t="s">
        <v>18445</v>
      </c>
      <c r="J1635" s="2" t="s">
        <v>18446</v>
      </c>
      <c r="K1635" s="2" t="s">
        <v>18447</v>
      </c>
      <c r="L1635" s="2" t="s">
        <v>18448</v>
      </c>
      <c r="M1635" s="2" t="s">
        <v>18449</v>
      </c>
      <c r="N1635" s="2" t="s">
        <v>18450</v>
      </c>
      <c r="O1635" s="2" t="s">
        <v>18451</v>
      </c>
      <c r="P1635" s="2" t="s">
        <v>18438</v>
      </c>
    </row>
    <row r="1636" spans="1:16" ht="15" customHeight="1">
      <c r="A1636" s="1">
        <v>1635</v>
      </c>
      <c r="B1636" s="2" t="s">
        <v>18452</v>
      </c>
      <c r="C1636" s="2" t="s">
        <v>18453</v>
      </c>
      <c r="D1636" s="2" t="s">
        <v>18454</v>
      </c>
      <c r="E1636" s="2" t="s">
        <v>18455</v>
      </c>
      <c r="F1636" s="2" t="s">
        <v>18456</v>
      </c>
      <c r="G1636" s="2" t="s">
        <v>18457</v>
      </c>
      <c r="H1636" s="2" t="s">
        <v>18458</v>
      </c>
      <c r="I1636" s="2" t="s">
        <v>18459</v>
      </c>
      <c r="J1636" s="2" t="s">
        <v>18460</v>
      </c>
      <c r="K1636" s="2" t="s">
        <v>18461</v>
      </c>
      <c r="L1636" s="2" t="s">
        <v>18462</v>
      </c>
      <c r="M1636" s="2" t="s">
        <v>18463</v>
      </c>
      <c r="N1636" s="2" t="s">
        <v>18464</v>
      </c>
      <c r="O1636" s="2" t="s">
        <v>18465</v>
      </c>
      <c r="P1636" s="2" t="s">
        <v>18452</v>
      </c>
    </row>
    <row r="1637" spans="1:16" ht="15" customHeight="1">
      <c r="A1637" s="1">
        <v>1636</v>
      </c>
      <c r="B1637" s="2" t="s">
        <v>22921</v>
      </c>
      <c r="C1637" s="2" t="s">
        <v>18467</v>
      </c>
      <c r="D1637" s="2" t="s">
        <v>18468</v>
      </c>
      <c r="E1637" s="2" t="s">
        <v>18469</v>
      </c>
      <c r="F1637" s="2" t="s">
        <v>18470</v>
      </c>
      <c r="G1637" s="2" t="s">
        <v>18471</v>
      </c>
      <c r="H1637" s="2" t="s">
        <v>18472</v>
      </c>
      <c r="I1637" s="2" t="s">
        <v>18473</v>
      </c>
      <c r="J1637" s="2" t="s">
        <v>18474</v>
      </c>
      <c r="K1637" s="2" t="s">
        <v>25046</v>
      </c>
      <c r="L1637" s="2" t="s">
        <v>18475</v>
      </c>
      <c r="M1637" s="2" t="s">
        <v>18476</v>
      </c>
      <c r="N1637" s="2" t="s">
        <v>18477</v>
      </c>
      <c r="O1637" s="2" t="s">
        <v>18478</v>
      </c>
      <c r="P1637" s="2" t="s">
        <v>18466</v>
      </c>
    </row>
    <row r="1638" spans="1:16" ht="15" customHeight="1">
      <c r="A1638" s="1">
        <v>1637</v>
      </c>
      <c r="B1638" s="2" t="s">
        <v>18479</v>
      </c>
      <c r="C1638" s="2" t="s">
        <v>18480</v>
      </c>
      <c r="D1638" s="2" t="s">
        <v>18481</v>
      </c>
      <c r="E1638" s="2" t="s">
        <v>18482</v>
      </c>
      <c r="F1638" s="2" t="s">
        <v>18483</v>
      </c>
      <c r="G1638" s="2" t="s">
        <v>18484</v>
      </c>
      <c r="H1638" s="2" t="s">
        <v>18485</v>
      </c>
      <c r="I1638" s="2" t="s">
        <v>18486</v>
      </c>
      <c r="J1638" s="2" t="s">
        <v>18487</v>
      </c>
      <c r="K1638" s="2" t="s">
        <v>25047</v>
      </c>
      <c r="L1638" s="2" t="s">
        <v>18488</v>
      </c>
      <c r="M1638" s="2" t="s">
        <v>18489</v>
      </c>
      <c r="N1638" s="2" t="s">
        <v>18490</v>
      </c>
      <c r="O1638" s="2" t="s">
        <v>18491</v>
      </c>
      <c r="P1638" s="2" t="s">
        <v>18479</v>
      </c>
    </row>
    <row r="1639" spans="1:16" ht="15" customHeight="1">
      <c r="A1639" s="1">
        <v>1638</v>
      </c>
      <c r="B1639" s="2" t="s">
        <v>18492</v>
      </c>
      <c r="C1639" s="2" t="s">
        <v>18493</v>
      </c>
      <c r="D1639" s="2" t="s">
        <v>18494</v>
      </c>
      <c r="E1639" s="2" t="s">
        <v>18495</v>
      </c>
      <c r="F1639" s="2" t="s">
        <v>1405</v>
      </c>
      <c r="G1639" s="2" t="s">
        <v>18496</v>
      </c>
      <c r="H1639" s="2" t="s">
        <v>18497</v>
      </c>
      <c r="I1639" s="2" t="s">
        <v>1487</v>
      </c>
      <c r="J1639" s="2" t="s">
        <v>18498</v>
      </c>
      <c r="K1639" s="2" t="s">
        <v>18499</v>
      </c>
      <c r="L1639" s="2" t="s">
        <v>18500</v>
      </c>
      <c r="M1639" s="2" t="s">
        <v>1490</v>
      </c>
      <c r="N1639" s="2" t="s">
        <v>18501</v>
      </c>
      <c r="O1639" s="2" t="s">
        <v>18499</v>
      </c>
      <c r="P1639" s="2" t="s">
        <v>18492</v>
      </c>
    </row>
    <row r="1640" spans="1:16" ht="15" customHeight="1">
      <c r="A1640" s="1">
        <v>1639</v>
      </c>
      <c r="B1640" s="2" t="s">
        <v>18502</v>
      </c>
      <c r="C1640" s="2" t="s">
        <v>18503</v>
      </c>
      <c r="D1640" s="2" t="s">
        <v>18504</v>
      </c>
      <c r="E1640" s="2" t="s">
        <v>18505</v>
      </c>
      <c r="F1640" s="2" t="s">
        <v>18506</v>
      </c>
      <c r="G1640" s="2" t="s">
        <v>18507</v>
      </c>
      <c r="H1640" s="2" t="s">
        <v>18508</v>
      </c>
      <c r="I1640" s="2" t="s">
        <v>18509</v>
      </c>
      <c r="J1640" s="2" t="s">
        <v>18510</v>
      </c>
      <c r="K1640" s="2" t="s">
        <v>18511</v>
      </c>
      <c r="L1640" s="2" t="s">
        <v>18512</v>
      </c>
      <c r="M1640" s="2" t="s">
        <v>18513</v>
      </c>
      <c r="N1640" s="2" t="s">
        <v>18514</v>
      </c>
      <c r="O1640" s="2" t="s">
        <v>18515</v>
      </c>
      <c r="P1640" s="2" t="s">
        <v>18502</v>
      </c>
    </row>
    <row r="1641" spans="1:16" ht="15" customHeight="1">
      <c r="A1641" s="1">
        <v>1640</v>
      </c>
      <c r="B1641" s="2" t="s">
        <v>18516</v>
      </c>
      <c r="C1641" s="2" t="s">
        <v>18517</v>
      </c>
      <c r="D1641" s="2" t="s">
        <v>18518</v>
      </c>
      <c r="E1641" s="2" t="s">
        <v>18519</v>
      </c>
      <c r="F1641" s="2" t="s">
        <v>18520</v>
      </c>
      <c r="G1641" s="2" t="s">
        <v>18521</v>
      </c>
      <c r="H1641" s="2" t="s">
        <v>18522</v>
      </c>
      <c r="I1641" s="2" t="s">
        <v>18523</v>
      </c>
      <c r="J1641" s="2" t="s">
        <v>18524</v>
      </c>
      <c r="K1641" s="2" t="s">
        <v>18525</v>
      </c>
      <c r="L1641" s="2" t="s">
        <v>18526</v>
      </c>
      <c r="M1641" s="2" t="s">
        <v>18527</v>
      </c>
      <c r="N1641" s="2" t="s">
        <v>18528</v>
      </c>
      <c r="O1641" s="2" t="s">
        <v>18529</v>
      </c>
      <c r="P1641" s="2" t="s">
        <v>18516</v>
      </c>
    </row>
    <row r="1642" spans="1:16" ht="15" customHeight="1">
      <c r="A1642" s="1">
        <v>1641</v>
      </c>
      <c r="B1642" s="2" t="s">
        <v>18530</v>
      </c>
      <c r="C1642" s="2" t="s">
        <v>18531</v>
      </c>
      <c r="D1642" s="2" t="s">
        <v>18532</v>
      </c>
      <c r="E1642" s="2" t="s">
        <v>18533</v>
      </c>
      <c r="F1642" s="2" t="s">
        <v>18534</v>
      </c>
      <c r="G1642" s="2" t="s">
        <v>18535</v>
      </c>
      <c r="H1642" s="2" t="s">
        <v>18536</v>
      </c>
      <c r="I1642" s="2" t="s">
        <v>18537</v>
      </c>
      <c r="J1642" s="2" t="s">
        <v>18538</v>
      </c>
      <c r="K1642" s="2" t="s">
        <v>18539</v>
      </c>
      <c r="L1642" s="2" t="s">
        <v>18540</v>
      </c>
      <c r="M1642" s="2" t="s">
        <v>18541</v>
      </c>
      <c r="N1642" s="2" t="s">
        <v>18542</v>
      </c>
      <c r="O1642" s="2" t="s">
        <v>18543</v>
      </c>
      <c r="P1642" s="2" t="s">
        <v>18530</v>
      </c>
    </row>
    <row r="1643" spans="1:16" ht="15" customHeight="1">
      <c r="A1643" s="1">
        <v>1642</v>
      </c>
      <c r="B1643" s="2" t="s">
        <v>18544</v>
      </c>
      <c r="C1643" s="2" t="s">
        <v>18545</v>
      </c>
      <c r="D1643" s="2" t="s">
        <v>18546</v>
      </c>
      <c r="E1643" s="2" t="s">
        <v>18547</v>
      </c>
      <c r="F1643" s="2" t="s">
        <v>18548</v>
      </c>
      <c r="G1643" s="2" t="s">
        <v>18549</v>
      </c>
      <c r="H1643" s="2" t="s">
        <v>18550</v>
      </c>
      <c r="I1643" s="2" t="s">
        <v>18551</v>
      </c>
      <c r="J1643" s="2" t="s">
        <v>18552</v>
      </c>
      <c r="K1643" s="2" t="s">
        <v>18553</v>
      </c>
      <c r="L1643" s="2" t="s">
        <v>18554</v>
      </c>
      <c r="M1643" s="2" t="s">
        <v>18555</v>
      </c>
      <c r="N1643" s="2" t="s">
        <v>18556</v>
      </c>
      <c r="O1643" s="2" t="s">
        <v>18557</v>
      </c>
      <c r="P1643" s="2" t="s">
        <v>18544</v>
      </c>
    </row>
    <row r="1644" spans="1:16" ht="15" customHeight="1">
      <c r="A1644" s="1">
        <v>1643</v>
      </c>
      <c r="B1644" s="2" t="s">
        <v>18558</v>
      </c>
      <c r="C1644" s="2" t="s">
        <v>18559</v>
      </c>
      <c r="D1644" s="2" t="s">
        <v>18560</v>
      </c>
      <c r="E1644" s="2" t="s">
        <v>18561</v>
      </c>
      <c r="F1644" s="2" t="s">
        <v>18562</v>
      </c>
      <c r="G1644" s="2" t="s">
        <v>18563</v>
      </c>
      <c r="H1644" s="2" t="s">
        <v>18564</v>
      </c>
      <c r="I1644" s="2" t="s">
        <v>18565</v>
      </c>
      <c r="J1644" s="2" t="s">
        <v>18566</v>
      </c>
      <c r="K1644" s="2" t="s">
        <v>18567</v>
      </c>
      <c r="L1644" s="2" t="s">
        <v>18568</v>
      </c>
      <c r="M1644" s="2" t="s">
        <v>18569</v>
      </c>
      <c r="N1644" s="2" t="s">
        <v>18570</v>
      </c>
      <c r="O1644" s="2" t="s">
        <v>18571</v>
      </c>
      <c r="P1644" s="2" t="s">
        <v>18558</v>
      </c>
    </row>
    <row r="1645" spans="1:16" ht="15" customHeight="1">
      <c r="A1645" s="1">
        <v>1644</v>
      </c>
      <c r="B1645" s="2" t="s">
        <v>18572</v>
      </c>
      <c r="C1645" s="2" t="s">
        <v>18572</v>
      </c>
      <c r="D1645" s="2" t="s">
        <v>18573</v>
      </c>
      <c r="E1645" s="2" t="s">
        <v>18574</v>
      </c>
      <c r="F1645" s="2" t="s">
        <v>18575</v>
      </c>
      <c r="G1645" s="2" t="s">
        <v>18576</v>
      </c>
      <c r="H1645" s="2" t="s">
        <v>18577</v>
      </c>
      <c r="I1645" s="2" t="s">
        <v>18578</v>
      </c>
      <c r="J1645" s="2" t="s">
        <v>18572</v>
      </c>
      <c r="K1645" s="2" t="s">
        <v>18572</v>
      </c>
      <c r="L1645" s="2" t="s">
        <v>18579</v>
      </c>
      <c r="M1645" s="2" t="s">
        <v>18572</v>
      </c>
      <c r="N1645" s="2" t="s">
        <v>18572</v>
      </c>
      <c r="O1645" s="2" t="s">
        <v>18572</v>
      </c>
      <c r="P1645" s="2" t="s">
        <v>18572</v>
      </c>
    </row>
    <row r="1646" spans="1:16" ht="15" customHeight="1">
      <c r="A1646" s="1">
        <v>1645</v>
      </c>
      <c r="B1646" s="2" t="s">
        <v>18580</v>
      </c>
      <c r="C1646" s="2" t="s">
        <v>18581</v>
      </c>
      <c r="D1646" s="2" t="s">
        <v>18582</v>
      </c>
      <c r="E1646" s="2" t="s">
        <v>18583</v>
      </c>
      <c r="F1646" s="2" t="s">
        <v>18584</v>
      </c>
      <c r="G1646" s="2" t="s">
        <v>18585</v>
      </c>
      <c r="H1646" s="2" t="s">
        <v>18586</v>
      </c>
      <c r="I1646" s="2" t="s">
        <v>18587</v>
      </c>
      <c r="J1646" s="2" t="s">
        <v>18588</v>
      </c>
      <c r="K1646" s="2" t="s">
        <v>25048</v>
      </c>
      <c r="L1646" s="2" t="s">
        <v>18589</v>
      </c>
      <c r="M1646" s="2" t="s">
        <v>18590</v>
      </c>
      <c r="N1646" s="2" t="s">
        <v>18591</v>
      </c>
      <c r="O1646" s="2" t="s">
        <v>18592</v>
      </c>
      <c r="P1646" s="2" t="s">
        <v>18580</v>
      </c>
    </row>
    <row r="1647" spans="1:16" ht="15" customHeight="1">
      <c r="A1647" s="1">
        <v>1646</v>
      </c>
      <c r="B1647" s="2" t="s">
        <v>18593</v>
      </c>
      <c r="C1647" s="2" t="s">
        <v>18594</v>
      </c>
      <c r="D1647" s="2" t="s">
        <v>22922</v>
      </c>
      <c r="E1647" s="2" t="s">
        <v>18595</v>
      </c>
      <c r="F1647" s="2" t="s">
        <v>18596</v>
      </c>
      <c r="G1647" s="2" t="s">
        <v>18597</v>
      </c>
      <c r="H1647" s="2" t="s">
        <v>18598</v>
      </c>
      <c r="I1647" s="2" t="s">
        <v>18599</v>
      </c>
      <c r="J1647" s="2" t="s">
        <v>18594</v>
      </c>
      <c r="K1647" s="2" t="s">
        <v>25049</v>
      </c>
      <c r="L1647" s="2" t="s">
        <v>18600</v>
      </c>
      <c r="M1647" s="2" t="s">
        <v>18601</v>
      </c>
      <c r="N1647" s="2" t="s">
        <v>18602</v>
      </c>
      <c r="O1647" s="2" t="s">
        <v>18603</v>
      </c>
      <c r="P1647" s="2" t="s">
        <v>18593</v>
      </c>
    </row>
    <row r="1648" spans="1:16" ht="15" customHeight="1">
      <c r="A1648" s="1">
        <v>1647</v>
      </c>
      <c r="B1648" s="2" t="s">
        <v>18604</v>
      </c>
      <c r="C1648" s="2" t="s">
        <v>18605</v>
      </c>
      <c r="D1648" s="2" t="s">
        <v>18606</v>
      </c>
      <c r="E1648" s="2" t="s">
        <v>18607</v>
      </c>
      <c r="F1648" s="2" t="s">
        <v>18608</v>
      </c>
      <c r="G1648" s="2" t="s">
        <v>18609</v>
      </c>
      <c r="H1648" s="2" t="s">
        <v>18610</v>
      </c>
      <c r="I1648" s="2" t="s">
        <v>18611</v>
      </c>
      <c r="J1648" s="2" t="s">
        <v>18612</v>
      </c>
      <c r="K1648" s="2" t="s">
        <v>25050</v>
      </c>
      <c r="L1648" s="2" t="s">
        <v>18613</v>
      </c>
      <c r="M1648" s="2" t="s">
        <v>18614</v>
      </c>
      <c r="N1648" s="2" t="s">
        <v>18615</v>
      </c>
      <c r="O1648" s="2" t="s">
        <v>18616</v>
      </c>
      <c r="P1648" s="2" t="s">
        <v>18604</v>
      </c>
    </row>
    <row r="1649" spans="1:16" ht="15" customHeight="1">
      <c r="A1649" s="1">
        <v>1648</v>
      </c>
      <c r="B1649" s="2" t="s">
        <v>18617</v>
      </c>
      <c r="C1649" s="2" t="s">
        <v>18617</v>
      </c>
      <c r="D1649" s="2" t="s">
        <v>18618</v>
      </c>
      <c r="E1649" s="2" t="s">
        <v>18619</v>
      </c>
      <c r="F1649" s="2" t="s">
        <v>18620</v>
      </c>
      <c r="G1649" s="2" t="s">
        <v>18621</v>
      </c>
      <c r="H1649" s="2" t="s">
        <v>18622</v>
      </c>
      <c r="I1649" s="2" t="s">
        <v>18623</v>
      </c>
      <c r="J1649" s="2" t="s">
        <v>18624</v>
      </c>
      <c r="K1649" s="2" t="s">
        <v>25051</v>
      </c>
      <c r="L1649" s="2" t="s">
        <v>18625</v>
      </c>
      <c r="M1649" s="2" t="s">
        <v>18617</v>
      </c>
      <c r="N1649" s="2" t="s">
        <v>18617</v>
      </c>
      <c r="O1649" s="2" t="s">
        <v>18626</v>
      </c>
      <c r="P1649" s="2" t="s">
        <v>18617</v>
      </c>
    </row>
    <row r="1650" spans="1:16" ht="15" customHeight="1">
      <c r="A1650" s="1">
        <v>1649</v>
      </c>
      <c r="B1650" s="2" t="s">
        <v>18627</v>
      </c>
      <c r="C1650" s="2" t="s">
        <v>18628</v>
      </c>
      <c r="D1650" s="2" t="s">
        <v>18629</v>
      </c>
      <c r="E1650" s="2" t="s">
        <v>18630</v>
      </c>
      <c r="F1650" s="2" t="s">
        <v>18631</v>
      </c>
      <c r="G1650" s="2" t="s">
        <v>18632</v>
      </c>
      <c r="H1650" s="2" t="s">
        <v>18633</v>
      </c>
      <c r="I1650" s="2" t="s">
        <v>18634</v>
      </c>
      <c r="J1650" s="2" t="s">
        <v>18635</v>
      </c>
      <c r="K1650" s="2" t="s">
        <v>25052</v>
      </c>
      <c r="L1650" s="2" t="s">
        <v>18636</v>
      </c>
      <c r="M1650" s="2" t="s">
        <v>18637</v>
      </c>
      <c r="N1650" s="2" t="s">
        <v>18638</v>
      </c>
      <c r="O1650" s="2" t="s">
        <v>18639</v>
      </c>
      <c r="P1650" s="2" t="s">
        <v>18627</v>
      </c>
    </row>
    <row r="1651" spans="1:16" ht="15" customHeight="1">
      <c r="A1651" s="1">
        <v>1650</v>
      </c>
      <c r="B1651" s="2" t="s">
        <v>18640</v>
      </c>
      <c r="C1651" s="2" t="s">
        <v>18641</v>
      </c>
      <c r="D1651" s="2" t="s">
        <v>18642</v>
      </c>
      <c r="E1651" s="2" t="s">
        <v>18643</v>
      </c>
      <c r="F1651" s="2" t="s">
        <v>18644</v>
      </c>
      <c r="G1651" s="2" t="s">
        <v>18645</v>
      </c>
      <c r="H1651" s="2" t="s">
        <v>18646</v>
      </c>
      <c r="I1651" s="2" t="s">
        <v>18647</v>
      </c>
      <c r="J1651" s="2" t="s">
        <v>18648</v>
      </c>
      <c r="K1651" s="2" t="s">
        <v>25053</v>
      </c>
      <c r="L1651" s="2" t="s">
        <v>18649</v>
      </c>
      <c r="M1651" s="2" t="s">
        <v>18650</v>
      </c>
      <c r="N1651" s="2" t="s">
        <v>18651</v>
      </c>
      <c r="O1651" s="2" t="s">
        <v>18652</v>
      </c>
      <c r="P1651" s="2" t="s">
        <v>18640</v>
      </c>
    </row>
    <row r="1652" spans="1:16" ht="15" customHeight="1">
      <c r="A1652" s="1">
        <v>1651</v>
      </c>
      <c r="B1652" s="2" t="s">
        <v>18653</v>
      </c>
      <c r="C1652" s="2" t="s">
        <v>18654</v>
      </c>
      <c r="D1652" s="2" t="s">
        <v>18655</v>
      </c>
      <c r="E1652" s="2" t="s">
        <v>18656</v>
      </c>
      <c r="F1652" s="2" t="s">
        <v>18657</v>
      </c>
      <c r="G1652" s="2" t="s">
        <v>18658</v>
      </c>
      <c r="H1652" s="2" t="s">
        <v>18659</v>
      </c>
      <c r="I1652" s="2" t="s">
        <v>18660</v>
      </c>
      <c r="J1652" s="2" t="s">
        <v>18661</v>
      </c>
      <c r="K1652" s="2" t="s">
        <v>25054</v>
      </c>
      <c r="L1652" s="2" t="s">
        <v>18662</v>
      </c>
      <c r="M1652" s="2" t="s">
        <v>18663</v>
      </c>
      <c r="N1652" s="2" t="s">
        <v>18664</v>
      </c>
      <c r="O1652" s="2" t="s">
        <v>18665</v>
      </c>
      <c r="P1652" s="2" t="s">
        <v>18653</v>
      </c>
    </row>
    <row r="1653" spans="1:16" ht="15" customHeight="1">
      <c r="A1653" s="1">
        <v>1652</v>
      </c>
      <c r="B1653" s="2" t="s">
        <v>18666</v>
      </c>
      <c r="C1653" s="2" t="s">
        <v>18667</v>
      </c>
      <c r="D1653" s="2" t="s">
        <v>18668</v>
      </c>
      <c r="E1653" s="2" t="s">
        <v>18669</v>
      </c>
      <c r="F1653" s="2" t="s">
        <v>18670</v>
      </c>
      <c r="G1653" s="2" t="s">
        <v>18671</v>
      </c>
      <c r="H1653" s="2" t="s">
        <v>18672</v>
      </c>
      <c r="I1653" s="2" t="s">
        <v>18673</v>
      </c>
      <c r="J1653" s="2" t="s">
        <v>18674</v>
      </c>
      <c r="K1653" s="2" t="s">
        <v>25055</v>
      </c>
      <c r="L1653" s="2" t="s">
        <v>18675</v>
      </c>
      <c r="M1653" s="2" t="s">
        <v>18676</v>
      </c>
      <c r="N1653" s="2" t="s">
        <v>18677</v>
      </c>
      <c r="O1653" s="2" t="s">
        <v>18678</v>
      </c>
      <c r="P1653" s="2" t="s">
        <v>18666</v>
      </c>
    </row>
    <row r="1654" spans="1:16" ht="15" customHeight="1">
      <c r="A1654" s="1">
        <v>1653</v>
      </c>
      <c r="B1654" s="2" t="s">
        <v>18679</v>
      </c>
      <c r="C1654" s="2" t="s">
        <v>18680</v>
      </c>
      <c r="D1654" s="2" t="s">
        <v>18681</v>
      </c>
      <c r="E1654" s="2" t="s">
        <v>18682</v>
      </c>
      <c r="F1654" s="2" t="s">
        <v>18683</v>
      </c>
      <c r="G1654" s="2" t="s">
        <v>18684</v>
      </c>
      <c r="H1654" s="2" t="s">
        <v>18685</v>
      </c>
      <c r="I1654" s="2" t="s">
        <v>18686</v>
      </c>
      <c r="J1654" s="2" t="s">
        <v>18687</v>
      </c>
      <c r="K1654" s="2" t="s">
        <v>25056</v>
      </c>
      <c r="L1654" s="2" t="s">
        <v>25057</v>
      </c>
      <c r="M1654" s="2" t="s">
        <v>18688</v>
      </c>
      <c r="N1654" s="2" t="s">
        <v>18689</v>
      </c>
      <c r="O1654" s="2" t="s">
        <v>18690</v>
      </c>
      <c r="P1654" s="2" t="s">
        <v>18679</v>
      </c>
    </row>
    <row r="1655" spans="1:16" ht="15" customHeight="1">
      <c r="A1655" s="1">
        <v>1654</v>
      </c>
      <c r="B1655" s="2" t="s">
        <v>18691</v>
      </c>
      <c r="C1655" s="2" t="s">
        <v>18692</v>
      </c>
      <c r="D1655" s="2" t="s">
        <v>18693</v>
      </c>
      <c r="E1655" s="2" t="s">
        <v>18694</v>
      </c>
      <c r="F1655" s="2" t="s">
        <v>18695</v>
      </c>
      <c r="G1655" s="2" t="s">
        <v>18696</v>
      </c>
      <c r="H1655" s="2" t="s">
        <v>18697</v>
      </c>
      <c r="I1655" s="2" t="s">
        <v>18698</v>
      </c>
      <c r="J1655" s="2" t="s">
        <v>18699</v>
      </c>
      <c r="K1655" s="2" t="s">
        <v>25058</v>
      </c>
      <c r="L1655" s="2" t="s">
        <v>25059</v>
      </c>
      <c r="M1655" s="2" t="s">
        <v>18700</v>
      </c>
      <c r="N1655" s="2" t="s">
        <v>18701</v>
      </c>
      <c r="O1655" s="2" t="s">
        <v>18702</v>
      </c>
      <c r="P1655" s="2" t="s">
        <v>18691</v>
      </c>
    </row>
    <row r="1656" spans="1:16" ht="15" customHeight="1">
      <c r="A1656" s="1">
        <v>1655</v>
      </c>
      <c r="B1656" s="2" t="s">
        <v>18703</v>
      </c>
      <c r="C1656" s="2" t="s">
        <v>18704</v>
      </c>
      <c r="D1656" s="2" t="s">
        <v>18705</v>
      </c>
      <c r="E1656" s="2" t="s">
        <v>18706</v>
      </c>
      <c r="F1656" s="2" t="s">
        <v>18707</v>
      </c>
      <c r="G1656" s="2" t="s">
        <v>18708</v>
      </c>
      <c r="H1656" s="2" t="s">
        <v>18709</v>
      </c>
      <c r="I1656" s="2" t="s">
        <v>18710</v>
      </c>
      <c r="J1656" s="2" t="s">
        <v>18711</v>
      </c>
      <c r="K1656" s="2" t="s">
        <v>22253</v>
      </c>
      <c r="L1656" s="2" t="s">
        <v>25060</v>
      </c>
      <c r="M1656" s="2" t="s">
        <v>18712</v>
      </c>
      <c r="N1656" s="2" t="s">
        <v>18713</v>
      </c>
      <c r="O1656" s="2" t="s">
        <v>18714</v>
      </c>
      <c r="P1656" s="2" t="s">
        <v>18703</v>
      </c>
    </row>
    <row r="1657" spans="1:16" ht="15" customHeight="1">
      <c r="A1657" s="1">
        <v>1656</v>
      </c>
      <c r="B1657" s="2" t="s">
        <v>18715</v>
      </c>
      <c r="C1657" s="2" t="s">
        <v>18716</v>
      </c>
      <c r="D1657" s="2" t="s">
        <v>18717</v>
      </c>
      <c r="E1657" s="2" t="s">
        <v>18718</v>
      </c>
      <c r="F1657" s="2" t="s">
        <v>18719</v>
      </c>
      <c r="G1657" s="2" t="s">
        <v>18720</v>
      </c>
      <c r="H1657" s="2" t="s">
        <v>18721</v>
      </c>
      <c r="I1657" s="2" t="s">
        <v>18722</v>
      </c>
      <c r="J1657" s="2" t="s">
        <v>18723</v>
      </c>
      <c r="K1657" s="2" t="s">
        <v>22256</v>
      </c>
      <c r="L1657" s="2" t="s">
        <v>25061</v>
      </c>
      <c r="M1657" s="2" t="s">
        <v>18724</v>
      </c>
      <c r="N1657" s="2" t="s">
        <v>18725</v>
      </c>
      <c r="O1657" s="2" t="s">
        <v>18726</v>
      </c>
      <c r="P1657" s="2" t="s">
        <v>18715</v>
      </c>
    </row>
    <row r="1658" spans="1:16" ht="15" customHeight="1">
      <c r="A1658" s="1">
        <v>1657</v>
      </c>
      <c r="B1658" s="2" t="s">
        <v>18727</v>
      </c>
      <c r="C1658" s="2" t="s">
        <v>18728</v>
      </c>
      <c r="D1658" s="2" t="s">
        <v>18729</v>
      </c>
      <c r="E1658" s="2" t="s">
        <v>18730</v>
      </c>
      <c r="F1658" s="2" t="s">
        <v>18731</v>
      </c>
      <c r="G1658" s="2" t="s">
        <v>18732</v>
      </c>
      <c r="H1658" s="2" t="s">
        <v>18733</v>
      </c>
      <c r="I1658" s="2" t="s">
        <v>18734</v>
      </c>
      <c r="J1658" s="2" t="s">
        <v>18735</v>
      </c>
      <c r="K1658" s="2" t="s">
        <v>25062</v>
      </c>
      <c r="L1658" s="2" t="s">
        <v>18736</v>
      </c>
      <c r="M1658" s="2" t="s">
        <v>18737</v>
      </c>
      <c r="N1658" s="2" t="s">
        <v>18738</v>
      </c>
      <c r="O1658" s="2" t="s">
        <v>18739</v>
      </c>
      <c r="P1658" s="2" t="s">
        <v>18727</v>
      </c>
    </row>
    <row r="1659" spans="1:16" ht="15" customHeight="1">
      <c r="A1659" s="1">
        <v>1658</v>
      </c>
      <c r="B1659" s="2" t="s">
        <v>18740</v>
      </c>
      <c r="C1659" s="2" t="s">
        <v>18741</v>
      </c>
      <c r="D1659" s="2" t="s">
        <v>18742</v>
      </c>
      <c r="E1659" s="2" t="s">
        <v>18743</v>
      </c>
      <c r="F1659" s="2" t="s">
        <v>18744</v>
      </c>
      <c r="G1659" s="2" t="s">
        <v>25063</v>
      </c>
      <c r="H1659" s="2" t="s">
        <v>18745</v>
      </c>
      <c r="I1659" s="2" t="s">
        <v>18746</v>
      </c>
      <c r="J1659" s="2" t="s">
        <v>18747</v>
      </c>
      <c r="K1659" s="2" t="s">
        <v>25064</v>
      </c>
      <c r="L1659" s="2" t="s">
        <v>18748</v>
      </c>
      <c r="M1659" s="2" t="s">
        <v>18749</v>
      </c>
      <c r="N1659" s="2" t="s">
        <v>18750</v>
      </c>
      <c r="O1659" s="2" t="s">
        <v>18751</v>
      </c>
      <c r="P1659" s="2" t="s">
        <v>18740</v>
      </c>
    </row>
    <row r="1660" spans="1:16" ht="15" customHeight="1">
      <c r="A1660" s="1">
        <v>1659</v>
      </c>
      <c r="B1660" s="2" t="s">
        <v>18752</v>
      </c>
      <c r="C1660" s="2" t="s">
        <v>18753</v>
      </c>
      <c r="D1660" s="2" t="s">
        <v>18754</v>
      </c>
      <c r="E1660" s="2" t="s">
        <v>18755</v>
      </c>
      <c r="F1660" s="2" t="s">
        <v>18756</v>
      </c>
      <c r="G1660" s="2" t="s">
        <v>18757</v>
      </c>
      <c r="H1660" s="2" t="s">
        <v>18758</v>
      </c>
      <c r="I1660" s="2" t="s">
        <v>18759</v>
      </c>
      <c r="J1660" s="2" t="s">
        <v>18760</v>
      </c>
      <c r="K1660" s="2" t="s">
        <v>25065</v>
      </c>
      <c r="L1660" s="2" t="s">
        <v>18761</v>
      </c>
      <c r="M1660" s="2" t="s">
        <v>18762</v>
      </c>
      <c r="N1660" s="2" t="s">
        <v>18763</v>
      </c>
      <c r="O1660" s="2" t="s">
        <v>18764</v>
      </c>
      <c r="P1660" s="2" t="s">
        <v>18752</v>
      </c>
    </row>
    <row r="1661" spans="1:16" ht="15" customHeight="1">
      <c r="A1661" s="1">
        <v>1660</v>
      </c>
      <c r="B1661" s="2" t="s">
        <v>18765</v>
      </c>
      <c r="C1661" s="2" t="s">
        <v>18766</v>
      </c>
      <c r="D1661" s="2" t="s">
        <v>18767</v>
      </c>
      <c r="E1661" s="2" t="s">
        <v>18768</v>
      </c>
      <c r="F1661" s="2" t="s">
        <v>18769</v>
      </c>
      <c r="G1661" s="2" t="s">
        <v>18770</v>
      </c>
      <c r="H1661" s="2" t="s">
        <v>18771</v>
      </c>
      <c r="I1661" s="2" t="s">
        <v>18772</v>
      </c>
      <c r="J1661" s="2" t="s">
        <v>18773</v>
      </c>
      <c r="K1661" s="2" t="s">
        <v>25066</v>
      </c>
      <c r="L1661" s="2" t="s">
        <v>18774</v>
      </c>
      <c r="M1661" s="2" t="s">
        <v>18775</v>
      </c>
      <c r="N1661" s="2" t="s">
        <v>18776</v>
      </c>
      <c r="O1661" s="2" t="s">
        <v>18777</v>
      </c>
      <c r="P1661" s="2" t="s">
        <v>18765</v>
      </c>
    </row>
    <row r="1662" spans="1:16" ht="15" customHeight="1">
      <c r="A1662" s="1">
        <v>1661</v>
      </c>
      <c r="B1662" s="2" t="s">
        <v>18778</v>
      </c>
      <c r="C1662" s="2" t="s">
        <v>18779</v>
      </c>
      <c r="D1662" s="2" t="s">
        <v>18780</v>
      </c>
      <c r="E1662" s="2" t="s">
        <v>18781</v>
      </c>
      <c r="F1662" s="2" t="s">
        <v>18782</v>
      </c>
      <c r="G1662" s="2" t="s">
        <v>18783</v>
      </c>
      <c r="H1662" s="2" t="s">
        <v>18784</v>
      </c>
      <c r="I1662" s="2" t="s">
        <v>18785</v>
      </c>
      <c r="J1662" s="2" t="s">
        <v>18786</v>
      </c>
      <c r="K1662" s="2" t="s">
        <v>25067</v>
      </c>
      <c r="L1662" s="2" t="s">
        <v>18787</v>
      </c>
      <c r="M1662" s="2" t="s">
        <v>18788</v>
      </c>
      <c r="N1662" s="2" t="s">
        <v>18789</v>
      </c>
      <c r="O1662" s="2" t="s">
        <v>18790</v>
      </c>
      <c r="P1662" s="2" t="s">
        <v>18778</v>
      </c>
    </row>
    <row r="1663" spans="1:16" ht="15" customHeight="1">
      <c r="A1663" s="1">
        <v>1662</v>
      </c>
      <c r="B1663" s="2" t="s">
        <v>18791</v>
      </c>
      <c r="C1663" s="2" t="s">
        <v>18792</v>
      </c>
      <c r="D1663" s="2" t="s">
        <v>18793</v>
      </c>
      <c r="E1663" s="2" t="s">
        <v>18794</v>
      </c>
      <c r="F1663" s="2" t="s">
        <v>18795</v>
      </c>
      <c r="G1663" s="2" t="s">
        <v>18796</v>
      </c>
      <c r="H1663" s="2" t="s">
        <v>18797</v>
      </c>
      <c r="I1663" s="2" t="s">
        <v>18798</v>
      </c>
      <c r="J1663" s="2" t="s">
        <v>18799</v>
      </c>
      <c r="K1663" s="2" t="s">
        <v>25068</v>
      </c>
      <c r="L1663" s="2" t="s">
        <v>25069</v>
      </c>
      <c r="M1663" s="2" t="s">
        <v>18800</v>
      </c>
      <c r="N1663" s="2" t="s">
        <v>18801</v>
      </c>
      <c r="O1663" s="2" t="s">
        <v>18802</v>
      </c>
      <c r="P1663" s="2" t="s">
        <v>18791</v>
      </c>
    </row>
    <row r="1664" spans="1:16" ht="15" customHeight="1">
      <c r="A1664" s="1">
        <v>1663</v>
      </c>
      <c r="B1664" s="2" t="s">
        <v>18803</v>
      </c>
      <c r="C1664" s="2" t="s">
        <v>18804</v>
      </c>
      <c r="D1664" s="2" t="s">
        <v>18805</v>
      </c>
      <c r="E1664" s="2" t="s">
        <v>18806</v>
      </c>
      <c r="F1664" s="2" t="s">
        <v>18807</v>
      </c>
      <c r="G1664" s="2" t="s">
        <v>18808</v>
      </c>
      <c r="H1664" s="2" t="s">
        <v>18809</v>
      </c>
      <c r="I1664" s="2" t="s">
        <v>18810</v>
      </c>
      <c r="J1664" s="2" t="s">
        <v>18811</v>
      </c>
      <c r="K1664" s="2" t="s">
        <v>25070</v>
      </c>
      <c r="L1664" s="2" t="s">
        <v>25071</v>
      </c>
      <c r="M1664" s="2" t="s">
        <v>18812</v>
      </c>
      <c r="N1664" s="2" t="s">
        <v>18813</v>
      </c>
      <c r="O1664" s="2" t="s">
        <v>18814</v>
      </c>
      <c r="P1664" s="2" t="s">
        <v>18803</v>
      </c>
    </row>
    <row r="1665" spans="1:16" ht="15" customHeight="1">
      <c r="A1665" s="1">
        <v>1664</v>
      </c>
      <c r="B1665" s="2" t="s">
        <v>18815</v>
      </c>
      <c r="C1665" s="2" t="s">
        <v>18816</v>
      </c>
      <c r="D1665" s="2" t="s">
        <v>18817</v>
      </c>
      <c r="E1665" s="2" t="s">
        <v>18818</v>
      </c>
      <c r="F1665" s="2" t="s">
        <v>18819</v>
      </c>
      <c r="G1665" s="2" t="s">
        <v>18820</v>
      </c>
      <c r="H1665" s="2" t="s">
        <v>18821</v>
      </c>
      <c r="I1665" s="2" t="s">
        <v>18822</v>
      </c>
      <c r="J1665" s="2" t="s">
        <v>18823</v>
      </c>
      <c r="K1665" s="2" t="s">
        <v>25072</v>
      </c>
      <c r="L1665" s="2" t="s">
        <v>18824</v>
      </c>
      <c r="M1665" s="2" t="s">
        <v>18825</v>
      </c>
      <c r="N1665" s="2" t="s">
        <v>18826</v>
      </c>
      <c r="O1665" s="2" t="s">
        <v>18827</v>
      </c>
      <c r="P1665" s="2" t="s">
        <v>18815</v>
      </c>
    </row>
    <row r="1666" spans="1:16" ht="15" customHeight="1">
      <c r="A1666" s="1">
        <v>1665</v>
      </c>
      <c r="B1666" s="2" t="s">
        <v>18828</v>
      </c>
      <c r="C1666" s="2" t="s">
        <v>18829</v>
      </c>
      <c r="D1666" s="2" t="s">
        <v>18830</v>
      </c>
      <c r="E1666" s="2" t="s">
        <v>18831</v>
      </c>
      <c r="F1666" s="2" t="s">
        <v>18832</v>
      </c>
      <c r="G1666" s="2" t="s">
        <v>18833</v>
      </c>
      <c r="H1666" s="2" t="s">
        <v>18834</v>
      </c>
      <c r="I1666" s="2" t="s">
        <v>18835</v>
      </c>
      <c r="J1666" s="2" t="s">
        <v>18836</v>
      </c>
      <c r="K1666" s="2" t="s">
        <v>25073</v>
      </c>
      <c r="L1666" s="2" t="s">
        <v>18837</v>
      </c>
      <c r="M1666" s="2" t="s">
        <v>18838</v>
      </c>
      <c r="N1666" s="2" t="s">
        <v>18839</v>
      </c>
      <c r="O1666" s="2" t="s">
        <v>18840</v>
      </c>
      <c r="P1666" s="2" t="s">
        <v>18828</v>
      </c>
    </row>
    <row r="1667" spans="1:16" ht="15" customHeight="1">
      <c r="A1667" s="1">
        <v>1666</v>
      </c>
      <c r="B1667" s="2" t="s">
        <v>18841</v>
      </c>
      <c r="C1667" s="2" t="s">
        <v>18841</v>
      </c>
      <c r="D1667" s="2" t="s">
        <v>18842</v>
      </c>
      <c r="E1667" s="2" t="s">
        <v>18843</v>
      </c>
      <c r="F1667" s="2" t="s">
        <v>18844</v>
      </c>
      <c r="G1667" s="2" t="s">
        <v>18845</v>
      </c>
      <c r="H1667" s="2" t="s">
        <v>22644</v>
      </c>
      <c r="I1667" s="2" t="s">
        <v>18846</v>
      </c>
      <c r="J1667" s="2" t="s">
        <v>18847</v>
      </c>
      <c r="K1667" s="2" t="s">
        <v>18848</v>
      </c>
      <c r="L1667" s="2" t="s">
        <v>18849</v>
      </c>
      <c r="M1667" s="2" t="s">
        <v>18850</v>
      </c>
      <c r="N1667" s="2" t="s">
        <v>18851</v>
      </c>
      <c r="O1667" s="2" t="s">
        <v>18852</v>
      </c>
      <c r="P1667" s="2" t="s">
        <v>18841</v>
      </c>
    </row>
    <row r="1668" spans="1:16" ht="15" customHeight="1">
      <c r="A1668" s="1">
        <v>1667</v>
      </c>
      <c r="B1668" s="2" t="s">
        <v>18853</v>
      </c>
      <c r="C1668" s="2" t="s">
        <v>18853</v>
      </c>
      <c r="D1668" s="2" t="s">
        <v>18854</v>
      </c>
      <c r="E1668" s="2" t="s">
        <v>18855</v>
      </c>
      <c r="F1668" s="2" t="s">
        <v>18856</v>
      </c>
      <c r="G1668" s="2" t="s">
        <v>18857</v>
      </c>
      <c r="H1668" s="2" t="s">
        <v>18858</v>
      </c>
      <c r="I1668" s="2" t="s">
        <v>18859</v>
      </c>
      <c r="J1668" s="2" t="s">
        <v>18860</v>
      </c>
      <c r="K1668" s="2" t="s">
        <v>18861</v>
      </c>
      <c r="L1668" s="2" t="s">
        <v>18862</v>
      </c>
      <c r="M1668" s="2" t="s">
        <v>18863</v>
      </c>
      <c r="N1668" s="2" t="s">
        <v>18864</v>
      </c>
      <c r="O1668" s="2" t="s">
        <v>18865</v>
      </c>
      <c r="P1668" s="2" t="s">
        <v>18853</v>
      </c>
    </row>
    <row r="1669" spans="1:16" ht="15" customHeight="1">
      <c r="A1669" s="1">
        <v>1668</v>
      </c>
      <c r="B1669" s="2" t="s">
        <v>22923</v>
      </c>
      <c r="C1669" s="2" t="s">
        <v>18867</v>
      </c>
      <c r="D1669" s="2" t="s">
        <v>18868</v>
      </c>
      <c r="E1669" s="2" t="s">
        <v>18869</v>
      </c>
      <c r="F1669" s="2" t="s">
        <v>18870</v>
      </c>
      <c r="G1669" s="2" t="s">
        <v>18871</v>
      </c>
      <c r="H1669" s="2" t="s">
        <v>18872</v>
      </c>
      <c r="I1669" s="2" t="s">
        <v>18873</v>
      </c>
      <c r="J1669" s="2" t="s">
        <v>18874</v>
      </c>
      <c r="K1669" s="2" t="s">
        <v>25074</v>
      </c>
      <c r="L1669" s="2" t="s">
        <v>18875</v>
      </c>
      <c r="M1669" s="2" t="s">
        <v>18876</v>
      </c>
      <c r="N1669" s="2" t="s">
        <v>18877</v>
      </c>
      <c r="O1669" s="2" t="s">
        <v>18878</v>
      </c>
      <c r="P1669" s="2" t="s">
        <v>18866</v>
      </c>
    </row>
    <row r="1670" spans="1:16" ht="15" customHeight="1">
      <c r="A1670" s="1">
        <v>1669</v>
      </c>
      <c r="B1670" s="2" t="s">
        <v>18879</v>
      </c>
      <c r="C1670" s="2" t="s">
        <v>18880</v>
      </c>
      <c r="D1670" s="2" t="s">
        <v>18881</v>
      </c>
      <c r="E1670" s="2" t="s">
        <v>18882</v>
      </c>
      <c r="F1670" s="2" t="s">
        <v>18883</v>
      </c>
      <c r="G1670" s="2" t="s">
        <v>18884</v>
      </c>
      <c r="H1670" s="2" t="s">
        <v>18885</v>
      </c>
      <c r="I1670" s="2" t="s">
        <v>18886</v>
      </c>
      <c r="J1670" s="2" t="s">
        <v>18887</v>
      </c>
      <c r="K1670" s="2" t="s">
        <v>25075</v>
      </c>
      <c r="L1670" s="2" t="s">
        <v>18888</v>
      </c>
      <c r="M1670" s="2" t="s">
        <v>18889</v>
      </c>
      <c r="N1670" s="2" t="s">
        <v>18890</v>
      </c>
      <c r="O1670" s="2" t="s">
        <v>18891</v>
      </c>
      <c r="P1670" s="2" t="s">
        <v>18879</v>
      </c>
    </row>
    <row r="1671" spans="1:16" ht="15" customHeight="1">
      <c r="A1671" s="1">
        <v>1670</v>
      </c>
      <c r="B1671" s="2" t="s">
        <v>22924</v>
      </c>
      <c r="C1671" s="2" t="s">
        <v>18893</v>
      </c>
      <c r="D1671" s="2" t="s">
        <v>18894</v>
      </c>
      <c r="E1671" s="2" t="s">
        <v>18895</v>
      </c>
      <c r="F1671" s="2" t="s">
        <v>18896</v>
      </c>
      <c r="G1671" s="2" t="s">
        <v>18897</v>
      </c>
      <c r="H1671" s="2" t="s">
        <v>18898</v>
      </c>
      <c r="I1671" s="2" t="s">
        <v>18899</v>
      </c>
      <c r="J1671" s="2" t="s">
        <v>18900</v>
      </c>
      <c r="K1671" s="2" t="s">
        <v>25076</v>
      </c>
      <c r="L1671" s="2" t="s">
        <v>25077</v>
      </c>
      <c r="M1671" s="2" t="s">
        <v>18901</v>
      </c>
      <c r="N1671" s="2" t="s">
        <v>18902</v>
      </c>
      <c r="O1671" s="2" t="s">
        <v>18903</v>
      </c>
      <c r="P1671" s="2" t="s">
        <v>18892</v>
      </c>
    </row>
    <row r="1672" spans="1:16" ht="15" customHeight="1">
      <c r="A1672" s="1">
        <v>1671</v>
      </c>
      <c r="B1672" s="2" t="s">
        <v>18904</v>
      </c>
      <c r="C1672" s="2" t="s">
        <v>18905</v>
      </c>
      <c r="D1672" s="2" t="s">
        <v>18906</v>
      </c>
      <c r="E1672" s="2" t="s">
        <v>18907</v>
      </c>
      <c r="F1672" s="2" t="s">
        <v>18908</v>
      </c>
      <c r="G1672" s="2" t="s">
        <v>18909</v>
      </c>
      <c r="H1672" s="2" t="s">
        <v>18910</v>
      </c>
      <c r="I1672" s="2" t="s">
        <v>18911</v>
      </c>
      <c r="J1672" s="2" t="s">
        <v>18912</v>
      </c>
      <c r="K1672" s="2" t="s">
        <v>25078</v>
      </c>
      <c r="L1672" s="2" t="s">
        <v>18913</v>
      </c>
      <c r="M1672" s="2" t="s">
        <v>18914</v>
      </c>
      <c r="N1672" s="2" t="s">
        <v>18915</v>
      </c>
      <c r="O1672" s="2" t="s">
        <v>18916</v>
      </c>
      <c r="P1672" s="2" t="s">
        <v>18904</v>
      </c>
    </row>
    <row r="1673" spans="1:16" ht="15" customHeight="1">
      <c r="A1673" s="1">
        <v>1672</v>
      </c>
      <c r="B1673" s="2" t="s">
        <v>18917</v>
      </c>
      <c r="C1673" s="2" t="s">
        <v>18918</v>
      </c>
      <c r="D1673" s="2" t="s">
        <v>18919</v>
      </c>
      <c r="E1673" s="2" t="s">
        <v>25794</v>
      </c>
      <c r="F1673" s="2" t="s">
        <v>18921</v>
      </c>
      <c r="G1673" s="2" t="s">
        <v>18922</v>
      </c>
      <c r="H1673" s="2" t="s">
        <v>18923</v>
      </c>
      <c r="I1673" s="2" t="s">
        <v>18924</v>
      </c>
      <c r="J1673" s="2" t="s">
        <v>18925</v>
      </c>
      <c r="K1673" s="2" t="s">
        <v>18926</v>
      </c>
      <c r="L1673" s="2" t="s">
        <v>18927</v>
      </c>
      <c r="M1673" s="2" t="s">
        <v>18928</v>
      </c>
      <c r="N1673" s="2" t="s">
        <v>18929</v>
      </c>
      <c r="O1673" s="2" t="s">
        <v>18930</v>
      </c>
      <c r="P1673" s="2" t="s">
        <v>18917</v>
      </c>
    </row>
    <row r="1674" spans="1:16" ht="15" customHeight="1">
      <c r="A1674" s="1">
        <v>1673</v>
      </c>
      <c r="B1674" s="2" t="s">
        <v>18931</v>
      </c>
      <c r="C1674" s="2" t="s">
        <v>18918</v>
      </c>
      <c r="D1674" s="2" t="s">
        <v>18932</v>
      </c>
      <c r="E1674" s="2" t="s">
        <v>18920</v>
      </c>
      <c r="F1674" s="2" t="s">
        <v>18933</v>
      </c>
      <c r="G1674" s="2" t="s">
        <v>18934</v>
      </c>
      <c r="H1674" s="2" t="s">
        <v>18935</v>
      </c>
      <c r="I1674" s="2" t="s">
        <v>18936</v>
      </c>
      <c r="J1674" s="2" t="s">
        <v>18937</v>
      </c>
      <c r="K1674" s="2" t="s">
        <v>25079</v>
      </c>
      <c r="L1674" s="2" t="s">
        <v>18938</v>
      </c>
      <c r="M1674" s="2" t="s">
        <v>18939</v>
      </c>
      <c r="N1674" s="2" t="s">
        <v>18940</v>
      </c>
      <c r="O1674" s="2" t="s">
        <v>18941</v>
      </c>
      <c r="P1674" s="2" t="s">
        <v>18931</v>
      </c>
    </row>
    <row r="1675" spans="1:16" ht="15" customHeight="1">
      <c r="A1675" s="1">
        <v>1674</v>
      </c>
      <c r="B1675" s="2" t="s">
        <v>18942</v>
      </c>
      <c r="C1675" s="2" t="s">
        <v>18943</v>
      </c>
      <c r="D1675" s="2" t="s">
        <v>18944</v>
      </c>
      <c r="E1675" s="2" t="s">
        <v>18945</v>
      </c>
      <c r="F1675" s="2" t="s">
        <v>18946</v>
      </c>
      <c r="G1675" s="2" t="s">
        <v>18947</v>
      </c>
      <c r="H1675" s="2" t="s">
        <v>18948</v>
      </c>
      <c r="I1675" s="2" t="s">
        <v>18949</v>
      </c>
      <c r="J1675" s="2" t="s">
        <v>18950</v>
      </c>
      <c r="K1675" s="2" t="s">
        <v>25080</v>
      </c>
      <c r="L1675" s="2" t="s">
        <v>18951</v>
      </c>
      <c r="M1675" s="2" t="s">
        <v>18952</v>
      </c>
      <c r="N1675" s="2" t="s">
        <v>18953</v>
      </c>
      <c r="O1675" s="2" t="s">
        <v>18954</v>
      </c>
      <c r="P1675" s="2" t="s">
        <v>18942</v>
      </c>
    </row>
    <row r="1676" spans="1:16" ht="15" customHeight="1">
      <c r="A1676" s="1">
        <v>1675</v>
      </c>
      <c r="B1676" s="2" t="s">
        <v>22925</v>
      </c>
      <c r="C1676" s="2" t="s">
        <v>22926</v>
      </c>
      <c r="D1676" s="2" t="s">
        <v>22176</v>
      </c>
      <c r="E1676" s="2" t="s">
        <v>22927</v>
      </c>
      <c r="F1676" s="2" t="s">
        <v>22928</v>
      </c>
      <c r="G1676" s="2" t="s">
        <v>22929</v>
      </c>
      <c r="H1676" s="2" t="s">
        <v>22930</v>
      </c>
      <c r="I1676" s="2" t="s">
        <v>22931</v>
      </c>
      <c r="J1676" s="2" t="s">
        <v>22932</v>
      </c>
      <c r="K1676" s="2" t="s">
        <v>25081</v>
      </c>
      <c r="L1676" s="2" t="s">
        <v>22933</v>
      </c>
      <c r="M1676" s="2" t="s">
        <v>22934</v>
      </c>
      <c r="N1676" s="2" t="s">
        <v>22935</v>
      </c>
      <c r="O1676" s="2" t="s">
        <v>22936</v>
      </c>
      <c r="P1676" s="2" t="s">
        <v>22925</v>
      </c>
    </row>
    <row r="1677" spans="1:16" ht="15" customHeight="1">
      <c r="A1677" s="1">
        <v>1676</v>
      </c>
      <c r="B1677" s="2" t="s">
        <v>18955</v>
      </c>
      <c r="C1677" s="2" t="s">
        <v>18956</v>
      </c>
      <c r="D1677" s="2" t="s">
        <v>18957</v>
      </c>
      <c r="E1677" s="2" t="s">
        <v>18958</v>
      </c>
      <c r="F1677" s="2" t="s">
        <v>18959</v>
      </c>
      <c r="G1677" s="2" t="s">
        <v>18960</v>
      </c>
      <c r="H1677" s="2" t="s">
        <v>18961</v>
      </c>
      <c r="I1677" s="2" t="s">
        <v>18962</v>
      </c>
      <c r="J1677" s="2" t="s">
        <v>18963</v>
      </c>
      <c r="K1677" s="2" t="s">
        <v>25082</v>
      </c>
      <c r="L1677" s="2" t="s">
        <v>18964</v>
      </c>
      <c r="M1677" s="2" t="s">
        <v>18965</v>
      </c>
      <c r="N1677" s="2" t="s">
        <v>18966</v>
      </c>
      <c r="O1677" s="2" t="s">
        <v>18967</v>
      </c>
      <c r="P1677" s="2" t="s">
        <v>18955</v>
      </c>
    </row>
    <row r="1678" spans="1:16" ht="15" customHeight="1">
      <c r="A1678" s="1">
        <v>1677</v>
      </c>
      <c r="B1678" s="2" t="s">
        <v>18968</v>
      </c>
      <c r="C1678" s="2" t="s">
        <v>18969</v>
      </c>
      <c r="D1678" s="2" t="s">
        <v>18970</v>
      </c>
      <c r="E1678" s="2" t="s">
        <v>18971</v>
      </c>
      <c r="F1678" s="2" t="s">
        <v>18972</v>
      </c>
      <c r="G1678" s="2" t="s">
        <v>18973</v>
      </c>
      <c r="H1678" s="2" t="s">
        <v>18974</v>
      </c>
      <c r="I1678" s="2" t="s">
        <v>18975</v>
      </c>
      <c r="J1678" s="2" t="s">
        <v>18976</v>
      </c>
      <c r="K1678" s="2" t="s">
        <v>18977</v>
      </c>
      <c r="L1678" s="2" t="s">
        <v>18978</v>
      </c>
      <c r="M1678" s="2" t="s">
        <v>18979</v>
      </c>
      <c r="N1678" s="2" t="s">
        <v>18980</v>
      </c>
      <c r="O1678" s="2" t="s">
        <v>18981</v>
      </c>
      <c r="P1678" s="2" t="s">
        <v>18968</v>
      </c>
    </row>
    <row r="1679" spans="1:16" ht="15" customHeight="1">
      <c r="A1679" s="1">
        <v>1678</v>
      </c>
      <c r="B1679" s="2" t="s">
        <v>18982</v>
      </c>
      <c r="C1679" s="2" t="s">
        <v>25083</v>
      </c>
      <c r="D1679" s="2" t="s">
        <v>18983</v>
      </c>
      <c r="E1679" s="2" t="s">
        <v>18984</v>
      </c>
      <c r="F1679" s="2" t="s">
        <v>18985</v>
      </c>
      <c r="G1679" s="2" t="s">
        <v>18986</v>
      </c>
      <c r="H1679" s="2" t="s">
        <v>18987</v>
      </c>
      <c r="I1679" s="2" t="s">
        <v>25084</v>
      </c>
      <c r="J1679" s="2" t="s">
        <v>18988</v>
      </c>
      <c r="K1679" s="2" t="s">
        <v>25085</v>
      </c>
      <c r="L1679" s="2" t="s">
        <v>25086</v>
      </c>
      <c r="M1679" s="2" t="s">
        <v>25087</v>
      </c>
      <c r="N1679" s="2" t="s">
        <v>25088</v>
      </c>
      <c r="O1679" s="2" t="s">
        <v>25089</v>
      </c>
      <c r="P1679" s="2" t="s">
        <v>18982</v>
      </c>
    </row>
    <row r="1680" spans="1:16" ht="15" customHeight="1">
      <c r="A1680" s="1">
        <v>1679</v>
      </c>
      <c r="B1680" s="2" t="s">
        <v>18989</v>
      </c>
      <c r="C1680" s="2" t="s">
        <v>18990</v>
      </c>
      <c r="D1680" s="2" t="s">
        <v>18991</v>
      </c>
      <c r="E1680" s="2" t="s">
        <v>18992</v>
      </c>
      <c r="F1680" s="2" t="s">
        <v>18993</v>
      </c>
      <c r="G1680" s="2" t="s">
        <v>18994</v>
      </c>
      <c r="H1680" s="2" t="s">
        <v>25090</v>
      </c>
      <c r="I1680" s="2" t="s">
        <v>18995</v>
      </c>
      <c r="J1680" s="2" t="s">
        <v>18996</v>
      </c>
      <c r="K1680" s="2" t="s">
        <v>25091</v>
      </c>
      <c r="L1680" s="2" t="s">
        <v>18997</v>
      </c>
      <c r="M1680" s="2" t="s">
        <v>18998</v>
      </c>
      <c r="N1680" s="2" t="s">
        <v>18999</v>
      </c>
      <c r="O1680" s="2" t="s">
        <v>19000</v>
      </c>
      <c r="P1680" s="2" t="s">
        <v>18989</v>
      </c>
    </row>
    <row r="1681" spans="1:16" ht="15" customHeight="1">
      <c r="A1681" s="1">
        <v>1680</v>
      </c>
      <c r="B1681" s="2" t="s">
        <v>19001</v>
      </c>
      <c r="C1681" s="2" t="s">
        <v>19002</v>
      </c>
      <c r="D1681" s="2" t="s">
        <v>19003</v>
      </c>
      <c r="E1681" s="2" t="s">
        <v>19004</v>
      </c>
      <c r="F1681" s="2" t="s">
        <v>19005</v>
      </c>
      <c r="G1681" s="2" t="s">
        <v>19006</v>
      </c>
      <c r="H1681" s="2" t="s">
        <v>19007</v>
      </c>
      <c r="I1681" s="2" t="s">
        <v>19008</v>
      </c>
      <c r="J1681" s="2" t="s">
        <v>19009</v>
      </c>
      <c r="K1681" s="2" t="s">
        <v>25092</v>
      </c>
      <c r="L1681" s="2" t="s">
        <v>19010</v>
      </c>
      <c r="M1681" s="2" t="s">
        <v>19011</v>
      </c>
      <c r="N1681" s="2" t="s">
        <v>19012</v>
      </c>
      <c r="O1681" s="2" t="s">
        <v>19013</v>
      </c>
      <c r="P1681" s="2" t="s">
        <v>19001</v>
      </c>
    </row>
    <row r="1682" spans="1:16" ht="15" customHeight="1">
      <c r="A1682" s="1">
        <v>1681</v>
      </c>
      <c r="B1682" s="2" t="s">
        <v>19014</v>
      </c>
      <c r="C1682" s="2" t="s">
        <v>19015</v>
      </c>
      <c r="D1682" s="2" t="s">
        <v>19016</v>
      </c>
      <c r="E1682" s="2" t="s">
        <v>19017</v>
      </c>
      <c r="F1682" s="2" t="s">
        <v>19018</v>
      </c>
      <c r="G1682" s="2" t="s">
        <v>19019</v>
      </c>
      <c r="H1682" s="2" t="s">
        <v>22647</v>
      </c>
      <c r="I1682" s="2" t="s">
        <v>19020</v>
      </c>
      <c r="J1682" s="2" t="s">
        <v>19021</v>
      </c>
      <c r="K1682" s="2" t="s">
        <v>19022</v>
      </c>
      <c r="L1682" s="2" t="s">
        <v>19023</v>
      </c>
      <c r="M1682" s="2" t="s">
        <v>19024</v>
      </c>
      <c r="N1682" s="2" t="s">
        <v>19025</v>
      </c>
      <c r="O1682" s="2" t="s">
        <v>19026</v>
      </c>
      <c r="P1682" s="2" t="s">
        <v>19014</v>
      </c>
    </row>
    <row r="1683" spans="1:16" ht="15" customHeight="1">
      <c r="A1683" s="1">
        <v>1682</v>
      </c>
      <c r="B1683" s="2" t="s">
        <v>19027</v>
      </c>
      <c r="C1683" s="2" t="s">
        <v>19028</v>
      </c>
      <c r="D1683" s="2" t="s">
        <v>19029</v>
      </c>
      <c r="E1683" s="2" t="s">
        <v>19030</v>
      </c>
      <c r="F1683" s="2" t="s">
        <v>19031</v>
      </c>
      <c r="G1683" s="2" t="s">
        <v>19032</v>
      </c>
      <c r="H1683" s="2" t="s">
        <v>22648</v>
      </c>
      <c r="I1683" s="2" t="s">
        <v>19033</v>
      </c>
      <c r="J1683" s="2" t="s">
        <v>19034</v>
      </c>
      <c r="K1683" s="2" t="s">
        <v>19035</v>
      </c>
      <c r="L1683" s="2" t="s">
        <v>19036</v>
      </c>
      <c r="M1683" s="2" t="s">
        <v>19037</v>
      </c>
      <c r="N1683" s="2" t="s">
        <v>19038</v>
      </c>
      <c r="O1683" s="2" t="s">
        <v>19039</v>
      </c>
      <c r="P1683" s="2" t="s">
        <v>19027</v>
      </c>
    </row>
    <row r="1684" spans="1:16" ht="15" customHeight="1">
      <c r="A1684" s="1">
        <v>1683</v>
      </c>
      <c r="B1684" s="2" t="s">
        <v>19040</v>
      </c>
      <c r="C1684" s="2" t="s">
        <v>19041</v>
      </c>
      <c r="D1684" s="2" t="s">
        <v>19042</v>
      </c>
      <c r="E1684" s="2" t="s">
        <v>19043</v>
      </c>
      <c r="F1684" s="2" t="s">
        <v>19044</v>
      </c>
      <c r="G1684" s="2" t="s">
        <v>19045</v>
      </c>
      <c r="H1684" s="2" t="s">
        <v>19046</v>
      </c>
      <c r="I1684" s="2" t="s">
        <v>19047</v>
      </c>
      <c r="J1684" s="2" t="s">
        <v>19048</v>
      </c>
      <c r="K1684" s="2" t="s">
        <v>25093</v>
      </c>
      <c r="L1684" s="2" t="s">
        <v>25094</v>
      </c>
      <c r="M1684" s="2" t="s">
        <v>19049</v>
      </c>
      <c r="N1684" s="2" t="s">
        <v>19050</v>
      </c>
      <c r="O1684" s="2" t="s">
        <v>19051</v>
      </c>
      <c r="P1684" s="2" t="s">
        <v>19040</v>
      </c>
    </row>
    <row r="1685" spans="1:16" ht="15" customHeight="1">
      <c r="A1685" s="1">
        <v>1684</v>
      </c>
      <c r="B1685" s="2" t="s">
        <v>19052</v>
      </c>
      <c r="C1685" s="2" t="s">
        <v>19053</v>
      </c>
      <c r="D1685" s="2" t="s">
        <v>19054</v>
      </c>
      <c r="E1685" s="2" t="s">
        <v>19055</v>
      </c>
      <c r="F1685" s="2" t="s">
        <v>19056</v>
      </c>
      <c r="G1685" s="2" t="s">
        <v>19057</v>
      </c>
      <c r="H1685" s="2" t="s">
        <v>19058</v>
      </c>
      <c r="I1685" s="2" t="s">
        <v>19059</v>
      </c>
      <c r="J1685" s="2" t="s">
        <v>19060</v>
      </c>
      <c r="K1685" s="2" t="s">
        <v>25095</v>
      </c>
      <c r="L1685" s="2" t="s">
        <v>25096</v>
      </c>
      <c r="M1685" s="2" t="s">
        <v>19061</v>
      </c>
      <c r="N1685" s="2" t="s">
        <v>19062</v>
      </c>
      <c r="O1685" s="2" t="s">
        <v>19063</v>
      </c>
      <c r="P1685" s="2" t="s">
        <v>19052</v>
      </c>
    </row>
    <row r="1686" spans="1:16" ht="15" customHeight="1">
      <c r="A1686" s="1">
        <v>1685</v>
      </c>
      <c r="B1686" s="2" t="s">
        <v>25795</v>
      </c>
      <c r="C1686" s="2" t="s">
        <v>25796</v>
      </c>
      <c r="D1686" s="2" t="s">
        <v>25797</v>
      </c>
      <c r="E1686" s="2" t="s">
        <v>25798</v>
      </c>
      <c r="F1686" s="2" t="s">
        <v>25799</v>
      </c>
      <c r="G1686" s="2" t="s">
        <v>25800</v>
      </c>
      <c r="H1686" s="2" t="s">
        <v>25801</v>
      </c>
      <c r="I1686" s="2" t="s">
        <v>25802</v>
      </c>
      <c r="J1686" s="2" t="s">
        <v>25803</v>
      </c>
      <c r="K1686" s="2" t="s">
        <v>25804</v>
      </c>
      <c r="L1686" s="2" t="s">
        <v>25805</v>
      </c>
      <c r="M1686" s="2" t="s">
        <v>25806</v>
      </c>
      <c r="N1686" s="2" t="s">
        <v>25807</v>
      </c>
      <c r="O1686" s="2" t="s">
        <v>25808</v>
      </c>
      <c r="P1686" s="2" t="s">
        <v>25795</v>
      </c>
    </row>
    <row r="1687" spans="1:16" ht="15" customHeight="1">
      <c r="A1687" s="1">
        <v>1686</v>
      </c>
      <c r="B1687" s="2" t="s">
        <v>19064</v>
      </c>
      <c r="C1687" s="2" t="s">
        <v>19065</v>
      </c>
      <c r="D1687" s="2" t="s">
        <v>22937</v>
      </c>
      <c r="E1687" s="2" t="s">
        <v>19066</v>
      </c>
      <c r="F1687" s="2" t="s">
        <v>19067</v>
      </c>
      <c r="G1687" s="2" t="s">
        <v>19068</v>
      </c>
      <c r="H1687" s="2" t="s">
        <v>19069</v>
      </c>
      <c r="I1687" s="2" t="s">
        <v>19070</v>
      </c>
      <c r="J1687" s="2" t="s">
        <v>19071</v>
      </c>
      <c r="K1687" s="2" t="s">
        <v>19072</v>
      </c>
      <c r="L1687" s="2" t="s">
        <v>19073</v>
      </c>
      <c r="M1687" s="2" t="s">
        <v>19074</v>
      </c>
      <c r="N1687" s="2" t="s">
        <v>19075</v>
      </c>
      <c r="O1687" s="2" t="s">
        <v>19076</v>
      </c>
      <c r="P1687" s="2" t="s">
        <v>19064</v>
      </c>
    </row>
    <row r="1688" spans="1:16" ht="15" customHeight="1">
      <c r="A1688" s="1">
        <v>1687</v>
      </c>
      <c r="B1688" s="2" t="s">
        <v>19077</v>
      </c>
      <c r="C1688" s="2" t="s">
        <v>19078</v>
      </c>
      <c r="D1688" s="2" t="s">
        <v>19079</v>
      </c>
      <c r="E1688" s="2" t="s">
        <v>19080</v>
      </c>
      <c r="F1688" s="2" t="s">
        <v>19081</v>
      </c>
      <c r="G1688" s="2" t="s">
        <v>19082</v>
      </c>
      <c r="H1688" s="2" t="s">
        <v>19083</v>
      </c>
      <c r="I1688" s="2" t="s">
        <v>19084</v>
      </c>
      <c r="J1688" s="2" t="s">
        <v>19085</v>
      </c>
      <c r="K1688" s="2" t="s">
        <v>25097</v>
      </c>
      <c r="L1688" s="2" t="s">
        <v>19086</v>
      </c>
      <c r="M1688" s="2" t="s">
        <v>19087</v>
      </c>
      <c r="N1688" s="2" t="s">
        <v>19088</v>
      </c>
      <c r="O1688" s="2" t="s">
        <v>19089</v>
      </c>
      <c r="P1688" s="2" t="s">
        <v>19077</v>
      </c>
    </row>
    <row r="1689" spans="1:16" ht="15" customHeight="1">
      <c r="A1689" s="1">
        <v>1688</v>
      </c>
      <c r="B1689" s="2" t="s">
        <v>19090</v>
      </c>
      <c r="C1689" s="2" t="s">
        <v>19091</v>
      </c>
      <c r="D1689" s="2" t="s">
        <v>19092</v>
      </c>
      <c r="E1689" s="2" t="s">
        <v>19093</v>
      </c>
      <c r="F1689" s="2" t="s">
        <v>19094</v>
      </c>
      <c r="G1689" s="2" t="s">
        <v>19095</v>
      </c>
      <c r="H1689" s="2" t="s">
        <v>19096</v>
      </c>
      <c r="I1689" s="2" t="s">
        <v>19097</v>
      </c>
      <c r="J1689" s="2" t="s">
        <v>19098</v>
      </c>
      <c r="K1689" s="2" t="s">
        <v>25098</v>
      </c>
      <c r="L1689" s="2" t="s">
        <v>19099</v>
      </c>
      <c r="M1689" s="2" t="s">
        <v>19100</v>
      </c>
      <c r="N1689" s="2" t="s">
        <v>19101</v>
      </c>
      <c r="O1689" s="2" t="s">
        <v>19102</v>
      </c>
      <c r="P1689" s="2" t="s">
        <v>19090</v>
      </c>
    </row>
    <row r="1690" spans="1:16" ht="15" customHeight="1">
      <c r="A1690" s="1">
        <v>1689</v>
      </c>
      <c r="B1690" s="2" t="s">
        <v>19103</v>
      </c>
      <c r="C1690" s="2" t="s">
        <v>19104</v>
      </c>
      <c r="D1690" s="2" t="s">
        <v>19105</v>
      </c>
      <c r="E1690" s="2" t="s">
        <v>19106</v>
      </c>
      <c r="F1690" s="2" t="s">
        <v>19107</v>
      </c>
      <c r="G1690" s="2" t="s">
        <v>19108</v>
      </c>
      <c r="H1690" s="2" t="s">
        <v>19109</v>
      </c>
      <c r="I1690" s="2" t="s">
        <v>19110</v>
      </c>
      <c r="J1690" s="2" t="s">
        <v>19111</v>
      </c>
      <c r="K1690" s="2" t="s">
        <v>19112</v>
      </c>
      <c r="L1690" s="2" t="s">
        <v>19113</v>
      </c>
      <c r="M1690" s="2" t="s">
        <v>19114</v>
      </c>
      <c r="N1690" s="2" t="s">
        <v>19115</v>
      </c>
      <c r="O1690" s="2" t="s">
        <v>19116</v>
      </c>
      <c r="P1690" s="2" t="s">
        <v>19103</v>
      </c>
    </row>
    <row r="1691" spans="1:16" ht="15" customHeight="1">
      <c r="A1691" s="1">
        <v>1690</v>
      </c>
      <c r="B1691" s="2" t="s">
        <v>19117</v>
      </c>
      <c r="C1691" s="2" t="s">
        <v>19118</v>
      </c>
      <c r="D1691" s="2" t="s">
        <v>19119</v>
      </c>
      <c r="E1691" s="2" t="s">
        <v>19120</v>
      </c>
      <c r="F1691" s="2" t="s">
        <v>19121</v>
      </c>
      <c r="G1691" s="2" t="s">
        <v>19122</v>
      </c>
      <c r="H1691" s="2" t="s">
        <v>19123</v>
      </c>
      <c r="I1691" s="2" t="s">
        <v>19124</v>
      </c>
      <c r="J1691" s="2" t="s">
        <v>19125</v>
      </c>
      <c r="K1691" s="2" t="s">
        <v>19126</v>
      </c>
      <c r="L1691" s="2" t="s">
        <v>19127</v>
      </c>
      <c r="M1691" s="2" t="s">
        <v>19128</v>
      </c>
      <c r="N1691" s="2" t="s">
        <v>19129</v>
      </c>
      <c r="O1691" s="2" t="s">
        <v>19130</v>
      </c>
      <c r="P1691" s="2" t="s">
        <v>19117</v>
      </c>
    </row>
    <row r="1692" spans="1:16" ht="15" customHeight="1">
      <c r="A1692" s="1">
        <v>1691</v>
      </c>
      <c r="B1692" s="2" t="s">
        <v>19131</v>
      </c>
      <c r="C1692" s="2" t="s">
        <v>19132</v>
      </c>
      <c r="D1692" s="2" t="s">
        <v>19133</v>
      </c>
      <c r="E1692" s="2" t="s">
        <v>19134</v>
      </c>
      <c r="F1692" s="2" t="s">
        <v>19135</v>
      </c>
      <c r="G1692" s="2" t="s">
        <v>19136</v>
      </c>
      <c r="H1692" s="2" t="s">
        <v>19137</v>
      </c>
      <c r="I1692" s="2" t="s">
        <v>19138</v>
      </c>
      <c r="J1692" s="2" t="s">
        <v>19139</v>
      </c>
      <c r="K1692" s="2" t="s">
        <v>19140</v>
      </c>
      <c r="L1692" s="2" t="s">
        <v>19141</v>
      </c>
      <c r="M1692" s="2" t="s">
        <v>19142</v>
      </c>
      <c r="N1692" s="2" t="s">
        <v>19143</v>
      </c>
      <c r="O1692" s="2" t="s">
        <v>19144</v>
      </c>
      <c r="P1692" s="2" t="s">
        <v>19131</v>
      </c>
    </row>
    <row r="1693" spans="1:16" ht="15" customHeight="1">
      <c r="A1693" s="1">
        <v>1692</v>
      </c>
      <c r="B1693" s="2" t="s">
        <v>19145</v>
      </c>
      <c r="C1693" s="2" t="s">
        <v>19146</v>
      </c>
      <c r="D1693" s="2" t="s">
        <v>19147</v>
      </c>
      <c r="E1693" s="2" t="s">
        <v>19148</v>
      </c>
      <c r="F1693" s="2" t="s">
        <v>19149</v>
      </c>
      <c r="G1693" s="2" t="s">
        <v>19150</v>
      </c>
      <c r="H1693" s="2" t="s">
        <v>19151</v>
      </c>
      <c r="I1693" s="2" t="s">
        <v>19152</v>
      </c>
      <c r="J1693" s="2" t="s">
        <v>19153</v>
      </c>
      <c r="K1693" s="2" t="s">
        <v>19154</v>
      </c>
      <c r="L1693" s="2" t="s">
        <v>19155</v>
      </c>
      <c r="M1693" s="2" t="s">
        <v>19156</v>
      </c>
      <c r="N1693" s="2" t="s">
        <v>19157</v>
      </c>
      <c r="O1693" s="2" t="s">
        <v>19158</v>
      </c>
      <c r="P1693" s="2" t="s">
        <v>19145</v>
      </c>
    </row>
    <row r="1694" spans="1:16" ht="15" customHeight="1">
      <c r="A1694" s="1">
        <v>1693</v>
      </c>
      <c r="B1694" s="2" t="s">
        <v>19159</v>
      </c>
      <c r="C1694" s="2" t="s">
        <v>19160</v>
      </c>
      <c r="D1694" s="2" t="s">
        <v>19161</v>
      </c>
      <c r="E1694" s="2" t="s">
        <v>19162</v>
      </c>
      <c r="F1694" s="2" t="s">
        <v>19163</v>
      </c>
      <c r="G1694" s="2" t="s">
        <v>19164</v>
      </c>
      <c r="H1694" s="2" t="s">
        <v>19165</v>
      </c>
      <c r="I1694" s="2" t="s">
        <v>19166</v>
      </c>
      <c r="J1694" s="2" t="s">
        <v>19167</v>
      </c>
      <c r="K1694" s="2" t="s">
        <v>19168</v>
      </c>
      <c r="L1694" s="2" t="s">
        <v>19169</v>
      </c>
      <c r="M1694" s="2" t="s">
        <v>19170</v>
      </c>
      <c r="N1694" s="2" t="s">
        <v>19170</v>
      </c>
      <c r="O1694" s="2" t="s">
        <v>19171</v>
      </c>
      <c r="P1694" s="2" t="s">
        <v>19159</v>
      </c>
    </row>
    <row r="1695" spans="1:16" ht="15" customHeight="1">
      <c r="A1695" s="1">
        <v>1694</v>
      </c>
      <c r="B1695" s="2" t="s">
        <v>19172</v>
      </c>
      <c r="C1695" s="2" t="s">
        <v>19173</v>
      </c>
      <c r="D1695" s="2" t="s">
        <v>19174</v>
      </c>
      <c r="E1695" s="2" t="s">
        <v>19172</v>
      </c>
      <c r="F1695" s="2" t="s">
        <v>19172</v>
      </c>
      <c r="G1695" s="2" t="s">
        <v>19172</v>
      </c>
      <c r="H1695" s="2" t="s">
        <v>19172</v>
      </c>
      <c r="I1695" s="2" t="s">
        <v>19175</v>
      </c>
      <c r="J1695" s="2" t="s">
        <v>19176</v>
      </c>
      <c r="K1695" s="2" t="s">
        <v>19177</v>
      </c>
      <c r="L1695" s="2" t="s">
        <v>19177</v>
      </c>
      <c r="M1695" s="2" t="s">
        <v>19177</v>
      </c>
      <c r="N1695" s="2" t="s">
        <v>19177</v>
      </c>
      <c r="O1695" s="2" t="s">
        <v>19175</v>
      </c>
      <c r="P1695" s="2" t="s">
        <v>19172</v>
      </c>
    </row>
    <row r="1696" spans="1:16" ht="15" customHeight="1">
      <c r="A1696" s="1">
        <v>1695</v>
      </c>
      <c r="B1696" s="2" t="s">
        <v>19178</v>
      </c>
      <c r="C1696" s="2" t="s">
        <v>19179</v>
      </c>
      <c r="D1696" s="2" t="s">
        <v>19180</v>
      </c>
      <c r="E1696" s="2" t="s">
        <v>19181</v>
      </c>
      <c r="F1696" s="2" t="s">
        <v>19182</v>
      </c>
      <c r="G1696" s="2" t="s">
        <v>19183</v>
      </c>
      <c r="H1696" s="2" t="s">
        <v>19184</v>
      </c>
      <c r="I1696" s="2" t="s">
        <v>19185</v>
      </c>
      <c r="J1696" s="2" t="s">
        <v>19186</v>
      </c>
      <c r="K1696" s="2" t="s">
        <v>25099</v>
      </c>
      <c r="L1696" s="2" t="s">
        <v>25100</v>
      </c>
      <c r="M1696" s="2" t="s">
        <v>19187</v>
      </c>
      <c r="N1696" s="2" t="s">
        <v>19188</v>
      </c>
      <c r="O1696" s="2" t="s">
        <v>19189</v>
      </c>
      <c r="P1696" s="2" t="s">
        <v>19178</v>
      </c>
    </row>
    <row r="1697" spans="1:16" ht="15" customHeight="1">
      <c r="A1697" s="1">
        <v>1696</v>
      </c>
      <c r="B1697" s="2" t="s">
        <v>19190</v>
      </c>
      <c r="C1697" s="2" t="s">
        <v>19191</v>
      </c>
      <c r="D1697" s="2" t="s">
        <v>19192</v>
      </c>
      <c r="E1697" s="2" t="s">
        <v>19193</v>
      </c>
      <c r="F1697" s="2" t="s">
        <v>19194</v>
      </c>
      <c r="G1697" s="2" t="s">
        <v>19195</v>
      </c>
      <c r="H1697" s="2" t="s">
        <v>19196</v>
      </c>
      <c r="I1697" s="2" t="s">
        <v>19197</v>
      </c>
      <c r="J1697" s="2" t="s">
        <v>19198</v>
      </c>
      <c r="K1697" s="2" t="s">
        <v>25101</v>
      </c>
      <c r="L1697" s="2" t="s">
        <v>19199</v>
      </c>
      <c r="M1697" s="2" t="s">
        <v>19200</v>
      </c>
      <c r="N1697" s="2" t="s">
        <v>19201</v>
      </c>
      <c r="O1697" s="2" t="s">
        <v>19202</v>
      </c>
      <c r="P1697" s="2" t="s">
        <v>19190</v>
      </c>
    </row>
    <row r="1698" spans="1:16" ht="15" customHeight="1">
      <c r="A1698" s="1">
        <v>1697</v>
      </c>
      <c r="B1698" s="2" t="s">
        <v>19203</v>
      </c>
      <c r="C1698" s="2" t="s">
        <v>19204</v>
      </c>
      <c r="D1698" s="2" t="s">
        <v>19205</v>
      </c>
      <c r="E1698" s="2" t="s">
        <v>19206</v>
      </c>
      <c r="F1698" s="2" t="s">
        <v>19207</v>
      </c>
      <c r="G1698" s="2" t="s">
        <v>19208</v>
      </c>
      <c r="H1698" s="2" t="s">
        <v>19209</v>
      </c>
      <c r="I1698" s="2" t="s">
        <v>19210</v>
      </c>
      <c r="J1698" s="2" t="s">
        <v>19211</v>
      </c>
      <c r="K1698" s="2" t="s">
        <v>25102</v>
      </c>
      <c r="L1698" s="2" t="s">
        <v>19212</v>
      </c>
      <c r="M1698" s="2" t="s">
        <v>19213</v>
      </c>
      <c r="N1698" s="2" t="s">
        <v>19213</v>
      </c>
      <c r="O1698" s="2" t="s">
        <v>19214</v>
      </c>
      <c r="P1698" s="2" t="s">
        <v>19203</v>
      </c>
    </row>
    <row r="1699" spans="1:16" ht="15" customHeight="1">
      <c r="A1699" s="1">
        <v>1698</v>
      </c>
      <c r="B1699" s="2" t="s">
        <v>19215</v>
      </c>
      <c r="C1699" s="2" t="s">
        <v>4036</v>
      </c>
      <c r="D1699" s="2" t="s">
        <v>19216</v>
      </c>
      <c r="E1699" s="2" t="s">
        <v>4039</v>
      </c>
      <c r="F1699" s="2" t="s">
        <v>4039</v>
      </c>
      <c r="G1699" s="2" t="s">
        <v>4039</v>
      </c>
      <c r="H1699" s="2" t="s">
        <v>4038</v>
      </c>
      <c r="I1699" s="2" t="s">
        <v>4040</v>
      </c>
      <c r="J1699" s="2" t="s">
        <v>19217</v>
      </c>
      <c r="K1699" s="2" t="s">
        <v>25103</v>
      </c>
      <c r="L1699" s="2" t="s">
        <v>19218</v>
      </c>
      <c r="M1699" s="2" t="s">
        <v>4040</v>
      </c>
      <c r="N1699" s="2" t="s">
        <v>19219</v>
      </c>
      <c r="O1699" s="2" t="s">
        <v>19220</v>
      </c>
      <c r="P1699" s="2" t="s">
        <v>19215</v>
      </c>
    </row>
    <row r="1700" spans="1:16" ht="15" customHeight="1">
      <c r="A1700" s="1">
        <v>1699</v>
      </c>
      <c r="B1700" s="2" t="s">
        <v>19221</v>
      </c>
      <c r="C1700" s="2" t="s">
        <v>19222</v>
      </c>
      <c r="D1700" s="2" t="s">
        <v>19223</v>
      </c>
      <c r="E1700" s="2" t="s">
        <v>19224</v>
      </c>
      <c r="F1700" s="2" t="s">
        <v>19225</v>
      </c>
      <c r="G1700" s="2" t="s">
        <v>19226</v>
      </c>
      <c r="H1700" s="2" t="s">
        <v>19227</v>
      </c>
      <c r="I1700" s="2" t="s">
        <v>19225</v>
      </c>
      <c r="J1700" s="2" t="s">
        <v>19228</v>
      </c>
      <c r="K1700" s="2" t="s">
        <v>25104</v>
      </c>
      <c r="L1700" s="2" t="s">
        <v>19229</v>
      </c>
      <c r="M1700" s="2" t="s">
        <v>19230</v>
      </c>
      <c r="N1700" s="2" t="s">
        <v>19231</v>
      </c>
      <c r="O1700" s="2" t="s">
        <v>19232</v>
      </c>
      <c r="P1700" s="2" t="s">
        <v>19221</v>
      </c>
    </row>
    <row r="1701" spans="1:16" ht="15" customHeight="1">
      <c r="A1701" s="1">
        <v>1700</v>
      </c>
      <c r="B1701" s="2" t="s">
        <v>19233</v>
      </c>
      <c r="C1701" s="2" t="s">
        <v>19234</v>
      </c>
      <c r="D1701" s="2" t="s">
        <v>19235</v>
      </c>
      <c r="E1701" s="2" t="s">
        <v>19236</v>
      </c>
      <c r="F1701" s="2" t="s">
        <v>19237</v>
      </c>
      <c r="G1701" s="2" t="s">
        <v>19238</v>
      </c>
      <c r="H1701" s="2" t="s">
        <v>19239</v>
      </c>
      <c r="I1701" s="2" t="s">
        <v>19240</v>
      </c>
      <c r="J1701" s="2" t="s">
        <v>19241</v>
      </c>
      <c r="K1701" s="2" t="s">
        <v>19242</v>
      </c>
      <c r="L1701" s="2" t="s">
        <v>19243</v>
      </c>
      <c r="M1701" s="2" t="s">
        <v>19244</v>
      </c>
      <c r="N1701" s="2" t="s">
        <v>19245</v>
      </c>
      <c r="O1701" s="2" t="s">
        <v>19246</v>
      </c>
      <c r="P1701" s="2" t="s">
        <v>19233</v>
      </c>
    </row>
    <row r="1702" spans="1:16" ht="15" customHeight="1">
      <c r="A1702" s="1">
        <v>1701</v>
      </c>
      <c r="B1702" s="2" t="s">
        <v>19247</v>
      </c>
      <c r="C1702" s="2" t="s">
        <v>19248</v>
      </c>
      <c r="D1702" s="2" t="s">
        <v>19249</v>
      </c>
      <c r="E1702" s="2" t="s">
        <v>19250</v>
      </c>
      <c r="F1702" s="2" t="s">
        <v>19251</v>
      </c>
      <c r="G1702" s="2" t="s">
        <v>19252</v>
      </c>
      <c r="H1702" s="2" t="s">
        <v>19253</v>
      </c>
      <c r="I1702" s="2" t="s">
        <v>19254</v>
      </c>
      <c r="J1702" s="2" t="s">
        <v>19255</v>
      </c>
      <c r="K1702" s="2" t="s">
        <v>19256</v>
      </c>
      <c r="L1702" s="2" t="s">
        <v>19257</v>
      </c>
      <c r="M1702" s="2" t="s">
        <v>19258</v>
      </c>
      <c r="N1702" s="2" t="s">
        <v>19259</v>
      </c>
      <c r="O1702" s="2" t="s">
        <v>19260</v>
      </c>
      <c r="P1702" s="2" t="s">
        <v>19247</v>
      </c>
    </row>
    <row r="1703" spans="1:16" ht="15" customHeight="1">
      <c r="A1703" s="1">
        <v>1702</v>
      </c>
      <c r="B1703" s="2" t="s">
        <v>19261</v>
      </c>
      <c r="C1703" s="2" t="s">
        <v>19262</v>
      </c>
      <c r="D1703" s="2" t="s">
        <v>19263</v>
      </c>
      <c r="E1703" s="2" t="s">
        <v>19264</v>
      </c>
      <c r="F1703" s="2" t="s">
        <v>19265</v>
      </c>
      <c r="G1703" s="2" t="s">
        <v>19266</v>
      </c>
      <c r="H1703" s="2" t="s">
        <v>19267</v>
      </c>
      <c r="I1703" s="2" t="s">
        <v>19268</v>
      </c>
      <c r="J1703" s="2" t="s">
        <v>19269</v>
      </c>
      <c r="K1703" s="2" t="s">
        <v>25105</v>
      </c>
      <c r="L1703" s="2" t="s">
        <v>19270</v>
      </c>
      <c r="M1703" s="2" t="s">
        <v>19271</v>
      </c>
      <c r="N1703" s="2" t="s">
        <v>19272</v>
      </c>
      <c r="O1703" s="2" t="s">
        <v>19273</v>
      </c>
      <c r="P1703" s="2" t="s">
        <v>19261</v>
      </c>
    </row>
    <row r="1704" spans="1:16" ht="15" customHeight="1">
      <c r="A1704" s="1">
        <v>1703</v>
      </c>
      <c r="B1704" s="2" t="s">
        <v>19274</v>
      </c>
      <c r="C1704" s="2" t="s">
        <v>19275</v>
      </c>
      <c r="D1704" s="2" t="s">
        <v>19276</v>
      </c>
      <c r="E1704" s="2" t="s">
        <v>19277</v>
      </c>
      <c r="F1704" s="2" t="s">
        <v>19278</v>
      </c>
      <c r="G1704" s="2" t="s">
        <v>19279</v>
      </c>
      <c r="H1704" s="2" t="s">
        <v>19280</v>
      </c>
      <c r="I1704" s="2" t="s">
        <v>19281</v>
      </c>
      <c r="J1704" s="2" t="s">
        <v>19282</v>
      </c>
      <c r="K1704" s="2" t="s">
        <v>19283</v>
      </c>
      <c r="L1704" s="2" t="s">
        <v>19284</v>
      </c>
      <c r="M1704" s="2" t="s">
        <v>19285</v>
      </c>
      <c r="N1704" s="2" t="s">
        <v>19286</v>
      </c>
      <c r="O1704" s="2" t="s">
        <v>19287</v>
      </c>
      <c r="P1704" s="2" t="s">
        <v>19274</v>
      </c>
    </row>
    <row r="1705" spans="1:16" ht="15" customHeight="1">
      <c r="A1705" s="1">
        <v>1704</v>
      </c>
      <c r="B1705" s="2" t="s">
        <v>19288</v>
      </c>
      <c r="C1705" s="2" t="s">
        <v>19289</v>
      </c>
      <c r="D1705" s="2" t="s">
        <v>19290</v>
      </c>
      <c r="E1705" s="2" t="s">
        <v>19291</v>
      </c>
      <c r="F1705" s="2" t="s">
        <v>19292</v>
      </c>
      <c r="G1705" s="2" t="s">
        <v>19293</v>
      </c>
      <c r="H1705" s="2" t="s">
        <v>19294</v>
      </c>
      <c r="I1705" s="2" t="s">
        <v>19295</v>
      </c>
      <c r="J1705" s="2" t="s">
        <v>19296</v>
      </c>
      <c r="K1705" s="2" t="s">
        <v>19297</v>
      </c>
      <c r="L1705" s="2" t="s">
        <v>19298</v>
      </c>
      <c r="M1705" s="2" t="s">
        <v>19299</v>
      </c>
      <c r="N1705" s="2" t="s">
        <v>19300</v>
      </c>
      <c r="O1705" s="2" t="s">
        <v>19301</v>
      </c>
      <c r="P1705" s="2" t="s">
        <v>19288</v>
      </c>
    </row>
    <row r="1706" spans="1:16" ht="15" customHeight="1">
      <c r="A1706" s="1">
        <v>1705</v>
      </c>
      <c r="B1706" s="2" t="s">
        <v>19302</v>
      </c>
      <c r="C1706" s="2" t="s">
        <v>19303</v>
      </c>
      <c r="D1706" s="2" t="s">
        <v>19304</v>
      </c>
      <c r="E1706" s="2" t="s">
        <v>19305</v>
      </c>
      <c r="F1706" s="2" t="s">
        <v>19302</v>
      </c>
      <c r="G1706" s="2" t="s">
        <v>19302</v>
      </c>
      <c r="H1706" s="2" t="s">
        <v>19306</v>
      </c>
      <c r="I1706" s="2" t="s">
        <v>19302</v>
      </c>
      <c r="J1706" s="2" t="s">
        <v>19302</v>
      </c>
      <c r="K1706" s="2" t="s">
        <v>19302</v>
      </c>
      <c r="L1706" s="2" t="s">
        <v>19302</v>
      </c>
      <c r="M1706" s="2" t="s">
        <v>19302</v>
      </c>
      <c r="N1706" s="2" t="s">
        <v>19302</v>
      </c>
      <c r="O1706" s="2" t="s">
        <v>19302</v>
      </c>
      <c r="P1706" s="2" t="s">
        <v>19302</v>
      </c>
    </row>
    <row r="1707" spans="1:16" ht="15" customHeight="1">
      <c r="A1707" s="1">
        <v>1706</v>
      </c>
      <c r="B1707" s="2" t="s">
        <v>19307</v>
      </c>
      <c r="C1707" s="2" t="s">
        <v>19308</v>
      </c>
      <c r="D1707" s="2" t="s">
        <v>19309</v>
      </c>
      <c r="E1707" s="2" t="s">
        <v>19310</v>
      </c>
      <c r="F1707" s="2" t="s">
        <v>19311</v>
      </c>
      <c r="G1707" s="2" t="s">
        <v>19312</v>
      </c>
      <c r="H1707" s="2" t="s">
        <v>19313</v>
      </c>
      <c r="I1707" s="2" t="s">
        <v>19314</v>
      </c>
      <c r="J1707" s="2" t="s">
        <v>19315</v>
      </c>
      <c r="K1707" s="2" t="s">
        <v>19316</v>
      </c>
      <c r="L1707" s="2" t="s">
        <v>19317</v>
      </c>
      <c r="M1707" s="2" t="s">
        <v>19318</v>
      </c>
      <c r="N1707" s="2" t="s">
        <v>19319</v>
      </c>
      <c r="O1707" s="2" t="s">
        <v>19320</v>
      </c>
      <c r="P1707" s="2" t="s">
        <v>19307</v>
      </c>
    </row>
    <row r="1708" spans="1:16" ht="15" customHeight="1">
      <c r="A1708" s="1">
        <v>1707</v>
      </c>
      <c r="B1708" s="2" t="s">
        <v>19321</v>
      </c>
      <c r="C1708" s="2" t="s">
        <v>19322</v>
      </c>
      <c r="D1708" s="2" t="s">
        <v>19323</v>
      </c>
      <c r="E1708" s="2" t="s">
        <v>19324</v>
      </c>
      <c r="F1708" s="2" t="s">
        <v>19325</v>
      </c>
      <c r="G1708" s="2" t="s">
        <v>19321</v>
      </c>
      <c r="H1708" s="2" t="s">
        <v>19326</v>
      </c>
      <c r="I1708" s="2" t="s">
        <v>19327</v>
      </c>
      <c r="J1708" s="2" t="s">
        <v>19328</v>
      </c>
      <c r="K1708" s="2" t="s">
        <v>25106</v>
      </c>
      <c r="L1708" s="2" t="s">
        <v>19329</v>
      </c>
      <c r="M1708" s="2" t="s">
        <v>19330</v>
      </c>
      <c r="N1708" s="2" t="s">
        <v>19329</v>
      </c>
      <c r="O1708" s="2" t="s">
        <v>19331</v>
      </c>
      <c r="P1708" s="2" t="s">
        <v>19321</v>
      </c>
    </row>
    <row r="1709" spans="1:16" ht="15" customHeight="1">
      <c r="A1709" s="1">
        <v>1708</v>
      </c>
      <c r="B1709" s="2" t="s">
        <v>19332</v>
      </c>
      <c r="C1709" s="2" t="s">
        <v>19333</v>
      </c>
      <c r="D1709" s="2" t="s">
        <v>19334</v>
      </c>
      <c r="E1709" s="2" t="s">
        <v>19335</v>
      </c>
      <c r="F1709" s="2" t="s">
        <v>19336</v>
      </c>
      <c r="G1709" s="2" t="s">
        <v>19332</v>
      </c>
      <c r="H1709" s="2" t="s">
        <v>19337</v>
      </c>
      <c r="I1709" s="2" t="s">
        <v>19336</v>
      </c>
      <c r="J1709" s="2" t="s">
        <v>19338</v>
      </c>
      <c r="K1709" s="2" t="s">
        <v>19339</v>
      </c>
      <c r="L1709" s="2" t="s">
        <v>19340</v>
      </c>
      <c r="M1709" s="2" t="s">
        <v>19341</v>
      </c>
      <c r="N1709" s="2" t="s">
        <v>19341</v>
      </c>
      <c r="O1709" s="2" t="s">
        <v>19339</v>
      </c>
      <c r="P1709" s="2" t="s">
        <v>19332</v>
      </c>
    </row>
    <row r="1710" spans="1:16" ht="15" customHeight="1">
      <c r="A1710" s="1">
        <v>1709</v>
      </c>
      <c r="B1710" s="2" t="s">
        <v>19342</v>
      </c>
      <c r="C1710" s="2" t="s">
        <v>19343</v>
      </c>
      <c r="D1710" s="2" t="s">
        <v>19344</v>
      </c>
      <c r="E1710" s="2" t="s">
        <v>19335</v>
      </c>
      <c r="F1710" s="2" t="s">
        <v>19345</v>
      </c>
      <c r="G1710" s="2" t="s">
        <v>19345</v>
      </c>
      <c r="H1710" s="2" t="s">
        <v>19346</v>
      </c>
      <c r="I1710" s="2" t="s">
        <v>19347</v>
      </c>
      <c r="J1710" s="2" t="s">
        <v>19348</v>
      </c>
      <c r="K1710" s="2" t="s">
        <v>25107</v>
      </c>
      <c r="L1710" s="2" t="s">
        <v>19349</v>
      </c>
      <c r="M1710" s="2" t="s">
        <v>19350</v>
      </c>
      <c r="N1710" s="2" t="s">
        <v>19350</v>
      </c>
      <c r="O1710" s="2" t="s">
        <v>19351</v>
      </c>
      <c r="P1710" s="2" t="s">
        <v>19342</v>
      </c>
    </row>
    <row r="1711" spans="1:16" ht="15" customHeight="1">
      <c r="A1711" s="1">
        <v>1710</v>
      </c>
      <c r="B1711" s="2" t="s">
        <v>19352</v>
      </c>
      <c r="C1711" s="2" t="s">
        <v>19353</v>
      </c>
      <c r="D1711" s="2" t="s">
        <v>19354</v>
      </c>
      <c r="E1711" s="2" t="s">
        <v>19355</v>
      </c>
      <c r="F1711" s="2" t="s">
        <v>19356</v>
      </c>
      <c r="G1711" s="2" t="s">
        <v>19357</v>
      </c>
      <c r="H1711" s="2" t="s">
        <v>19358</v>
      </c>
      <c r="I1711" s="2" t="s">
        <v>19359</v>
      </c>
      <c r="J1711" s="2" t="s">
        <v>19360</v>
      </c>
      <c r="K1711" s="2" t="s">
        <v>19361</v>
      </c>
      <c r="L1711" s="2" t="s">
        <v>19362</v>
      </c>
      <c r="M1711" s="2" t="s">
        <v>19363</v>
      </c>
      <c r="N1711" s="2" t="s">
        <v>19364</v>
      </c>
      <c r="O1711" s="2" t="s">
        <v>19365</v>
      </c>
      <c r="P1711" s="2" t="s">
        <v>19352</v>
      </c>
    </row>
    <row r="1712" spans="1:16" ht="15" customHeight="1">
      <c r="A1712" s="1">
        <v>1711</v>
      </c>
      <c r="B1712" s="2" t="s">
        <v>19366</v>
      </c>
      <c r="C1712" s="2" t="s">
        <v>19367</v>
      </c>
      <c r="D1712" s="2" t="s">
        <v>19368</v>
      </c>
      <c r="E1712" s="2" t="s">
        <v>19369</v>
      </c>
      <c r="F1712" s="2" t="s">
        <v>19356</v>
      </c>
      <c r="G1712" s="2" t="s">
        <v>19370</v>
      </c>
      <c r="H1712" s="2" t="s">
        <v>19371</v>
      </c>
      <c r="I1712" s="2" t="s">
        <v>19372</v>
      </c>
      <c r="J1712" s="2" t="s">
        <v>19373</v>
      </c>
      <c r="K1712" s="2" t="s">
        <v>25108</v>
      </c>
      <c r="L1712" s="2" t="s">
        <v>19374</v>
      </c>
      <c r="M1712" s="2" t="s">
        <v>19375</v>
      </c>
      <c r="N1712" s="2" t="s">
        <v>19376</v>
      </c>
      <c r="O1712" s="2" t="s">
        <v>19377</v>
      </c>
      <c r="P1712" s="2" t="s">
        <v>19366</v>
      </c>
    </row>
    <row r="1713" spans="1:16" ht="15" customHeight="1">
      <c r="A1713" s="1">
        <v>1712</v>
      </c>
      <c r="B1713" s="2" t="s">
        <v>19378</v>
      </c>
      <c r="C1713" s="2" t="s">
        <v>19379</v>
      </c>
      <c r="D1713" s="2" t="s">
        <v>22938</v>
      </c>
      <c r="E1713" s="2" t="s">
        <v>19380</v>
      </c>
      <c r="F1713" s="2" t="s">
        <v>19381</v>
      </c>
      <c r="G1713" s="2" t="s">
        <v>19382</v>
      </c>
      <c r="H1713" s="2" t="s">
        <v>19383</v>
      </c>
      <c r="I1713" s="2" t="s">
        <v>19384</v>
      </c>
      <c r="J1713" s="2" t="s">
        <v>19385</v>
      </c>
      <c r="K1713" s="2" t="s">
        <v>25109</v>
      </c>
      <c r="L1713" s="2" t="s">
        <v>19386</v>
      </c>
      <c r="M1713" s="2" t="s">
        <v>19387</v>
      </c>
      <c r="N1713" s="2" t="s">
        <v>19388</v>
      </c>
      <c r="O1713" s="2" t="s">
        <v>19389</v>
      </c>
      <c r="P1713" s="2" t="s">
        <v>19378</v>
      </c>
    </row>
    <row r="1714" spans="1:16" ht="15" customHeight="1">
      <c r="A1714" s="1">
        <v>1713</v>
      </c>
      <c r="B1714" s="2" t="s">
        <v>19390</v>
      </c>
      <c r="C1714" s="2" t="s">
        <v>19390</v>
      </c>
      <c r="D1714" s="2" t="s">
        <v>19391</v>
      </c>
      <c r="E1714" s="2" t="s">
        <v>19392</v>
      </c>
      <c r="F1714" s="2" t="s">
        <v>19393</v>
      </c>
      <c r="G1714" s="2" t="s">
        <v>19394</v>
      </c>
      <c r="H1714" s="2" t="s">
        <v>19395</v>
      </c>
      <c r="I1714" s="2" t="s">
        <v>19396</v>
      </c>
      <c r="J1714" s="2" t="s">
        <v>19397</v>
      </c>
      <c r="K1714" s="2" t="s">
        <v>19398</v>
      </c>
      <c r="L1714" s="2" t="s">
        <v>19399</v>
      </c>
      <c r="M1714" s="2" t="s">
        <v>19400</v>
      </c>
      <c r="N1714" s="2" t="s">
        <v>19401</v>
      </c>
      <c r="O1714" s="2" t="s">
        <v>19402</v>
      </c>
      <c r="P1714" s="2" t="s">
        <v>19390</v>
      </c>
    </row>
    <row r="1715" spans="1:16" ht="15" customHeight="1">
      <c r="A1715" s="1">
        <v>1714</v>
      </c>
      <c r="B1715" s="2" t="s">
        <v>19403</v>
      </c>
      <c r="C1715" s="2" t="s">
        <v>19404</v>
      </c>
      <c r="D1715" s="2" t="s">
        <v>19405</v>
      </c>
      <c r="E1715" s="2" t="s">
        <v>19406</v>
      </c>
      <c r="F1715" s="2" t="s">
        <v>19407</v>
      </c>
      <c r="G1715" s="2" t="s">
        <v>19408</v>
      </c>
      <c r="H1715" s="2" t="s">
        <v>19409</v>
      </c>
      <c r="I1715" s="2" t="s">
        <v>19410</v>
      </c>
      <c r="J1715" s="2" t="s">
        <v>19411</v>
      </c>
      <c r="K1715" s="2" t="s">
        <v>25110</v>
      </c>
      <c r="L1715" s="2" t="s">
        <v>19412</v>
      </c>
      <c r="M1715" s="2" t="s">
        <v>19412</v>
      </c>
      <c r="N1715" s="2" t="s">
        <v>19412</v>
      </c>
      <c r="O1715" s="2" t="s">
        <v>19413</v>
      </c>
      <c r="P1715" s="2" t="s">
        <v>19403</v>
      </c>
    </row>
    <row r="1716" spans="1:16" ht="15" customHeight="1">
      <c r="A1716" s="1">
        <v>1715</v>
      </c>
      <c r="B1716" s="2" t="s">
        <v>19414</v>
      </c>
      <c r="C1716" s="2" t="s">
        <v>19415</v>
      </c>
      <c r="D1716" s="2" t="s">
        <v>19416</v>
      </c>
      <c r="E1716" s="2" t="s">
        <v>19417</v>
      </c>
      <c r="F1716" s="2" t="s">
        <v>19418</v>
      </c>
      <c r="G1716" s="2" t="s">
        <v>19419</v>
      </c>
      <c r="H1716" s="2" t="s">
        <v>19420</v>
      </c>
      <c r="I1716" s="2" t="s">
        <v>19421</v>
      </c>
      <c r="J1716" s="2" t="s">
        <v>19422</v>
      </c>
      <c r="K1716" s="2" t="s">
        <v>19423</v>
      </c>
      <c r="L1716" s="2" t="s">
        <v>19424</v>
      </c>
      <c r="M1716" s="2" t="s">
        <v>19425</v>
      </c>
      <c r="N1716" s="2" t="s">
        <v>19426</v>
      </c>
      <c r="O1716" s="2" t="s">
        <v>19427</v>
      </c>
      <c r="P1716" s="2" t="s">
        <v>19414</v>
      </c>
    </row>
    <row r="1717" spans="1:16" ht="15" customHeight="1">
      <c r="A1717" s="1">
        <v>1716</v>
      </c>
      <c r="B1717" s="2" t="s">
        <v>19428</v>
      </c>
      <c r="C1717" s="2" t="s">
        <v>19429</v>
      </c>
      <c r="D1717" s="2" t="s">
        <v>19430</v>
      </c>
      <c r="E1717" s="2" t="s">
        <v>19431</v>
      </c>
      <c r="F1717" s="2" t="s">
        <v>19432</v>
      </c>
      <c r="G1717" s="2" t="s">
        <v>19433</v>
      </c>
      <c r="H1717" s="2" t="s">
        <v>19434</v>
      </c>
      <c r="I1717" s="2" t="s">
        <v>19435</v>
      </c>
      <c r="J1717" s="2" t="s">
        <v>19436</v>
      </c>
      <c r="K1717" s="2" t="s">
        <v>25111</v>
      </c>
      <c r="L1717" s="2" t="s">
        <v>19437</v>
      </c>
      <c r="M1717" s="2" t="s">
        <v>19438</v>
      </c>
      <c r="N1717" s="2" t="s">
        <v>19439</v>
      </c>
      <c r="O1717" s="2" t="s">
        <v>19440</v>
      </c>
      <c r="P1717" s="2" t="s">
        <v>19428</v>
      </c>
    </row>
    <row r="1718" spans="1:16" ht="15" customHeight="1">
      <c r="A1718" s="1">
        <v>1717</v>
      </c>
      <c r="B1718" s="2" t="s">
        <v>19441</v>
      </c>
      <c r="C1718" s="2" t="s">
        <v>19442</v>
      </c>
      <c r="D1718" s="2" t="s">
        <v>19443</v>
      </c>
      <c r="E1718" s="2" t="s">
        <v>19444</v>
      </c>
      <c r="F1718" s="2" t="s">
        <v>19445</v>
      </c>
      <c r="G1718" s="2" t="s">
        <v>19446</v>
      </c>
      <c r="H1718" s="2" t="s">
        <v>19447</v>
      </c>
      <c r="I1718" s="2" t="s">
        <v>19448</v>
      </c>
      <c r="J1718" s="2" t="s">
        <v>19449</v>
      </c>
      <c r="K1718" s="2" t="s">
        <v>25112</v>
      </c>
      <c r="L1718" s="2" t="s">
        <v>19450</v>
      </c>
      <c r="M1718" s="2" t="s">
        <v>19451</v>
      </c>
      <c r="N1718" s="2" t="s">
        <v>19452</v>
      </c>
      <c r="O1718" s="2" t="s">
        <v>19453</v>
      </c>
      <c r="P1718" s="2" t="s">
        <v>19441</v>
      </c>
    </row>
    <row r="1719" spans="1:16" ht="15" customHeight="1">
      <c r="A1719" s="1">
        <v>1718</v>
      </c>
      <c r="B1719" s="2" t="s">
        <v>19454</v>
      </c>
      <c r="C1719" s="2" t="s">
        <v>19455</v>
      </c>
      <c r="D1719" s="2" t="s">
        <v>19456</v>
      </c>
      <c r="E1719" s="2" t="s">
        <v>19457</v>
      </c>
      <c r="F1719" s="2" t="s">
        <v>19458</v>
      </c>
      <c r="G1719" s="2" t="s">
        <v>19459</v>
      </c>
      <c r="H1719" s="2" t="s">
        <v>19460</v>
      </c>
      <c r="I1719" s="2" t="s">
        <v>19461</v>
      </c>
      <c r="J1719" s="2" t="s">
        <v>19462</v>
      </c>
      <c r="K1719" s="2" t="s">
        <v>25113</v>
      </c>
      <c r="L1719" s="2" t="s">
        <v>19463</v>
      </c>
      <c r="M1719" s="2" t="s">
        <v>19464</v>
      </c>
      <c r="N1719" s="2" t="s">
        <v>19465</v>
      </c>
      <c r="O1719" s="2" t="s">
        <v>19466</v>
      </c>
      <c r="P1719" s="2" t="s">
        <v>19454</v>
      </c>
    </row>
    <row r="1720" spans="1:16" ht="15" customHeight="1">
      <c r="A1720" s="1">
        <v>1719</v>
      </c>
      <c r="B1720" s="2" t="s">
        <v>19467</v>
      </c>
      <c r="C1720" s="2" t="s">
        <v>19468</v>
      </c>
      <c r="D1720" s="2" t="s">
        <v>19469</v>
      </c>
      <c r="E1720" s="2" t="s">
        <v>19470</v>
      </c>
      <c r="F1720" s="2" t="s">
        <v>19471</v>
      </c>
      <c r="G1720" s="2" t="s">
        <v>19472</v>
      </c>
      <c r="H1720" s="2" t="s">
        <v>19473</v>
      </c>
      <c r="I1720" s="2" t="s">
        <v>19474</v>
      </c>
      <c r="J1720" s="2" t="s">
        <v>19475</v>
      </c>
      <c r="K1720" s="2" t="s">
        <v>25114</v>
      </c>
      <c r="L1720" s="2" t="s">
        <v>19476</v>
      </c>
      <c r="M1720" s="2" t="s">
        <v>19477</v>
      </c>
      <c r="N1720" s="2" t="s">
        <v>19478</v>
      </c>
      <c r="O1720" s="2" t="s">
        <v>19479</v>
      </c>
      <c r="P1720" s="2" t="s">
        <v>19467</v>
      </c>
    </row>
    <row r="1721" spans="1:16" ht="15" customHeight="1">
      <c r="A1721" s="1">
        <v>1720</v>
      </c>
      <c r="B1721" s="2" t="s">
        <v>19480</v>
      </c>
      <c r="C1721" s="2" t="s">
        <v>19481</v>
      </c>
      <c r="D1721" s="2" t="s">
        <v>19482</v>
      </c>
      <c r="E1721" s="2" t="s">
        <v>19483</v>
      </c>
      <c r="F1721" s="2" t="s">
        <v>19484</v>
      </c>
      <c r="G1721" s="2" t="s">
        <v>19485</v>
      </c>
      <c r="H1721" s="2" t="s">
        <v>19486</v>
      </c>
      <c r="I1721" s="2" t="s">
        <v>19487</v>
      </c>
      <c r="J1721" s="2" t="s">
        <v>19488</v>
      </c>
      <c r="K1721" s="2" t="s">
        <v>25115</v>
      </c>
      <c r="L1721" s="2" t="s">
        <v>19489</v>
      </c>
      <c r="M1721" s="2" t="s">
        <v>19490</v>
      </c>
      <c r="N1721" s="2" t="s">
        <v>19491</v>
      </c>
      <c r="O1721" s="2" t="s">
        <v>19492</v>
      </c>
      <c r="P1721" s="2" t="s">
        <v>19480</v>
      </c>
    </row>
    <row r="1722" spans="1:16" ht="15" customHeight="1">
      <c r="A1722" s="1">
        <v>1721</v>
      </c>
      <c r="B1722" s="2" t="s">
        <v>19493</v>
      </c>
      <c r="C1722" s="2" t="s">
        <v>19494</v>
      </c>
      <c r="D1722" s="2" t="s">
        <v>19495</v>
      </c>
      <c r="E1722" s="2" t="s">
        <v>19496</v>
      </c>
      <c r="F1722" s="2" t="s">
        <v>19497</v>
      </c>
      <c r="G1722" s="2" t="s">
        <v>19498</v>
      </c>
      <c r="H1722" s="2" t="s">
        <v>19499</v>
      </c>
      <c r="I1722" s="2" t="s">
        <v>19500</v>
      </c>
      <c r="J1722" s="2" t="s">
        <v>19501</v>
      </c>
      <c r="K1722" s="2" t="s">
        <v>25116</v>
      </c>
      <c r="L1722" s="2" t="s">
        <v>19502</v>
      </c>
      <c r="M1722" s="2" t="s">
        <v>19503</v>
      </c>
      <c r="N1722" s="2" t="s">
        <v>19504</v>
      </c>
      <c r="O1722" s="2" t="s">
        <v>19505</v>
      </c>
      <c r="P1722" s="2" t="s">
        <v>19493</v>
      </c>
    </row>
    <row r="1723" spans="1:16" ht="15" customHeight="1">
      <c r="A1723" s="1">
        <v>1722</v>
      </c>
      <c r="B1723" s="2" t="s">
        <v>19506</v>
      </c>
      <c r="C1723" s="2" t="s">
        <v>19507</v>
      </c>
      <c r="D1723" s="2" t="s">
        <v>19508</v>
      </c>
      <c r="E1723" s="2" t="s">
        <v>19509</v>
      </c>
      <c r="F1723" s="2" t="s">
        <v>19510</v>
      </c>
      <c r="G1723" s="2" t="s">
        <v>19511</v>
      </c>
      <c r="H1723" s="2" t="s">
        <v>19512</v>
      </c>
      <c r="I1723" s="2" t="s">
        <v>19513</v>
      </c>
      <c r="J1723" s="2" t="s">
        <v>19514</v>
      </c>
      <c r="K1723" s="2" t="s">
        <v>25117</v>
      </c>
      <c r="L1723" s="2" t="s">
        <v>19515</v>
      </c>
      <c r="M1723" s="2" t="s">
        <v>19516</v>
      </c>
      <c r="N1723" s="2" t="s">
        <v>19517</v>
      </c>
      <c r="O1723" s="2" t="s">
        <v>19518</v>
      </c>
      <c r="P1723" s="2" t="s">
        <v>19506</v>
      </c>
    </row>
    <row r="1724" spans="1:16" ht="15" customHeight="1">
      <c r="A1724" s="1">
        <v>1723</v>
      </c>
      <c r="B1724" s="2" t="s">
        <v>19519</v>
      </c>
      <c r="C1724" s="2" t="s">
        <v>19520</v>
      </c>
      <c r="D1724" s="2" t="s">
        <v>19521</v>
      </c>
      <c r="E1724" s="2" t="s">
        <v>19522</v>
      </c>
      <c r="F1724" s="2" t="s">
        <v>19523</v>
      </c>
      <c r="G1724" s="2" t="s">
        <v>19524</v>
      </c>
      <c r="H1724" s="2" t="s">
        <v>19525</v>
      </c>
      <c r="I1724" s="2" t="s">
        <v>19526</v>
      </c>
      <c r="J1724" s="2" t="s">
        <v>19527</v>
      </c>
      <c r="K1724" s="2" t="s">
        <v>25118</v>
      </c>
      <c r="L1724" s="2" t="s">
        <v>19528</v>
      </c>
      <c r="M1724" s="2" t="s">
        <v>19529</v>
      </c>
      <c r="N1724" s="2" t="s">
        <v>19530</v>
      </c>
      <c r="O1724" s="2" t="s">
        <v>19531</v>
      </c>
      <c r="P1724" s="2" t="s">
        <v>19519</v>
      </c>
    </row>
    <row r="1725" spans="1:16" ht="15" customHeight="1">
      <c r="A1725" s="1">
        <v>1724</v>
      </c>
      <c r="B1725" s="2" t="s">
        <v>19532</v>
      </c>
      <c r="C1725" s="2" t="s">
        <v>19533</v>
      </c>
      <c r="D1725" s="2" t="s">
        <v>19534</v>
      </c>
      <c r="E1725" s="2" t="s">
        <v>19535</v>
      </c>
      <c r="F1725" s="2" t="s">
        <v>19536</v>
      </c>
      <c r="G1725" s="2" t="s">
        <v>19537</v>
      </c>
      <c r="H1725" s="2" t="s">
        <v>22645</v>
      </c>
      <c r="I1725" s="2" t="s">
        <v>19538</v>
      </c>
      <c r="J1725" s="2" t="s">
        <v>19539</v>
      </c>
      <c r="K1725" s="2" t="s">
        <v>25119</v>
      </c>
      <c r="L1725" s="2" t="s">
        <v>19540</v>
      </c>
      <c r="M1725" s="2" t="s">
        <v>19541</v>
      </c>
      <c r="N1725" s="2" t="s">
        <v>19542</v>
      </c>
      <c r="O1725" s="2" t="s">
        <v>19543</v>
      </c>
      <c r="P1725" s="2" t="s">
        <v>19532</v>
      </c>
    </row>
    <row r="1726" spans="1:16" ht="15" customHeight="1">
      <c r="A1726" s="1">
        <v>1725</v>
      </c>
      <c r="B1726" s="2" t="s">
        <v>25809</v>
      </c>
      <c r="C1726" s="2" t="s">
        <v>19544</v>
      </c>
      <c r="D1726" s="2" t="s">
        <v>19545</v>
      </c>
      <c r="E1726" s="2" t="s">
        <v>19546</v>
      </c>
      <c r="F1726" s="2" t="s">
        <v>19547</v>
      </c>
      <c r="G1726" s="2" t="s">
        <v>19548</v>
      </c>
      <c r="H1726" s="2" t="s">
        <v>19549</v>
      </c>
      <c r="I1726" s="2" t="s">
        <v>19550</v>
      </c>
      <c r="J1726" s="2" t="s">
        <v>19551</v>
      </c>
      <c r="K1726" s="2" t="s">
        <v>19552</v>
      </c>
      <c r="L1726" s="2" t="s">
        <v>19553</v>
      </c>
      <c r="M1726" s="2" t="s">
        <v>19554</v>
      </c>
      <c r="N1726" s="2" t="s">
        <v>19555</v>
      </c>
      <c r="O1726" s="2" t="s">
        <v>19556</v>
      </c>
      <c r="P1726" s="2" t="s">
        <v>25809</v>
      </c>
    </row>
    <row r="1727" spans="1:16" ht="15" customHeight="1">
      <c r="A1727" s="1">
        <v>1726</v>
      </c>
      <c r="B1727" s="2" t="s">
        <v>19557</v>
      </c>
      <c r="C1727" s="2" t="s">
        <v>19558</v>
      </c>
      <c r="D1727" s="2" t="s">
        <v>19559</v>
      </c>
      <c r="E1727" s="2" t="s">
        <v>19560</v>
      </c>
      <c r="F1727" s="2" t="s">
        <v>19536</v>
      </c>
      <c r="G1727" s="2" t="s">
        <v>19561</v>
      </c>
      <c r="H1727" s="2" t="s">
        <v>22646</v>
      </c>
      <c r="I1727" s="2" t="s">
        <v>19562</v>
      </c>
      <c r="J1727" s="2" t="s">
        <v>19563</v>
      </c>
      <c r="K1727" s="2" t="s">
        <v>25120</v>
      </c>
      <c r="L1727" s="2" t="s">
        <v>19564</v>
      </c>
      <c r="M1727" s="2" t="s">
        <v>19565</v>
      </c>
      <c r="N1727" s="2" t="s">
        <v>19566</v>
      </c>
      <c r="O1727" s="2" t="s">
        <v>19567</v>
      </c>
      <c r="P1727" s="2" t="s">
        <v>19557</v>
      </c>
    </row>
    <row r="1728" spans="1:16" ht="15" customHeight="1">
      <c r="A1728" s="1">
        <v>1727</v>
      </c>
      <c r="B1728" s="2" t="s">
        <v>19568</v>
      </c>
      <c r="C1728" s="2" t="s">
        <v>19569</v>
      </c>
      <c r="D1728" s="2" t="s">
        <v>19570</v>
      </c>
      <c r="E1728" s="2" t="s">
        <v>19571</v>
      </c>
      <c r="F1728" s="2" t="s">
        <v>19572</v>
      </c>
      <c r="G1728" s="2" t="s">
        <v>19573</v>
      </c>
      <c r="H1728" s="2" t="s">
        <v>22643</v>
      </c>
      <c r="I1728" s="2" t="s">
        <v>19574</v>
      </c>
      <c r="J1728" s="2" t="s">
        <v>19575</v>
      </c>
      <c r="K1728" s="2" t="s">
        <v>25121</v>
      </c>
      <c r="L1728" s="2" t="s">
        <v>19576</v>
      </c>
      <c r="M1728" s="2" t="s">
        <v>19577</v>
      </c>
      <c r="N1728" s="2" t="s">
        <v>19578</v>
      </c>
      <c r="O1728" s="2" t="s">
        <v>19579</v>
      </c>
      <c r="P1728" s="2" t="s">
        <v>19568</v>
      </c>
    </row>
    <row r="1729" spans="1:16" ht="15" customHeight="1">
      <c r="A1729" s="1">
        <v>1728</v>
      </c>
      <c r="B1729" s="2" t="s">
        <v>19580</v>
      </c>
      <c r="C1729" s="2" t="s">
        <v>19581</v>
      </c>
      <c r="D1729" s="2" t="s">
        <v>19582</v>
      </c>
      <c r="E1729" s="2" t="s">
        <v>19583</v>
      </c>
      <c r="F1729" s="2" t="s">
        <v>19584</v>
      </c>
      <c r="G1729" s="2" t="s">
        <v>19585</v>
      </c>
      <c r="H1729" s="2" t="s">
        <v>19586</v>
      </c>
      <c r="I1729" s="2" t="s">
        <v>19587</v>
      </c>
      <c r="J1729" s="2" t="s">
        <v>19588</v>
      </c>
      <c r="K1729" s="2" t="s">
        <v>19589</v>
      </c>
      <c r="L1729" s="2" t="s">
        <v>19590</v>
      </c>
      <c r="M1729" s="2" t="s">
        <v>19591</v>
      </c>
      <c r="N1729" s="2" t="s">
        <v>19592</v>
      </c>
      <c r="O1729" s="2" t="s">
        <v>19593</v>
      </c>
      <c r="P1729" s="2" t="s">
        <v>19580</v>
      </c>
    </row>
    <row r="1730" spans="1:16" ht="15" customHeight="1">
      <c r="A1730" s="1">
        <v>1729</v>
      </c>
      <c r="B1730" s="2" t="s">
        <v>19594</v>
      </c>
      <c r="C1730" s="2" t="s">
        <v>19595</v>
      </c>
      <c r="D1730" s="2" t="s">
        <v>22939</v>
      </c>
      <c r="E1730" s="2" t="s">
        <v>19596</v>
      </c>
      <c r="F1730" s="2" t="s">
        <v>19597</v>
      </c>
      <c r="G1730" s="2" t="s">
        <v>19598</v>
      </c>
      <c r="H1730" s="2" t="s">
        <v>19599</v>
      </c>
      <c r="I1730" s="2" t="s">
        <v>19600</v>
      </c>
      <c r="J1730" s="2" t="s">
        <v>19601</v>
      </c>
      <c r="K1730" s="2" t="s">
        <v>25122</v>
      </c>
      <c r="L1730" s="2" t="s">
        <v>19602</v>
      </c>
      <c r="M1730" s="2" t="s">
        <v>19603</v>
      </c>
      <c r="N1730" s="2" t="s">
        <v>19604</v>
      </c>
      <c r="O1730" s="2" t="s">
        <v>19605</v>
      </c>
      <c r="P1730" s="2" t="s">
        <v>19594</v>
      </c>
    </row>
    <row r="1731" spans="1:16" ht="15" customHeight="1">
      <c r="A1731" s="1">
        <v>1730</v>
      </c>
      <c r="B1731" s="2" t="s">
        <v>19606</v>
      </c>
      <c r="C1731" s="2" t="s">
        <v>19607</v>
      </c>
      <c r="D1731" s="2" t="s">
        <v>19608</v>
      </c>
      <c r="E1731" s="2" t="s">
        <v>19609</v>
      </c>
      <c r="F1731" s="2" t="s">
        <v>19610</v>
      </c>
      <c r="G1731" s="2" t="s">
        <v>19611</v>
      </c>
      <c r="H1731" s="2" t="s">
        <v>19612</v>
      </c>
      <c r="I1731" s="2" t="s">
        <v>19613</v>
      </c>
      <c r="J1731" s="2" t="s">
        <v>19614</v>
      </c>
      <c r="K1731" s="2" t="s">
        <v>19615</v>
      </c>
      <c r="L1731" s="2" t="s">
        <v>19616</v>
      </c>
      <c r="M1731" s="2" t="s">
        <v>19617</v>
      </c>
      <c r="N1731" s="2" t="s">
        <v>19618</v>
      </c>
      <c r="O1731" s="2" t="s">
        <v>19619</v>
      </c>
      <c r="P1731" s="2" t="s">
        <v>19606</v>
      </c>
    </row>
    <row r="1732" spans="1:16" ht="15" customHeight="1">
      <c r="A1732" s="1">
        <v>1731</v>
      </c>
      <c r="B1732" s="2" t="s">
        <v>19620</v>
      </c>
      <c r="C1732" s="2" t="s">
        <v>19621</v>
      </c>
      <c r="D1732" s="2" t="s">
        <v>19622</v>
      </c>
      <c r="E1732" s="2" t="s">
        <v>19623</v>
      </c>
      <c r="F1732" s="2" t="s">
        <v>19624</v>
      </c>
      <c r="G1732" s="2" t="s">
        <v>19625</v>
      </c>
      <c r="H1732" s="2" t="s">
        <v>19626</v>
      </c>
      <c r="I1732" s="2" t="s">
        <v>19627</v>
      </c>
      <c r="J1732" s="2" t="s">
        <v>19628</v>
      </c>
      <c r="K1732" s="2" t="s">
        <v>25123</v>
      </c>
      <c r="L1732" s="2" t="s">
        <v>19629</v>
      </c>
      <c r="M1732" s="2" t="s">
        <v>19630</v>
      </c>
      <c r="N1732" s="2" t="s">
        <v>19630</v>
      </c>
      <c r="O1732" s="2" t="s">
        <v>19631</v>
      </c>
      <c r="P1732" s="2" t="s">
        <v>19620</v>
      </c>
    </row>
    <row r="1733" spans="1:16" ht="15" customHeight="1">
      <c r="A1733" s="1">
        <v>1732</v>
      </c>
      <c r="B1733" s="2" t="s">
        <v>19632</v>
      </c>
      <c r="C1733" s="2" t="s">
        <v>19633</v>
      </c>
      <c r="D1733" s="2" t="s">
        <v>19634</v>
      </c>
      <c r="E1733" s="2" t="s">
        <v>19635</v>
      </c>
      <c r="F1733" s="2" t="s">
        <v>19636</v>
      </c>
      <c r="G1733" s="2" t="s">
        <v>19637</v>
      </c>
      <c r="H1733" s="2" t="s">
        <v>19638</v>
      </c>
      <c r="I1733" s="2" t="s">
        <v>19639</v>
      </c>
      <c r="J1733" s="2" t="s">
        <v>19640</v>
      </c>
      <c r="K1733" s="2" t="s">
        <v>19641</v>
      </c>
      <c r="L1733" s="2" t="s">
        <v>19642</v>
      </c>
      <c r="M1733" s="2" t="s">
        <v>19643</v>
      </c>
      <c r="N1733" s="2" t="s">
        <v>19644</v>
      </c>
      <c r="O1733" s="2" t="s">
        <v>19645</v>
      </c>
      <c r="P1733" s="2" t="s">
        <v>19632</v>
      </c>
    </row>
    <row r="1734" spans="1:16" ht="15" customHeight="1">
      <c r="A1734" s="1">
        <v>1733</v>
      </c>
      <c r="B1734" s="2" t="s">
        <v>19646</v>
      </c>
      <c r="C1734" s="2" t="s">
        <v>19647</v>
      </c>
      <c r="D1734" s="2" t="s">
        <v>19648</v>
      </c>
      <c r="E1734" s="2" t="s">
        <v>19649</v>
      </c>
      <c r="F1734" s="2" t="s">
        <v>19650</v>
      </c>
      <c r="G1734" s="2" t="s">
        <v>19651</v>
      </c>
      <c r="H1734" s="2" t="s">
        <v>19652</v>
      </c>
      <c r="I1734" s="2" t="s">
        <v>19653</v>
      </c>
      <c r="J1734" s="2" t="s">
        <v>19654</v>
      </c>
      <c r="K1734" s="2" t="s">
        <v>19655</v>
      </c>
      <c r="L1734" s="2" t="s">
        <v>19656</v>
      </c>
      <c r="M1734" s="2" t="s">
        <v>19657</v>
      </c>
      <c r="N1734" s="2" t="s">
        <v>19658</v>
      </c>
      <c r="O1734" s="2" t="s">
        <v>19659</v>
      </c>
      <c r="P1734" s="2" t="s">
        <v>19646</v>
      </c>
    </row>
    <row r="1735" spans="1:16" ht="15" customHeight="1">
      <c r="A1735" s="1">
        <v>1734</v>
      </c>
      <c r="B1735" s="2" t="s">
        <v>19660</v>
      </c>
      <c r="C1735" s="2" t="s">
        <v>19661</v>
      </c>
      <c r="D1735" s="2" t="s">
        <v>19662</v>
      </c>
      <c r="E1735" s="2" t="s">
        <v>19663</v>
      </c>
      <c r="F1735" s="2" t="s">
        <v>22940</v>
      </c>
      <c r="G1735" s="2" t="s">
        <v>19664</v>
      </c>
      <c r="H1735" s="2" t="s">
        <v>19665</v>
      </c>
      <c r="I1735" s="2" t="s">
        <v>19666</v>
      </c>
      <c r="J1735" s="2" t="s">
        <v>19667</v>
      </c>
      <c r="K1735" s="2" t="s">
        <v>25124</v>
      </c>
      <c r="L1735" s="2" t="s">
        <v>19668</v>
      </c>
      <c r="M1735" s="2" t="s">
        <v>19669</v>
      </c>
      <c r="N1735" s="2" t="s">
        <v>19670</v>
      </c>
      <c r="O1735" s="2" t="s">
        <v>19671</v>
      </c>
      <c r="P1735" s="2" t="s">
        <v>19660</v>
      </c>
    </row>
    <row r="1736" spans="1:16" ht="15" customHeight="1">
      <c r="A1736" s="1">
        <v>1735</v>
      </c>
      <c r="B1736" s="2" t="s">
        <v>19672</v>
      </c>
      <c r="C1736" s="2" t="s">
        <v>19673</v>
      </c>
      <c r="D1736" s="2" t="s">
        <v>19674</v>
      </c>
      <c r="E1736" s="2" t="s">
        <v>19675</v>
      </c>
      <c r="F1736" s="2" t="s">
        <v>19676</v>
      </c>
      <c r="G1736" s="2" t="s">
        <v>19677</v>
      </c>
      <c r="H1736" s="2" t="s">
        <v>19678</v>
      </c>
      <c r="I1736" s="2" t="s">
        <v>19679</v>
      </c>
      <c r="J1736" s="2" t="s">
        <v>19680</v>
      </c>
      <c r="K1736" s="2" t="s">
        <v>25125</v>
      </c>
      <c r="L1736" s="2" t="s">
        <v>19681</v>
      </c>
      <c r="M1736" s="2" t="s">
        <v>19682</v>
      </c>
      <c r="N1736" s="2" t="s">
        <v>19682</v>
      </c>
      <c r="O1736" s="2" t="s">
        <v>19683</v>
      </c>
      <c r="P1736" s="2" t="s">
        <v>19672</v>
      </c>
    </row>
    <row r="1737" spans="1:16" ht="15" customHeight="1">
      <c r="A1737" s="1">
        <v>1736</v>
      </c>
      <c r="B1737" s="2" t="s">
        <v>19684</v>
      </c>
      <c r="C1737" s="2" t="s">
        <v>19685</v>
      </c>
      <c r="D1737" s="2" t="s">
        <v>19686</v>
      </c>
      <c r="E1737" s="2" t="s">
        <v>19687</v>
      </c>
      <c r="F1737" s="2" t="s">
        <v>19688</v>
      </c>
      <c r="G1737" s="2" t="s">
        <v>19689</v>
      </c>
      <c r="H1737" s="2" t="s">
        <v>19690</v>
      </c>
      <c r="I1737" s="2" t="s">
        <v>19691</v>
      </c>
      <c r="J1737" s="2" t="s">
        <v>19692</v>
      </c>
      <c r="K1737" s="2" t="s">
        <v>19693</v>
      </c>
      <c r="L1737" s="2" t="s">
        <v>19694</v>
      </c>
      <c r="M1737" s="2" t="s">
        <v>19695</v>
      </c>
      <c r="N1737" s="2" t="s">
        <v>19696</v>
      </c>
      <c r="O1737" s="2" t="s">
        <v>19697</v>
      </c>
      <c r="P1737" s="2" t="s">
        <v>19684</v>
      </c>
    </row>
    <row r="1738" spans="1:16" ht="15" customHeight="1">
      <c r="A1738" s="1">
        <v>1737</v>
      </c>
      <c r="B1738" s="2" t="s">
        <v>19698</v>
      </c>
      <c r="C1738" s="2" t="s">
        <v>19699</v>
      </c>
      <c r="D1738" s="2" t="s">
        <v>19700</v>
      </c>
      <c r="E1738" s="2" t="s">
        <v>19701</v>
      </c>
      <c r="F1738" s="2" t="s">
        <v>19702</v>
      </c>
      <c r="G1738" s="2" t="s">
        <v>19703</v>
      </c>
      <c r="H1738" s="2" t="s">
        <v>19704</v>
      </c>
      <c r="I1738" s="2" t="s">
        <v>19705</v>
      </c>
      <c r="J1738" s="2" t="s">
        <v>19706</v>
      </c>
      <c r="K1738" s="2" t="s">
        <v>19707</v>
      </c>
      <c r="L1738" s="2" t="s">
        <v>19708</v>
      </c>
      <c r="M1738" s="2" t="s">
        <v>19709</v>
      </c>
      <c r="N1738" s="2" t="s">
        <v>19710</v>
      </c>
      <c r="O1738" s="2" t="s">
        <v>19711</v>
      </c>
      <c r="P1738" s="2" t="s">
        <v>19698</v>
      </c>
    </row>
    <row r="1739" spans="1:16" ht="15" customHeight="1">
      <c r="A1739" s="1">
        <v>1738</v>
      </c>
      <c r="B1739" s="2" t="s">
        <v>19712</v>
      </c>
      <c r="C1739" s="2" t="s">
        <v>19713</v>
      </c>
      <c r="D1739" s="2" t="s">
        <v>19714</v>
      </c>
      <c r="E1739" s="2" t="s">
        <v>19715</v>
      </c>
      <c r="F1739" s="2" t="s">
        <v>19716</v>
      </c>
      <c r="G1739" s="2" t="s">
        <v>19717</v>
      </c>
      <c r="H1739" s="2" t="s">
        <v>19718</v>
      </c>
      <c r="I1739" s="2" t="s">
        <v>19719</v>
      </c>
      <c r="J1739" s="2" t="s">
        <v>19720</v>
      </c>
      <c r="K1739" s="2" t="s">
        <v>19721</v>
      </c>
      <c r="L1739" s="2" t="s">
        <v>19722</v>
      </c>
      <c r="M1739" s="2" t="s">
        <v>19723</v>
      </c>
      <c r="N1739" s="2" t="s">
        <v>19724</v>
      </c>
      <c r="O1739" s="2" t="s">
        <v>19725</v>
      </c>
      <c r="P1739" s="2" t="s">
        <v>19712</v>
      </c>
    </row>
    <row r="1740" spans="1:16" ht="15" customHeight="1">
      <c r="A1740" s="1">
        <v>1739</v>
      </c>
      <c r="B1740" s="2" t="s">
        <v>19726</v>
      </c>
      <c r="C1740" s="2" t="s">
        <v>19727</v>
      </c>
      <c r="D1740" s="2" t="s">
        <v>19728</v>
      </c>
      <c r="E1740" s="2" t="s">
        <v>19729</v>
      </c>
      <c r="F1740" s="2" t="s">
        <v>19730</v>
      </c>
      <c r="G1740" s="2" t="s">
        <v>25126</v>
      </c>
      <c r="H1740" s="2" t="s">
        <v>19731</v>
      </c>
      <c r="I1740" s="2" t="s">
        <v>19732</v>
      </c>
      <c r="J1740" s="2" t="s">
        <v>19733</v>
      </c>
      <c r="K1740" s="2" t="s">
        <v>25127</v>
      </c>
      <c r="L1740" s="2" t="s">
        <v>19734</v>
      </c>
      <c r="M1740" s="2" t="s">
        <v>19735</v>
      </c>
      <c r="N1740" s="2" t="s">
        <v>19736</v>
      </c>
      <c r="O1740" s="2" t="s">
        <v>19737</v>
      </c>
      <c r="P1740" s="2" t="s">
        <v>19726</v>
      </c>
    </row>
    <row r="1741" spans="1:16" ht="15" customHeight="1">
      <c r="A1741" s="1">
        <v>1740</v>
      </c>
      <c r="B1741" s="2" t="s">
        <v>19738</v>
      </c>
      <c r="C1741" s="2" t="s">
        <v>19738</v>
      </c>
      <c r="D1741" s="2" t="s">
        <v>22941</v>
      </c>
      <c r="E1741" s="2" t="s">
        <v>19739</v>
      </c>
      <c r="F1741" s="2" t="s">
        <v>19738</v>
      </c>
      <c r="G1741" s="2" t="s">
        <v>19738</v>
      </c>
      <c r="H1741" s="2" t="s">
        <v>19740</v>
      </c>
      <c r="I1741" s="2" t="s">
        <v>19738</v>
      </c>
      <c r="J1741" s="2" t="s">
        <v>19738</v>
      </c>
      <c r="K1741" s="2" t="s">
        <v>19738</v>
      </c>
      <c r="L1741" s="2" t="s">
        <v>19738</v>
      </c>
      <c r="M1741" s="2" t="s">
        <v>19738</v>
      </c>
      <c r="N1741" s="2" t="s">
        <v>19738</v>
      </c>
      <c r="O1741" s="2" t="s">
        <v>19738</v>
      </c>
      <c r="P1741" s="2" t="s">
        <v>19738</v>
      </c>
    </row>
    <row r="1742" spans="1:16" ht="15" customHeight="1">
      <c r="A1742" s="1">
        <v>1741</v>
      </c>
      <c r="B1742" s="2" t="s">
        <v>19741</v>
      </c>
      <c r="C1742" s="2" t="s">
        <v>19742</v>
      </c>
      <c r="D1742" s="2" t="s">
        <v>19743</v>
      </c>
      <c r="E1742" s="2" t="s">
        <v>25810</v>
      </c>
      <c r="F1742" s="2" t="s">
        <v>19744</v>
      </c>
      <c r="G1742" s="2" t="s">
        <v>19745</v>
      </c>
      <c r="H1742" s="2" t="s">
        <v>19746</v>
      </c>
      <c r="I1742" s="2" t="s">
        <v>19747</v>
      </c>
      <c r="J1742" s="2" t="s">
        <v>19748</v>
      </c>
      <c r="K1742" s="2" t="s">
        <v>19751</v>
      </c>
      <c r="L1742" s="2" t="s">
        <v>19749</v>
      </c>
      <c r="M1742" s="2" t="s">
        <v>19741</v>
      </c>
      <c r="N1742" s="2" t="s">
        <v>19750</v>
      </c>
      <c r="O1742" s="2" t="s">
        <v>19751</v>
      </c>
      <c r="P1742" s="2" t="s">
        <v>19741</v>
      </c>
    </row>
    <row r="1743" spans="1:16" ht="15" customHeight="1">
      <c r="A1743" s="1">
        <v>1742</v>
      </c>
      <c r="B1743" s="2" t="s">
        <v>19752</v>
      </c>
      <c r="C1743" s="2" t="s">
        <v>19753</v>
      </c>
      <c r="D1743" s="2" t="s">
        <v>19754</v>
      </c>
      <c r="E1743" s="2" t="s">
        <v>19755</v>
      </c>
      <c r="F1743" s="2" t="s">
        <v>19756</v>
      </c>
      <c r="G1743" s="2" t="s">
        <v>25128</v>
      </c>
      <c r="H1743" s="2" t="s">
        <v>19757</v>
      </c>
      <c r="I1743" s="2" t="s">
        <v>19758</v>
      </c>
      <c r="J1743" s="2" t="s">
        <v>19759</v>
      </c>
      <c r="K1743" s="2" t="s">
        <v>25129</v>
      </c>
      <c r="L1743" s="2" t="s">
        <v>19760</v>
      </c>
      <c r="M1743" s="2" t="s">
        <v>19760</v>
      </c>
      <c r="N1743" s="2" t="s">
        <v>19760</v>
      </c>
      <c r="O1743" s="2" t="s">
        <v>19761</v>
      </c>
      <c r="P1743" s="2" t="s">
        <v>19752</v>
      </c>
    </row>
    <row r="1744" spans="1:16" ht="15" customHeight="1">
      <c r="A1744" s="1">
        <v>1743</v>
      </c>
      <c r="B1744" s="2" t="s">
        <v>19762</v>
      </c>
      <c r="C1744" s="2" t="s">
        <v>19762</v>
      </c>
      <c r="D1744" s="2" t="s">
        <v>19762</v>
      </c>
      <c r="E1744" s="2" t="s">
        <v>19762</v>
      </c>
      <c r="F1744" s="2" t="s">
        <v>19762</v>
      </c>
      <c r="G1744" s="2" t="s">
        <v>19762</v>
      </c>
      <c r="H1744" s="2" t="s">
        <v>19762</v>
      </c>
      <c r="I1744" s="2" t="s">
        <v>19762</v>
      </c>
      <c r="J1744" s="2" t="s">
        <v>19762</v>
      </c>
      <c r="K1744" s="2" t="s">
        <v>19762</v>
      </c>
      <c r="L1744" s="2" t="s">
        <v>19762</v>
      </c>
      <c r="M1744" s="2" t="s">
        <v>19762</v>
      </c>
      <c r="N1744" s="2" t="s">
        <v>19762</v>
      </c>
      <c r="O1744" s="2" t="s">
        <v>19762</v>
      </c>
      <c r="P1744" s="2" t="s">
        <v>19762</v>
      </c>
    </row>
    <row r="1745" spans="1:16" ht="15" customHeight="1">
      <c r="A1745" s="1">
        <v>1744</v>
      </c>
      <c r="B1745" s="2" t="s">
        <v>19763</v>
      </c>
      <c r="C1745" s="2" t="s">
        <v>19764</v>
      </c>
      <c r="D1745" s="2" t="s">
        <v>19765</v>
      </c>
      <c r="E1745" s="2" t="s">
        <v>19766</v>
      </c>
      <c r="F1745" s="2" t="s">
        <v>19767</v>
      </c>
      <c r="G1745" s="2" t="s">
        <v>19768</v>
      </c>
      <c r="H1745" s="2" t="s">
        <v>19769</v>
      </c>
      <c r="I1745" s="2" t="s">
        <v>19767</v>
      </c>
      <c r="J1745" s="2" t="s">
        <v>19770</v>
      </c>
      <c r="K1745" s="2" t="s">
        <v>25130</v>
      </c>
      <c r="L1745" s="2" t="s">
        <v>19771</v>
      </c>
      <c r="M1745" s="2" t="s">
        <v>19772</v>
      </c>
      <c r="N1745" s="2" t="s">
        <v>19773</v>
      </c>
      <c r="O1745" s="2" t="s">
        <v>19774</v>
      </c>
      <c r="P1745" s="2" t="s">
        <v>19763</v>
      </c>
    </row>
    <row r="1746" spans="1:16" ht="15" customHeight="1">
      <c r="A1746" s="1">
        <v>1745</v>
      </c>
      <c r="B1746" s="2" t="s">
        <v>19775</v>
      </c>
      <c r="C1746" s="2" t="s">
        <v>19775</v>
      </c>
      <c r="D1746" s="2" t="s">
        <v>19775</v>
      </c>
      <c r="E1746" s="2" t="s">
        <v>19775</v>
      </c>
      <c r="F1746" s="2" t="s">
        <v>19775</v>
      </c>
      <c r="G1746" s="2" t="s">
        <v>19775</v>
      </c>
      <c r="H1746" s="2" t="s">
        <v>19775</v>
      </c>
      <c r="I1746" s="2" t="s">
        <v>19775</v>
      </c>
      <c r="J1746" s="2" t="s">
        <v>19775</v>
      </c>
      <c r="K1746" s="2" t="s">
        <v>19775</v>
      </c>
      <c r="L1746" s="2" t="s">
        <v>19775</v>
      </c>
      <c r="M1746" s="2" t="s">
        <v>19775</v>
      </c>
      <c r="N1746" s="2" t="s">
        <v>19775</v>
      </c>
      <c r="O1746" s="2" t="s">
        <v>19775</v>
      </c>
      <c r="P1746" s="2" t="s">
        <v>19775</v>
      </c>
    </row>
    <row r="1747" spans="1:16" ht="15" customHeight="1">
      <c r="A1747" s="1">
        <v>1746</v>
      </c>
      <c r="B1747" s="2" t="s">
        <v>19776</v>
      </c>
      <c r="C1747" s="2" t="s">
        <v>19777</v>
      </c>
      <c r="D1747" s="2" t="s">
        <v>19778</v>
      </c>
      <c r="E1747" s="2" t="s">
        <v>19779</v>
      </c>
      <c r="F1747" s="2" t="s">
        <v>19780</v>
      </c>
      <c r="G1747" s="2" t="s">
        <v>19781</v>
      </c>
      <c r="H1747" s="2" t="s">
        <v>19782</v>
      </c>
      <c r="I1747" s="2" t="s">
        <v>19783</v>
      </c>
      <c r="J1747" s="2" t="s">
        <v>19784</v>
      </c>
      <c r="K1747" s="2" t="s">
        <v>19785</v>
      </c>
      <c r="L1747" s="2" t="s">
        <v>19786</v>
      </c>
      <c r="M1747" s="2" t="s">
        <v>19787</v>
      </c>
      <c r="N1747" s="2" t="s">
        <v>19788</v>
      </c>
      <c r="O1747" s="2" t="s">
        <v>19789</v>
      </c>
      <c r="P1747" s="2" t="s">
        <v>19776</v>
      </c>
    </row>
    <row r="1748" spans="1:16" ht="15" customHeight="1">
      <c r="A1748" s="1">
        <v>1747</v>
      </c>
      <c r="B1748" s="2" t="s">
        <v>19790</v>
      </c>
      <c r="C1748" s="2" t="s">
        <v>19791</v>
      </c>
      <c r="D1748" s="2" t="s">
        <v>19792</v>
      </c>
      <c r="E1748" s="2" t="s">
        <v>25811</v>
      </c>
      <c r="F1748" s="2" t="s">
        <v>19793</v>
      </c>
      <c r="G1748" s="2" t="s">
        <v>19794</v>
      </c>
      <c r="H1748" s="2" t="s">
        <v>19795</v>
      </c>
      <c r="I1748" s="2" t="s">
        <v>19796</v>
      </c>
      <c r="J1748" s="2" t="s">
        <v>19797</v>
      </c>
      <c r="K1748" s="2" t="s">
        <v>19798</v>
      </c>
      <c r="L1748" s="2" t="s">
        <v>19799</v>
      </c>
      <c r="M1748" s="2" t="s">
        <v>19799</v>
      </c>
      <c r="N1748" s="2" t="s">
        <v>19800</v>
      </c>
      <c r="O1748" s="2" t="s">
        <v>19801</v>
      </c>
      <c r="P1748" s="2" t="s">
        <v>19790</v>
      </c>
    </row>
    <row r="1749" spans="1:16" ht="15" customHeight="1">
      <c r="A1749" s="1">
        <v>1748</v>
      </c>
      <c r="B1749" s="2" t="s">
        <v>19802</v>
      </c>
      <c r="C1749" s="2" t="s">
        <v>19803</v>
      </c>
      <c r="D1749" s="2" t="s">
        <v>19804</v>
      </c>
      <c r="E1749" s="2" t="s">
        <v>19805</v>
      </c>
      <c r="F1749" s="2" t="s">
        <v>19806</v>
      </c>
      <c r="G1749" s="2" t="s">
        <v>19807</v>
      </c>
      <c r="H1749" s="2" t="s">
        <v>19808</v>
      </c>
      <c r="I1749" s="2" t="s">
        <v>19809</v>
      </c>
      <c r="J1749" s="2" t="s">
        <v>19810</v>
      </c>
      <c r="K1749" s="2" t="s">
        <v>25131</v>
      </c>
      <c r="L1749" s="2" t="s">
        <v>19811</v>
      </c>
      <c r="M1749" s="2" t="s">
        <v>19812</v>
      </c>
      <c r="N1749" s="2" t="s">
        <v>19813</v>
      </c>
      <c r="O1749" s="2" t="s">
        <v>19814</v>
      </c>
      <c r="P1749" s="2" t="s">
        <v>19802</v>
      </c>
    </row>
    <row r="1750" spans="1:16" ht="15" customHeight="1">
      <c r="A1750" s="1">
        <v>1749</v>
      </c>
      <c r="B1750" s="2" t="s">
        <v>1748</v>
      </c>
      <c r="C1750" s="2" t="s">
        <v>19815</v>
      </c>
      <c r="D1750" s="2" t="s">
        <v>19816</v>
      </c>
      <c r="E1750" s="2" t="s">
        <v>1743</v>
      </c>
      <c r="F1750" s="2" t="s">
        <v>16729</v>
      </c>
      <c r="G1750" s="2" t="s">
        <v>16730</v>
      </c>
      <c r="H1750" s="2" t="s">
        <v>19817</v>
      </c>
      <c r="I1750" s="2" t="s">
        <v>16731</v>
      </c>
      <c r="J1750" s="2" t="s">
        <v>1746</v>
      </c>
      <c r="K1750" s="2" t="s">
        <v>16732</v>
      </c>
      <c r="L1750" s="2" t="s">
        <v>1748</v>
      </c>
      <c r="M1750" s="2" t="s">
        <v>1748</v>
      </c>
      <c r="N1750" s="2" t="s">
        <v>1748</v>
      </c>
      <c r="O1750" s="2" t="s">
        <v>1749</v>
      </c>
      <c r="P1750" s="2" t="s">
        <v>1748</v>
      </c>
    </row>
    <row r="1751" spans="1:16" ht="15" customHeight="1">
      <c r="A1751" s="1">
        <v>1750</v>
      </c>
      <c r="B1751" s="2" t="s">
        <v>19818</v>
      </c>
      <c r="C1751" s="2" t="s">
        <v>19819</v>
      </c>
      <c r="D1751" s="2" t="s">
        <v>19820</v>
      </c>
      <c r="E1751" s="2" t="s">
        <v>19821</v>
      </c>
      <c r="F1751" s="2" t="s">
        <v>19822</v>
      </c>
      <c r="G1751" s="2" t="s">
        <v>19823</v>
      </c>
      <c r="H1751" s="2" t="s">
        <v>19824</v>
      </c>
      <c r="I1751" s="2" t="s">
        <v>19825</v>
      </c>
      <c r="J1751" s="2" t="s">
        <v>19826</v>
      </c>
      <c r="K1751" s="2" t="s">
        <v>19827</v>
      </c>
      <c r="L1751" s="2" t="s">
        <v>19828</v>
      </c>
      <c r="M1751" s="2" t="s">
        <v>19829</v>
      </c>
      <c r="N1751" s="2" t="s">
        <v>19829</v>
      </c>
      <c r="O1751" s="2" t="s">
        <v>19830</v>
      </c>
      <c r="P1751" s="2" t="s">
        <v>19818</v>
      </c>
    </row>
    <row r="1752" spans="1:16" ht="15" customHeight="1">
      <c r="A1752" s="1">
        <v>1751</v>
      </c>
      <c r="B1752" s="2" t="s">
        <v>19831</v>
      </c>
      <c r="C1752" s="2" t="s">
        <v>19832</v>
      </c>
      <c r="D1752" s="2" t="s">
        <v>19833</v>
      </c>
      <c r="E1752" s="2" t="s">
        <v>19834</v>
      </c>
      <c r="F1752" s="2" t="s">
        <v>19835</v>
      </c>
      <c r="G1752" s="2" t="s">
        <v>19836</v>
      </c>
      <c r="H1752" s="2" t="s">
        <v>19837</v>
      </c>
      <c r="I1752" s="2" t="s">
        <v>19838</v>
      </c>
      <c r="J1752" s="2" t="s">
        <v>19839</v>
      </c>
      <c r="K1752" s="2" t="s">
        <v>25132</v>
      </c>
      <c r="L1752" s="2" t="s">
        <v>19840</v>
      </c>
      <c r="M1752" s="2" t="s">
        <v>19841</v>
      </c>
      <c r="N1752" s="2" t="s">
        <v>19842</v>
      </c>
      <c r="O1752" s="2" t="s">
        <v>19843</v>
      </c>
      <c r="P1752" s="2" t="s">
        <v>19831</v>
      </c>
    </row>
    <row r="1753" spans="1:16" ht="15" customHeight="1">
      <c r="A1753" s="1">
        <v>1752</v>
      </c>
      <c r="B1753" s="2" t="s">
        <v>19844</v>
      </c>
      <c r="C1753" s="2" t="s">
        <v>19845</v>
      </c>
      <c r="D1753" s="2" t="s">
        <v>19846</v>
      </c>
      <c r="E1753" s="2" t="s">
        <v>19847</v>
      </c>
      <c r="F1753" s="2" t="s">
        <v>19848</v>
      </c>
      <c r="G1753" s="2" t="s">
        <v>19849</v>
      </c>
      <c r="H1753" s="2" t="s">
        <v>19850</v>
      </c>
      <c r="I1753" s="2" t="s">
        <v>19851</v>
      </c>
      <c r="J1753" s="2" t="s">
        <v>19852</v>
      </c>
      <c r="K1753" s="2" t="s">
        <v>25133</v>
      </c>
      <c r="L1753" s="2" t="s">
        <v>19853</v>
      </c>
      <c r="M1753" s="2" t="s">
        <v>19854</v>
      </c>
      <c r="N1753" s="2" t="s">
        <v>19855</v>
      </c>
      <c r="O1753" s="2" t="s">
        <v>19856</v>
      </c>
      <c r="P1753" s="2" t="s">
        <v>19844</v>
      </c>
    </row>
    <row r="1754" spans="1:16" ht="15" customHeight="1">
      <c r="A1754" s="1">
        <v>1753</v>
      </c>
      <c r="B1754" s="2" t="s">
        <v>25812</v>
      </c>
      <c r="C1754" s="2" t="s">
        <v>19857</v>
      </c>
      <c r="D1754" s="2" t="s">
        <v>19858</v>
      </c>
      <c r="E1754" s="2" t="s">
        <v>19859</v>
      </c>
      <c r="F1754" s="2" t="s">
        <v>19860</v>
      </c>
      <c r="G1754" s="2" t="s">
        <v>19861</v>
      </c>
      <c r="H1754" s="2" t="s">
        <v>19862</v>
      </c>
      <c r="I1754" s="2" t="s">
        <v>19863</v>
      </c>
      <c r="J1754" s="2" t="s">
        <v>19864</v>
      </c>
      <c r="K1754" s="2" t="s">
        <v>25134</v>
      </c>
      <c r="L1754" s="2" t="s">
        <v>19865</v>
      </c>
      <c r="M1754" s="2" t="s">
        <v>19866</v>
      </c>
      <c r="N1754" s="2" t="s">
        <v>19867</v>
      </c>
      <c r="O1754" s="2" t="s">
        <v>19868</v>
      </c>
      <c r="P1754" s="2" t="s">
        <v>25812</v>
      </c>
    </row>
    <row r="1755" spans="1:16" ht="15" customHeight="1">
      <c r="A1755" s="1">
        <v>1754</v>
      </c>
      <c r="B1755" s="2" t="s">
        <v>19869</v>
      </c>
      <c r="C1755" s="2" t="s">
        <v>19870</v>
      </c>
      <c r="D1755" s="2" t="s">
        <v>19871</v>
      </c>
      <c r="E1755" s="2" t="s">
        <v>19872</v>
      </c>
      <c r="F1755" s="2" t="s">
        <v>19873</v>
      </c>
      <c r="G1755" s="2" t="s">
        <v>19874</v>
      </c>
      <c r="H1755" s="2" t="s">
        <v>19875</v>
      </c>
      <c r="I1755" s="2" t="s">
        <v>19876</v>
      </c>
      <c r="J1755" s="2" t="s">
        <v>19877</v>
      </c>
      <c r="K1755" s="2" t="s">
        <v>25135</v>
      </c>
      <c r="L1755" s="2" t="s">
        <v>19878</v>
      </c>
      <c r="M1755" s="2" t="s">
        <v>19879</v>
      </c>
      <c r="N1755" s="2" t="s">
        <v>19880</v>
      </c>
      <c r="O1755" s="2" t="s">
        <v>19881</v>
      </c>
      <c r="P1755" s="2" t="s">
        <v>19869</v>
      </c>
    </row>
    <row r="1756" spans="1:16" ht="15" customHeight="1">
      <c r="A1756" s="1">
        <v>1755</v>
      </c>
      <c r="B1756" s="2" t="s">
        <v>19882</v>
      </c>
      <c r="C1756" s="2" t="s">
        <v>19883</v>
      </c>
      <c r="D1756" s="2" t="s">
        <v>19884</v>
      </c>
      <c r="E1756" s="2" t="s">
        <v>19885</v>
      </c>
      <c r="F1756" s="2" t="s">
        <v>19886</v>
      </c>
      <c r="G1756" s="2" t="s">
        <v>19887</v>
      </c>
      <c r="H1756" s="2" t="s">
        <v>19888</v>
      </c>
      <c r="I1756" s="2" t="s">
        <v>19889</v>
      </c>
      <c r="J1756" s="2" t="s">
        <v>19882</v>
      </c>
      <c r="K1756" s="2" t="s">
        <v>25136</v>
      </c>
      <c r="L1756" s="2" t="s">
        <v>19890</v>
      </c>
      <c r="M1756" s="2" t="s">
        <v>19891</v>
      </c>
      <c r="N1756" s="2" t="s">
        <v>19891</v>
      </c>
      <c r="O1756" s="2" t="s">
        <v>19892</v>
      </c>
      <c r="P1756" s="2" t="s">
        <v>19882</v>
      </c>
    </row>
    <row r="1757" spans="1:16" ht="15" customHeight="1">
      <c r="A1757" s="1">
        <v>1756</v>
      </c>
      <c r="B1757" s="2" t="s">
        <v>19893</v>
      </c>
      <c r="C1757" s="2" t="s">
        <v>19893</v>
      </c>
      <c r="D1757" s="2" t="s">
        <v>19893</v>
      </c>
      <c r="E1757" s="2" t="s">
        <v>19893</v>
      </c>
      <c r="F1757" s="2" t="s">
        <v>19893</v>
      </c>
      <c r="G1757" s="2" t="s">
        <v>19893</v>
      </c>
      <c r="H1757" s="2" t="s">
        <v>19893</v>
      </c>
      <c r="I1757" s="2" t="s">
        <v>19893</v>
      </c>
      <c r="J1757" s="2" t="s">
        <v>19893</v>
      </c>
      <c r="K1757" s="2" t="s">
        <v>19893</v>
      </c>
      <c r="L1757" s="2" t="s">
        <v>19893</v>
      </c>
      <c r="M1757" s="2" t="s">
        <v>19894</v>
      </c>
      <c r="N1757" s="2" t="s">
        <v>19893</v>
      </c>
      <c r="O1757" s="2" t="s">
        <v>19893</v>
      </c>
      <c r="P1757" s="2" t="s">
        <v>19893</v>
      </c>
    </row>
    <row r="1758" spans="1:16" ht="15" customHeight="1">
      <c r="A1758" s="1">
        <v>1757</v>
      </c>
      <c r="B1758" s="2" t="s">
        <v>19895</v>
      </c>
      <c r="C1758" s="2" t="s">
        <v>19896</v>
      </c>
      <c r="D1758" s="2" t="s">
        <v>19897</v>
      </c>
      <c r="E1758" s="2" t="s">
        <v>19898</v>
      </c>
      <c r="F1758" s="2" t="s">
        <v>19899</v>
      </c>
      <c r="G1758" s="2" t="s">
        <v>19900</v>
      </c>
      <c r="H1758" s="2" t="s">
        <v>19901</v>
      </c>
      <c r="I1758" s="2" t="s">
        <v>19902</v>
      </c>
      <c r="J1758" s="2" t="s">
        <v>19903</v>
      </c>
      <c r="K1758" s="2" t="s">
        <v>19904</v>
      </c>
      <c r="L1758" s="2" t="s">
        <v>19905</v>
      </c>
      <c r="M1758" s="2" t="s">
        <v>19906</v>
      </c>
      <c r="N1758" s="2" t="s">
        <v>19905</v>
      </c>
      <c r="O1758" s="2" t="s">
        <v>19907</v>
      </c>
      <c r="P1758" s="2" t="s">
        <v>19895</v>
      </c>
    </row>
    <row r="1759" spans="1:16" ht="15" customHeight="1">
      <c r="A1759" s="1">
        <v>1758</v>
      </c>
      <c r="B1759" s="2" t="s">
        <v>19908</v>
      </c>
      <c r="C1759" s="2" t="s">
        <v>19909</v>
      </c>
      <c r="D1759" s="2" t="s">
        <v>19910</v>
      </c>
      <c r="E1759" s="2" t="s">
        <v>19911</v>
      </c>
      <c r="F1759" s="2" t="s">
        <v>19912</v>
      </c>
      <c r="G1759" s="2" t="s">
        <v>19913</v>
      </c>
      <c r="H1759" s="2" t="s">
        <v>19914</v>
      </c>
      <c r="I1759" s="2" t="s">
        <v>19915</v>
      </c>
      <c r="J1759" s="2" t="s">
        <v>19916</v>
      </c>
      <c r="K1759" s="2" t="s">
        <v>19917</v>
      </c>
      <c r="L1759" s="2" t="s">
        <v>19918</v>
      </c>
      <c r="M1759" s="2" t="s">
        <v>19919</v>
      </c>
      <c r="N1759" s="2" t="s">
        <v>19920</v>
      </c>
      <c r="O1759" s="2" t="s">
        <v>19921</v>
      </c>
      <c r="P1759" s="2" t="s">
        <v>19908</v>
      </c>
    </row>
    <row r="1760" spans="1:16" ht="15" customHeight="1">
      <c r="A1760" s="1">
        <v>1759</v>
      </c>
      <c r="B1760" s="2" t="s">
        <v>19922</v>
      </c>
      <c r="C1760" s="2" t="s">
        <v>19923</v>
      </c>
      <c r="D1760" s="2" t="s">
        <v>19924</v>
      </c>
      <c r="E1760" s="2" t="s">
        <v>19925</v>
      </c>
      <c r="F1760" s="2" t="s">
        <v>19926</v>
      </c>
      <c r="G1760" s="2" t="s">
        <v>19927</v>
      </c>
      <c r="H1760" s="2" t="s">
        <v>19928</v>
      </c>
      <c r="I1760" s="2" t="s">
        <v>19929</v>
      </c>
      <c r="J1760" s="2" t="s">
        <v>19930</v>
      </c>
      <c r="K1760" s="2" t="s">
        <v>19931</v>
      </c>
      <c r="L1760" s="2" t="s">
        <v>19932</v>
      </c>
      <c r="M1760" s="2" t="s">
        <v>19933</v>
      </c>
      <c r="N1760" s="2" t="s">
        <v>19934</v>
      </c>
      <c r="O1760" s="2" t="s">
        <v>19935</v>
      </c>
      <c r="P1760" s="2" t="s">
        <v>19922</v>
      </c>
    </row>
    <row r="1761" spans="1:16" ht="15" customHeight="1">
      <c r="A1761" s="1">
        <v>1760</v>
      </c>
      <c r="B1761" s="2" t="s">
        <v>19936</v>
      </c>
      <c r="C1761" s="2" t="s">
        <v>19937</v>
      </c>
      <c r="D1761" s="2" t="s">
        <v>19938</v>
      </c>
      <c r="E1761" s="2" t="s">
        <v>19939</v>
      </c>
      <c r="F1761" s="2" t="s">
        <v>19940</v>
      </c>
      <c r="G1761" s="2" t="s">
        <v>19941</v>
      </c>
      <c r="H1761" s="2" t="s">
        <v>19942</v>
      </c>
      <c r="I1761" s="2" t="s">
        <v>19943</v>
      </c>
      <c r="J1761" s="2" t="s">
        <v>19944</v>
      </c>
      <c r="K1761" s="2" t="s">
        <v>19945</v>
      </c>
      <c r="L1761" s="2" t="s">
        <v>19946</v>
      </c>
      <c r="M1761" s="2" t="s">
        <v>19947</v>
      </c>
      <c r="N1761" s="2" t="s">
        <v>19948</v>
      </c>
      <c r="O1761" s="2" t="s">
        <v>19949</v>
      </c>
      <c r="P1761" s="2" t="s">
        <v>19936</v>
      </c>
    </row>
    <row r="1762" spans="1:16" ht="15" customHeight="1">
      <c r="A1762" s="1">
        <v>1761</v>
      </c>
      <c r="B1762" s="2" t="s">
        <v>19950</v>
      </c>
      <c r="C1762" s="2" t="s">
        <v>19951</v>
      </c>
      <c r="D1762" s="2" t="s">
        <v>19952</v>
      </c>
      <c r="E1762" s="2" t="s">
        <v>19953</v>
      </c>
      <c r="F1762" s="2" t="s">
        <v>19954</v>
      </c>
      <c r="G1762" s="2" t="s">
        <v>19955</v>
      </c>
      <c r="H1762" s="2" t="s">
        <v>19956</v>
      </c>
      <c r="I1762" s="2" t="s">
        <v>19957</v>
      </c>
      <c r="J1762" s="2" t="s">
        <v>19958</v>
      </c>
      <c r="K1762" s="2" t="s">
        <v>25137</v>
      </c>
      <c r="L1762" s="2" t="s">
        <v>19959</v>
      </c>
      <c r="M1762" s="2" t="s">
        <v>19960</v>
      </c>
      <c r="N1762" s="2" t="s">
        <v>19961</v>
      </c>
      <c r="O1762" s="2" t="s">
        <v>19962</v>
      </c>
      <c r="P1762" s="2" t="s">
        <v>19950</v>
      </c>
    </row>
    <row r="1763" spans="1:16" ht="15" customHeight="1">
      <c r="A1763" s="1">
        <v>1762</v>
      </c>
      <c r="B1763" s="2" t="s">
        <v>19963</v>
      </c>
      <c r="C1763" s="2" t="s">
        <v>19964</v>
      </c>
      <c r="D1763" s="2" t="s">
        <v>19965</v>
      </c>
      <c r="E1763" s="2" t="s">
        <v>19966</v>
      </c>
      <c r="F1763" s="2" t="s">
        <v>19967</v>
      </c>
      <c r="G1763" s="2" t="s">
        <v>19968</v>
      </c>
      <c r="H1763" s="2" t="s">
        <v>19969</v>
      </c>
      <c r="I1763" s="2" t="s">
        <v>19970</v>
      </c>
      <c r="J1763" s="2" t="s">
        <v>19971</v>
      </c>
      <c r="K1763" s="2" t="s">
        <v>19972</v>
      </c>
      <c r="L1763" s="2" t="s">
        <v>19973</v>
      </c>
      <c r="M1763" s="2" t="s">
        <v>19974</v>
      </c>
      <c r="N1763" s="2" t="s">
        <v>19975</v>
      </c>
      <c r="O1763" s="2" t="s">
        <v>19976</v>
      </c>
      <c r="P1763" s="2" t="s">
        <v>19963</v>
      </c>
    </row>
    <row r="1764" spans="1:16" ht="15" customHeight="1">
      <c r="A1764" s="1">
        <v>1763</v>
      </c>
      <c r="B1764" s="2" t="s">
        <v>19977</v>
      </c>
      <c r="C1764" s="2" t="s">
        <v>19978</v>
      </c>
      <c r="D1764" s="2" t="s">
        <v>19979</v>
      </c>
      <c r="E1764" s="2" t="s">
        <v>19980</v>
      </c>
      <c r="F1764" s="2" t="s">
        <v>19981</v>
      </c>
      <c r="G1764" s="2" t="s">
        <v>19982</v>
      </c>
      <c r="H1764" s="2" t="s">
        <v>19983</v>
      </c>
      <c r="I1764" s="2" t="s">
        <v>19984</v>
      </c>
      <c r="J1764" s="2" t="s">
        <v>19985</v>
      </c>
      <c r="K1764" s="2" t="s">
        <v>19986</v>
      </c>
      <c r="L1764" s="2" t="s">
        <v>19987</v>
      </c>
      <c r="M1764" s="2" t="s">
        <v>19988</v>
      </c>
      <c r="N1764" s="2" t="s">
        <v>19989</v>
      </c>
      <c r="O1764" s="2" t="s">
        <v>19990</v>
      </c>
      <c r="P1764" s="2" t="s">
        <v>19977</v>
      </c>
    </row>
    <row r="1765" spans="1:16" ht="15" customHeight="1">
      <c r="A1765" s="1">
        <v>1764</v>
      </c>
      <c r="B1765" s="2" t="s">
        <v>19991</v>
      </c>
      <c r="C1765" s="2" t="s">
        <v>19992</v>
      </c>
      <c r="D1765" s="2" t="s">
        <v>19993</v>
      </c>
      <c r="E1765" s="2" t="s">
        <v>19994</v>
      </c>
      <c r="F1765" s="2" t="s">
        <v>19995</v>
      </c>
      <c r="G1765" s="2" t="s">
        <v>19996</v>
      </c>
      <c r="H1765" s="2" t="s">
        <v>19997</v>
      </c>
      <c r="I1765" s="2" t="s">
        <v>19998</v>
      </c>
      <c r="J1765" s="2" t="s">
        <v>19999</v>
      </c>
      <c r="K1765" s="2" t="s">
        <v>20000</v>
      </c>
      <c r="L1765" s="2" t="s">
        <v>20001</v>
      </c>
      <c r="M1765" s="2" t="s">
        <v>20002</v>
      </c>
      <c r="N1765" s="2" t="s">
        <v>20003</v>
      </c>
      <c r="O1765" s="2" t="s">
        <v>20004</v>
      </c>
      <c r="P1765" s="2" t="s">
        <v>19991</v>
      </c>
    </row>
    <row r="1766" spans="1:16" ht="15" customHeight="1">
      <c r="A1766" s="1">
        <v>1765</v>
      </c>
      <c r="B1766" s="2" t="s">
        <v>20005</v>
      </c>
      <c r="C1766" s="2" t="s">
        <v>20006</v>
      </c>
      <c r="D1766" s="2" t="s">
        <v>20007</v>
      </c>
      <c r="E1766" s="2" t="s">
        <v>20008</v>
      </c>
      <c r="F1766" s="2" t="s">
        <v>20009</v>
      </c>
      <c r="G1766" s="2" t="s">
        <v>20010</v>
      </c>
      <c r="H1766" s="2" t="s">
        <v>20011</v>
      </c>
      <c r="I1766" s="2" t="s">
        <v>20012</v>
      </c>
      <c r="J1766" s="2" t="s">
        <v>20013</v>
      </c>
      <c r="K1766" s="2" t="s">
        <v>20014</v>
      </c>
      <c r="L1766" s="2" t="s">
        <v>20015</v>
      </c>
      <c r="M1766" s="2" t="s">
        <v>20016</v>
      </c>
      <c r="N1766" s="2" t="s">
        <v>20017</v>
      </c>
      <c r="O1766" s="2" t="s">
        <v>20018</v>
      </c>
      <c r="P1766" s="2" t="s">
        <v>20005</v>
      </c>
    </row>
    <row r="1767" spans="1:16" ht="15" customHeight="1">
      <c r="A1767" s="1">
        <v>1766</v>
      </c>
      <c r="B1767" s="2" t="s">
        <v>20019</v>
      </c>
      <c r="C1767" s="2" t="s">
        <v>20020</v>
      </c>
      <c r="D1767" s="2" t="s">
        <v>20021</v>
      </c>
      <c r="E1767" s="2" t="s">
        <v>20022</v>
      </c>
      <c r="F1767" s="2" t="s">
        <v>20023</v>
      </c>
      <c r="G1767" s="2" t="s">
        <v>20024</v>
      </c>
      <c r="H1767" s="2" t="s">
        <v>20025</v>
      </c>
      <c r="I1767" s="2" t="s">
        <v>20026</v>
      </c>
      <c r="J1767" s="2" t="s">
        <v>20027</v>
      </c>
      <c r="K1767" s="2" t="s">
        <v>20028</v>
      </c>
      <c r="L1767" s="2" t="s">
        <v>20029</v>
      </c>
      <c r="M1767" s="2" t="s">
        <v>20030</v>
      </c>
      <c r="N1767" s="2" t="s">
        <v>20031</v>
      </c>
      <c r="O1767" s="2" t="s">
        <v>20032</v>
      </c>
      <c r="P1767" s="2" t="s">
        <v>20019</v>
      </c>
    </row>
    <row r="1768" spans="1:16" ht="15" customHeight="1">
      <c r="A1768" s="1">
        <v>1767</v>
      </c>
      <c r="B1768" s="2" t="s">
        <v>20033</v>
      </c>
      <c r="C1768" s="2" t="s">
        <v>20033</v>
      </c>
      <c r="D1768" s="2" t="s">
        <v>20033</v>
      </c>
      <c r="E1768" s="2" t="s">
        <v>25813</v>
      </c>
      <c r="F1768" s="2" t="s">
        <v>20033</v>
      </c>
      <c r="G1768" s="2" t="s">
        <v>20034</v>
      </c>
      <c r="H1768" s="2" t="s">
        <v>20035</v>
      </c>
      <c r="I1768" s="2" t="s">
        <v>20033</v>
      </c>
      <c r="J1768" s="2" t="s">
        <v>20033</v>
      </c>
      <c r="K1768" s="2" t="s">
        <v>20033</v>
      </c>
      <c r="L1768" s="2" t="s">
        <v>20033</v>
      </c>
      <c r="M1768" s="2" t="s">
        <v>20033</v>
      </c>
      <c r="N1768" s="2" t="s">
        <v>20033</v>
      </c>
      <c r="O1768" s="2" t="s">
        <v>20033</v>
      </c>
      <c r="P1768" s="2" t="s">
        <v>20033</v>
      </c>
    </row>
    <row r="1769" spans="1:16" ht="15" customHeight="1">
      <c r="A1769" s="1">
        <v>1768</v>
      </c>
      <c r="B1769" s="2" t="s">
        <v>20036</v>
      </c>
      <c r="C1769" s="2" t="s">
        <v>20037</v>
      </c>
      <c r="D1769" s="2" t="s">
        <v>20038</v>
      </c>
      <c r="E1769" s="2" t="s">
        <v>20039</v>
      </c>
      <c r="F1769" s="2" t="s">
        <v>20040</v>
      </c>
      <c r="G1769" s="2" t="s">
        <v>20041</v>
      </c>
      <c r="H1769" s="2" t="s">
        <v>20042</v>
      </c>
      <c r="I1769" s="2" t="s">
        <v>20043</v>
      </c>
      <c r="J1769" s="2" t="s">
        <v>20044</v>
      </c>
      <c r="K1769" s="2" t="s">
        <v>25138</v>
      </c>
      <c r="L1769" s="2" t="s">
        <v>20045</v>
      </c>
      <c r="M1769" s="2" t="s">
        <v>20046</v>
      </c>
      <c r="N1769" s="2" t="s">
        <v>20047</v>
      </c>
      <c r="O1769" s="2" t="s">
        <v>20048</v>
      </c>
      <c r="P1769" s="2" t="s">
        <v>20036</v>
      </c>
    </row>
    <row r="1770" spans="1:16" ht="15" customHeight="1">
      <c r="A1770" s="1">
        <v>1769</v>
      </c>
      <c r="B1770" s="2" t="s">
        <v>20049</v>
      </c>
      <c r="C1770" s="2" t="s">
        <v>20050</v>
      </c>
      <c r="D1770" s="2" t="s">
        <v>20051</v>
      </c>
      <c r="E1770" s="2" t="s">
        <v>20052</v>
      </c>
      <c r="F1770" s="2" t="s">
        <v>20053</v>
      </c>
      <c r="G1770" s="2" t="s">
        <v>20054</v>
      </c>
      <c r="H1770" s="2" t="s">
        <v>20055</v>
      </c>
      <c r="I1770" s="2" t="s">
        <v>20056</v>
      </c>
      <c r="J1770" s="2" t="s">
        <v>20057</v>
      </c>
      <c r="K1770" s="2" t="s">
        <v>25139</v>
      </c>
      <c r="L1770" s="2" t="s">
        <v>20058</v>
      </c>
      <c r="M1770" s="2" t="s">
        <v>20059</v>
      </c>
      <c r="N1770" s="2" t="s">
        <v>20060</v>
      </c>
      <c r="O1770" s="2" t="s">
        <v>20061</v>
      </c>
      <c r="P1770" s="2" t="s">
        <v>20049</v>
      </c>
    </row>
    <row r="1771" spans="1:16" ht="15" customHeight="1">
      <c r="A1771" s="1">
        <v>1770</v>
      </c>
      <c r="B1771" s="2" t="s">
        <v>20062</v>
      </c>
      <c r="C1771" s="2" t="s">
        <v>20063</v>
      </c>
      <c r="D1771" s="2" t="s">
        <v>20064</v>
      </c>
      <c r="E1771" s="2" t="s">
        <v>20065</v>
      </c>
      <c r="F1771" s="2" t="s">
        <v>20066</v>
      </c>
      <c r="G1771" s="2" t="s">
        <v>20067</v>
      </c>
      <c r="H1771" s="2" t="s">
        <v>20068</v>
      </c>
      <c r="I1771" s="2" t="s">
        <v>20069</v>
      </c>
      <c r="J1771" s="2" t="s">
        <v>20070</v>
      </c>
      <c r="K1771" s="2" t="s">
        <v>20071</v>
      </c>
      <c r="L1771" s="2" t="s">
        <v>20072</v>
      </c>
      <c r="M1771" s="2" t="s">
        <v>20073</v>
      </c>
      <c r="N1771" s="2" t="s">
        <v>20073</v>
      </c>
      <c r="O1771" s="2" t="s">
        <v>20074</v>
      </c>
      <c r="P1771" s="2" t="s">
        <v>20062</v>
      </c>
    </row>
    <row r="1772" spans="1:16" ht="15" customHeight="1">
      <c r="A1772" s="1">
        <v>1771</v>
      </c>
      <c r="B1772" s="2" t="s">
        <v>20075</v>
      </c>
      <c r="C1772" s="2" t="s">
        <v>20076</v>
      </c>
      <c r="D1772" s="2" t="s">
        <v>20077</v>
      </c>
      <c r="E1772" s="2" t="s">
        <v>20078</v>
      </c>
      <c r="F1772" s="2" t="s">
        <v>20079</v>
      </c>
      <c r="G1772" s="2" t="s">
        <v>20080</v>
      </c>
      <c r="H1772" s="2" t="s">
        <v>20081</v>
      </c>
      <c r="I1772" s="2" t="s">
        <v>20082</v>
      </c>
      <c r="J1772" s="2" t="s">
        <v>20083</v>
      </c>
      <c r="K1772" s="2" t="s">
        <v>20075</v>
      </c>
      <c r="L1772" s="2" t="s">
        <v>20075</v>
      </c>
      <c r="M1772" s="2" t="s">
        <v>20075</v>
      </c>
      <c r="N1772" s="2" t="s">
        <v>20075</v>
      </c>
      <c r="O1772" s="2" t="s">
        <v>20075</v>
      </c>
      <c r="P1772" s="2" t="s">
        <v>20075</v>
      </c>
    </row>
    <row r="1773" spans="1:16" ht="15" customHeight="1">
      <c r="A1773" s="1">
        <v>1772</v>
      </c>
      <c r="B1773" s="2" t="s">
        <v>20084</v>
      </c>
      <c r="C1773" s="2" t="s">
        <v>20085</v>
      </c>
      <c r="D1773" s="2" t="s">
        <v>20086</v>
      </c>
      <c r="E1773" s="2" t="s">
        <v>20087</v>
      </c>
      <c r="F1773" s="2" t="s">
        <v>20088</v>
      </c>
      <c r="G1773" s="2" t="s">
        <v>20089</v>
      </c>
      <c r="H1773" s="2" t="s">
        <v>20090</v>
      </c>
      <c r="I1773" s="2" t="s">
        <v>20091</v>
      </c>
      <c r="J1773" s="2" t="s">
        <v>20092</v>
      </c>
      <c r="K1773" s="2" t="s">
        <v>20093</v>
      </c>
      <c r="L1773" s="2" t="s">
        <v>20094</v>
      </c>
      <c r="M1773" s="2" t="s">
        <v>20095</v>
      </c>
      <c r="N1773" s="2" t="s">
        <v>20096</v>
      </c>
      <c r="O1773" s="2" t="s">
        <v>20097</v>
      </c>
      <c r="P1773" s="2" t="s">
        <v>20084</v>
      </c>
    </row>
    <row r="1774" spans="1:16" ht="15" customHeight="1">
      <c r="A1774" s="1">
        <v>1773</v>
      </c>
      <c r="B1774" s="2" t="s">
        <v>20098</v>
      </c>
      <c r="C1774" s="2" t="s">
        <v>20099</v>
      </c>
      <c r="D1774" s="2" t="s">
        <v>20100</v>
      </c>
      <c r="E1774" s="2" t="s">
        <v>20101</v>
      </c>
      <c r="F1774" s="2" t="s">
        <v>20102</v>
      </c>
      <c r="G1774" s="2" t="s">
        <v>20103</v>
      </c>
      <c r="H1774" s="2" t="s">
        <v>20104</v>
      </c>
      <c r="I1774" s="2" t="s">
        <v>20105</v>
      </c>
      <c r="J1774" s="2" t="s">
        <v>20106</v>
      </c>
      <c r="K1774" s="2" t="s">
        <v>25140</v>
      </c>
      <c r="L1774" s="2" t="s">
        <v>20107</v>
      </c>
      <c r="M1774" s="2" t="s">
        <v>20108</v>
      </c>
      <c r="N1774" s="2" t="s">
        <v>20109</v>
      </c>
      <c r="O1774" s="2" t="s">
        <v>20110</v>
      </c>
      <c r="P1774" s="2" t="s">
        <v>20098</v>
      </c>
    </row>
    <row r="1775" spans="1:16" ht="15" customHeight="1">
      <c r="A1775" s="1">
        <v>1774</v>
      </c>
      <c r="B1775" s="2" t="s">
        <v>20111</v>
      </c>
      <c r="C1775" s="2" t="s">
        <v>20112</v>
      </c>
      <c r="D1775" s="2" t="s">
        <v>20113</v>
      </c>
      <c r="E1775" s="2" t="s">
        <v>20114</v>
      </c>
      <c r="F1775" s="2" t="s">
        <v>20115</v>
      </c>
      <c r="G1775" s="2" t="s">
        <v>20116</v>
      </c>
      <c r="H1775" s="2" t="s">
        <v>20117</v>
      </c>
      <c r="I1775" s="2" t="s">
        <v>20118</v>
      </c>
      <c r="J1775" s="2" t="s">
        <v>20119</v>
      </c>
      <c r="K1775" s="2" t="s">
        <v>25141</v>
      </c>
      <c r="L1775" s="2" t="s">
        <v>20120</v>
      </c>
      <c r="M1775" s="2" t="s">
        <v>20121</v>
      </c>
      <c r="N1775" s="2" t="s">
        <v>20122</v>
      </c>
      <c r="O1775" s="2" t="s">
        <v>20123</v>
      </c>
      <c r="P1775" s="2" t="s">
        <v>20111</v>
      </c>
    </row>
    <row r="1776" spans="1:16" ht="15" customHeight="1">
      <c r="A1776" s="1">
        <v>1775</v>
      </c>
      <c r="B1776" s="2" t="s">
        <v>20124</v>
      </c>
      <c r="C1776" s="2" t="s">
        <v>20125</v>
      </c>
      <c r="D1776" s="2" t="s">
        <v>20126</v>
      </c>
      <c r="E1776" s="2" t="s">
        <v>20127</v>
      </c>
      <c r="F1776" s="2" t="s">
        <v>20128</v>
      </c>
      <c r="G1776" s="2" t="s">
        <v>20129</v>
      </c>
      <c r="H1776" s="2" t="s">
        <v>20130</v>
      </c>
      <c r="I1776" s="2" t="s">
        <v>20128</v>
      </c>
      <c r="J1776" s="2" t="s">
        <v>20131</v>
      </c>
      <c r="K1776" s="2" t="s">
        <v>25142</v>
      </c>
      <c r="L1776" s="2" t="s">
        <v>20132</v>
      </c>
      <c r="M1776" s="2" t="s">
        <v>20133</v>
      </c>
      <c r="N1776" s="2" t="s">
        <v>20134</v>
      </c>
      <c r="O1776" s="2" t="s">
        <v>20135</v>
      </c>
      <c r="P1776" s="2" t="s">
        <v>20124</v>
      </c>
    </row>
    <row r="1777" spans="1:16" ht="15" customHeight="1">
      <c r="A1777" s="1">
        <v>1776</v>
      </c>
      <c r="B1777" s="2" t="s">
        <v>22942</v>
      </c>
      <c r="C1777" s="2" t="s">
        <v>20137</v>
      </c>
      <c r="D1777" s="2" t="s">
        <v>22943</v>
      </c>
      <c r="E1777" s="2" t="s">
        <v>20138</v>
      </c>
      <c r="F1777" s="2" t="s">
        <v>20139</v>
      </c>
      <c r="G1777" s="2" t="s">
        <v>20140</v>
      </c>
      <c r="H1777" s="2" t="s">
        <v>20141</v>
      </c>
      <c r="I1777" s="2" t="s">
        <v>20142</v>
      </c>
      <c r="J1777" s="2" t="s">
        <v>20143</v>
      </c>
      <c r="K1777" s="2" t="s">
        <v>25143</v>
      </c>
      <c r="L1777" s="2" t="s">
        <v>20144</v>
      </c>
      <c r="M1777" s="2" t="s">
        <v>20145</v>
      </c>
      <c r="N1777" s="2" t="s">
        <v>20146</v>
      </c>
      <c r="O1777" s="2" t="s">
        <v>20147</v>
      </c>
      <c r="P1777" s="2" t="s">
        <v>20136</v>
      </c>
    </row>
    <row r="1778" spans="1:16" ht="15" customHeight="1">
      <c r="A1778" s="1">
        <v>1777</v>
      </c>
      <c r="B1778" s="2" t="s">
        <v>20148</v>
      </c>
      <c r="C1778" s="2" t="s">
        <v>20148</v>
      </c>
      <c r="D1778" s="2" t="s">
        <v>20148</v>
      </c>
      <c r="E1778" s="2" t="s">
        <v>20148</v>
      </c>
      <c r="F1778" s="2" t="s">
        <v>20148</v>
      </c>
      <c r="G1778" s="2" t="s">
        <v>20148</v>
      </c>
      <c r="H1778" s="2" t="s">
        <v>20148</v>
      </c>
      <c r="I1778" s="2" t="s">
        <v>20148</v>
      </c>
      <c r="J1778" s="2" t="s">
        <v>20148</v>
      </c>
      <c r="K1778" s="2" t="s">
        <v>20148</v>
      </c>
      <c r="L1778" s="2" t="s">
        <v>20148</v>
      </c>
      <c r="M1778" s="2" t="s">
        <v>20148</v>
      </c>
      <c r="N1778" s="2" t="s">
        <v>20148</v>
      </c>
      <c r="O1778" s="2" t="s">
        <v>20148</v>
      </c>
      <c r="P1778" s="2" t="s">
        <v>20148</v>
      </c>
    </row>
    <row r="1779" spans="1:16" ht="15" customHeight="1">
      <c r="A1779" s="1">
        <v>1778</v>
      </c>
      <c r="B1779" s="2" t="s">
        <v>20149</v>
      </c>
      <c r="C1779" s="2" t="s">
        <v>20150</v>
      </c>
      <c r="D1779" s="2" t="s">
        <v>20151</v>
      </c>
      <c r="E1779" s="2" t="s">
        <v>20152</v>
      </c>
      <c r="F1779" s="2" t="s">
        <v>20153</v>
      </c>
      <c r="G1779" s="2" t="s">
        <v>20154</v>
      </c>
      <c r="H1779" s="2" t="s">
        <v>20155</v>
      </c>
      <c r="I1779" s="2" t="s">
        <v>20156</v>
      </c>
      <c r="J1779" s="2" t="s">
        <v>20157</v>
      </c>
      <c r="K1779" s="2" t="s">
        <v>25144</v>
      </c>
      <c r="L1779" s="2" t="s">
        <v>25145</v>
      </c>
      <c r="M1779" s="2" t="s">
        <v>20158</v>
      </c>
      <c r="N1779" s="2" t="s">
        <v>20159</v>
      </c>
      <c r="O1779" s="2" t="s">
        <v>20160</v>
      </c>
      <c r="P1779" s="2" t="s">
        <v>20149</v>
      </c>
    </row>
    <row r="1780" spans="1:16" ht="15" customHeight="1">
      <c r="A1780" s="1">
        <v>1779</v>
      </c>
      <c r="B1780" s="2" t="s">
        <v>22944</v>
      </c>
      <c r="C1780" s="2" t="s">
        <v>20162</v>
      </c>
      <c r="D1780" s="2" t="s">
        <v>20163</v>
      </c>
      <c r="E1780" s="2" t="s">
        <v>20164</v>
      </c>
      <c r="F1780" s="2" t="s">
        <v>20165</v>
      </c>
      <c r="G1780" s="2" t="s">
        <v>20166</v>
      </c>
      <c r="H1780" s="2" t="s">
        <v>20167</v>
      </c>
      <c r="I1780" s="2" t="s">
        <v>20168</v>
      </c>
      <c r="J1780" s="2" t="s">
        <v>20169</v>
      </c>
      <c r="K1780" s="2" t="s">
        <v>25146</v>
      </c>
      <c r="L1780" s="2" t="s">
        <v>20170</v>
      </c>
      <c r="M1780" s="2" t="s">
        <v>20171</v>
      </c>
      <c r="N1780" s="2" t="s">
        <v>20172</v>
      </c>
      <c r="O1780" s="2" t="s">
        <v>20173</v>
      </c>
      <c r="P1780" s="2" t="s">
        <v>20161</v>
      </c>
    </row>
    <row r="1781" spans="1:16" ht="15" customHeight="1">
      <c r="A1781" s="1">
        <v>1780</v>
      </c>
      <c r="B1781" s="2" t="s">
        <v>22945</v>
      </c>
      <c r="C1781" s="2" t="s">
        <v>20175</v>
      </c>
      <c r="D1781" s="2" t="s">
        <v>20176</v>
      </c>
      <c r="E1781" s="2" t="s">
        <v>25814</v>
      </c>
      <c r="F1781" s="2" t="s">
        <v>20177</v>
      </c>
      <c r="G1781" s="2" t="s">
        <v>20178</v>
      </c>
      <c r="H1781" s="2" t="s">
        <v>20179</v>
      </c>
      <c r="I1781" s="2" t="s">
        <v>20180</v>
      </c>
      <c r="J1781" s="2" t="s">
        <v>20181</v>
      </c>
      <c r="K1781" s="2" t="s">
        <v>25147</v>
      </c>
      <c r="L1781" s="2" t="s">
        <v>20182</v>
      </c>
      <c r="M1781" s="2" t="s">
        <v>20183</v>
      </c>
      <c r="N1781" s="2" t="s">
        <v>20184</v>
      </c>
      <c r="O1781" s="2" t="s">
        <v>20185</v>
      </c>
      <c r="P1781" s="2" t="s">
        <v>20174</v>
      </c>
    </row>
    <row r="1782" spans="1:16" ht="15" customHeight="1">
      <c r="A1782" s="1">
        <v>1781</v>
      </c>
      <c r="B1782" s="2" t="s">
        <v>22946</v>
      </c>
      <c r="C1782" s="2" t="s">
        <v>20187</v>
      </c>
      <c r="D1782" s="2" t="s">
        <v>20188</v>
      </c>
      <c r="E1782" s="2" t="s">
        <v>25815</v>
      </c>
      <c r="F1782" s="2" t="s">
        <v>20189</v>
      </c>
      <c r="G1782" s="2" t="s">
        <v>20190</v>
      </c>
      <c r="H1782" s="2" t="s">
        <v>20191</v>
      </c>
      <c r="I1782" s="2" t="s">
        <v>20192</v>
      </c>
      <c r="J1782" s="2" t="s">
        <v>20193</v>
      </c>
      <c r="K1782" s="2" t="s">
        <v>25148</v>
      </c>
      <c r="L1782" s="2" t="s">
        <v>25149</v>
      </c>
      <c r="M1782" s="2" t="s">
        <v>20194</v>
      </c>
      <c r="N1782" s="2" t="s">
        <v>20195</v>
      </c>
      <c r="O1782" s="2" t="s">
        <v>20196</v>
      </c>
      <c r="P1782" s="2" t="s">
        <v>20186</v>
      </c>
    </row>
    <row r="1783" spans="1:16" ht="15" customHeight="1">
      <c r="A1783" s="1">
        <v>1782</v>
      </c>
      <c r="B1783" s="2" t="s">
        <v>22947</v>
      </c>
      <c r="C1783" s="2" t="s">
        <v>20198</v>
      </c>
      <c r="D1783" s="2" t="s">
        <v>22948</v>
      </c>
      <c r="E1783" s="2" t="s">
        <v>25816</v>
      </c>
      <c r="F1783" s="2" t="s">
        <v>20189</v>
      </c>
      <c r="G1783" s="2" t="s">
        <v>20199</v>
      </c>
      <c r="H1783" s="2" t="s">
        <v>20200</v>
      </c>
      <c r="I1783" s="2" t="s">
        <v>20201</v>
      </c>
      <c r="J1783" s="2" t="s">
        <v>20202</v>
      </c>
      <c r="K1783" s="2" t="s">
        <v>20203</v>
      </c>
      <c r="L1783" s="2" t="s">
        <v>20204</v>
      </c>
      <c r="M1783" s="2" t="s">
        <v>20205</v>
      </c>
      <c r="N1783" s="2" t="s">
        <v>20206</v>
      </c>
      <c r="O1783" s="2" t="s">
        <v>20207</v>
      </c>
      <c r="P1783" s="2" t="s">
        <v>20197</v>
      </c>
    </row>
    <row r="1784" spans="1:16" ht="15" customHeight="1">
      <c r="A1784" s="1">
        <v>1783</v>
      </c>
      <c r="B1784" s="2" t="s">
        <v>22949</v>
      </c>
      <c r="C1784" s="2" t="s">
        <v>20209</v>
      </c>
      <c r="D1784" s="2" t="s">
        <v>20210</v>
      </c>
      <c r="E1784" s="2" t="s">
        <v>20211</v>
      </c>
      <c r="F1784" s="2" t="s">
        <v>20212</v>
      </c>
      <c r="G1784" s="2" t="s">
        <v>20213</v>
      </c>
      <c r="H1784" s="2" t="s">
        <v>20214</v>
      </c>
      <c r="I1784" s="2" t="s">
        <v>20215</v>
      </c>
      <c r="J1784" s="2" t="s">
        <v>20216</v>
      </c>
      <c r="K1784" s="2" t="s">
        <v>25150</v>
      </c>
      <c r="L1784" s="2" t="s">
        <v>20217</v>
      </c>
      <c r="M1784" s="2" t="s">
        <v>20218</v>
      </c>
      <c r="N1784" s="2" t="s">
        <v>20219</v>
      </c>
      <c r="O1784" s="2" t="s">
        <v>20220</v>
      </c>
      <c r="P1784" s="2" t="s">
        <v>20208</v>
      </c>
    </row>
    <row r="1785" spans="1:16" ht="15" customHeight="1">
      <c r="A1785" s="1">
        <v>1784</v>
      </c>
      <c r="B1785" s="2" t="s">
        <v>22950</v>
      </c>
      <c r="C1785" s="2" t="s">
        <v>20222</v>
      </c>
      <c r="D1785" s="2" t="s">
        <v>20223</v>
      </c>
      <c r="E1785" s="2" t="s">
        <v>20224</v>
      </c>
      <c r="F1785" s="2" t="s">
        <v>20225</v>
      </c>
      <c r="G1785" s="2" t="s">
        <v>20226</v>
      </c>
      <c r="H1785" s="2" t="s">
        <v>20227</v>
      </c>
      <c r="I1785" s="2" t="s">
        <v>20228</v>
      </c>
      <c r="J1785" s="2" t="s">
        <v>20229</v>
      </c>
      <c r="K1785" s="2" t="s">
        <v>25151</v>
      </c>
      <c r="L1785" s="2" t="s">
        <v>20230</v>
      </c>
      <c r="M1785" s="2" t="s">
        <v>20231</v>
      </c>
      <c r="N1785" s="2" t="s">
        <v>20232</v>
      </c>
      <c r="O1785" s="2" t="s">
        <v>20233</v>
      </c>
      <c r="P1785" s="2" t="s">
        <v>20221</v>
      </c>
    </row>
    <row r="1786" spans="1:16" ht="15" customHeight="1">
      <c r="A1786" s="1">
        <v>1785</v>
      </c>
      <c r="B1786" s="2" t="s">
        <v>22951</v>
      </c>
      <c r="C1786" s="2" t="s">
        <v>20235</v>
      </c>
      <c r="D1786" s="2" t="s">
        <v>20236</v>
      </c>
      <c r="E1786" s="2" t="s">
        <v>20237</v>
      </c>
      <c r="F1786" s="2" t="s">
        <v>20238</v>
      </c>
      <c r="G1786" s="2" t="s">
        <v>20239</v>
      </c>
      <c r="H1786" s="2" t="s">
        <v>20240</v>
      </c>
      <c r="I1786" s="2" t="s">
        <v>20241</v>
      </c>
      <c r="J1786" s="2" t="s">
        <v>20242</v>
      </c>
      <c r="K1786" s="2" t="s">
        <v>25152</v>
      </c>
      <c r="L1786" s="2" t="s">
        <v>20243</v>
      </c>
      <c r="M1786" s="2" t="s">
        <v>20244</v>
      </c>
      <c r="N1786" s="2" t="s">
        <v>20245</v>
      </c>
      <c r="O1786" s="2" t="s">
        <v>20246</v>
      </c>
      <c r="P1786" s="2" t="s">
        <v>20234</v>
      </c>
    </row>
    <row r="1787" spans="1:16" ht="15" customHeight="1">
      <c r="A1787" s="1">
        <v>1786</v>
      </c>
      <c r="B1787" s="2" t="s">
        <v>20247</v>
      </c>
      <c r="C1787" s="2" t="s">
        <v>20247</v>
      </c>
      <c r="D1787" s="2" t="s">
        <v>20248</v>
      </c>
      <c r="E1787" s="2" t="s">
        <v>20247</v>
      </c>
      <c r="F1787" s="2" t="s">
        <v>22952</v>
      </c>
      <c r="G1787" s="2" t="s">
        <v>20247</v>
      </c>
      <c r="H1787" s="2" t="s">
        <v>22953</v>
      </c>
      <c r="I1787" s="2" t="s">
        <v>20247</v>
      </c>
      <c r="J1787" s="2" t="s">
        <v>20247</v>
      </c>
      <c r="K1787" s="2" t="s">
        <v>20247</v>
      </c>
      <c r="L1787" s="2" t="s">
        <v>20247</v>
      </c>
      <c r="M1787" s="2" t="s">
        <v>20247</v>
      </c>
      <c r="N1787" s="2" t="s">
        <v>20247</v>
      </c>
      <c r="O1787" s="2" t="s">
        <v>20247</v>
      </c>
      <c r="P1787" s="2" t="s">
        <v>20247</v>
      </c>
    </row>
    <row r="1788" spans="1:16" ht="15" customHeight="1">
      <c r="A1788" s="1">
        <v>1787</v>
      </c>
      <c r="B1788" s="2" t="s">
        <v>20249</v>
      </c>
      <c r="C1788" s="2" t="s">
        <v>20250</v>
      </c>
      <c r="D1788" s="2" t="s">
        <v>20251</v>
      </c>
      <c r="E1788" s="2" t="s">
        <v>20252</v>
      </c>
      <c r="F1788" s="2" t="s">
        <v>20253</v>
      </c>
      <c r="G1788" s="2" t="s">
        <v>20254</v>
      </c>
      <c r="H1788" s="2" t="s">
        <v>20255</v>
      </c>
      <c r="I1788" s="2" t="s">
        <v>20256</v>
      </c>
      <c r="J1788" s="2" t="s">
        <v>20257</v>
      </c>
      <c r="K1788" s="2" t="s">
        <v>25153</v>
      </c>
      <c r="L1788" s="2" t="s">
        <v>20258</v>
      </c>
      <c r="M1788" s="2" t="s">
        <v>20259</v>
      </c>
      <c r="N1788" s="2" t="s">
        <v>20260</v>
      </c>
      <c r="O1788" s="2" t="s">
        <v>20261</v>
      </c>
      <c r="P1788" s="2" t="s">
        <v>20249</v>
      </c>
    </row>
    <row r="1789" spans="1:16" ht="15" customHeight="1">
      <c r="A1789" s="1">
        <v>1788</v>
      </c>
      <c r="B1789" s="2" t="s">
        <v>20262</v>
      </c>
      <c r="C1789" s="2" t="s">
        <v>20263</v>
      </c>
      <c r="D1789" s="2" t="s">
        <v>20264</v>
      </c>
      <c r="E1789" s="2" t="s">
        <v>20265</v>
      </c>
      <c r="F1789" s="2" t="s">
        <v>20266</v>
      </c>
      <c r="G1789" s="2" t="s">
        <v>20267</v>
      </c>
      <c r="H1789" s="2" t="s">
        <v>20268</v>
      </c>
      <c r="I1789" s="2" t="s">
        <v>20269</v>
      </c>
      <c r="J1789" s="2" t="s">
        <v>20270</v>
      </c>
      <c r="K1789" s="2" t="s">
        <v>25154</v>
      </c>
      <c r="L1789" s="2" t="s">
        <v>20271</v>
      </c>
      <c r="M1789" s="2" t="s">
        <v>20272</v>
      </c>
      <c r="N1789" s="2" t="s">
        <v>20273</v>
      </c>
      <c r="O1789" s="2" t="s">
        <v>20274</v>
      </c>
      <c r="P1789" s="2" t="s">
        <v>20262</v>
      </c>
    </row>
    <row r="1790" spans="1:16" ht="15" customHeight="1">
      <c r="A1790" s="1">
        <v>1789</v>
      </c>
      <c r="B1790" s="2" t="s">
        <v>20275</v>
      </c>
      <c r="C1790" s="2" t="s">
        <v>20276</v>
      </c>
      <c r="D1790" s="2" t="s">
        <v>20277</v>
      </c>
      <c r="E1790" s="2" t="s">
        <v>20278</v>
      </c>
      <c r="F1790" s="2" t="s">
        <v>20279</v>
      </c>
      <c r="G1790" s="2" t="s">
        <v>20280</v>
      </c>
      <c r="H1790" s="2" t="s">
        <v>20281</v>
      </c>
      <c r="I1790" s="2" t="s">
        <v>20282</v>
      </c>
      <c r="J1790" s="2" t="s">
        <v>20283</v>
      </c>
      <c r="K1790" s="2" t="s">
        <v>25155</v>
      </c>
      <c r="L1790" s="2" t="s">
        <v>20284</v>
      </c>
      <c r="M1790" s="2" t="s">
        <v>20285</v>
      </c>
      <c r="N1790" s="2" t="s">
        <v>20286</v>
      </c>
      <c r="O1790" s="2" t="s">
        <v>20287</v>
      </c>
      <c r="P1790" s="2" t="s">
        <v>20275</v>
      </c>
    </row>
    <row r="1791" spans="1:16" ht="15" customHeight="1">
      <c r="A1791" s="1">
        <v>1790</v>
      </c>
      <c r="B1791" s="2" t="s">
        <v>20288</v>
      </c>
      <c r="C1791" s="2" t="s">
        <v>20289</v>
      </c>
      <c r="D1791" s="2" t="s">
        <v>20290</v>
      </c>
      <c r="E1791" s="2" t="s">
        <v>20291</v>
      </c>
      <c r="F1791" s="2" t="s">
        <v>20292</v>
      </c>
      <c r="G1791" s="2" t="s">
        <v>20292</v>
      </c>
      <c r="H1791" s="2" t="s">
        <v>20293</v>
      </c>
      <c r="I1791" s="2" t="s">
        <v>20294</v>
      </c>
      <c r="J1791" s="2" t="s">
        <v>20295</v>
      </c>
      <c r="K1791" s="2" t="s">
        <v>25156</v>
      </c>
      <c r="L1791" s="2" t="s">
        <v>20288</v>
      </c>
      <c r="M1791" s="2" t="s">
        <v>20296</v>
      </c>
      <c r="N1791" s="2" t="s">
        <v>20288</v>
      </c>
      <c r="O1791" s="2" t="s">
        <v>20296</v>
      </c>
      <c r="P1791" s="2" t="s">
        <v>20288</v>
      </c>
    </row>
    <row r="1792" spans="1:16" ht="15" customHeight="1">
      <c r="A1792" s="1">
        <v>1791</v>
      </c>
      <c r="B1792" s="2" t="s">
        <v>22954</v>
      </c>
      <c r="C1792" s="2" t="s">
        <v>20298</v>
      </c>
      <c r="D1792" s="2" t="s">
        <v>20299</v>
      </c>
      <c r="E1792" s="2" t="s">
        <v>20300</v>
      </c>
      <c r="F1792" s="2" t="s">
        <v>20301</v>
      </c>
      <c r="G1792" s="2" t="s">
        <v>20302</v>
      </c>
      <c r="H1792" s="2" t="s">
        <v>20303</v>
      </c>
      <c r="I1792" s="2" t="s">
        <v>20304</v>
      </c>
      <c r="J1792" s="2" t="s">
        <v>20305</v>
      </c>
      <c r="K1792" s="2" t="s">
        <v>25157</v>
      </c>
      <c r="L1792" s="2" t="s">
        <v>20306</v>
      </c>
      <c r="M1792" s="2" t="s">
        <v>20307</v>
      </c>
      <c r="N1792" s="2" t="s">
        <v>20308</v>
      </c>
      <c r="O1792" s="2" t="s">
        <v>20309</v>
      </c>
      <c r="P1792" s="2" t="s">
        <v>20297</v>
      </c>
    </row>
    <row r="1793" spans="1:16" ht="15" customHeight="1">
      <c r="A1793" s="1">
        <v>1792</v>
      </c>
      <c r="B1793" s="2" t="s">
        <v>20310</v>
      </c>
      <c r="C1793" s="2" t="s">
        <v>20311</v>
      </c>
      <c r="D1793" s="2" t="s">
        <v>20312</v>
      </c>
      <c r="E1793" s="2" t="s">
        <v>20313</v>
      </c>
      <c r="F1793" s="2" t="s">
        <v>20314</v>
      </c>
      <c r="G1793" s="2" t="s">
        <v>20315</v>
      </c>
      <c r="H1793" s="2" t="s">
        <v>20316</v>
      </c>
      <c r="I1793" s="2" t="s">
        <v>20317</v>
      </c>
      <c r="J1793" s="2" t="s">
        <v>20310</v>
      </c>
      <c r="K1793" s="2" t="s">
        <v>20321</v>
      </c>
      <c r="L1793" s="2" t="s">
        <v>20318</v>
      </c>
      <c r="M1793" s="2" t="s">
        <v>20319</v>
      </c>
      <c r="N1793" s="2" t="s">
        <v>20320</v>
      </c>
      <c r="O1793" s="2" t="s">
        <v>20321</v>
      </c>
      <c r="P1793" s="2" t="s">
        <v>20310</v>
      </c>
    </row>
    <row r="1794" spans="1:16" ht="15" customHeight="1">
      <c r="A1794" s="1">
        <v>1793</v>
      </c>
      <c r="B1794" s="2" t="s">
        <v>20322</v>
      </c>
      <c r="C1794" s="2" t="s">
        <v>20323</v>
      </c>
      <c r="D1794" s="2" t="s">
        <v>20324</v>
      </c>
      <c r="E1794" s="2" t="s">
        <v>20325</v>
      </c>
      <c r="F1794" s="2" t="s">
        <v>20326</v>
      </c>
      <c r="G1794" s="2" t="s">
        <v>20327</v>
      </c>
      <c r="H1794" s="2" t="s">
        <v>20328</v>
      </c>
      <c r="I1794" s="2" t="s">
        <v>20326</v>
      </c>
      <c r="J1794" s="2" t="s">
        <v>20329</v>
      </c>
      <c r="K1794" s="2" t="s">
        <v>25158</v>
      </c>
      <c r="L1794" s="2" t="s">
        <v>20322</v>
      </c>
      <c r="M1794" s="2" t="s">
        <v>20330</v>
      </c>
      <c r="N1794" s="2" t="s">
        <v>20322</v>
      </c>
      <c r="O1794" s="2" t="s">
        <v>20331</v>
      </c>
      <c r="P1794" s="2" t="s">
        <v>20322</v>
      </c>
    </row>
    <row r="1795" spans="1:16" ht="15" customHeight="1">
      <c r="A1795" s="1">
        <v>1794</v>
      </c>
      <c r="B1795" s="2" t="s">
        <v>20332</v>
      </c>
      <c r="C1795" s="2" t="s">
        <v>20333</v>
      </c>
      <c r="D1795" s="2" t="s">
        <v>20334</v>
      </c>
      <c r="E1795" s="2" t="s">
        <v>20335</v>
      </c>
      <c r="F1795" s="2" t="s">
        <v>20336</v>
      </c>
      <c r="G1795" s="2" t="s">
        <v>20337</v>
      </c>
      <c r="H1795" s="2" t="s">
        <v>20338</v>
      </c>
      <c r="I1795" s="2" t="s">
        <v>20339</v>
      </c>
      <c r="J1795" s="2" t="s">
        <v>20340</v>
      </c>
      <c r="K1795" s="2" t="s">
        <v>25159</v>
      </c>
      <c r="L1795" s="2" t="s">
        <v>20341</v>
      </c>
      <c r="M1795" s="2" t="s">
        <v>20342</v>
      </c>
      <c r="N1795" s="2" t="s">
        <v>20343</v>
      </c>
      <c r="O1795" s="2" t="s">
        <v>20344</v>
      </c>
      <c r="P1795" s="2" t="s">
        <v>20332</v>
      </c>
    </row>
    <row r="1796" spans="1:16" ht="15" customHeight="1">
      <c r="A1796" s="1">
        <v>1795</v>
      </c>
      <c r="B1796" s="2" t="s">
        <v>20345</v>
      </c>
      <c r="C1796" s="2" t="s">
        <v>20346</v>
      </c>
      <c r="D1796" s="2" t="s">
        <v>20347</v>
      </c>
      <c r="E1796" s="2" t="s">
        <v>20348</v>
      </c>
      <c r="F1796" s="2" t="s">
        <v>20349</v>
      </c>
      <c r="G1796" s="2" t="s">
        <v>20350</v>
      </c>
      <c r="H1796" s="2" t="s">
        <v>20351</v>
      </c>
      <c r="I1796" s="2" t="s">
        <v>20352</v>
      </c>
      <c r="J1796" s="2" t="s">
        <v>20353</v>
      </c>
      <c r="K1796" s="2" t="s">
        <v>25160</v>
      </c>
      <c r="L1796" s="2" t="s">
        <v>20354</v>
      </c>
      <c r="M1796" s="2" t="s">
        <v>20355</v>
      </c>
      <c r="N1796" s="2" t="s">
        <v>20356</v>
      </c>
      <c r="O1796" s="2" t="s">
        <v>20357</v>
      </c>
      <c r="P1796" s="2" t="s">
        <v>20345</v>
      </c>
    </row>
    <row r="1797" spans="1:16" ht="15" customHeight="1">
      <c r="A1797" s="1">
        <v>1796</v>
      </c>
      <c r="B1797" s="2" t="s">
        <v>20358</v>
      </c>
      <c r="C1797" s="2" t="s">
        <v>20359</v>
      </c>
      <c r="D1797" s="2" t="s">
        <v>20360</v>
      </c>
      <c r="E1797" s="2" t="s">
        <v>20361</v>
      </c>
      <c r="F1797" s="2" t="s">
        <v>20362</v>
      </c>
      <c r="G1797" s="2" t="s">
        <v>20363</v>
      </c>
      <c r="H1797" s="2" t="s">
        <v>20364</v>
      </c>
      <c r="I1797" s="2" t="s">
        <v>20365</v>
      </c>
      <c r="J1797" s="2" t="s">
        <v>20366</v>
      </c>
      <c r="K1797" s="2" t="s">
        <v>25161</v>
      </c>
      <c r="L1797" s="2" t="s">
        <v>20367</v>
      </c>
      <c r="M1797" s="2" t="s">
        <v>20368</v>
      </c>
      <c r="N1797" s="2" t="s">
        <v>20369</v>
      </c>
      <c r="O1797" s="2" t="s">
        <v>20370</v>
      </c>
      <c r="P1797" s="2" t="s">
        <v>20358</v>
      </c>
    </row>
    <row r="1798" spans="1:16" ht="15" customHeight="1">
      <c r="A1798" s="1">
        <v>1797</v>
      </c>
      <c r="B1798" s="2" t="s">
        <v>20371</v>
      </c>
      <c r="C1798" s="2" t="s">
        <v>20372</v>
      </c>
      <c r="D1798" s="2" t="s">
        <v>20373</v>
      </c>
      <c r="E1798" s="2" t="s">
        <v>20374</v>
      </c>
      <c r="F1798" s="2" t="s">
        <v>20375</v>
      </c>
      <c r="G1798" s="2" t="s">
        <v>20376</v>
      </c>
      <c r="H1798" s="2" t="s">
        <v>20377</v>
      </c>
      <c r="I1798" s="2" t="s">
        <v>20378</v>
      </c>
      <c r="J1798" s="2" t="s">
        <v>20379</v>
      </c>
      <c r="K1798" s="2" t="s">
        <v>25162</v>
      </c>
      <c r="L1798" s="2" t="s">
        <v>20380</v>
      </c>
      <c r="M1798" s="2" t="s">
        <v>20381</v>
      </c>
      <c r="N1798" s="2" t="s">
        <v>20382</v>
      </c>
      <c r="O1798" s="2" t="s">
        <v>20383</v>
      </c>
      <c r="P1798" s="2" t="s">
        <v>20371</v>
      </c>
    </row>
    <row r="1799" spans="1:16" ht="15" customHeight="1">
      <c r="A1799" s="1">
        <v>1798</v>
      </c>
      <c r="B1799" s="2" t="s">
        <v>20384</v>
      </c>
      <c r="C1799" s="2" t="s">
        <v>20385</v>
      </c>
      <c r="D1799" s="2" t="s">
        <v>20386</v>
      </c>
      <c r="E1799" s="2" t="s">
        <v>20387</v>
      </c>
      <c r="F1799" s="2" t="s">
        <v>20388</v>
      </c>
      <c r="G1799" s="2" t="s">
        <v>20389</v>
      </c>
      <c r="H1799" s="2" t="s">
        <v>20390</v>
      </c>
      <c r="I1799" s="2" t="s">
        <v>20391</v>
      </c>
      <c r="J1799" s="2" t="s">
        <v>20392</v>
      </c>
      <c r="K1799" s="2" t="s">
        <v>25163</v>
      </c>
      <c r="L1799" s="2" t="s">
        <v>20393</v>
      </c>
      <c r="M1799" s="2" t="s">
        <v>20394</v>
      </c>
      <c r="N1799" s="2" t="s">
        <v>20395</v>
      </c>
      <c r="O1799" s="2" t="s">
        <v>20396</v>
      </c>
      <c r="P1799" s="2" t="s">
        <v>20384</v>
      </c>
    </row>
    <row r="1800" spans="1:16" ht="15" customHeight="1">
      <c r="A1800" s="1">
        <v>1799</v>
      </c>
      <c r="B1800" s="2" t="s">
        <v>20397</v>
      </c>
      <c r="C1800" s="2" t="s">
        <v>20398</v>
      </c>
      <c r="D1800" s="2" t="s">
        <v>20399</v>
      </c>
      <c r="E1800" s="2" t="s">
        <v>20400</v>
      </c>
      <c r="F1800" s="2" t="s">
        <v>20401</v>
      </c>
      <c r="G1800" s="2" t="s">
        <v>20402</v>
      </c>
      <c r="H1800" s="2" t="s">
        <v>20403</v>
      </c>
      <c r="I1800" s="2" t="s">
        <v>20404</v>
      </c>
      <c r="J1800" s="2" t="s">
        <v>20405</v>
      </c>
      <c r="K1800" s="2" t="s">
        <v>25164</v>
      </c>
      <c r="L1800" s="2" t="s">
        <v>20406</v>
      </c>
      <c r="M1800" s="2" t="s">
        <v>20407</v>
      </c>
      <c r="N1800" s="2" t="s">
        <v>20408</v>
      </c>
      <c r="O1800" s="2" t="s">
        <v>20409</v>
      </c>
      <c r="P1800" s="2" t="s">
        <v>20397</v>
      </c>
    </row>
    <row r="1801" spans="1:16" ht="15" customHeight="1">
      <c r="A1801" s="1">
        <v>1800</v>
      </c>
      <c r="B1801" s="2" t="s">
        <v>20410</v>
      </c>
      <c r="C1801" s="2" t="s">
        <v>20411</v>
      </c>
      <c r="D1801" s="2" t="s">
        <v>20412</v>
      </c>
      <c r="E1801" s="2" t="s">
        <v>20413</v>
      </c>
      <c r="F1801" s="2" t="s">
        <v>20414</v>
      </c>
      <c r="G1801" s="2" t="s">
        <v>20415</v>
      </c>
      <c r="H1801" s="2" t="s">
        <v>20416</v>
      </c>
      <c r="I1801" s="2" t="s">
        <v>20417</v>
      </c>
      <c r="J1801" s="2" t="s">
        <v>20418</v>
      </c>
      <c r="K1801" s="2" t="s">
        <v>25165</v>
      </c>
      <c r="L1801" s="2" t="s">
        <v>20419</v>
      </c>
      <c r="M1801" s="2" t="s">
        <v>20420</v>
      </c>
      <c r="N1801" s="2" t="s">
        <v>20421</v>
      </c>
      <c r="O1801" s="2" t="s">
        <v>20422</v>
      </c>
      <c r="P1801" s="2" t="s">
        <v>20410</v>
      </c>
    </row>
    <row r="1802" spans="1:16" ht="15" customHeight="1">
      <c r="A1802" s="1">
        <v>1801</v>
      </c>
      <c r="B1802" s="2" t="s">
        <v>20423</v>
      </c>
      <c r="C1802" s="2" t="s">
        <v>20424</v>
      </c>
      <c r="D1802" s="2" t="s">
        <v>20425</v>
      </c>
      <c r="E1802" s="2" t="s">
        <v>20426</v>
      </c>
      <c r="F1802" s="2" t="s">
        <v>20427</v>
      </c>
      <c r="G1802" s="2" t="s">
        <v>20428</v>
      </c>
      <c r="H1802" s="2" t="s">
        <v>20429</v>
      </c>
      <c r="I1802" s="2" t="s">
        <v>20430</v>
      </c>
      <c r="J1802" s="2" t="s">
        <v>20431</v>
      </c>
      <c r="K1802" s="2" t="s">
        <v>25166</v>
      </c>
      <c r="L1802" s="2" t="s">
        <v>20432</v>
      </c>
      <c r="M1802" s="2" t="s">
        <v>20433</v>
      </c>
      <c r="N1802" s="2" t="s">
        <v>20434</v>
      </c>
      <c r="O1802" s="2" t="s">
        <v>20435</v>
      </c>
      <c r="P1802" s="2" t="s">
        <v>20423</v>
      </c>
    </row>
    <row r="1803" spans="1:16" ht="15" customHeight="1">
      <c r="A1803" s="1">
        <v>1802</v>
      </c>
      <c r="B1803" s="2" t="s">
        <v>20436</v>
      </c>
      <c r="C1803" s="2" t="s">
        <v>20437</v>
      </c>
      <c r="D1803" s="2" t="s">
        <v>20438</v>
      </c>
      <c r="E1803" s="2" t="s">
        <v>20439</v>
      </c>
      <c r="F1803" s="2" t="s">
        <v>20440</v>
      </c>
      <c r="G1803" s="2" t="s">
        <v>20441</v>
      </c>
      <c r="H1803" s="2" t="s">
        <v>20442</v>
      </c>
      <c r="I1803" s="2" t="s">
        <v>20443</v>
      </c>
      <c r="J1803" s="2" t="s">
        <v>20444</v>
      </c>
      <c r="K1803" s="2" t="s">
        <v>25167</v>
      </c>
      <c r="L1803" s="2" t="s">
        <v>20445</v>
      </c>
      <c r="M1803" s="2" t="s">
        <v>20446</v>
      </c>
      <c r="N1803" s="2" t="s">
        <v>20447</v>
      </c>
      <c r="O1803" s="2" t="s">
        <v>20448</v>
      </c>
      <c r="P1803" s="2" t="s">
        <v>20436</v>
      </c>
    </row>
    <row r="1804" spans="1:16" ht="15" customHeight="1">
      <c r="A1804" s="1">
        <v>1803</v>
      </c>
      <c r="B1804" s="2" t="s">
        <v>20449</v>
      </c>
      <c r="C1804" s="2" t="s">
        <v>20450</v>
      </c>
      <c r="D1804" s="2" t="s">
        <v>20451</v>
      </c>
      <c r="E1804" s="2" t="s">
        <v>20452</v>
      </c>
      <c r="F1804" s="2" t="s">
        <v>20453</v>
      </c>
      <c r="G1804" s="2" t="s">
        <v>20454</v>
      </c>
      <c r="H1804" s="2" t="s">
        <v>20455</v>
      </c>
      <c r="I1804" s="2" t="s">
        <v>20456</v>
      </c>
      <c r="J1804" s="2" t="s">
        <v>20457</v>
      </c>
      <c r="K1804" s="2" t="s">
        <v>25168</v>
      </c>
      <c r="L1804" s="2" t="s">
        <v>20458</v>
      </c>
      <c r="M1804" s="2" t="s">
        <v>20459</v>
      </c>
      <c r="N1804" s="2" t="s">
        <v>20460</v>
      </c>
      <c r="O1804" s="2" t="s">
        <v>20461</v>
      </c>
      <c r="P1804" s="2" t="s">
        <v>20449</v>
      </c>
    </row>
    <row r="1805" spans="1:16" ht="15" customHeight="1">
      <c r="A1805" s="1">
        <v>1804</v>
      </c>
      <c r="B1805" s="2" t="s">
        <v>20462</v>
      </c>
      <c r="C1805" s="2" t="s">
        <v>20463</v>
      </c>
      <c r="D1805" s="2" t="s">
        <v>20464</v>
      </c>
      <c r="E1805" s="2" t="s">
        <v>20465</v>
      </c>
      <c r="F1805" s="2" t="s">
        <v>20466</v>
      </c>
      <c r="G1805" s="2" t="s">
        <v>20467</v>
      </c>
      <c r="H1805" s="2" t="s">
        <v>20468</v>
      </c>
      <c r="I1805" s="2" t="s">
        <v>20469</v>
      </c>
      <c r="J1805" s="2" t="s">
        <v>20470</v>
      </c>
      <c r="K1805" s="2" t="s">
        <v>25169</v>
      </c>
      <c r="L1805" s="2" t="s">
        <v>20471</v>
      </c>
      <c r="M1805" s="2" t="s">
        <v>20472</v>
      </c>
      <c r="N1805" s="2" t="s">
        <v>20473</v>
      </c>
      <c r="O1805" s="2" t="s">
        <v>20474</v>
      </c>
      <c r="P1805" s="2" t="s">
        <v>20462</v>
      </c>
    </row>
    <row r="1806" spans="1:16" ht="15" customHeight="1">
      <c r="A1806" s="1">
        <v>1805</v>
      </c>
      <c r="B1806" s="2" t="s">
        <v>20475</v>
      </c>
      <c r="C1806" s="2" t="s">
        <v>20476</v>
      </c>
      <c r="D1806" s="2" t="s">
        <v>20477</v>
      </c>
      <c r="E1806" s="2" t="s">
        <v>20478</v>
      </c>
      <c r="F1806" s="2" t="s">
        <v>20479</v>
      </c>
      <c r="G1806" s="2" t="s">
        <v>20480</v>
      </c>
      <c r="H1806" s="2" t="s">
        <v>20481</v>
      </c>
      <c r="I1806" s="2" t="s">
        <v>20482</v>
      </c>
      <c r="J1806" s="2" t="s">
        <v>20483</v>
      </c>
      <c r="K1806" s="2" t="s">
        <v>25170</v>
      </c>
      <c r="L1806" s="2" t="s">
        <v>20484</v>
      </c>
      <c r="M1806" s="2" t="s">
        <v>20485</v>
      </c>
      <c r="N1806" s="2" t="s">
        <v>20486</v>
      </c>
      <c r="O1806" s="2" t="s">
        <v>20487</v>
      </c>
      <c r="P1806" s="2" t="s">
        <v>20475</v>
      </c>
    </row>
    <row r="1807" spans="1:16" ht="15" customHeight="1">
      <c r="A1807" s="1">
        <v>1806</v>
      </c>
      <c r="B1807" s="2" t="s">
        <v>20488</v>
      </c>
      <c r="C1807" s="2" t="s">
        <v>20489</v>
      </c>
      <c r="D1807" s="2" t="s">
        <v>20490</v>
      </c>
      <c r="E1807" s="2" t="s">
        <v>20491</v>
      </c>
      <c r="F1807" s="2" t="s">
        <v>20492</v>
      </c>
      <c r="G1807" s="2" t="s">
        <v>20493</v>
      </c>
      <c r="H1807" s="2" t="s">
        <v>20494</v>
      </c>
      <c r="I1807" s="2" t="s">
        <v>20495</v>
      </c>
      <c r="J1807" s="2" t="s">
        <v>20496</v>
      </c>
      <c r="K1807" s="2" t="s">
        <v>25171</v>
      </c>
      <c r="L1807" s="2" t="s">
        <v>20497</v>
      </c>
      <c r="M1807" s="2" t="s">
        <v>20498</v>
      </c>
      <c r="N1807" s="2" t="s">
        <v>20499</v>
      </c>
      <c r="O1807" s="2" t="s">
        <v>20500</v>
      </c>
      <c r="P1807" s="2" t="s">
        <v>20488</v>
      </c>
    </row>
    <row r="1808" spans="1:16" ht="15" customHeight="1">
      <c r="A1808" s="1">
        <v>1807</v>
      </c>
      <c r="B1808" s="2" t="s">
        <v>20501</v>
      </c>
      <c r="C1808" s="2" t="s">
        <v>20502</v>
      </c>
      <c r="D1808" s="2" t="s">
        <v>20503</v>
      </c>
      <c r="E1808" s="2" t="s">
        <v>20504</v>
      </c>
      <c r="F1808" s="2" t="s">
        <v>20505</v>
      </c>
      <c r="G1808" s="2" t="s">
        <v>20506</v>
      </c>
      <c r="H1808" s="2" t="s">
        <v>20507</v>
      </c>
      <c r="I1808" s="2" t="s">
        <v>20508</v>
      </c>
      <c r="J1808" s="2" t="s">
        <v>20509</v>
      </c>
      <c r="K1808" s="2" t="s">
        <v>25172</v>
      </c>
      <c r="L1808" s="2" t="s">
        <v>20510</v>
      </c>
      <c r="M1808" s="2" t="s">
        <v>20511</v>
      </c>
      <c r="N1808" s="2" t="s">
        <v>20512</v>
      </c>
      <c r="O1808" s="2" t="s">
        <v>20513</v>
      </c>
      <c r="P1808" s="2" t="s">
        <v>20501</v>
      </c>
    </row>
    <row r="1809" spans="1:16" ht="15" customHeight="1">
      <c r="A1809" s="1">
        <v>1808</v>
      </c>
      <c r="B1809" s="2" t="s">
        <v>20514</v>
      </c>
      <c r="C1809" s="2" t="s">
        <v>20515</v>
      </c>
      <c r="D1809" s="2" t="s">
        <v>20516</v>
      </c>
      <c r="E1809" s="2" t="s">
        <v>20517</v>
      </c>
      <c r="F1809" s="2" t="s">
        <v>20518</v>
      </c>
      <c r="G1809" s="2" t="s">
        <v>20519</v>
      </c>
      <c r="H1809" s="2" t="s">
        <v>20520</v>
      </c>
      <c r="I1809" s="2" t="s">
        <v>20518</v>
      </c>
      <c r="J1809" s="2" t="s">
        <v>20521</v>
      </c>
      <c r="K1809" s="2" t="s">
        <v>25173</v>
      </c>
      <c r="L1809" s="2" t="s">
        <v>20514</v>
      </c>
      <c r="M1809" s="2" t="s">
        <v>20522</v>
      </c>
      <c r="N1809" s="2" t="s">
        <v>20514</v>
      </c>
      <c r="O1809" s="2" t="s">
        <v>20523</v>
      </c>
      <c r="P1809" s="2" t="s">
        <v>20514</v>
      </c>
    </row>
    <row r="1810" spans="1:16" ht="15" customHeight="1">
      <c r="A1810" s="1">
        <v>1809</v>
      </c>
      <c r="B1810" s="2" t="s">
        <v>20524</v>
      </c>
      <c r="C1810" s="2" t="s">
        <v>20525</v>
      </c>
      <c r="D1810" s="2" t="s">
        <v>20526</v>
      </c>
      <c r="E1810" s="2" t="s">
        <v>20527</v>
      </c>
      <c r="F1810" s="2" t="s">
        <v>20528</v>
      </c>
      <c r="G1810" s="2" t="s">
        <v>20529</v>
      </c>
      <c r="H1810" s="2" t="s">
        <v>20530</v>
      </c>
      <c r="I1810" s="2" t="s">
        <v>20531</v>
      </c>
      <c r="J1810" s="2" t="s">
        <v>20532</v>
      </c>
      <c r="K1810" s="2" t="s">
        <v>25174</v>
      </c>
      <c r="L1810" s="2" t="s">
        <v>20533</v>
      </c>
      <c r="M1810" s="2" t="s">
        <v>20534</v>
      </c>
      <c r="N1810" s="2" t="s">
        <v>20533</v>
      </c>
      <c r="O1810" s="2" t="s">
        <v>20535</v>
      </c>
      <c r="P1810" s="2" t="s">
        <v>20524</v>
      </c>
    </row>
    <row r="1811" spans="1:16" ht="15" customHeight="1">
      <c r="A1811" s="1">
        <v>1810</v>
      </c>
      <c r="B1811" s="2" t="s">
        <v>20536</v>
      </c>
      <c r="C1811" s="2" t="s">
        <v>20537</v>
      </c>
      <c r="D1811" s="2" t="s">
        <v>20538</v>
      </c>
      <c r="E1811" s="2" t="s">
        <v>20539</v>
      </c>
      <c r="F1811" s="2" t="s">
        <v>20540</v>
      </c>
      <c r="G1811" s="2" t="s">
        <v>20541</v>
      </c>
      <c r="H1811" s="2" t="s">
        <v>20542</v>
      </c>
      <c r="I1811" s="2" t="s">
        <v>20543</v>
      </c>
      <c r="J1811" s="2" t="s">
        <v>20544</v>
      </c>
      <c r="K1811" s="2" t="s">
        <v>25175</v>
      </c>
      <c r="L1811" s="2" t="s">
        <v>20536</v>
      </c>
      <c r="M1811" s="2" t="s">
        <v>20545</v>
      </c>
      <c r="N1811" s="2" t="s">
        <v>20536</v>
      </c>
      <c r="O1811" s="2" t="s">
        <v>20546</v>
      </c>
      <c r="P1811" s="2" t="s">
        <v>20536</v>
      </c>
    </row>
    <row r="1812" spans="1:16" ht="15" customHeight="1">
      <c r="A1812" s="1">
        <v>1811</v>
      </c>
      <c r="B1812" s="2" t="s">
        <v>25817</v>
      </c>
      <c r="C1812" s="2" t="s">
        <v>20547</v>
      </c>
      <c r="D1812" s="2" t="s">
        <v>22955</v>
      </c>
      <c r="E1812" s="2" t="s">
        <v>20548</v>
      </c>
      <c r="F1812" s="2" t="s">
        <v>20549</v>
      </c>
      <c r="G1812" s="2" t="s">
        <v>20550</v>
      </c>
      <c r="H1812" s="2" t="s">
        <v>20551</v>
      </c>
      <c r="I1812" s="2" t="s">
        <v>20552</v>
      </c>
      <c r="J1812" s="2" t="s">
        <v>20553</v>
      </c>
      <c r="K1812" s="2" t="s">
        <v>25176</v>
      </c>
      <c r="L1812" s="2" t="s">
        <v>20554</v>
      </c>
      <c r="M1812" s="2" t="s">
        <v>20555</v>
      </c>
      <c r="N1812" s="2" t="s">
        <v>20556</v>
      </c>
      <c r="O1812" s="2" t="s">
        <v>20557</v>
      </c>
      <c r="P1812" s="2" t="s">
        <v>25817</v>
      </c>
    </row>
    <row r="1813" spans="1:16" ht="15" customHeight="1">
      <c r="A1813" s="1">
        <v>1812</v>
      </c>
      <c r="B1813" s="2" t="s">
        <v>20558</v>
      </c>
      <c r="C1813" s="2" t="s">
        <v>20559</v>
      </c>
      <c r="D1813" s="2" t="s">
        <v>20560</v>
      </c>
      <c r="E1813" s="2" t="s">
        <v>20561</v>
      </c>
      <c r="F1813" s="2" t="s">
        <v>20562</v>
      </c>
      <c r="G1813" s="2" t="s">
        <v>20563</v>
      </c>
      <c r="H1813" s="2" t="s">
        <v>20564</v>
      </c>
      <c r="I1813" s="2" t="s">
        <v>20565</v>
      </c>
      <c r="J1813" s="2" t="s">
        <v>20566</v>
      </c>
      <c r="K1813" s="2" t="s">
        <v>25177</v>
      </c>
      <c r="L1813" s="2" t="s">
        <v>20567</v>
      </c>
      <c r="M1813" s="2" t="s">
        <v>20568</v>
      </c>
      <c r="N1813" s="2" t="s">
        <v>20569</v>
      </c>
      <c r="O1813" s="2" t="s">
        <v>20570</v>
      </c>
      <c r="P1813" s="2" t="s">
        <v>20558</v>
      </c>
    </row>
    <row r="1814" spans="1:16" ht="15" customHeight="1">
      <c r="A1814" s="1">
        <v>1813</v>
      </c>
      <c r="B1814" s="2" t="s">
        <v>20571</v>
      </c>
      <c r="C1814" s="2" t="s">
        <v>20572</v>
      </c>
      <c r="D1814" s="2" t="s">
        <v>20573</v>
      </c>
      <c r="E1814" s="2" t="s">
        <v>20574</v>
      </c>
      <c r="F1814" s="2" t="s">
        <v>20575</v>
      </c>
      <c r="G1814" s="2" t="s">
        <v>20576</v>
      </c>
      <c r="H1814" s="2" t="s">
        <v>20577</v>
      </c>
      <c r="I1814" s="2" t="s">
        <v>20578</v>
      </c>
      <c r="J1814" s="2" t="s">
        <v>20579</v>
      </c>
      <c r="K1814" s="2" t="s">
        <v>25178</v>
      </c>
      <c r="L1814" s="2" t="s">
        <v>20580</v>
      </c>
      <c r="M1814" s="2" t="s">
        <v>20581</v>
      </c>
      <c r="N1814" s="2" t="s">
        <v>20582</v>
      </c>
      <c r="O1814" s="2" t="s">
        <v>20583</v>
      </c>
      <c r="P1814" s="2" t="s">
        <v>20571</v>
      </c>
    </row>
    <row r="1815" spans="1:16" ht="15" customHeight="1">
      <c r="A1815" s="1">
        <v>1814</v>
      </c>
      <c r="B1815" s="2" t="s">
        <v>20584</v>
      </c>
      <c r="C1815" s="2" t="s">
        <v>20585</v>
      </c>
      <c r="D1815" s="2" t="s">
        <v>20586</v>
      </c>
      <c r="E1815" s="2" t="s">
        <v>20587</v>
      </c>
      <c r="F1815" s="2" t="s">
        <v>20588</v>
      </c>
      <c r="G1815" s="2" t="s">
        <v>20589</v>
      </c>
      <c r="H1815" s="2" t="s">
        <v>20590</v>
      </c>
      <c r="I1815" s="2" t="s">
        <v>20591</v>
      </c>
      <c r="J1815" s="2" t="s">
        <v>20592</v>
      </c>
      <c r="K1815" s="2" t="s">
        <v>25179</v>
      </c>
      <c r="L1815" s="2" t="s">
        <v>20593</v>
      </c>
      <c r="M1815" s="2" t="s">
        <v>20594</v>
      </c>
      <c r="N1815" s="2" t="s">
        <v>20595</v>
      </c>
      <c r="O1815" s="2" t="s">
        <v>20596</v>
      </c>
      <c r="P1815" s="2" t="s">
        <v>20584</v>
      </c>
    </row>
    <row r="1816" spans="1:16" ht="15" customHeight="1">
      <c r="A1816" s="1">
        <v>1815</v>
      </c>
      <c r="B1816" s="2" t="s">
        <v>20597</v>
      </c>
      <c r="C1816" s="2" t="s">
        <v>20598</v>
      </c>
      <c r="D1816" s="2" t="s">
        <v>20599</v>
      </c>
      <c r="E1816" s="2" t="s">
        <v>20600</v>
      </c>
      <c r="F1816" s="2" t="s">
        <v>20601</v>
      </c>
      <c r="G1816" s="2" t="s">
        <v>20602</v>
      </c>
      <c r="H1816" s="2" t="s">
        <v>20603</v>
      </c>
      <c r="I1816" s="2" t="s">
        <v>20604</v>
      </c>
      <c r="J1816" s="2" t="s">
        <v>20605</v>
      </c>
      <c r="K1816" s="2" t="s">
        <v>25180</v>
      </c>
      <c r="L1816" s="2" t="s">
        <v>20606</v>
      </c>
      <c r="M1816" s="2" t="s">
        <v>20607</v>
      </c>
      <c r="N1816" s="2" t="s">
        <v>20608</v>
      </c>
      <c r="O1816" s="2" t="s">
        <v>20609</v>
      </c>
      <c r="P1816" s="2" t="s">
        <v>20597</v>
      </c>
    </row>
    <row r="1817" spans="1:16" ht="15" customHeight="1">
      <c r="A1817" s="1">
        <v>1816</v>
      </c>
      <c r="B1817" s="2" t="s">
        <v>20610</v>
      </c>
      <c r="C1817" s="2" t="s">
        <v>20611</v>
      </c>
      <c r="D1817" s="2" t="s">
        <v>20612</v>
      </c>
      <c r="E1817" s="2" t="s">
        <v>20613</v>
      </c>
      <c r="F1817" s="2" t="s">
        <v>20614</v>
      </c>
      <c r="G1817" s="2" t="s">
        <v>20615</v>
      </c>
      <c r="H1817" s="2" t="s">
        <v>20616</v>
      </c>
      <c r="I1817" s="2" t="s">
        <v>20617</v>
      </c>
      <c r="J1817" s="2" t="s">
        <v>20618</v>
      </c>
      <c r="K1817" s="2" t="s">
        <v>25181</v>
      </c>
      <c r="L1817" s="2" t="s">
        <v>20619</v>
      </c>
      <c r="M1817" s="2" t="s">
        <v>20620</v>
      </c>
      <c r="N1817" s="2" t="s">
        <v>20621</v>
      </c>
      <c r="O1817" s="2" t="s">
        <v>20622</v>
      </c>
      <c r="P1817" s="2" t="s">
        <v>20610</v>
      </c>
    </row>
    <row r="1818" spans="1:16" ht="15" customHeight="1">
      <c r="A1818" s="1">
        <v>1817</v>
      </c>
      <c r="B1818" s="2" t="s">
        <v>20623</v>
      </c>
      <c r="C1818" s="2" t="s">
        <v>20624</v>
      </c>
      <c r="D1818" s="2" t="s">
        <v>20625</v>
      </c>
      <c r="E1818" s="2" t="s">
        <v>20626</v>
      </c>
      <c r="F1818" s="2" t="s">
        <v>20627</v>
      </c>
      <c r="G1818" s="2" t="s">
        <v>20628</v>
      </c>
      <c r="H1818" s="2" t="s">
        <v>20629</v>
      </c>
      <c r="I1818" s="2" t="s">
        <v>20630</v>
      </c>
      <c r="J1818" s="2" t="s">
        <v>20631</v>
      </c>
      <c r="K1818" s="2" t="s">
        <v>20632</v>
      </c>
      <c r="L1818" s="2" t="s">
        <v>20633</v>
      </c>
      <c r="M1818" s="2" t="s">
        <v>20634</v>
      </c>
      <c r="N1818" s="2" t="s">
        <v>20635</v>
      </c>
      <c r="O1818" s="2" t="s">
        <v>20636</v>
      </c>
      <c r="P1818" s="2" t="s">
        <v>20623</v>
      </c>
    </row>
    <row r="1819" spans="1:16" ht="15" customHeight="1">
      <c r="A1819" s="1">
        <v>1818</v>
      </c>
      <c r="B1819" s="2" t="s">
        <v>20637</v>
      </c>
      <c r="C1819" s="2" t="s">
        <v>20638</v>
      </c>
      <c r="D1819" s="2" t="s">
        <v>20639</v>
      </c>
      <c r="E1819" s="2" t="s">
        <v>20640</v>
      </c>
      <c r="F1819" s="2" t="s">
        <v>20641</v>
      </c>
      <c r="G1819" s="2" t="s">
        <v>20642</v>
      </c>
      <c r="H1819" s="2" t="s">
        <v>20643</v>
      </c>
      <c r="I1819" s="2" t="s">
        <v>20644</v>
      </c>
      <c r="J1819" s="2" t="s">
        <v>20645</v>
      </c>
      <c r="K1819" s="2" t="s">
        <v>25182</v>
      </c>
      <c r="L1819" s="2" t="s">
        <v>20646</v>
      </c>
      <c r="M1819" s="2" t="s">
        <v>20647</v>
      </c>
      <c r="N1819" s="2" t="s">
        <v>20648</v>
      </c>
      <c r="O1819" s="2" t="s">
        <v>20649</v>
      </c>
      <c r="P1819" s="2" t="s">
        <v>20637</v>
      </c>
    </row>
    <row r="1820" spans="1:16" ht="15" customHeight="1">
      <c r="A1820" s="1">
        <v>1819</v>
      </c>
      <c r="B1820" s="2" t="s">
        <v>20650</v>
      </c>
      <c r="C1820" s="2" t="s">
        <v>20651</v>
      </c>
      <c r="D1820" s="2" t="s">
        <v>20652</v>
      </c>
      <c r="E1820" s="2" t="s">
        <v>20653</v>
      </c>
      <c r="F1820" s="2" t="s">
        <v>20654</v>
      </c>
      <c r="G1820" s="2" t="s">
        <v>20655</v>
      </c>
      <c r="H1820" s="2" t="s">
        <v>20656</v>
      </c>
      <c r="I1820" s="2" t="s">
        <v>20657</v>
      </c>
      <c r="J1820" s="2" t="s">
        <v>20658</v>
      </c>
      <c r="K1820" s="2" t="s">
        <v>20659</v>
      </c>
      <c r="L1820" s="2" t="s">
        <v>20660</v>
      </c>
      <c r="M1820" s="2" t="s">
        <v>20661</v>
      </c>
      <c r="N1820" s="2" t="s">
        <v>20662</v>
      </c>
      <c r="O1820" s="2" t="s">
        <v>20663</v>
      </c>
      <c r="P1820" s="2" t="s">
        <v>20650</v>
      </c>
    </row>
    <row r="1821" spans="1:16" ht="15" customHeight="1">
      <c r="A1821" s="1">
        <v>1820</v>
      </c>
      <c r="B1821" s="2" t="s">
        <v>20664</v>
      </c>
      <c r="C1821" s="2" t="s">
        <v>20665</v>
      </c>
      <c r="D1821" s="2" t="s">
        <v>20666</v>
      </c>
      <c r="E1821" s="2" t="s">
        <v>20667</v>
      </c>
      <c r="F1821" s="2" t="s">
        <v>20668</v>
      </c>
      <c r="G1821" s="2" t="s">
        <v>20669</v>
      </c>
      <c r="H1821" s="2" t="s">
        <v>20670</v>
      </c>
      <c r="I1821" s="2" t="s">
        <v>20671</v>
      </c>
      <c r="J1821" s="2" t="s">
        <v>20672</v>
      </c>
      <c r="K1821" s="2" t="s">
        <v>25183</v>
      </c>
      <c r="L1821" s="2" t="s">
        <v>20673</v>
      </c>
      <c r="M1821" s="2" t="s">
        <v>20674</v>
      </c>
      <c r="N1821" s="2" t="s">
        <v>20675</v>
      </c>
      <c r="O1821" s="2" t="s">
        <v>20676</v>
      </c>
      <c r="P1821" s="2" t="s">
        <v>20664</v>
      </c>
    </row>
    <row r="1822" spans="1:16" ht="15" customHeight="1">
      <c r="A1822" s="1">
        <v>1821</v>
      </c>
      <c r="B1822" s="2" t="s">
        <v>20677</v>
      </c>
      <c r="C1822" s="2" t="s">
        <v>20678</v>
      </c>
      <c r="D1822" s="2" t="s">
        <v>20679</v>
      </c>
      <c r="E1822" s="2" t="s">
        <v>20680</v>
      </c>
      <c r="F1822" s="2" t="s">
        <v>20681</v>
      </c>
      <c r="G1822" s="2" t="s">
        <v>20682</v>
      </c>
      <c r="H1822" s="2" t="s">
        <v>20683</v>
      </c>
      <c r="I1822" s="2" t="s">
        <v>20684</v>
      </c>
      <c r="J1822" s="2" t="s">
        <v>20685</v>
      </c>
      <c r="K1822" s="2" t="s">
        <v>20686</v>
      </c>
      <c r="L1822" s="2" t="s">
        <v>20687</v>
      </c>
      <c r="M1822" s="2" t="s">
        <v>20688</v>
      </c>
      <c r="N1822" s="2" t="s">
        <v>20689</v>
      </c>
      <c r="O1822" s="2" t="s">
        <v>20690</v>
      </c>
      <c r="P1822" s="2" t="s">
        <v>20677</v>
      </c>
    </row>
    <row r="1823" spans="1:16" ht="15" customHeight="1">
      <c r="A1823" s="1">
        <v>1822</v>
      </c>
      <c r="B1823" s="2" t="s">
        <v>20691</v>
      </c>
      <c r="C1823" s="2" t="s">
        <v>20692</v>
      </c>
      <c r="D1823" s="2" t="s">
        <v>20693</v>
      </c>
      <c r="E1823" s="2" t="s">
        <v>20694</v>
      </c>
      <c r="F1823" s="2" t="s">
        <v>20695</v>
      </c>
      <c r="G1823" s="2" t="s">
        <v>20696</v>
      </c>
      <c r="H1823" s="2" t="s">
        <v>20697</v>
      </c>
      <c r="I1823" s="2" t="s">
        <v>20698</v>
      </c>
      <c r="J1823" s="2" t="s">
        <v>20699</v>
      </c>
      <c r="K1823" s="2" t="s">
        <v>20700</v>
      </c>
      <c r="L1823" s="2" t="s">
        <v>20701</v>
      </c>
      <c r="M1823" s="2" t="s">
        <v>20702</v>
      </c>
      <c r="N1823" s="2" t="s">
        <v>20703</v>
      </c>
      <c r="O1823" s="2" t="s">
        <v>20704</v>
      </c>
      <c r="P1823" s="2" t="s">
        <v>20691</v>
      </c>
    </row>
    <row r="1824" spans="1:16" ht="15" customHeight="1">
      <c r="A1824" s="1">
        <v>1823</v>
      </c>
      <c r="B1824" s="2" t="s">
        <v>20705</v>
      </c>
      <c r="C1824" s="2" t="s">
        <v>20706</v>
      </c>
      <c r="D1824" s="2" t="s">
        <v>20707</v>
      </c>
      <c r="E1824" s="2" t="s">
        <v>20708</v>
      </c>
      <c r="F1824" s="2" t="s">
        <v>20709</v>
      </c>
      <c r="G1824" s="2" t="s">
        <v>20710</v>
      </c>
      <c r="H1824" s="2" t="s">
        <v>20711</v>
      </c>
      <c r="I1824" s="2" t="s">
        <v>20712</v>
      </c>
      <c r="J1824" s="2" t="s">
        <v>20713</v>
      </c>
      <c r="K1824" s="2" t="s">
        <v>20714</v>
      </c>
      <c r="L1824" s="2" t="s">
        <v>20715</v>
      </c>
      <c r="M1824" s="2" t="s">
        <v>20716</v>
      </c>
      <c r="N1824" s="2" t="s">
        <v>20717</v>
      </c>
      <c r="O1824" s="2" t="s">
        <v>20718</v>
      </c>
      <c r="P1824" s="2" t="s">
        <v>20705</v>
      </c>
    </row>
    <row r="1825" spans="1:16" ht="15" customHeight="1">
      <c r="A1825" s="1">
        <v>1824</v>
      </c>
      <c r="B1825" s="2" t="s">
        <v>20719</v>
      </c>
      <c r="C1825" s="2" t="s">
        <v>20720</v>
      </c>
      <c r="D1825" s="2" t="s">
        <v>20721</v>
      </c>
      <c r="E1825" s="2" t="s">
        <v>20722</v>
      </c>
      <c r="F1825" s="2" t="s">
        <v>20723</v>
      </c>
      <c r="G1825" s="2" t="s">
        <v>20724</v>
      </c>
      <c r="H1825" s="2" t="s">
        <v>20725</v>
      </c>
      <c r="I1825" s="2" t="s">
        <v>20726</v>
      </c>
      <c r="J1825" s="2" t="s">
        <v>20727</v>
      </c>
      <c r="K1825" s="2" t="s">
        <v>20728</v>
      </c>
      <c r="L1825" s="2" t="s">
        <v>20729</v>
      </c>
      <c r="M1825" s="2" t="s">
        <v>20730</v>
      </c>
      <c r="N1825" s="2" t="s">
        <v>20731</v>
      </c>
      <c r="O1825" s="2" t="s">
        <v>20732</v>
      </c>
      <c r="P1825" s="2" t="s">
        <v>20719</v>
      </c>
    </row>
    <row r="1826" spans="1:16" ht="15" customHeight="1">
      <c r="A1826" s="1">
        <v>1825</v>
      </c>
      <c r="B1826" s="2" t="s">
        <v>20733</v>
      </c>
      <c r="C1826" s="2" t="s">
        <v>20678</v>
      </c>
      <c r="D1826" s="2" t="s">
        <v>20679</v>
      </c>
      <c r="E1826" s="2" t="s">
        <v>20680</v>
      </c>
      <c r="F1826" s="2" t="s">
        <v>20681</v>
      </c>
      <c r="G1826" s="2" t="s">
        <v>20734</v>
      </c>
      <c r="H1826" s="2" t="s">
        <v>20683</v>
      </c>
      <c r="I1826" s="2" t="s">
        <v>20684</v>
      </c>
      <c r="J1826" s="2" t="s">
        <v>20685</v>
      </c>
      <c r="K1826" s="2" t="s">
        <v>20686</v>
      </c>
      <c r="L1826" s="2" t="s">
        <v>20735</v>
      </c>
      <c r="M1826" s="2" t="s">
        <v>20688</v>
      </c>
      <c r="N1826" s="2" t="s">
        <v>20736</v>
      </c>
      <c r="O1826" s="2" t="s">
        <v>20690</v>
      </c>
      <c r="P1826" s="2" t="s">
        <v>20733</v>
      </c>
    </row>
    <row r="1827" spans="1:16" ht="15" customHeight="1">
      <c r="A1827" s="1">
        <v>1826</v>
      </c>
      <c r="B1827" s="2" t="s">
        <v>20737</v>
      </c>
      <c r="C1827" s="2" t="s">
        <v>20738</v>
      </c>
      <c r="D1827" s="2" t="s">
        <v>20739</v>
      </c>
      <c r="E1827" s="2" t="s">
        <v>20740</v>
      </c>
      <c r="F1827" s="2" t="s">
        <v>20741</v>
      </c>
      <c r="G1827" s="2" t="s">
        <v>20742</v>
      </c>
      <c r="H1827" s="2" t="s">
        <v>20743</v>
      </c>
      <c r="I1827" s="2" t="s">
        <v>20744</v>
      </c>
      <c r="J1827" s="2" t="s">
        <v>20745</v>
      </c>
      <c r="K1827" s="2" t="s">
        <v>20746</v>
      </c>
      <c r="L1827" s="2" t="s">
        <v>20747</v>
      </c>
      <c r="M1827" s="2" t="s">
        <v>20748</v>
      </c>
      <c r="N1827" s="2" t="s">
        <v>20749</v>
      </c>
      <c r="O1827" s="2" t="s">
        <v>20750</v>
      </c>
      <c r="P1827" s="2" t="s">
        <v>20737</v>
      </c>
    </row>
    <row r="1828" spans="1:16" ht="15" customHeight="1">
      <c r="A1828" s="1">
        <v>1827</v>
      </c>
      <c r="B1828" s="2" t="s">
        <v>20751</v>
      </c>
      <c r="C1828" s="2" t="s">
        <v>20752</v>
      </c>
      <c r="D1828" s="2" t="s">
        <v>20753</v>
      </c>
      <c r="E1828" s="2" t="s">
        <v>20754</v>
      </c>
      <c r="F1828" s="2" t="s">
        <v>20755</v>
      </c>
      <c r="G1828" s="2" t="s">
        <v>20756</v>
      </c>
      <c r="H1828" s="2" t="s">
        <v>20757</v>
      </c>
      <c r="I1828" s="2" t="s">
        <v>20758</v>
      </c>
      <c r="J1828" s="2" t="s">
        <v>20759</v>
      </c>
      <c r="K1828" s="2" t="s">
        <v>20760</v>
      </c>
      <c r="L1828" s="2" t="s">
        <v>20761</v>
      </c>
      <c r="M1828" s="2" t="s">
        <v>20762</v>
      </c>
      <c r="N1828" s="2" t="s">
        <v>20763</v>
      </c>
      <c r="O1828" s="2" t="s">
        <v>20764</v>
      </c>
      <c r="P1828" s="2" t="s">
        <v>20751</v>
      </c>
    </row>
    <row r="1829" spans="1:16" ht="15" customHeight="1">
      <c r="A1829" s="1">
        <v>1828</v>
      </c>
      <c r="B1829" s="2" t="s">
        <v>22956</v>
      </c>
      <c r="C1829" s="2" t="s">
        <v>20766</v>
      </c>
      <c r="D1829" s="2" t="s">
        <v>20767</v>
      </c>
      <c r="E1829" s="2" t="s">
        <v>25818</v>
      </c>
      <c r="F1829" s="2" t="s">
        <v>20769</v>
      </c>
      <c r="G1829" s="2" t="s">
        <v>20770</v>
      </c>
      <c r="H1829" s="2" t="s">
        <v>20769</v>
      </c>
      <c r="I1829" s="2" t="s">
        <v>20769</v>
      </c>
      <c r="J1829" s="2" t="s">
        <v>20768</v>
      </c>
      <c r="K1829" s="2" t="s">
        <v>20769</v>
      </c>
      <c r="L1829" s="2" t="s">
        <v>20765</v>
      </c>
      <c r="M1829" s="2" t="s">
        <v>20765</v>
      </c>
      <c r="N1829" s="2" t="s">
        <v>20771</v>
      </c>
      <c r="O1829" s="2" t="s">
        <v>20769</v>
      </c>
      <c r="P1829" s="2" t="s">
        <v>20765</v>
      </c>
    </row>
    <row r="1830" spans="1:16" ht="15" customHeight="1">
      <c r="A1830" s="1">
        <v>1829</v>
      </c>
      <c r="B1830" s="2" t="s">
        <v>22957</v>
      </c>
      <c r="C1830" s="2" t="s">
        <v>20773</v>
      </c>
      <c r="D1830" s="2" t="s">
        <v>20774</v>
      </c>
      <c r="E1830" s="2" t="s">
        <v>25819</v>
      </c>
      <c r="F1830" s="2" t="s">
        <v>20775</v>
      </c>
      <c r="G1830" s="2" t="s">
        <v>20776</v>
      </c>
      <c r="H1830" s="2" t="s">
        <v>20777</v>
      </c>
      <c r="I1830" s="2" t="s">
        <v>20778</v>
      </c>
      <c r="J1830" s="2" t="s">
        <v>20779</v>
      </c>
      <c r="K1830" s="2" t="s">
        <v>20780</v>
      </c>
      <c r="L1830" s="2" t="s">
        <v>20781</v>
      </c>
      <c r="M1830" s="2" t="s">
        <v>20782</v>
      </c>
      <c r="N1830" s="2" t="s">
        <v>20783</v>
      </c>
      <c r="O1830" s="2" t="s">
        <v>20784</v>
      </c>
      <c r="P1830" s="2" t="s">
        <v>20772</v>
      </c>
    </row>
    <row r="1831" spans="1:16" ht="15" customHeight="1">
      <c r="A1831" s="1">
        <v>1830</v>
      </c>
      <c r="B1831" s="2" t="s">
        <v>22958</v>
      </c>
      <c r="C1831" s="2" t="s">
        <v>20786</v>
      </c>
      <c r="D1831" s="2" t="s">
        <v>20787</v>
      </c>
      <c r="E1831" s="2" t="s">
        <v>25820</v>
      </c>
      <c r="F1831" s="2" t="s">
        <v>20788</v>
      </c>
      <c r="G1831" s="2" t="s">
        <v>20789</v>
      </c>
      <c r="H1831" s="2" t="s">
        <v>20790</v>
      </c>
      <c r="I1831" s="2" t="s">
        <v>20791</v>
      </c>
      <c r="J1831" s="2" t="s">
        <v>20792</v>
      </c>
      <c r="K1831" s="2" t="s">
        <v>20793</v>
      </c>
      <c r="L1831" s="2" t="s">
        <v>20794</v>
      </c>
      <c r="M1831" s="2" t="s">
        <v>20795</v>
      </c>
      <c r="N1831" s="2" t="s">
        <v>20796</v>
      </c>
      <c r="O1831" s="2" t="s">
        <v>20797</v>
      </c>
      <c r="P1831" s="2" t="s">
        <v>20785</v>
      </c>
    </row>
    <row r="1832" spans="1:16" ht="15" customHeight="1">
      <c r="A1832" s="1">
        <v>1831</v>
      </c>
      <c r="B1832" s="2" t="s">
        <v>20798</v>
      </c>
      <c r="C1832" s="2" t="s">
        <v>20799</v>
      </c>
      <c r="D1832" s="2" t="s">
        <v>20800</v>
      </c>
      <c r="E1832" s="2" t="s">
        <v>20801</v>
      </c>
      <c r="F1832" s="2" t="s">
        <v>20802</v>
      </c>
      <c r="G1832" s="2" t="s">
        <v>25184</v>
      </c>
      <c r="H1832" s="2" t="s">
        <v>20803</v>
      </c>
      <c r="I1832" s="2" t="s">
        <v>20804</v>
      </c>
      <c r="J1832" s="2" t="s">
        <v>20805</v>
      </c>
      <c r="K1832" s="2" t="s">
        <v>25185</v>
      </c>
      <c r="L1832" s="2" t="s">
        <v>20806</v>
      </c>
      <c r="M1832" s="2" t="s">
        <v>20807</v>
      </c>
      <c r="N1832" s="2" t="s">
        <v>20808</v>
      </c>
      <c r="O1832" s="2" t="s">
        <v>20809</v>
      </c>
      <c r="P1832" s="2" t="s">
        <v>20798</v>
      </c>
    </row>
    <row r="1833" spans="1:16" ht="15" customHeight="1">
      <c r="A1833" s="1">
        <v>1832</v>
      </c>
      <c r="B1833" s="2" t="s">
        <v>20810</v>
      </c>
      <c r="C1833" s="2" t="s">
        <v>20811</v>
      </c>
      <c r="D1833" s="2" t="s">
        <v>20812</v>
      </c>
      <c r="E1833" s="2" t="s">
        <v>20813</v>
      </c>
      <c r="F1833" s="2" t="s">
        <v>20814</v>
      </c>
      <c r="G1833" s="2" t="s">
        <v>20815</v>
      </c>
      <c r="H1833" s="2" t="s">
        <v>20816</v>
      </c>
      <c r="I1833" s="2" t="s">
        <v>20817</v>
      </c>
      <c r="J1833" s="2" t="s">
        <v>20818</v>
      </c>
      <c r="K1833" s="2" t="s">
        <v>25186</v>
      </c>
      <c r="L1833" s="2" t="s">
        <v>20819</v>
      </c>
      <c r="M1833" s="2" t="s">
        <v>20820</v>
      </c>
      <c r="N1833" s="2" t="s">
        <v>20821</v>
      </c>
      <c r="O1833" s="2" t="s">
        <v>20822</v>
      </c>
      <c r="P1833" s="2" t="s">
        <v>20810</v>
      </c>
    </row>
    <row r="1834" spans="1:16" ht="15" customHeight="1">
      <c r="A1834" s="1">
        <v>1833</v>
      </c>
      <c r="B1834" s="2" t="s">
        <v>20823</v>
      </c>
      <c r="C1834" s="2" t="s">
        <v>20824</v>
      </c>
      <c r="D1834" s="2" t="s">
        <v>20825</v>
      </c>
      <c r="E1834" s="2" t="s">
        <v>20826</v>
      </c>
      <c r="F1834" s="2" t="s">
        <v>20827</v>
      </c>
      <c r="G1834" s="2" t="s">
        <v>20828</v>
      </c>
      <c r="H1834" s="2" t="s">
        <v>20829</v>
      </c>
      <c r="I1834" s="2" t="s">
        <v>20830</v>
      </c>
      <c r="J1834" s="2" t="s">
        <v>20831</v>
      </c>
      <c r="K1834" s="2" t="s">
        <v>25187</v>
      </c>
      <c r="L1834" s="2" t="s">
        <v>20832</v>
      </c>
      <c r="M1834" s="2" t="s">
        <v>20833</v>
      </c>
      <c r="N1834" s="2" t="s">
        <v>20833</v>
      </c>
      <c r="O1834" s="2" t="s">
        <v>20834</v>
      </c>
      <c r="P1834" s="2" t="s">
        <v>20823</v>
      </c>
    </row>
    <row r="1835" spans="1:16" ht="15" customHeight="1">
      <c r="A1835" s="1">
        <v>1834</v>
      </c>
      <c r="B1835" s="2" t="s">
        <v>20835</v>
      </c>
      <c r="C1835" s="2" t="s">
        <v>20836</v>
      </c>
      <c r="D1835" s="2" t="s">
        <v>20837</v>
      </c>
      <c r="E1835" s="2" t="s">
        <v>20838</v>
      </c>
      <c r="F1835" s="2" t="s">
        <v>20839</v>
      </c>
      <c r="G1835" s="2" t="s">
        <v>20840</v>
      </c>
      <c r="H1835" s="2" t="s">
        <v>20841</v>
      </c>
      <c r="I1835" s="2" t="s">
        <v>20842</v>
      </c>
      <c r="J1835" s="2" t="s">
        <v>20843</v>
      </c>
      <c r="K1835" s="2" t="s">
        <v>25188</v>
      </c>
      <c r="L1835" s="2" t="s">
        <v>20844</v>
      </c>
      <c r="M1835" s="2" t="s">
        <v>20845</v>
      </c>
      <c r="N1835" s="2" t="s">
        <v>20846</v>
      </c>
      <c r="O1835" s="2" t="s">
        <v>20847</v>
      </c>
      <c r="P1835" s="2" t="s">
        <v>20835</v>
      </c>
    </row>
    <row r="1836" spans="1:16" ht="15" customHeight="1">
      <c r="A1836" s="1">
        <v>1835</v>
      </c>
      <c r="B1836" s="2" t="s">
        <v>20848</v>
      </c>
      <c r="C1836" s="2" t="s">
        <v>20849</v>
      </c>
      <c r="D1836" s="2" t="s">
        <v>20850</v>
      </c>
      <c r="E1836" s="2" t="s">
        <v>20851</v>
      </c>
      <c r="F1836" s="2" t="s">
        <v>20852</v>
      </c>
      <c r="G1836" s="2" t="s">
        <v>20853</v>
      </c>
      <c r="H1836" s="2" t="s">
        <v>20854</v>
      </c>
      <c r="I1836" s="2" t="s">
        <v>20855</v>
      </c>
      <c r="J1836" s="2" t="s">
        <v>20856</v>
      </c>
      <c r="K1836" s="2" t="s">
        <v>25189</v>
      </c>
      <c r="L1836" s="2" t="s">
        <v>20857</v>
      </c>
      <c r="M1836" s="2" t="s">
        <v>20858</v>
      </c>
      <c r="N1836" s="2" t="s">
        <v>10907</v>
      </c>
      <c r="O1836" s="2" t="s">
        <v>20859</v>
      </c>
      <c r="P1836" s="2" t="s">
        <v>20848</v>
      </c>
    </row>
    <row r="1837" spans="1:16" ht="15" customHeight="1">
      <c r="A1837" s="1">
        <v>1836</v>
      </c>
      <c r="B1837" s="2" t="s">
        <v>20860</v>
      </c>
      <c r="C1837" s="2" t="s">
        <v>20861</v>
      </c>
      <c r="D1837" s="2" t="s">
        <v>20862</v>
      </c>
      <c r="E1837" s="2" t="s">
        <v>20863</v>
      </c>
      <c r="F1837" s="2" t="s">
        <v>20864</v>
      </c>
      <c r="G1837" s="2" t="s">
        <v>20865</v>
      </c>
      <c r="H1837" s="2" t="s">
        <v>20866</v>
      </c>
      <c r="I1837" s="2" t="s">
        <v>20867</v>
      </c>
      <c r="J1837" s="2" t="s">
        <v>20868</v>
      </c>
      <c r="K1837" s="2" t="s">
        <v>25190</v>
      </c>
      <c r="L1837" s="2" t="s">
        <v>25191</v>
      </c>
      <c r="M1837" s="2" t="s">
        <v>20869</v>
      </c>
      <c r="N1837" s="2" t="s">
        <v>20870</v>
      </c>
      <c r="O1837" s="2" t="s">
        <v>20871</v>
      </c>
      <c r="P1837" s="2" t="s">
        <v>20860</v>
      </c>
    </row>
    <row r="1838" spans="1:16" ht="15" customHeight="1">
      <c r="A1838" s="1">
        <v>1837</v>
      </c>
      <c r="B1838" s="2" t="s">
        <v>20872</v>
      </c>
      <c r="C1838" s="2" t="s">
        <v>20873</v>
      </c>
      <c r="D1838" s="2" t="s">
        <v>20873</v>
      </c>
      <c r="E1838" s="2" t="s">
        <v>20874</v>
      </c>
      <c r="F1838" s="2" t="s">
        <v>10712</v>
      </c>
      <c r="G1838" s="2" t="s">
        <v>10710</v>
      </c>
      <c r="H1838" s="2" t="s">
        <v>20875</v>
      </c>
      <c r="I1838" s="2" t="s">
        <v>10712</v>
      </c>
      <c r="J1838" s="2" t="s">
        <v>20876</v>
      </c>
      <c r="K1838" s="2" t="s">
        <v>25192</v>
      </c>
      <c r="L1838" s="2" t="s">
        <v>20877</v>
      </c>
      <c r="M1838" s="2" t="s">
        <v>10706</v>
      </c>
      <c r="N1838" s="2" t="s">
        <v>10706</v>
      </c>
      <c r="O1838" s="2" t="s">
        <v>20878</v>
      </c>
      <c r="P1838" s="2" t="s">
        <v>20872</v>
      </c>
    </row>
    <row r="1839" spans="1:16" ht="15" customHeight="1">
      <c r="A1839" s="1">
        <v>1838</v>
      </c>
      <c r="B1839" s="2" t="s">
        <v>20879</v>
      </c>
      <c r="C1839" s="2" t="s">
        <v>20880</v>
      </c>
      <c r="D1839" s="2" t="s">
        <v>20881</v>
      </c>
      <c r="E1839" s="2" t="s">
        <v>20882</v>
      </c>
      <c r="F1839" s="2" t="s">
        <v>20883</v>
      </c>
      <c r="G1839" s="2" t="s">
        <v>20879</v>
      </c>
      <c r="H1839" s="2" t="s">
        <v>20884</v>
      </c>
      <c r="I1839" s="2" t="s">
        <v>20885</v>
      </c>
      <c r="J1839" s="2" t="s">
        <v>20886</v>
      </c>
      <c r="K1839" s="2" t="s">
        <v>20887</v>
      </c>
      <c r="L1839" s="2" t="s">
        <v>20888</v>
      </c>
      <c r="M1839" s="2" t="s">
        <v>20889</v>
      </c>
      <c r="N1839" s="2" t="s">
        <v>20890</v>
      </c>
      <c r="O1839" s="2" t="s">
        <v>20891</v>
      </c>
      <c r="P1839" s="2" t="s">
        <v>20879</v>
      </c>
    </row>
    <row r="1840" spans="1:16" ht="15" customHeight="1">
      <c r="A1840" s="1">
        <v>1839</v>
      </c>
      <c r="B1840" s="2" t="s">
        <v>20892</v>
      </c>
      <c r="C1840" s="2" t="s">
        <v>7173</v>
      </c>
      <c r="D1840" s="2" t="s">
        <v>20893</v>
      </c>
      <c r="E1840" s="2" t="s">
        <v>20874</v>
      </c>
      <c r="F1840" s="2" t="s">
        <v>20894</v>
      </c>
      <c r="G1840" s="2" t="s">
        <v>20895</v>
      </c>
      <c r="H1840" s="2" t="s">
        <v>20896</v>
      </c>
      <c r="I1840" s="2" t="s">
        <v>20897</v>
      </c>
      <c r="J1840" s="2" t="s">
        <v>20876</v>
      </c>
      <c r="K1840" s="2" t="s">
        <v>25192</v>
      </c>
      <c r="L1840" s="2" t="s">
        <v>20898</v>
      </c>
      <c r="M1840" s="2" t="s">
        <v>20899</v>
      </c>
      <c r="N1840" s="2" t="s">
        <v>20900</v>
      </c>
      <c r="O1840" s="2" t="s">
        <v>20901</v>
      </c>
      <c r="P1840" s="2" t="s">
        <v>20892</v>
      </c>
    </row>
    <row r="1841" spans="1:16" ht="15" customHeight="1">
      <c r="A1841" s="1">
        <v>1840</v>
      </c>
      <c r="B1841" s="2" t="s">
        <v>20902</v>
      </c>
      <c r="C1841" s="2" t="s">
        <v>20903</v>
      </c>
      <c r="D1841" s="2" t="s">
        <v>20904</v>
      </c>
      <c r="E1841" s="2" t="s">
        <v>20905</v>
      </c>
      <c r="F1841" s="2" t="s">
        <v>20906</v>
      </c>
      <c r="G1841" s="2" t="s">
        <v>20907</v>
      </c>
      <c r="H1841" s="2" t="s">
        <v>20908</v>
      </c>
      <c r="I1841" s="2" t="s">
        <v>20909</v>
      </c>
      <c r="J1841" s="2" t="s">
        <v>20910</v>
      </c>
      <c r="K1841" s="2" t="s">
        <v>20911</v>
      </c>
      <c r="L1841" s="2" t="s">
        <v>20912</v>
      </c>
      <c r="M1841" s="2" t="s">
        <v>20913</v>
      </c>
      <c r="N1841" s="2" t="s">
        <v>20914</v>
      </c>
      <c r="O1841" s="2" t="s">
        <v>20915</v>
      </c>
      <c r="P1841" s="2" t="s">
        <v>20902</v>
      </c>
    </row>
    <row r="1842" spans="1:16" ht="15" customHeight="1">
      <c r="A1842" s="1">
        <v>1841</v>
      </c>
      <c r="B1842" s="2" t="s">
        <v>20916</v>
      </c>
      <c r="C1842" s="2" t="s">
        <v>20917</v>
      </c>
      <c r="D1842" s="2" t="s">
        <v>20918</v>
      </c>
      <c r="E1842" s="2" t="s">
        <v>20919</v>
      </c>
      <c r="F1842" s="2" t="s">
        <v>20920</v>
      </c>
      <c r="G1842" s="2" t="s">
        <v>20921</v>
      </c>
      <c r="H1842" s="2" t="s">
        <v>20922</v>
      </c>
      <c r="I1842" s="2" t="s">
        <v>20923</v>
      </c>
      <c r="J1842" s="2" t="s">
        <v>20924</v>
      </c>
      <c r="K1842" s="2" t="s">
        <v>20925</v>
      </c>
      <c r="L1842" s="2" t="s">
        <v>20926</v>
      </c>
      <c r="M1842" s="2" t="s">
        <v>20927</v>
      </c>
      <c r="N1842" s="2" t="s">
        <v>20928</v>
      </c>
      <c r="O1842" s="2" t="s">
        <v>20929</v>
      </c>
      <c r="P1842" s="2" t="s">
        <v>20916</v>
      </c>
    </row>
    <row r="1843" spans="1:16" ht="15" customHeight="1">
      <c r="A1843" s="1">
        <v>1842</v>
      </c>
      <c r="B1843" s="2" t="s">
        <v>20930</v>
      </c>
      <c r="C1843" s="2" t="s">
        <v>20931</v>
      </c>
      <c r="D1843" s="2" t="s">
        <v>20932</v>
      </c>
      <c r="E1843" s="2" t="s">
        <v>20933</v>
      </c>
      <c r="F1843" s="2" t="s">
        <v>20934</v>
      </c>
      <c r="G1843" s="2" t="s">
        <v>20935</v>
      </c>
      <c r="H1843" s="2" t="s">
        <v>20936</v>
      </c>
      <c r="I1843" s="2" t="s">
        <v>20937</v>
      </c>
      <c r="J1843" s="2" t="s">
        <v>20938</v>
      </c>
      <c r="K1843" s="2" t="s">
        <v>20939</v>
      </c>
      <c r="L1843" s="2" t="s">
        <v>20940</v>
      </c>
      <c r="M1843" s="2" t="s">
        <v>20941</v>
      </c>
      <c r="N1843" s="2" t="s">
        <v>20942</v>
      </c>
      <c r="O1843" s="2" t="s">
        <v>20943</v>
      </c>
      <c r="P1843" s="2" t="s">
        <v>20930</v>
      </c>
    </row>
    <row r="1844" spans="1:16" ht="15" customHeight="1">
      <c r="A1844" s="1">
        <v>1843</v>
      </c>
      <c r="B1844" s="2" t="s">
        <v>20944</v>
      </c>
      <c r="C1844" s="2" t="s">
        <v>20945</v>
      </c>
      <c r="D1844" s="2" t="s">
        <v>20946</v>
      </c>
      <c r="E1844" s="2" t="s">
        <v>20947</v>
      </c>
      <c r="F1844" s="2" t="s">
        <v>20948</v>
      </c>
      <c r="G1844" s="2" t="s">
        <v>20949</v>
      </c>
      <c r="H1844" s="2" t="s">
        <v>20950</v>
      </c>
      <c r="I1844" s="2" t="s">
        <v>20951</v>
      </c>
      <c r="J1844" s="2" t="s">
        <v>20952</v>
      </c>
      <c r="K1844" s="2" t="s">
        <v>20953</v>
      </c>
      <c r="L1844" s="2" t="s">
        <v>20954</v>
      </c>
      <c r="M1844" s="2" t="s">
        <v>20955</v>
      </c>
      <c r="N1844" s="2" t="s">
        <v>20956</v>
      </c>
      <c r="O1844" s="2" t="s">
        <v>20957</v>
      </c>
      <c r="P1844" s="2" t="s">
        <v>20944</v>
      </c>
    </row>
    <row r="1845" spans="1:16" ht="15" customHeight="1">
      <c r="A1845" s="1">
        <v>1844</v>
      </c>
      <c r="B1845" s="2" t="s">
        <v>20958</v>
      </c>
      <c r="C1845" s="2" t="s">
        <v>20958</v>
      </c>
      <c r="D1845" s="2" t="s">
        <v>20959</v>
      </c>
      <c r="E1845" s="2" t="s">
        <v>20960</v>
      </c>
      <c r="F1845" s="2" t="s">
        <v>22959</v>
      </c>
      <c r="G1845" s="2" t="s">
        <v>20958</v>
      </c>
      <c r="H1845" s="2" t="s">
        <v>20961</v>
      </c>
      <c r="I1845" s="2" t="s">
        <v>20962</v>
      </c>
      <c r="J1845" s="2" t="s">
        <v>20963</v>
      </c>
      <c r="K1845" s="2" t="s">
        <v>25193</v>
      </c>
      <c r="L1845" s="2" t="s">
        <v>20958</v>
      </c>
      <c r="M1845" s="2" t="s">
        <v>20958</v>
      </c>
      <c r="N1845" s="2" t="s">
        <v>20958</v>
      </c>
      <c r="O1845" s="2" t="s">
        <v>20964</v>
      </c>
      <c r="P1845" s="2" t="s">
        <v>20958</v>
      </c>
    </row>
    <row r="1846" spans="1:16" ht="15" customHeight="1">
      <c r="A1846" s="1">
        <v>1845</v>
      </c>
      <c r="B1846" s="2" t="s">
        <v>20965</v>
      </c>
      <c r="C1846" s="2" t="s">
        <v>20965</v>
      </c>
      <c r="D1846" s="2" t="s">
        <v>20966</v>
      </c>
      <c r="E1846" s="2" t="s">
        <v>20967</v>
      </c>
      <c r="F1846" s="2" t="s">
        <v>22960</v>
      </c>
      <c r="G1846" s="2" t="s">
        <v>20965</v>
      </c>
      <c r="H1846" s="2" t="s">
        <v>20969</v>
      </c>
      <c r="I1846" s="2" t="s">
        <v>20968</v>
      </c>
      <c r="J1846" s="2" t="s">
        <v>20970</v>
      </c>
      <c r="K1846" s="2" t="s">
        <v>20971</v>
      </c>
      <c r="L1846" s="2" t="s">
        <v>20965</v>
      </c>
      <c r="M1846" s="2" t="s">
        <v>20965</v>
      </c>
      <c r="N1846" s="2" t="s">
        <v>20965</v>
      </c>
      <c r="O1846" s="2" t="s">
        <v>20972</v>
      </c>
      <c r="P1846" s="2" t="s">
        <v>20965</v>
      </c>
    </row>
    <row r="1847" spans="1:16" ht="15" customHeight="1">
      <c r="A1847" s="1">
        <v>1846</v>
      </c>
      <c r="B1847" s="2" t="s">
        <v>20973</v>
      </c>
      <c r="C1847" s="2" t="s">
        <v>20973</v>
      </c>
      <c r="D1847" s="2" t="s">
        <v>20974</v>
      </c>
      <c r="E1847" s="2" t="s">
        <v>20975</v>
      </c>
      <c r="F1847" s="2" t="s">
        <v>22961</v>
      </c>
      <c r="G1847" s="2" t="s">
        <v>20973</v>
      </c>
      <c r="H1847" s="2" t="s">
        <v>20976</v>
      </c>
      <c r="I1847" s="2" t="s">
        <v>20977</v>
      </c>
      <c r="J1847" s="2" t="s">
        <v>20978</v>
      </c>
      <c r="K1847" s="2" t="s">
        <v>25194</v>
      </c>
      <c r="L1847" s="2" t="s">
        <v>20973</v>
      </c>
      <c r="M1847" s="2" t="s">
        <v>20973</v>
      </c>
      <c r="N1847" s="2" t="s">
        <v>20973</v>
      </c>
      <c r="O1847" s="2" t="s">
        <v>20979</v>
      </c>
      <c r="P1847" s="2" t="s">
        <v>20973</v>
      </c>
    </row>
    <row r="1848" spans="1:16" ht="15" customHeight="1">
      <c r="A1848" s="1">
        <v>1847</v>
      </c>
      <c r="B1848" s="2" t="s">
        <v>20980</v>
      </c>
      <c r="C1848" s="2" t="s">
        <v>20980</v>
      </c>
      <c r="D1848" s="2" t="s">
        <v>20981</v>
      </c>
      <c r="E1848" s="2" t="s">
        <v>20982</v>
      </c>
      <c r="F1848" s="2" t="s">
        <v>22962</v>
      </c>
      <c r="G1848" s="2" t="s">
        <v>20980</v>
      </c>
      <c r="H1848" s="2" t="s">
        <v>20983</v>
      </c>
      <c r="I1848" s="2" t="s">
        <v>20984</v>
      </c>
      <c r="J1848" s="2" t="s">
        <v>20985</v>
      </c>
      <c r="K1848" s="2" t="s">
        <v>25195</v>
      </c>
      <c r="L1848" s="2" t="s">
        <v>20980</v>
      </c>
      <c r="M1848" s="2" t="s">
        <v>20980</v>
      </c>
      <c r="N1848" s="2" t="s">
        <v>20980</v>
      </c>
      <c r="O1848" s="2" t="s">
        <v>20986</v>
      </c>
      <c r="P1848" s="2" t="s">
        <v>20980</v>
      </c>
    </row>
    <row r="1849" spans="1:16" ht="15" customHeight="1">
      <c r="A1849" s="1">
        <v>1848</v>
      </c>
      <c r="B1849" s="2" t="s">
        <v>20987</v>
      </c>
      <c r="C1849" s="2" t="s">
        <v>20987</v>
      </c>
      <c r="D1849" s="2" t="s">
        <v>20987</v>
      </c>
      <c r="E1849" s="2" t="s">
        <v>20987</v>
      </c>
      <c r="F1849" s="2" t="s">
        <v>20987</v>
      </c>
      <c r="G1849" s="2" t="s">
        <v>20987</v>
      </c>
      <c r="H1849" s="2" t="s">
        <v>20987</v>
      </c>
      <c r="I1849" s="2" t="s">
        <v>20988</v>
      </c>
      <c r="J1849" s="2" t="s">
        <v>20987</v>
      </c>
      <c r="K1849" s="2" t="s">
        <v>20987</v>
      </c>
      <c r="L1849" s="2" t="s">
        <v>20987</v>
      </c>
      <c r="M1849" s="2" t="s">
        <v>20987</v>
      </c>
      <c r="N1849" s="2" t="s">
        <v>20987</v>
      </c>
      <c r="O1849" s="2" t="s">
        <v>20987</v>
      </c>
      <c r="P1849" s="2" t="s">
        <v>20987</v>
      </c>
    </row>
    <row r="1850" spans="1:16" ht="15" customHeight="1">
      <c r="A1850" s="1">
        <v>1849</v>
      </c>
      <c r="B1850" s="2" t="s">
        <v>20989</v>
      </c>
      <c r="C1850" s="2" t="s">
        <v>20990</v>
      </c>
      <c r="D1850" s="2" t="s">
        <v>20991</v>
      </c>
      <c r="E1850" s="2" t="s">
        <v>20992</v>
      </c>
      <c r="F1850" s="2" t="s">
        <v>20993</v>
      </c>
      <c r="G1850" s="2" t="s">
        <v>20994</v>
      </c>
      <c r="H1850" s="2" t="s">
        <v>20995</v>
      </c>
      <c r="I1850" s="2" t="s">
        <v>20996</v>
      </c>
      <c r="J1850" s="2" t="s">
        <v>20997</v>
      </c>
      <c r="K1850" s="2" t="s">
        <v>20994</v>
      </c>
      <c r="L1850" s="2" t="s">
        <v>20998</v>
      </c>
      <c r="M1850" s="2" t="s">
        <v>20999</v>
      </c>
      <c r="N1850" s="2" t="s">
        <v>21000</v>
      </c>
      <c r="O1850" s="2" t="s">
        <v>21001</v>
      </c>
      <c r="P1850" s="2" t="s">
        <v>20989</v>
      </c>
    </row>
    <row r="1851" spans="1:16" ht="15" customHeight="1">
      <c r="A1851" s="1">
        <v>1850</v>
      </c>
      <c r="B1851" s="2" t="s">
        <v>21002</v>
      </c>
      <c r="C1851" s="2" t="s">
        <v>21003</v>
      </c>
      <c r="D1851" s="2" t="s">
        <v>21004</v>
      </c>
      <c r="E1851" s="2" t="s">
        <v>21005</v>
      </c>
      <c r="F1851" s="2" t="s">
        <v>21006</v>
      </c>
      <c r="G1851" s="2" t="s">
        <v>21007</v>
      </c>
      <c r="H1851" s="2" t="s">
        <v>21008</v>
      </c>
      <c r="I1851" s="2" t="s">
        <v>21009</v>
      </c>
      <c r="J1851" s="2" t="s">
        <v>21010</v>
      </c>
      <c r="K1851" s="2" t="s">
        <v>21011</v>
      </c>
      <c r="L1851" s="2" t="s">
        <v>21012</v>
      </c>
      <c r="M1851" s="2" t="s">
        <v>21013</v>
      </c>
      <c r="N1851" s="2" t="s">
        <v>21014</v>
      </c>
      <c r="O1851" s="2" t="s">
        <v>21015</v>
      </c>
      <c r="P1851" s="2" t="s">
        <v>21002</v>
      </c>
    </row>
    <row r="1852" spans="1:16" ht="15" customHeight="1">
      <c r="A1852" s="1">
        <v>1851</v>
      </c>
      <c r="B1852" s="2" t="s">
        <v>21016</v>
      </c>
      <c r="C1852" s="2" t="s">
        <v>21017</v>
      </c>
      <c r="D1852" s="2" t="s">
        <v>21018</v>
      </c>
      <c r="E1852" s="2" t="s">
        <v>21019</v>
      </c>
      <c r="F1852" s="2" t="s">
        <v>21020</v>
      </c>
      <c r="G1852" s="2" t="s">
        <v>21021</v>
      </c>
      <c r="H1852" s="2" t="s">
        <v>21022</v>
      </c>
      <c r="I1852" s="2" t="s">
        <v>21023</v>
      </c>
      <c r="J1852" s="2" t="s">
        <v>21024</v>
      </c>
      <c r="K1852" s="2" t="s">
        <v>21025</v>
      </c>
      <c r="L1852" s="2" t="s">
        <v>21026</v>
      </c>
      <c r="M1852" s="2" t="s">
        <v>21027</v>
      </c>
      <c r="N1852" s="2" t="s">
        <v>21028</v>
      </c>
      <c r="O1852" s="2" t="s">
        <v>21029</v>
      </c>
      <c r="P1852" s="2" t="s">
        <v>21016</v>
      </c>
    </row>
    <row r="1853" spans="1:16" ht="15" customHeight="1">
      <c r="A1853" s="1">
        <v>1852</v>
      </c>
      <c r="B1853" s="2" t="s">
        <v>21030</v>
      </c>
      <c r="C1853" s="2" t="s">
        <v>21031</v>
      </c>
      <c r="D1853" s="2" t="s">
        <v>21032</v>
      </c>
      <c r="E1853" s="2" t="s">
        <v>21033</v>
      </c>
      <c r="F1853" s="2" t="s">
        <v>21034</v>
      </c>
      <c r="G1853" s="2" t="s">
        <v>21035</v>
      </c>
      <c r="H1853" s="2" t="s">
        <v>21036</v>
      </c>
      <c r="I1853" s="2" t="s">
        <v>21037</v>
      </c>
      <c r="J1853" s="2" t="s">
        <v>21038</v>
      </c>
      <c r="K1853" s="2" t="s">
        <v>25196</v>
      </c>
      <c r="L1853" s="2" t="s">
        <v>25197</v>
      </c>
      <c r="M1853" s="2" t="s">
        <v>21039</v>
      </c>
      <c r="N1853" s="2" t="s">
        <v>21040</v>
      </c>
      <c r="O1853" s="2" t="s">
        <v>21041</v>
      </c>
      <c r="P1853" s="2" t="s">
        <v>21030</v>
      </c>
    </row>
    <row r="1854" spans="1:16" ht="15" customHeight="1">
      <c r="A1854" s="1">
        <v>1853</v>
      </c>
      <c r="B1854" s="2" t="s">
        <v>21042</v>
      </c>
      <c r="C1854" s="2" t="s">
        <v>21031</v>
      </c>
      <c r="D1854" s="2" t="s">
        <v>21032</v>
      </c>
      <c r="E1854" s="2" t="s">
        <v>21033</v>
      </c>
      <c r="F1854" s="2" t="s">
        <v>21034</v>
      </c>
      <c r="G1854" s="2" t="s">
        <v>21035</v>
      </c>
      <c r="H1854" s="2" t="s">
        <v>21036</v>
      </c>
      <c r="I1854" s="2" t="s">
        <v>21037</v>
      </c>
      <c r="J1854" s="2" t="s">
        <v>21038</v>
      </c>
      <c r="K1854" s="2" t="s">
        <v>25196</v>
      </c>
      <c r="L1854" s="2" t="s">
        <v>25197</v>
      </c>
      <c r="M1854" s="2" t="s">
        <v>21039</v>
      </c>
      <c r="N1854" s="2" t="s">
        <v>21040</v>
      </c>
      <c r="O1854" s="2" t="s">
        <v>21041</v>
      </c>
      <c r="P1854" s="2" t="s">
        <v>21042</v>
      </c>
    </row>
    <row r="1855" spans="1:16" ht="15" customHeight="1">
      <c r="A1855" s="1">
        <v>1854</v>
      </c>
      <c r="B1855" s="2" t="s">
        <v>21043</v>
      </c>
      <c r="C1855" s="2" t="s">
        <v>21044</v>
      </c>
      <c r="D1855" s="2" t="s">
        <v>21045</v>
      </c>
      <c r="E1855" s="2" t="s">
        <v>21046</v>
      </c>
      <c r="F1855" s="2" t="s">
        <v>21047</v>
      </c>
      <c r="G1855" s="2" t="s">
        <v>21048</v>
      </c>
      <c r="H1855" s="2" t="s">
        <v>21049</v>
      </c>
      <c r="I1855" s="2" t="s">
        <v>21050</v>
      </c>
      <c r="J1855" s="2" t="s">
        <v>21051</v>
      </c>
      <c r="K1855" s="2" t="s">
        <v>21052</v>
      </c>
      <c r="L1855" s="2" t="s">
        <v>19959</v>
      </c>
      <c r="M1855" s="2" t="s">
        <v>21053</v>
      </c>
      <c r="N1855" s="2" t="s">
        <v>21054</v>
      </c>
      <c r="O1855" s="2" t="s">
        <v>21052</v>
      </c>
      <c r="P1855" s="2" t="s">
        <v>21043</v>
      </c>
    </row>
    <row r="1856" spans="1:16" ht="15" customHeight="1">
      <c r="A1856" s="1">
        <v>1855</v>
      </c>
      <c r="B1856" s="2" t="s">
        <v>21055</v>
      </c>
      <c r="C1856" s="2" t="s">
        <v>21056</v>
      </c>
      <c r="D1856" s="2" t="s">
        <v>21057</v>
      </c>
      <c r="E1856" s="2" t="s">
        <v>21058</v>
      </c>
      <c r="F1856" s="2" t="s">
        <v>21059</v>
      </c>
      <c r="G1856" s="2" t="s">
        <v>21060</v>
      </c>
      <c r="H1856" s="2" t="s">
        <v>21061</v>
      </c>
      <c r="I1856" s="2" t="s">
        <v>21062</v>
      </c>
      <c r="J1856" s="2" t="s">
        <v>21063</v>
      </c>
      <c r="K1856" s="2" t="s">
        <v>25198</v>
      </c>
      <c r="L1856" s="2" t="s">
        <v>21064</v>
      </c>
      <c r="M1856" s="2" t="s">
        <v>21065</v>
      </c>
      <c r="N1856" s="2" t="s">
        <v>21066</v>
      </c>
      <c r="O1856" s="2" t="s">
        <v>21067</v>
      </c>
      <c r="P1856" s="2" t="s">
        <v>21055</v>
      </c>
    </row>
    <row r="1857" spans="1:16" ht="15" customHeight="1">
      <c r="A1857" s="1">
        <v>1856</v>
      </c>
      <c r="B1857" s="2" t="s">
        <v>21068</v>
      </c>
      <c r="C1857" s="2" t="s">
        <v>21069</v>
      </c>
      <c r="D1857" s="2" t="s">
        <v>21070</v>
      </c>
      <c r="E1857" s="2" t="s">
        <v>21071</v>
      </c>
      <c r="F1857" s="2" t="s">
        <v>21072</v>
      </c>
      <c r="G1857" s="2" t="s">
        <v>21073</v>
      </c>
      <c r="H1857" s="2" t="s">
        <v>21074</v>
      </c>
      <c r="I1857" s="2" t="s">
        <v>21075</v>
      </c>
      <c r="J1857" s="2" t="s">
        <v>21076</v>
      </c>
      <c r="K1857" s="2" t="s">
        <v>25199</v>
      </c>
      <c r="L1857" s="2" t="s">
        <v>21077</v>
      </c>
      <c r="M1857" s="2" t="s">
        <v>21078</v>
      </c>
      <c r="N1857" s="2" t="s">
        <v>21079</v>
      </c>
      <c r="O1857" s="2" t="s">
        <v>21080</v>
      </c>
      <c r="P1857" s="2" t="s">
        <v>21068</v>
      </c>
    </row>
    <row r="1858" spans="1:16" ht="15" customHeight="1">
      <c r="A1858" s="1">
        <v>1857</v>
      </c>
      <c r="B1858" s="2" t="s">
        <v>21081</v>
      </c>
      <c r="C1858" s="2" t="s">
        <v>21082</v>
      </c>
      <c r="D1858" s="2" t="s">
        <v>21083</v>
      </c>
      <c r="E1858" s="2" t="s">
        <v>21084</v>
      </c>
      <c r="F1858" s="2" t="s">
        <v>21085</v>
      </c>
      <c r="G1858" s="2" t="s">
        <v>21086</v>
      </c>
      <c r="H1858" s="2" t="s">
        <v>21087</v>
      </c>
      <c r="I1858" s="2" t="s">
        <v>21088</v>
      </c>
      <c r="J1858" s="2" t="s">
        <v>21089</v>
      </c>
      <c r="K1858" s="2" t="s">
        <v>25200</v>
      </c>
      <c r="L1858" s="2" t="s">
        <v>21090</v>
      </c>
      <c r="M1858" s="2" t="s">
        <v>21091</v>
      </c>
      <c r="N1858" s="2" t="s">
        <v>21092</v>
      </c>
      <c r="O1858" s="2" t="s">
        <v>21093</v>
      </c>
      <c r="P1858" s="2" t="s">
        <v>21081</v>
      </c>
    </row>
    <row r="1859" spans="1:16" ht="15" customHeight="1">
      <c r="A1859" s="1">
        <v>1858</v>
      </c>
      <c r="B1859" s="2" t="s">
        <v>21094</v>
      </c>
      <c r="C1859" s="2" t="s">
        <v>21095</v>
      </c>
      <c r="D1859" s="2" t="s">
        <v>21096</v>
      </c>
      <c r="E1859" s="2" t="s">
        <v>21097</v>
      </c>
      <c r="F1859" s="2" t="s">
        <v>21098</v>
      </c>
      <c r="G1859" s="2" t="s">
        <v>21099</v>
      </c>
      <c r="H1859" s="2" t="s">
        <v>21100</v>
      </c>
      <c r="I1859" s="2" t="s">
        <v>21101</v>
      </c>
      <c r="J1859" s="2" t="s">
        <v>21102</v>
      </c>
      <c r="K1859" s="2" t="s">
        <v>25201</v>
      </c>
      <c r="L1859" s="2" t="s">
        <v>21103</v>
      </c>
      <c r="M1859" s="2" t="s">
        <v>21104</v>
      </c>
      <c r="N1859" s="2" t="s">
        <v>21105</v>
      </c>
      <c r="O1859" s="2" t="s">
        <v>21106</v>
      </c>
      <c r="P1859" s="2" t="s">
        <v>21094</v>
      </c>
    </row>
    <row r="1860" spans="1:16" ht="15" customHeight="1">
      <c r="A1860" s="1">
        <v>1859</v>
      </c>
      <c r="B1860" s="2" t="s">
        <v>21107</v>
      </c>
      <c r="C1860" s="2" t="s">
        <v>21108</v>
      </c>
      <c r="D1860" s="2" t="s">
        <v>21109</v>
      </c>
      <c r="E1860" s="2" t="s">
        <v>21110</v>
      </c>
      <c r="F1860" s="2" t="s">
        <v>21111</v>
      </c>
      <c r="G1860" s="2" t="s">
        <v>21112</v>
      </c>
      <c r="H1860" s="2" t="s">
        <v>21113</v>
      </c>
      <c r="I1860" s="2" t="s">
        <v>21114</v>
      </c>
      <c r="J1860" s="2" t="s">
        <v>21115</v>
      </c>
      <c r="K1860" s="2" t="s">
        <v>25202</v>
      </c>
      <c r="L1860" s="2" t="s">
        <v>21116</v>
      </c>
      <c r="M1860" s="2" t="s">
        <v>21117</v>
      </c>
      <c r="N1860" s="2" t="s">
        <v>21118</v>
      </c>
      <c r="O1860" s="2" t="s">
        <v>21119</v>
      </c>
      <c r="P1860" s="2" t="s">
        <v>21107</v>
      </c>
    </row>
    <row r="1861" spans="1:16" ht="15" customHeight="1">
      <c r="A1861" s="1">
        <v>1860</v>
      </c>
      <c r="B1861" s="2" t="s">
        <v>21120</v>
      </c>
      <c r="C1861" s="2" t="s">
        <v>21121</v>
      </c>
      <c r="D1861" s="2" t="s">
        <v>21122</v>
      </c>
      <c r="E1861" s="2" t="s">
        <v>21123</v>
      </c>
      <c r="F1861" s="2" t="s">
        <v>21124</v>
      </c>
      <c r="G1861" s="2" t="s">
        <v>21125</v>
      </c>
      <c r="H1861" s="2" t="s">
        <v>21126</v>
      </c>
      <c r="I1861" s="2" t="s">
        <v>21127</v>
      </c>
      <c r="J1861" s="2" t="s">
        <v>21128</v>
      </c>
      <c r="K1861" s="2" t="s">
        <v>25203</v>
      </c>
      <c r="L1861" s="2" t="s">
        <v>21129</v>
      </c>
      <c r="M1861" s="2" t="s">
        <v>21130</v>
      </c>
      <c r="N1861" s="2" t="s">
        <v>21131</v>
      </c>
      <c r="O1861" s="2" t="s">
        <v>21132</v>
      </c>
      <c r="P1861" s="2" t="s">
        <v>21120</v>
      </c>
    </row>
    <row r="1862" spans="1:16" ht="15" customHeight="1">
      <c r="A1862" s="1">
        <v>1861</v>
      </c>
      <c r="B1862" s="2" t="s">
        <v>21133</v>
      </c>
      <c r="C1862" s="2" t="s">
        <v>21134</v>
      </c>
      <c r="D1862" s="2" t="s">
        <v>21135</v>
      </c>
      <c r="E1862" s="2" t="s">
        <v>21136</v>
      </c>
      <c r="F1862" s="2" t="s">
        <v>21137</v>
      </c>
      <c r="G1862" s="2" t="s">
        <v>21138</v>
      </c>
      <c r="H1862" s="2" t="s">
        <v>21139</v>
      </c>
      <c r="I1862" s="2" t="s">
        <v>21140</v>
      </c>
      <c r="J1862" s="2" t="s">
        <v>21141</v>
      </c>
      <c r="K1862" s="2" t="s">
        <v>25204</v>
      </c>
      <c r="L1862" s="2" t="s">
        <v>21142</v>
      </c>
      <c r="M1862" s="2" t="s">
        <v>21143</v>
      </c>
      <c r="N1862" s="2" t="s">
        <v>21144</v>
      </c>
      <c r="O1862" s="2" t="s">
        <v>21145</v>
      </c>
      <c r="P1862" s="2" t="s">
        <v>21133</v>
      </c>
    </row>
    <row r="1863" spans="1:16" ht="15" customHeight="1">
      <c r="A1863" s="1">
        <v>1862</v>
      </c>
      <c r="B1863" s="2" t="s">
        <v>21146</v>
      </c>
      <c r="C1863" s="2" t="s">
        <v>21147</v>
      </c>
      <c r="D1863" s="2" t="s">
        <v>21148</v>
      </c>
      <c r="E1863" s="2" t="s">
        <v>21149</v>
      </c>
      <c r="F1863" s="2" t="s">
        <v>21150</v>
      </c>
      <c r="G1863" s="2" t="s">
        <v>21151</v>
      </c>
      <c r="H1863" s="2" t="s">
        <v>21152</v>
      </c>
      <c r="I1863" s="2" t="s">
        <v>21153</v>
      </c>
      <c r="J1863" s="2" t="s">
        <v>21154</v>
      </c>
      <c r="K1863" s="2" t="s">
        <v>25205</v>
      </c>
      <c r="L1863" s="2" t="s">
        <v>21155</v>
      </c>
      <c r="M1863" s="2" t="s">
        <v>21156</v>
      </c>
      <c r="N1863" s="2" t="s">
        <v>21157</v>
      </c>
      <c r="O1863" s="2" t="s">
        <v>21158</v>
      </c>
      <c r="P1863" s="2" t="s">
        <v>21146</v>
      </c>
    </row>
    <row r="1864" spans="1:16" ht="15" customHeight="1">
      <c r="A1864" s="1">
        <v>1863</v>
      </c>
      <c r="B1864" s="2" t="s">
        <v>21159</v>
      </c>
      <c r="C1864" s="2" t="s">
        <v>21160</v>
      </c>
      <c r="D1864" s="2" t="s">
        <v>21161</v>
      </c>
      <c r="E1864" s="2" t="s">
        <v>21162</v>
      </c>
      <c r="F1864" s="2" t="s">
        <v>21163</v>
      </c>
      <c r="G1864" s="2" t="s">
        <v>21164</v>
      </c>
      <c r="H1864" s="2" t="s">
        <v>21165</v>
      </c>
      <c r="I1864" s="2" t="s">
        <v>21166</v>
      </c>
      <c r="J1864" s="2" t="s">
        <v>21167</v>
      </c>
      <c r="K1864" s="2" t="s">
        <v>25206</v>
      </c>
      <c r="L1864" s="2" t="s">
        <v>21168</v>
      </c>
      <c r="M1864" s="2" t="s">
        <v>21169</v>
      </c>
      <c r="N1864" s="2" t="s">
        <v>21170</v>
      </c>
      <c r="O1864" s="2" t="s">
        <v>21171</v>
      </c>
      <c r="P1864" s="2" t="s">
        <v>21159</v>
      </c>
    </row>
    <row r="1865" spans="1:16" ht="15" customHeight="1">
      <c r="A1865" s="1">
        <v>1864</v>
      </c>
      <c r="B1865" s="2" t="s">
        <v>21172</v>
      </c>
      <c r="C1865" s="2" t="s">
        <v>21173</v>
      </c>
      <c r="D1865" s="2" t="s">
        <v>21174</v>
      </c>
      <c r="E1865" s="2" t="s">
        <v>21175</v>
      </c>
      <c r="F1865" s="2" t="s">
        <v>21176</v>
      </c>
      <c r="G1865" s="2" t="s">
        <v>21177</v>
      </c>
      <c r="H1865" s="2" t="s">
        <v>21178</v>
      </c>
      <c r="I1865" s="2" t="s">
        <v>21179</v>
      </c>
      <c r="J1865" s="2" t="s">
        <v>21180</v>
      </c>
      <c r="K1865" s="2" t="s">
        <v>21181</v>
      </c>
      <c r="L1865" s="2" t="s">
        <v>21182</v>
      </c>
      <c r="M1865" s="2" t="s">
        <v>21183</v>
      </c>
      <c r="N1865" s="2" t="s">
        <v>21184</v>
      </c>
      <c r="O1865" s="2" t="s">
        <v>21185</v>
      </c>
      <c r="P1865" s="2" t="s">
        <v>21172</v>
      </c>
    </row>
    <row r="1866" spans="1:16" ht="15" customHeight="1">
      <c r="A1866" s="1">
        <v>1865</v>
      </c>
      <c r="B1866" s="2" t="s">
        <v>10443</v>
      </c>
      <c r="C1866" s="2" t="s">
        <v>10443</v>
      </c>
      <c r="D1866" s="2" t="s">
        <v>10444</v>
      </c>
      <c r="E1866" s="2" t="s">
        <v>21186</v>
      </c>
      <c r="F1866" s="2" t="s">
        <v>21187</v>
      </c>
      <c r="G1866" s="2" t="s">
        <v>10443</v>
      </c>
      <c r="H1866" s="2" t="s">
        <v>21188</v>
      </c>
      <c r="I1866" s="2" t="s">
        <v>21189</v>
      </c>
      <c r="J1866" s="2" t="s">
        <v>10449</v>
      </c>
      <c r="K1866" s="2" t="s">
        <v>10450</v>
      </c>
      <c r="L1866" s="2" t="s">
        <v>10443</v>
      </c>
      <c r="M1866" s="2" t="s">
        <v>10443</v>
      </c>
      <c r="N1866" s="2" t="s">
        <v>21190</v>
      </c>
      <c r="O1866" s="2" t="s">
        <v>10464</v>
      </c>
      <c r="P1866" s="2" t="s">
        <v>10443</v>
      </c>
    </row>
    <row r="1867" spans="1:16" ht="15" customHeight="1">
      <c r="A1867" s="1">
        <v>1866</v>
      </c>
      <c r="B1867" s="2" t="s">
        <v>21191</v>
      </c>
      <c r="C1867" s="2" t="s">
        <v>21192</v>
      </c>
      <c r="D1867" s="2" t="s">
        <v>21193</v>
      </c>
      <c r="E1867" s="2" t="s">
        <v>21194</v>
      </c>
      <c r="F1867" s="2" t="s">
        <v>21195</v>
      </c>
      <c r="G1867" s="2" t="s">
        <v>21196</v>
      </c>
      <c r="H1867" s="2" t="s">
        <v>21197</v>
      </c>
      <c r="I1867" s="2" t="s">
        <v>21198</v>
      </c>
      <c r="J1867" s="2" t="s">
        <v>21199</v>
      </c>
      <c r="K1867" s="2" t="s">
        <v>25207</v>
      </c>
      <c r="L1867" s="2" t="s">
        <v>21200</v>
      </c>
      <c r="M1867" s="2" t="s">
        <v>21201</v>
      </c>
      <c r="N1867" s="2" t="s">
        <v>21202</v>
      </c>
      <c r="O1867" s="2" t="s">
        <v>21203</v>
      </c>
      <c r="P1867" s="2" t="s">
        <v>21191</v>
      </c>
    </row>
    <row r="1868" spans="1:16" ht="15" customHeight="1">
      <c r="A1868" s="1">
        <v>1867</v>
      </c>
      <c r="B1868" s="2" t="s">
        <v>21204</v>
      </c>
      <c r="C1868" s="2" t="s">
        <v>21205</v>
      </c>
      <c r="D1868" s="2" t="s">
        <v>21206</v>
      </c>
      <c r="E1868" s="2" t="s">
        <v>21207</v>
      </c>
      <c r="F1868" s="2" t="s">
        <v>21208</v>
      </c>
      <c r="G1868" s="2" t="s">
        <v>25208</v>
      </c>
      <c r="H1868" s="2" t="s">
        <v>21209</v>
      </c>
      <c r="I1868" s="2" t="s">
        <v>21210</v>
      </c>
      <c r="J1868" s="2" t="s">
        <v>21211</v>
      </c>
      <c r="K1868" s="2" t="s">
        <v>25209</v>
      </c>
      <c r="L1868" s="2" t="s">
        <v>21212</v>
      </c>
      <c r="M1868" s="2" t="s">
        <v>21213</v>
      </c>
      <c r="N1868" s="2" t="s">
        <v>21214</v>
      </c>
      <c r="O1868" s="2" t="s">
        <v>21215</v>
      </c>
      <c r="P1868" s="2" t="s">
        <v>21204</v>
      </c>
    </row>
    <row r="1869" spans="1:16" ht="15" customHeight="1">
      <c r="A1869" s="1">
        <v>1868</v>
      </c>
      <c r="B1869" s="2" t="s">
        <v>21216</v>
      </c>
      <c r="C1869" s="2" t="s">
        <v>21217</v>
      </c>
      <c r="D1869" s="2" t="s">
        <v>21218</v>
      </c>
      <c r="E1869" s="2" t="s">
        <v>21219</v>
      </c>
      <c r="F1869" s="2" t="s">
        <v>21220</v>
      </c>
      <c r="G1869" s="2" t="s">
        <v>21221</v>
      </c>
      <c r="H1869" s="2" t="s">
        <v>21222</v>
      </c>
      <c r="I1869" s="2" t="s">
        <v>21223</v>
      </c>
      <c r="J1869" s="2" t="s">
        <v>21224</v>
      </c>
      <c r="K1869" s="2" t="s">
        <v>25210</v>
      </c>
      <c r="L1869" s="2" t="s">
        <v>21225</v>
      </c>
      <c r="M1869" s="2" t="s">
        <v>21226</v>
      </c>
      <c r="N1869" s="2" t="s">
        <v>21227</v>
      </c>
      <c r="O1869" s="2" t="s">
        <v>21228</v>
      </c>
      <c r="P1869" s="2" t="s">
        <v>21216</v>
      </c>
    </row>
    <row r="1870" spans="1:16" ht="15" customHeight="1">
      <c r="A1870" s="1">
        <v>1869</v>
      </c>
      <c r="B1870" s="2" t="s">
        <v>21229</v>
      </c>
      <c r="C1870" s="2" t="s">
        <v>21230</v>
      </c>
      <c r="D1870" s="2" t="s">
        <v>21231</v>
      </c>
      <c r="E1870" s="2" t="s">
        <v>21232</v>
      </c>
      <c r="F1870" s="2" t="s">
        <v>21233</v>
      </c>
      <c r="G1870" s="2" t="s">
        <v>21234</v>
      </c>
      <c r="H1870" s="2" t="s">
        <v>21235</v>
      </c>
      <c r="I1870" s="2" t="s">
        <v>21236</v>
      </c>
      <c r="J1870" s="2" t="s">
        <v>21237</v>
      </c>
      <c r="K1870" s="2" t="s">
        <v>25211</v>
      </c>
      <c r="L1870" s="2" t="s">
        <v>21238</v>
      </c>
      <c r="M1870" s="2" t="s">
        <v>21239</v>
      </c>
      <c r="N1870" s="2" t="s">
        <v>21240</v>
      </c>
      <c r="O1870" s="2" t="s">
        <v>21241</v>
      </c>
      <c r="P1870" s="2" t="s">
        <v>21229</v>
      </c>
    </row>
    <row r="1871" spans="1:16" ht="15" customHeight="1">
      <c r="A1871" s="1">
        <v>1870</v>
      </c>
      <c r="B1871" s="2" t="s">
        <v>21242</v>
      </c>
      <c r="C1871" s="2" t="s">
        <v>25212</v>
      </c>
      <c r="D1871" s="2" t="s">
        <v>21243</v>
      </c>
      <c r="E1871" s="2" t="s">
        <v>21244</v>
      </c>
      <c r="F1871" s="2" t="s">
        <v>21245</v>
      </c>
      <c r="G1871" s="2" t="s">
        <v>21246</v>
      </c>
      <c r="H1871" s="2" t="s">
        <v>21247</v>
      </c>
      <c r="I1871" s="2" t="s">
        <v>25213</v>
      </c>
      <c r="J1871" s="2" t="s">
        <v>21248</v>
      </c>
      <c r="K1871" s="2" t="s">
        <v>25214</v>
      </c>
      <c r="L1871" s="2" t="s">
        <v>25215</v>
      </c>
      <c r="M1871" s="2" t="s">
        <v>25216</v>
      </c>
      <c r="N1871" s="2" t="s">
        <v>25217</v>
      </c>
      <c r="O1871" s="2" t="s">
        <v>25218</v>
      </c>
      <c r="P1871" s="2" t="s">
        <v>21242</v>
      </c>
    </row>
    <row r="1872" spans="1:16" ht="15" customHeight="1">
      <c r="A1872" s="1">
        <v>1871</v>
      </c>
      <c r="B1872" s="2" t="s">
        <v>21249</v>
      </c>
      <c r="C1872" s="2" t="s">
        <v>21250</v>
      </c>
      <c r="D1872" s="2" t="s">
        <v>21251</v>
      </c>
      <c r="E1872" s="2" t="s">
        <v>21252</v>
      </c>
      <c r="F1872" s="2" t="s">
        <v>21253</v>
      </c>
      <c r="G1872" s="2" t="s">
        <v>21254</v>
      </c>
      <c r="H1872" s="2" t="s">
        <v>21255</v>
      </c>
      <c r="I1872" s="2" t="s">
        <v>21256</v>
      </c>
      <c r="J1872" s="2" t="s">
        <v>21257</v>
      </c>
      <c r="K1872" s="2" t="s">
        <v>21258</v>
      </c>
      <c r="L1872" s="2" t="s">
        <v>21259</v>
      </c>
      <c r="M1872" s="2" t="s">
        <v>21260</v>
      </c>
      <c r="N1872" s="2" t="s">
        <v>21261</v>
      </c>
      <c r="O1872" s="2" t="s">
        <v>21262</v>
      </c>
      <c r="P1872" s="2" t="s">
        <v>21249</v>
      </c>
    </row>
    <row r="1873" spans="1:16" ht="15" customHeight="1">
      <c r="A1873" s="1">
        <v>1872</v>
      </c>
      <c r="B1873" s="2" t="s">
        <v>21263</v>
      </c>
      <c r="C1873" s="2" t="s">
        <v>21264</v>
      </c>
      <c r="D1873" s="2" t="s">
        <v>21265</v>
      </c>
      <c r="E1873" s="2" t="s">
        <v>21266</v>
      </c>
      <c r="F1873" s="2" t="s">
        <v>21267</v>
      </c>
      <c r="G1873" s="2" t="s">
        <v>21268</v>
      </c>
      <c r="H1873" s="2" t="s">
        <v>21269</v>
      </c>
      <c r="I1873" s="2" t="s">
        <v>21270</v>
      </c>
      <c r="J1873" s="2" t="s">
        <v>21271</v>
      </c>
      <c r="K1873" s="2" t="s">
        <v>25219</v>
      </c>
      <c r="L1873" s="2" t="s">
        <v>21272</v>
      </c>
      <c r="M1873" s="2" t="s">
        <v>21273</v>
      </c>
      <c r="N1873" s="2" t="s">
        <v>21273</v>
      </c>
      <c r="O1873" s="2" t="s">
        <v>21274</v>
      </c>
      <c r="P1873" s="2" t="s">
        <v>21263</v>
      </c>
    </row>
    <row r="1874" spans="1:16" ht="15" customHeight="1">
      <c r="A1874" s="1">
        <v>1873</v>
      </c>
      <c r="B1874" s="2" t="s">
        <v>21275</v>
      </c>
      <c r="C1874" s="2" t="s">
        <v>21276</v>
      </c>
      <c r="D1874" s="2" t="s">
        <v>21277</v>
      </c>
      <c r="E1874" s="2" t="s">
        <v>21278</v>
      </c>
      <c r="F1874" s="2" t="s">
        <v>21279</v>
      </c>
      <c r="G1874" s="2" t="s">
        <v>21280</v>
      </c>
      <c r="H1874" s="2" t="s">
        <v>21281</v>
      </c>
      <c r="I1874" s="2" t="s">
        <v>21282</v>
      </c>
      <c r="J1874" s="2" t="s">
        <v>21283</v>
      </c>
      <c r="K1874" s="2" t="s">
        <v>25220</v>
      </c>
      <c r="L1874" s="2" t="s">
        <v>21284</v>
      </c>
      <c r="M1874" s="2" t="s">
        <v>21276</v>
      </c>
      <c r="N1874" s="2" t="s">
        <v>21276</v>
      </c>
      <c r="O1874" s="2" t="s">
        <v>21285</v>
      </c>
      <c r="P1874" s="2" t="s">
        <v>21275</v>
      </c>
    </row>
    <row r="1875" spans="1:16" ht="15" customHeight="1">
      <c r="A1875" s="1">
        <v>1874</v>
      </c>
      <c r="B1875" s="2" t="s">
        <v>21286</v>
      </c>
      <c r="C1875" s="2" t="s">
        <v>21287</v>
      </c>
      <c r="D1875" s="2" t="s">
        <v>21288</v>
      </c>
      <c r="E1875" s="351" t="s">
        <v>21289</v>
      </c>
      <c r="F1875" s="2" t="s">
        <v>21290</v>
      </c>
      <c r="G1875" s="2" t="s">
        <v>21291</v>
      </c>
      <c r="H1875" s="2" t="s">
        <v>21292</v>
      </c>
      <c r="I1875" s="2" t="s">
        <v>21293</v>
      </c>
      <c r="J1875" s="2" t="s">
        <v>21294</v>
      </c>
      <c r="K1875" s="2" t="s">
        <v>21295</v>
      </c>
      <c r="L1875" s="2" t="s">
        <v>21296</v>
      </c>
      <c r="M1875" s="2" t="s">
        <v>21297</v>
      </c>
      <c r="N1875" s="2" t="s">
        <v>21298</v>
      </c>
      <c r="O1875" s="2" t="s">
        <v>21299</v>
      </c>
      <c r="P1875" s="2" t="s">
        <v>21286</v>
      </c>
    </row>
    <row r="1876" spans="1:16" ht="15" customHeight="1">
      <c r="A1876" s="1">
        <v>1875</v>
      </c>
      <c r="B1876" s="2" t="s">
        <v>21300</v>
      </c>
      <c r="C1876" s="2" t="s">
        <v>21301</v>
      </c>
      <c r="D1876" s="2" t="s">
        <v>21302</v>
      </c>
      <c r="E1876" s="351" t="s">
        <v>21303</v>
      </c>
      <c r="F1876" s="2" t="s">
        <v>21304</v>
      </c>
      <c r="G1876" s="2" t="s">
        <v>21305</v>
      </c>
      <c r="H1876" s="2" t="s">
        <v>21306</v>
      </c>
      <c r="I1876" s="2" t="s">
        <v>21307</v>
      </c>
      <c r="J1876" s="2" t="s">
        <v>21308</v>
      </c>
      <c r="K1876" s="2" t="s">
        <v>21309</v>
      </c>
      <c r="L1876" s="2" t="s">
        <v>21310</v>
      </c>
      <c r="M1876" s="2" t="s">
        <v>21311</v>
      </c>
      <c r="N1876" s="2" t="s">
        <v>21312</v>
      </c>
      <c r="O1876" s="2" t="s">
        <v>21313</v>
      </c>
      <c r="P1876" s="2" t="s">
        <v>21300</v>
      </c>
    </row>
    <row r="1877" spans="1:16" ht="15" customHeight="1">
      <c r="A1877" s="1">
        <v>1876</v>
      </c>
      <c r="B1877" s="2" t="s">
        <v>21314</v>
      </c>
      <c r="C1877" s="2" t="s">
        <v>21315</v>
      </c>
      <c r="D1877" s="2" t="s">
        <v>21316</v>
      </c>
      <c r="E1877" s="351" t="s">
        <v>21317</v>
      </c>
      <c r="F1877" s="2" t="s">
        <v>21318</v>
      </c>
      <c r="G1877" s="2" t="s">
        <v>21319</v>
      </c>
      <c r="H1877" s="2" t="s">
        <v>21320</v>
      </c>
      <c r="I1877" s="2" t="s">
        <v>21321</v>
      </c>
      <c r="J1877" s="2" t="s">
        <v>21322</v>
      </c>
      <c r="K1877" s="2" t="s">
        <v>21323</v>
      </c>
      <c r="L1877" s="2" t="s">
        <v>21324</v>
      </c>
      <c r="M1877" s="2" t="s">
        <v>21325</v>
      </c>
      <c r="N1877" s="2" t="s">
        <v>21326</v>
      </c>
      <c r="O1877" s="2" t="s">
        <v>21327</v>
      </c>
      <c r="P1877" s="2" t="s">
        <v>21314</v>
      </c>
    </row>
    <row r="1878" spans="1:16" ht="15" customHeight="1">
      <c r="A1878" s="1">
        <v>1877</v>
      </c>
      <c r="B1878" s="2" t="s">
        <v>21328</v>
      </c>
      <c r="C1878" s="2" t="s">
        <v>21329</v>
      </c>
      <c r="D1878" s="2" t="s">
        <v>21330</v>
      </c>
      <c r="E1878" s="351" t="s">
        <v>21331</v>
      </c>
      <c r="F1878" s="2" t="s">
        <v>21332</v>
      </c>
      <c r="G1878" s="2" t="s">
        <v>21333</v>
      </c>
      <c r="H1878" s="2" t="s">
        <v>21334</v>
      </c>
      <c r="I1878" s="2" t="s">
        <v>21335</v>
      </c>
      <c r="J1878" s="2" t="s">
        <v>21336</v>
      </c>
      <c r="K1878" s="2" t="s">
        <v>21337</v>
      </c>
      <c r="L1878" s="2" t="s">
        <v>21338</v>
      </c>
      <c r="M1878" s="2" t="s">
        <v>21339</v>
      </c>
      <c r="N1878" s="2" t="s">
        <v>21340</v>
      </c>
      <c r="O1878" s="2" t="s">
        <v>21341</v>
      </c>
      <c r="P1878" s="2" t="s">
        <v>21328</v>
      </c>
    </row>
    <row r="1879" spans="1:16" ht="15" customHeight="1">
      <c r="A1879" s="1">
        <v>1878</v>
      </c>
      <c r="B1879" s="2" t="s">
        <v>21342</v>
      </c>
      <c r="C1879" s="2" t="s">
        <v>21343</v>
      </c>
      <c r="D1879" s="2" t="s">
        <v>21343</v>
      </c>
      <c r="E1879" s="351" t="s">
        <v>21342</v>
      </c>
      <c r="F1879" s="2" t="s">
        <v>21342</v>
      </c>
      <c r="G1879" s="2" t="s">
        <v>21342</v>
      </c>
      <c r="H1879" s="2" t="s">
        <v>21342</v>
      </c>
      <c r="I1879" s="2" t="s">
        <v>21343</v>
      </c>
      <c r="J1879" s="2" t="s">
        <v>21342</v>
      </c>
      <c r="K1879" s="2" t="s">
        <v>21342</v>
      </c>
      <c r="L1879" s="2" t="s">
        <v>21342</v>
      </c>
      <c r="M1879" s="2" t="s">
        <v>21342</v>
      </c>
      <c r="N1879" s="2" t="s">
        <v>21342</v>
      </c>
      <c r="O1879" s="2" t="s">
        <v>21342</v>
      </c>
      <c r="P1879" s="2" t="s">
        <v>21342</v>
      </c>
    </row>
    <row r="1880" spans="1:16" ht="15" customHeight="1">
      <c r="A1880" s="1">
        <v>1879</v>
      </c>
      <c r="B1880" s="2" t="s">
        <v>21344</v>
      </c>
      <c r="C1880" s="2" t="s">
        <v>21345</v>
      </c>
      <c r="D1880" s="2" t="s">
        <v>21346</v>
      </c>
      <c r="E1880" s="351" t="s">
        <v>21347</v>
      </c>
      <c r="F1880" s="2" t="s">
        <v>21348</v>
      </c>
      <c r="G1880" s="2" t="s">
        <v>21349</v>
      </c>
      <c r="H1880" s="2" t="s">
        <v>21350</v>
      </c>
      <c r="I1880" s="2" t="s">
        <v>21351</v>
      </c>
      <c r="J1880" s="2" t="s">
        <v>21352</v>
      </c>
      <c r="K1880" s="2" t="s">
        <v>21353</v>
      </c>
      <c r="L1880" s="2" t="s">
        <v>21354</v>
      </c>
      <c r="M1880" s="2" t="s">
        <v>21355</v>
      </c>
      <c r="N1880" s="2" t="s">
        <v>21356</v>
      </c>
      <c r="O1880" s="2" t="s">
        <v>21357</v>
      </c>
      <c r="P1880" s="2" t="s">
        <v>21344</v>
      </c>
    </row>
    <row r="1881" spans="1:16" ht="15" customHeight="1">
      <c r="A1881" s="1">
        <v>1880</v>
      </c>
      <c r="B1881" s="2" t="s">
        <v>21358</v>
      </c>
      <c r="C1881" s="2" t="s">
        <v>21359</v>
      </c>
      <c r="D1881" s="2" t="s">
        <v>21359</v>
      </c>
      <c r="E1881" s="351" t="s">
        <v>21358</v>
      </c>
      <c r="F1881" s="2" t="s">
        <v>21358</v>
      </c>
      <c r="G1881" s="2" t="s">
        <v>21358</v>
      </c>
      <c r="H1881" s="2" t="s">
        <v>21358</v>
      </c>
      <c r="I1881" s="2" t="s">
        <v>21359</v>
      </c>
      <c r="J1881" s="2" t="s">
        <v>21358</v>
      </c>
      <c r="K1881" s="2" t="s">
        <v>21358</v>
      </c>
      <c r="L1881" s="2" t="s">
        <v>21358</v>
      </c>
      <c r="M1881" s="2" t="s">
        <v>21358</v>
      </c>
      <c r="N1881" s="2" t="s">
        <v>21358</v>
      </c>
      <c r="O1881" s="2" t="s">
        <v>21358</v>
      </c>
      <c r="P1881" s="2" t="s">
        <v>21358</v>
      </c>
    </row>
    <row r="1882" spans="1:16" ht="15" customHeight="1">
      <c r="A1882" s="1">
        <v>1881</v>
      </c>
      <c r="B1882" s="2" t="s">
        <v>21360</v>
      </c>
      <c r="C1882" s="2" t="s">
        <v>21361</v>
      </c>
      <c r="D1882" s="2" t="s">
        <v>21362</v>
      </c>
      <c r="E1882" s="351" t="s">
        <v>21363</v>
      </c>
      <c r="F1882" s="2" t="s">
        <v>21364</v>
      </c>
      <c r="G1882" s="2" t="s">
        <v>21365</v>
      </c>
      <c r="H1882" s="2" t="s">
        <v>21366</v>
      </c>
      <c r="I1882" s="2" t="s">
        <v>21367</v>
      </c>
      <c r="J1882" s="2" t="s">
        <v>21368</v>
      </c>
      <c r="K1882" s="2" t="s">
        <v>21369</v>
      </c>
      <c r="L1882" s="2" t="s">
        <v>21370</v>
      </c>
      <c r="M1882" s="2" t="s">
        <v>21371</v>
      </c>
      <c r="N1882" s="2" t="s">
        <v>21372</v>
      </c>
      <c r="O1882" s="2" t="s">
        <v>21373</v>
      </c>
      <c r="P1882" s="2" t="s">
        <v>21360</v>
      </c>
    </row>
    <row r="1883" spans="1:16" ht="15" customHeight="1">
      <c r="A1883" s="1">
        <v>1882</v>
      </c>
      <c r="B1883" s="2" t="s">
        <v>21374</v>
      </c>
      <c r="C1883" s="2" t="s">
        <v>21375</v>
      </c>
      <c r="D1883" s="2" t="s">
        <v>21376</v>
      </c>
      <c r="E1883" s="351" t="s">
        <v>21377</v>
      </c>
      <c r="F1883" s="2" t="s">
        <v>21378</v>
      </c>
      <c r="G1883" s="2" t="s">
        <v>21379</v>
      </c>
      <c r="H1883" s="2" t="s">
        <v>21380</v>
      </c>
      <c r="I1883" s="2" t="s">
        <v>21381</v>
      </c>
      <c r="J1883" s="2" t="s">
        <v>21382</v>
      </c>
      <c r="K1883" s="2" t="s">
        <v>21383</v>
      </c>
      <c r="L1883" s="2" t="s">
        <v>21384</v>
      </c>
      <c r="M1883" s="2" t="s">
        <v>21385</v>
      </c>
      <c r="N1883" s="2" t="s">
        <v>21386</v>
      </c>
      <c r="O1883" s="2" t="s">
        <v>21387</v>
      </c>
      <c r="P1883" s="2" t="s">
        <v>21374</v>
      </c>
    </row>
    <row r="1884" spans="1:16" ht="15" customHeight="1">
      <c r="A1884" s="1">
        <v>1883</v>
      </c>
      <c r="B1884" s="2" t="s">
        <v>21388</v>
      </c>
      <c r="C1884" s="2" t="s">
        <v>21389</v>
      </c>
      <c r="D1884" s="2" t="s">
        <v>21390</v>
      </c>
      <c r="E1884" s="351" t="s">
        <v>21391</v>
      </c>
      <c r="F1884" s="2" t="s">
        <v>21392</v>
      </c>
      <c r="G1884" s="2" t="s">
        <v>21393</v>
      </c>
      <c r="H1884" s="2" t="s">
        <v>21394</v>
      </c>
      <c r="I1884" s="2" t="s">
        <v>21395</v>
      </c>
      <c r="J1884" s="2" t="s">
        <v>21396</v>
      </c>
      <c r="K1884" s="2" t="s">
        <v>21397</v>
      </c>
      <c r="L1884" s="2" t="s">
        <v>21398</v>
      </c>
      <c r="M1884" s="2" t="s">
        <v>21399</v>
      </c>
      <c r="N1884" s="2" t="s">
        <v>21400</v>
      </c>
      <c r="O1884" s="2" t="s">
        <v>21401</v>
      </c>
      <c r="P1884" s="2" t="s">
        <v>21388</v>
      </c>
    </row>
    <row r="1885" spans="1:16" ht="15" customHeight="1">
      <c r="A1885" s="1">
        <v>1884</v>
      </c>
      <c r="B1885" s="2" t="s">
        <v>21402</v>
      </c>
      <c r="C1885" s="2" t="s">
        <v>21403</v>
      </c>
      <c r="D1885" s="2" t="s">
        <v>21404</v>
      </c>
      <c r="E1885" s="351" t="s">
        <v>21405</v>
      </c>
      <c r="F1885" s="2" t="s">
        <v>21406</v>
      </c>
      <c r="G1885" s="2" t="s">
        <v>21407</v>
      </c>
      <c r="H1885" s="2" t="s">
        <v>21408</v>
      </c>
      <c r="I1885" s="2" t="s">
        <v>21409</v>
      </c>
      <c r="J1885" s="2" t="s">
        <v>21410</v>
      </c>
      <c r="K1885" s="2" t="s">
        <v>21411</v>
      </c>
      <c r="L1885" s="2" t="s">
        <v>21412</v>
      </c>
      <c r="M1885" s="2" t="s">
        <v>21413</v>
      </c>
      <c r="N1885" s="2" t="s">
        <v>21414</v>
      </c>
      <c r="O1885" s="2" t="s">
        <v>21415</v>
      </c>
      <c r="P1885" s="2" t="s">
        <v>21402</v>
      </c>
    </row>
    <row r="1886" spans="1:16" ht="15" customHeight="1">
      <c r="A1886" s="1">
        <v>1885</v>
      </c>
      <c r="B1886" s="2" t="s">
        <v>21416</v>
      </c>
      <c r="C1886" s="2" t="s">
        <v>21417</v>
      </c>
      <c r="D1886" s="2" t="s">
        <v>21418</v>
      </c>
      <c r="E1886" s="351" t="s">
        <v>21419</v>
      </c>
      <c r="F1886" s="2" t="s">
        <v>21420</v>
      </c>
      <c r="G1886" s="2" t="s">
        <v>21421</v>
      </c>
      <c r="H1886" s="2" t="s">
        <v>21422</v>
      </c>
      <c r="I1886" s="2" t="s">
        <v>21423</v>
      </c>
      <c r="J1886" s="2" t="s">
        <v>21424</v>
      </c>
      <c r="K1886" s="2" t="s">
        <v>21425</v>
      </c>
      <c r="L1886" s="2" t="s">
        <v>21426</v>
      </c>
      <c r="M1886" s="2" t="s">
        <v>21427</v>
      </c>
      <c r="N1886" s="2" t="s">
        <v>21428</v>
      </c>
      <c r="O1886" s="2" t="s">
        <v>21429</v>
      </c>
      <c r="P1886" s="2" t="s">
        <v>21416</v>
      </c>
    </row>
    <row r="1887" spans="1:16" ht="15" customHeight="1">
      <c r="A1887" s="1">
        <v>1886</v>
      </c>
      <c r="B1887" s="2" t="s">
        <v>21430</v>
      </c>
      <c r="C1887" s="2" t="s">
        <v>21431</v>
      </c>
      <c r="D1887" s="2" t="s">
        <v>21432</v>
      </c>
      <c r="E1887" s="351" t="s">
        <v>21433</v>
      </c>
      <c r="F1887" s="2" t="s">
        <v>21434</v>
      </c>
      <c r="G1887" s="2" t="s">
        <v>21435</v>
      </c>
      <c r="H1887" s="2" t="s">
        <v>21436</v>
      </c>
      <c r="I1887" s="2" t="s">
        <v>21437</v>
      </c>
      <c r="J1887" s="2" t="s">
        <v>21438</v>
      </c>
      <c r="K1887" s="2" t="s">
        <v>21439</v>
      </c>
      <c r="L1887" s="2" t="s">
        <v>21440</v>
      </c>
      <c r="M1887" s="2" t="s">
        <v>21441</v>
      </c>
      <c r="N1887" s="2" t="s">
        <v>21442</v>
      </c>
      <c r="O1887" s="2" t="s">
        <v>21443</v>
      </c>
      <c r="P1887" s="2" t="s">
        <v>21430</v>
      </c>
    </row>
    <row r="1888" spans="1:16" ht="15" customHeight="1">
      <c r="A1888" s="1">
        <v>1887</v>
      </c>
      <c r="B1888" s="2" t="s">
        <v>21444</v>
      </c>
      <c r="C1888" s="2" t="s">
        <v>21445</v>
      </c>
      <c r="D1888" s="2" t="s">
        <v>21446</v>
      </c>
      <c r="E1888" s="351" t="s">
        <v>21447</v>
      </c>
      <c r="F1888" s="2" t="s">
        <v>21448</v>
      </c>
      <c r="G1888" s="2" t="s">
        <v>21449</v>
      </c>
      <c r="H1888" s="2" t="s">
        <v>21450</v>
      </c>
      <c r="I1888" s="2" t="s">
        <v>21451</v>
      </c>
      <c r="J1888" s="2" t="s">
        <v>21452</v>
      </c>
      <c r="K1888" s="2" t="s">
        <v>21453</v>
      </c>
      <c r="L1888" s="2" t="s">
        <v>21454</v>
      </c>
      <c r="M1888" s="2" t="s">
        <v>21455</v>
      </c>
      <c r="N1888" s="2" t="s">
        <v>21456</v>
      </c>
      <c r="O1888" s="2" t="s">
        <v>21457</v>
      </c>
      <c r="P1888" s="2" t="s">
        <v>21444</v>
      </c>
    </row>
    <row r="1889" spans="1:16" ht="15" customHeight="1">
      <c r="A1889" s="1">
        <v>1888</v>
      </c>
      <c r="B1889" s="2" t="s">
        <v>21458</v>
      </c>
      <c r="C1889" s="2" t="s">
        <v>21459</v>
      </c>
      <c r="D1889" s="2" t="s">
        <v>21460</v>
      </c>
      <c r="E1889" s="351" t="s">
        <v>21461</v>
      </c>
      <c r="F1889" s="2" t="s">
        <v>21462</v>
      </c>
      <c r="G1889" s="2" t="s">
        <v>21463</v>
      </c>
      <c r="H1889" s="2" t="s">
        <v>21464</v>
      </c>
      <c r="I1889" s="2" t="s">
        <v>21465</v>
      </c>
      <c r="J1889" s="2" t="s">
        <v>21466</v>
      </c>
      <c r="K1889" s="2" t="s">
        <v>21467</v>
      </c>
      <c r="L1889" s="2" t="s">
        <v>21468</v>
      </c>
      <c r="M1889" s="2" t="s">
        <v>21469</v>
      </c>
      <c r="N1889" s="2" t="s">
        <v>21470</v>
      </c>
      <c r="O1889" s="2" t="s">
        <v>21471</v>
      </c>
      <c r="P1889" s="2" t="s">
        <v>21458</v>
      </c>
    </row>
    <row r="1890" spans="1:16" ht="15" customHeight="1">
      <c r="A1890" s="1">
        <v>1889</v>
      </c>
      <c r="B1890" s="2" t="s">
        <v>21472</v>
      </c>
      <c r="C1890" s="2" t="s">
        <v>21473</v>
      </c>
      <c r="D1890" s="2" t="s">
        <v>21474</v>
      </c>
      <c r="E1890" s="351" t="s">
        <v>21475</v>
      </c>
      <c r="F1890" s="2" t="s">
        <v>21476</v>
      </c>
      <c r="G1890" s="2" t="s">
        <v>21477</v>
      </c>
      <c r="H1890" s="2" t="s">
        <v>21478</v>
      </c>
      <c r="I1890" s="2" t="s">
        <v>21479</v>
      </c>
      <c r="J1890" s="2" t="s">
        <v>21480</v>
      </c>
      <c r="K1890" s="2" t="s">
        <v>21481</v>
      </c>
      <c r="L1890" s="2" t="s">
        <v>21482</v>
      </c>
      <c r="M1890" s="2" t="s">
        <v>21483</v>
      </c>
      <c r="N1890" s="2" t="s">
        <v>21484</v>
      </c>
      <c r="O1890" s="2" t="s">
        <v>21485</v>
      </c>
      <c r="P1890" s="2" t="s">
        <v>21472</v>
      </c>
    </row>
    <row r="1891" spans="1:16" ht="15" customHeight="1">
      <c r="A1891" s="1">
        <v>1890</v>
      </c>
      <c r="B1891" s="2" t="s">
        <v>21486</v>
      </c>
      <c r="C1891" s="2" t="s">
        <v>21487</v>
      </c>
      <c r="D1891" s="2" t="s">
        <v>21488</v>
      </c>
      <c r="E1891" s="351" t="s">
        <v>21489</v>
      </c>
      <c r="F1891" s="2" t="s">
        <v>21490</v>
      </c>
      <c r="G1891" s="2" t="s">
        <v>21491</v>
      </c>
      <c r="H1891" s="2" t="s">
        <v>21492</v>
      </c>
      <c r="I1891" s="2" t="s">
        <v>21493</v>
      </c>
      <c r="J1891" s="2" t="s">
        <v>21494</v>
      </c>
      <c r="K1891" s="2" t="s">
        <v>21495</v>
      </c>
      <c r="L1891" s="2" t="s">
        <v>21496</v>
      </c>
      <c r="M1891" s="2" t="s">
        <v>21497</v>
      </c>
      <c r="N1891" s="2" t="s">
        <v>21498</v>
      </c>
      <c r="O1891" s="2" t="s">
        <v>21499</v>
      </c>
      <c r="P1891" s="2" t="s">
        <v>21486</v>
      </c>
    </row>
    <row r="1892" spans="1:16" ht="15" customHeight="1">
      <c r="A1892" s="1">
        <v>1891</v>
      </c>
      <c r="B1892" s="2" t="s">
        <v>21500</v>
      </c>
      <c r="C1892" s="2" t="s">
        <v>21501</v>
      </c>
      <c r="D1892" s="2" t="s">
        <v>21502</v>
      </c>
      <c r="E1892" s="351" t="s">
        <v>21503</v>
      </c>
      <c r="F1892" s="2" t="s">
        <v>21504</v>
      </c>
      <c r="G1892" s="2" t="s">
        <v>21505</v>
      </c>
      <c r="H1892" s="2" t="s">
        <v>21506</v>
      </c>
      <c r="I1892" s="2" t="s">
        <v>21507</v>
      </c>
      <c r="J1892" s="2" t="s">
        <v>21508</v>
      </c>
      <c r="K1892" s="2" t="s">
        <v>21509</v>
      </c>
      <c r="L1892" s="2" t="s">
        <v>21510</v>
      </c>
      <c r="M1892" s="2" t="s">
        <v>21511</v>
      </c>
      <c r="N1892" s="2" t="s">
        <v>21512</v>
      </c>
      <c r="O1892" s="2" t="s">
        <v>21513</v>
      </c>
      <c r="P1892" s="2" t="s">
        <v>21500</v>
      </c>
    </row>
    <row r="1893" spans="1:16" ht="15" customHeight="1">
      <c r="A1893" s="1">
        <v>1892</v>
      </c>
      <c r="B1893" s="2" t="s">
        <v>21514</v>
      </c>
      <c r="C1893" s="2" t="s">
        <v>21515</v>
      </c>
      <c r="D1893" s="2" t="s">
        <v>21516</v>
      </c>
      <c r="E1893" s="351" t="s">
        <v>21517</v>
      </c>
      <c r="F1893" s="2" t="s">
        <v>21518</v>
      </c>
      <c r="G1893" s="2" t="s">
        <v>21519</v>
      </c>
      <c r="H1893" s="2" t="s">
        <v>21520</v>
      </c>
      <c r="I1893" s="2" t="s">
        <v>21521</v>
      </c>
      <c r="J1893" s="2" t="s">
        <v>21522</v>
      </c>
      <c r="K1893" s="2" t="s">
        <v>21523</v>
      </c>
      <c r="L1893" s="2" t="s">
        <v>21524</v>
      </c>
      <c r="M1893" s="2" t="s">
        <v>21525</v>
      </c>
      <c r="N1893" s="2" t="s">
        <v>21526</v>
      </c>
      <c r="O1893" s="2" t="s">
        <v>21527</v>
      </c>
      <c r="P1893" s="2" t="s">
        <v>21514</v>
      </c>
    </row>
    <row r="1894" spans="1:16" ht="15" customHeight="1">
      <c r="A1894" s="1">
        <v>1893</v>
      </c>
      <c r="B1894" s="2" t="s">
        <v>21528</v>
      </c>
      <c r="C1894" s="2" t="s">
        <v>21529</v>
      </c>
      <c r="D1894" s="2" t="s">
        <v>21530</v>
      </c>
      <c r="E1894" s="351" t="s">
        <v>21531</v>
      </c>
      <c r="F1894" s="2" t="s">
        <v>21532</v>
      </c>
      <c r="G1894" s="2" t="s">
        <v>21533</v>
      </c>
      <c r="H1894" s="2" t="s">
        <v>21534</v>
      </c>
      <c r="I1894" s="2" t="s">
        <v>21535</v>
      </c>
      <c r="J1894" s="2" t="s">
        <v>21536</v>
      </c>
      <c r="K1894" s="2" t="s">
        <v>21537</v>
      </c>
      <c r="L1894" s="2" t="s">
        <v>21538</v>
      </c>
      <c r="M1894" s="2" t="s">
        <v>21539</v>
      </c>
      <c r="N1894" s="2" t="s">
        <v>21540</v>
      </c>
      <c r="O1894" s="2" t="s">
        <v>21541</v>
      </c>
      <c r="P1894" s="2" t="s">
        <v>21528</v>
      </c>
    </row>
    <row r="1895" spans="1:16" ht="15" customHeight="1">
      <c r="A1895" s="1">
        <v>1894</v>
      </c>
      <c r="B1895" s="2" t="s">
        <v>21542</v>
      </c>
      <c r="C1895" s="2" t="s">
        <v>21543</v>
      </c>
      <c r="D1895" s="2" t="s">
        <v>21544</v>
      </c>
      <c r="E1895" s="351" t="s">
        <v>21545</v>
      </c>
      <c r="F1895" s="2" t="s">
        <v>21546</v>
      </c>
      <c r="G1895" s="2" t="s">
        <v>21547</v>
      </c>
      <c r="H1895" s="2" t="s">
        <v>21548</v>
      </c>
      <c r="I1895" s="2" t="s">
        <v>21549</v>
      </c>
      <c r="J1895" s="2" t="s">
        <v>21550</v>
      </c>
      <c r="K1895" s="2" t="s">
        <v>21551</v>
      </c>
      <c r="L1895" s="2" t="s">
        <v>21552</v>
      </c>
      <c r="M1895" s="2" t="s">
        <v>21553</v>
      </c>
      <c r="N1895" s="2" t="s">
        <v>21554</v>
      </c>
      <c r="O1895" s="2" t="s">
        <v>21555</v>
      </c>
      <c r="P1895" s="2" t="s">
        <v>21542</v>
      </c>
    </row>
    <row r="1896" spans="1:16" ht="15" customHeight="1">
      <c r="A1896" s="1">
        <v>1895</v>
      </c>
      <c r="B1896" s="2" t="s">
        <v>21556</v>
      </c>
      <c r="C1896" s="2" t="s">
        <v>21557</v>
      </c>
      <c r="D1896" s="2" t="s">
        <v>21558</v>
      </c>
      <c r="E1896" s="351" t="s">
        <v>21559</v>
      </c>
      <c r="F1896" s="2" t="s">
        <v>21560</v>
      </c>
      <c r="G1896" s="2" t="s">
        <v>21561</v>
      </c>
      <c r="H1896" s="2" t="s">
        <v>21562</v>
      </c>
      <c r="I1896" s="2" t="s">
        <v>21563</v>
      </c>
      <c r="J1896" s="2" t="s">
        <v>21564</v>
      </c>
      <c r="K1896" s="2" t="s">
        <v>21565</v>
      </c>
      <c r="L1896" s="2" t="s">
        <v>21566</v>
      </c>
      <c r="M1896" s="2" t="s">
        <v>21567</v>
      </c>
      <c r="N1896" s="2" t="s">
        <v>21568</v>
      </c>
      <c r="O1896" s="2" t="s">
        <v>21569</v>
      </c>
      <c r="P1896" s="2" t="s">
        <v>21556</v>
      </c>
    </row>
    <row r="1897" spans="1:16" ht="15" customHeight="1">
      <c r="A1897" s="1">
        <v>1896</v>
      </c>
      <c r="B1897" s="2" t="s">
        <v>21570</v>
      </c>
      <c r="C1897" s="2" t="s">
        <v>21571</v>
      </c>
      <c r="D1897" s="2" t="s">
        <v>21572</v>
      </c>
      <c r="E1897" s="351" t="s">
        <v>21573</v>
      </c>
      <c r="F1897" s="2" t="s">
        <v>21574</v>
      </c>
      <c r="G1897" s="2" t="s">
        <v>21575</v>
      </c>
      <c r="H1897" s="2" t="s">
        <v>21576</v>
      </c>
      <c r="I1897" s="2" t="s">
        <v>21577</v>
      </c>
      <c r="J1897" s="2" t="s">
        <v>21578</v>
      </c>
      <c r="K1897" s="2" t="s">
        <v>21579</v>
      </c>
      <c r="L1897" s="2" t="s">
        <v>21580</v>
      </c>
      <c r="M1897" s="2" t="s">
        <v>21581</v>
      </c>
      <c r="N1897" s="2" t="s">
        <v>21582</v>
      </c>
      <c r="O1897" s="2" t="s">
        <v>21583</v>
      </c>
      <c r="P1897" s="2" t="s">
        <v>21570</v>
      </c>
    </row>
    <row r="1898" spans="1:16" ht="15" customHeight="1">
      <c r="A1898" s="1">
        <v>1897</v>
      </c>
      <c r="B1898" s="2" t="s">
        <v>21584</v>
      </c>
      <c r="C1898" s="2" t="s">
        <v>21585</v>
      </c>
      <c r="D1898" s="2" t="s">
        <v>21586</v>
      </c>
      <c r="E1898" s="351" t="s">
        <v>21587</v>
      </c>
      <c r="F1898" s="2" t="s">
        <v>21588</v>
      </c>
      <c r="G1898" s="2" t="s">
        <v>21589</v>
      </c>
      <c r="H1898" s="2" t="s">
        <v>21590</v>
      </c>
      <c r="I1898" s="2" t="s">
        <v>21591</v>
      </c>
      <c r="J1898" s="2" t="s">
        <v>21592</v>
      </c>
      <c r="K1898" s="2" t="s">
        <v>21593</v>
      </c>
      <c r="L1898" s="2" t="s">
        <v>21594</v>
      </c>
      <c r="M1898" s="2" t="s">
        <v>21595</v>
      </c>
      <c r="N1898" s="2" t="s">
        <v>21596</v>
      </c>
      <c r="O1898" s="2" t="s">
        <v>21597</v>
      </c>
      <c r="P1898" s="2" t="s">
        <v>21584</v>
      </c>
    </row>
    <row r="1899" spans="1:16" ht="15" customHeight="1">
      <c r="A1899" s="1">
        <v>1898</v>
      </c>
      <c r="B1899" s="2" t="s">
        <v>21598</v>
      </c>
      <c r="C1899" s="2" t="s">
        <v>21599</v>
      </c>
      <c r="D1899" s="2" t="s">
        <v>21600</v>
      </c>
      <c r="E1899" s="351" t="s">
        <v>21601</v>
      </c>
      <c r="F1899" s="2" t="s">
        <v>21602</v>
      </c>
      <c r="G1899" s="2" t="s">
        <v>21603</v>
      </c>
      <c r="H1899" s="2" t="s">
        <v>21604</v>
      </c>
      <c r="I1899" s="2" t="s">
        <v>21605</v>
      </c>
      <c r="J1899" s="2" t="s">
        <v>21606</v>
      </c>
      <c r="K1899" s="2" t="s">
        <v>21607</v>
      </c>
      <c r="L1899" s="2" t="s">
        <v>21608</v>
      </c>
      <c r="M1899" s="2" t="s">
        <v>21609</v>
      </c>
      <c r="N1899" s="2" t="s">
        <v>21610</v>
      </c>
      <c r="O1899" s="2" t="s">
        <v>21611</v>
      </c>
      <c r="P1899" s="2" t="s">
        <v>21598</v>
      </c>
    </row>
    <row r="1900" spans="1:16" ht="15" customHeight="1">
      <c r="A1900" s="1">
        <v>1899</v>
      </c>
      <c r="B1900" s="2" t="s">
        <v>21612</v>
      </c>
      <c r="C1900" s="2" t="s">
        <v>21613</v>
      </c>
      <c r="D1900" s="2" t="s">
        <v>21614</v>
      </c>
      <c r="E1900" s="351" t="s">
        <v>21615</v>
      </c>
      <c r="F1900" s="2" t="s">
        <v>21616</v>
      </c>
      <c r="G1900" s="2" t="s">
        <v>21617</v>
      </c>
      <c r="H1900" s="2" t="s">
        <v>21618</v>
      </c>
      <c r="I1900" s="2" t="s">
        <v>21619</v>
      </c>
      <c r="J1900" s="2" t="s">
        <v>21620</v>
      </c>
      <c r="K1900" s="2" t="s">
        <v>21621</v>
      </c>
      <c r="L1900" s="2" t="s">
        <v>21622</v>
      </c>
      <c r="M1900" s="2" t="s">
        <v>21623</v>
      </c>
      <c r="N1900" s="2" t="s">
        <v>21624</v>
      </c>
      <c r="O1900" s="2" t="s">
        <v>21625</v>
      </c>
      <c r="P1900" s="2" t="s">
        <v>21612</v>
      </c>
    </row>
    <row r="1901" spans="1:16" ht="15" customHeight="1">
      <c r="A1901" s="1">
        <v>1900</v>
      </c>
      <c r="B1901" s="2" t="s">
        <v>22650</v>
      </c>
      <c r="C1901" s="2" t="s">
        <v>21627</v>
      </c>
      <c r="D1901" s="2" t="s">
        <v>21628</v>
      </c>
      <c r="E1901" s="2" t="s">
        <v>21629</v>
      </c>
      <c r="F1901" s="2" t="s">
        <v>21630</v>
      </c>
      <c r="G1901" s="2" t="s">
        <v>21631</v>
      </c>
      <c r="H1901" s="2" t="s">
        <v>21632</v>
      </c>
      <c r="I1901" s="2" t="s">
        <v>21633</v>
      </c>
      <c r="J1901" s="2" t="s">
        <v>21634</v>
      </c>
      <c r="K1901" s="2" t="s">
        <v>21635</v>
      </c>
      <c r="L1901" s="2" t="s">
        <v>21636</v>
      </c>
      <c r="M1901" s="2" t="s">
        <v>21637</v>
      </c>
      <c r="N1901" s="2" t="s">
        <v>21638</v>
      </c>
      <c r="O1901" s="2" t="s">
        <v>21639</v>
      </c>
      <c r="P1901" s="2" t="s">
        <v>21626</v>
      </c>
    </row>
    <row r="1902" spans="1:16" ht="15" customHeight="1">
      <c r="A1902" s="1">
        <v>1901</v>
      </c>
      <c r="B1902" s="2" t="s">
        <v>21640</v>
      </c>
      <c r="C1902" s="2" t="s">
        <v>21641</v>
      </c>
      <c r="D1902" s="2" t="s">
        <v>21642</v>
      </c>
      <c r="E1902" s="2" t="s">
        <v>21643</v>
      </c>
      <c r="F1902" s="2" t="s">
        <v>21644</v>
      </c>
      <c r="G1902" s="2" t="s">
        <v>21645</v>
      </c>
      <c r="H1902" s="2" t="s">
        <v>21646</v>
      </c>
      <c r="I1902" s="2" t="s">
        <v>21647</v>
      </c>
      <c r="J1902" s="2" t="s">
        <v>21648</v>
      </c>
      <c r="K1902" s="2" t="s">
        <v>21649</v>
      </c>
      <c r="L1902" s="2" t="s">
        <v>21650</v>
      </c>
      <c r="M1902" s="2" t="s">
        <v>21651</v>
      </c>
      <c r="N1902" s="2" t="s">
        <v>21652</v>
      </c>
      <c r="O1902" s="2" t="s">
        <v>21653</v>
      </c>
      <c r="P1902" s="2" t="s">
        <v>21640</v>
      </c>
    </row>
    <row r="1903" spans="1:16" ht="15" customHeight="1">
      <c r="A1903" s="1">
        <v>1902</v>
      </c>
      <c r="B1903" s="2" t="s">
        <v>21654</v>
      </c>
      <c r="C1903" s="2" t="s">
        <v>21655</v>
      </c>
      <c r="D1903" s="2" t="s">
        <v>21656</v>
      </c>
      <c r="E1903" s="2" t="s">
        <v>21657</v>
      </c>
      <c r="F1903" s="2" t="s">
        <v>21658</v>
      </c>
      <c r="G1903" s="2" t="s">
        <v>21659</v>
      </c>
      <c r="H1903" s="2" t="s">
        <v>21660</v>
      </c>
      <c r="I1903" s="2" t="s">
        <v>21661</v>
      </c>
      <c r="J1903" s="2" t="s">
        <v>21662</v>
      </c>
      <c r="K1903" s="2" t="s">
        <v>21663</v>
      </c>
      <c r="L1903" s="2" t="s">
        <v>21664</v>
      </c>
      <c r="M1903" s="2" t="s">
        <v>21665</v>
      </c>
      <c r="N1903" s="2" t="s">
        <v>21666</v>
      </c>
      <c r="O1903" s="2" t="s">
        <v>21667</v>
      </c>
      <c r="P1903" s="2" t="s">
        <v>21654</v>
      </c>
    </row>
    <row r="1904" spans="1:16" ht="15" customHeight="1">
      <c r="A1904" s="1">
        <v>1903</v>
      </c>
      <c r="B1904" s="2" t="s">
        <v>21668</v>
      </c>
      <c r="C1904" s="2" t="s">
        <v>21655</v>
      </c>
      <c r="D1904" s="2" t="s">
        <v>21669</v>
      </c>
      <c r="E1904" s="2" t="s">
        <v>21670</v>
      </c>
      <c r="F1904" s="2" t="s">
        <v>21671</v>
      </c>
      <c r="G1904" s="2" t="s">
        <v>21672</v>
      </c>
      <c r="H1904" s="2" t="s">
        <v>21673</v>
      </c>
      <c r="I1904" s="2" t="s">
        <v>21674</v>
      </c>
      <c r="J1904" s="2" t="s">
        <v>21675</v>
      </c>
      <c r="K1904" s="2" t="s">
        <v>21676</v>
      </c>
      <c r="L1904" s="2" t="s">
        <v>21677</v>
      </c>
      <c r="M1904" s="2" t="s">
        <v>21678</v>
      </c>
      <c r="N1904" s="2" t="s">
        <v>21679</v>
      </c>
      <c r="O1904" s="2" t="s">
        <v>21680</v>
      </c>
      <c r="P1904" s="2" t="s">
        <v>21668</v>
      </c>
    </row>
    <row r="1905" spans="1:16" ht="15" customHeight="1">
      <c r="A1905" s="1">
        <v>1904</v>
      </c>
      <c r="B1905" s="2" t="s">
        <v>21681</v>
      </c>
      <c r="C1905" s="2" t="s">
        <v>21682</v>
      </c>
      <c r="D1905" s="2" t="s">
        <v>21683</v>
      </c>
      <c r="E1905" s="2" t="s">
        <v>21684</v>
      </c>
      <c r="F1905" s="2" t="s">
        <v>21685</v>
      </c>
      <c r="G1905" s="2" t="s">
        <v>21686</v>
      </c>
      <c r="H1905" s="2" t="s">
        <v>21687</v>
      </c>
      <c r="I1905" s="2" t="s">
        <v>21688</v>
      </c>
      <c r="J1905" s="2" t="s">
        <v>21689</v>
      </c>
      <c r="K1905" s="2" t="s">
        <v>21690</v>
      </c>
      <c r="L1905" s="2" t="s">
        <v>21691</v>
      </c>
      <c r="M1905" s="2" t="s">
        <v>21692</v>
      </c>
      <c r="N1905" s="2" t="s">
        <v>21693</v>
      </c>
      <c r="O1905" s="2" t="s">
        <v>21694</v>
      </c>
      <c r="P1905" s="2" t="s">
        <v>21681</v>
      </c>
    </row>
    <row r="1906" spans="1:16" ht="15" customHeight="1">
      <c r="A1906" s="1">
        <v>1905</v>
      </c>
      <c r="B1906" s="2" t="s">
        <v>21598</v>
      </c>
      <c r="C1906" s="2" t="s">
        <v>21599</v>
      </c>
      <c r="D1906" s="2" t="s">
        <v>21600</v>
      </c>
      <c r="E1906" s="351" t="s">
        <v>21601</v>
      </c>
      <c r="F1906" s="2" t="s">
        <v>21602</v>
      </c>
      <c r="G1906" s="2" t="s">
        <v>21603</v>
      </c>
      <c r="H1906" s="2" t="s">
        <v>21604</v>
      </c>
      <c r="I1906" s="2" t="s">
        <v>21605</v>
      </c>
      <c r="J1906" s="2" t="s">
        <v>21606</v>
      </c>
      <c r="K1906" s="2" t="s">
        <v>21607</v>
      </c>
      <c r="L1906" s="2" t="s">
        <v>21608</v>
      </c>
      <c r="M1906" s="2" t="s">
        <v>21609</v>
      </c>
      <c r="N1906" s="2" t="s">
        <v>21610</v>
      </c>
      <c r="O1906" s="2" t="s">
        <v>21611</v>
      </c>
      <c r="P1906" s="2" t="s">
        <v>21598</v>
      </c>
    </row>
    <row r="1907" spans="1:16" ht="15" customHeight="1">
      <c r="A1907" s="1">
        <v>1906</v>
      </c>
      <c r="B1907" s="2" t="s">
        <v>21612</v>
      </c>
      <c r="C1907" s="2" t="s">
        <v>21613</v>
      </c>
      <c r="D1907" s="2" t="s">
        <v>21614</v>
      </c>
      <c r="E1907" s="351" t="s">
        <v>21615</v>
      </c>
      <c r="F1907" s="2" t="s">
        <v>21616</v>
      </c>
      <c r="G1907" s="2" t="s">
        <v>21617</v>
      </c>
      <c r="H1907" s="2" t="s">
        <v>21618</v>
      </c>
      <c r="I1907" s="2" t="s">
        <v>21619</v>
      </c>
      <c r="J1907" s="2" t="s">
        <v>21620</v>
      </c>
      <c r="K1907" s="2" t="s">
        <v>21621</v>
      </c>
      <c r="L1907" s="2" t="s">
        <v>21622</v>
      </c>
      <c r="M1907" s="2" t="s">
        <v>21623</v>
      </c>
      <c r="N1907" s="2" t="s">
        <v>21624</v>
      </c>
      <c r="O1907" s="2" t="s">
        <v>21625</v>
      </c>
      <c r="P1907" s="2" t="s">
        <v>21612</v>
      </c>
    </row>
    <row r="1908" spans="1:16" ht="15" customHeight="1">
      <c r="A1908" s="1">
        <v>1907</v>
      </c>
      <c r="B1908" s="2" t="s">
        <v>21695</v>
      </c>
      <c r="C1908" s="2" t="s">
        <v>21696</v>
      </c>
      <c r="D1908" s="2" t="s">
        <v>21697</v>
      </c>
      <c r="E1908" s="351" t="s">
        <v>21698</v>
      </c>
      <c r="F1908" s="2" t="s">
        <v>21699</v>
      </c>
      <c r="G1908" s="2" t="s">
        <v>21700</v>
      </c>
      <c r="H1908" s="2" t="s">
        <v>21701</v>
      </c>
      <c r="I1908" s="2" t="s">
        <v>21702</v>
      </c>
      <c r="J1908" s="2" t="s">
        <v>21703</v>
      </c>
      <c r="K1908" s="2" t="s">
        <v>21704</v>
      </c>
      <c r="L1908" s="2" t="s">
        <v>21705</v>
      </c>
      <c r="M1908" s="2" t="s">
        <v>21706</v>
      </c>
      <c r="N1908" s="2" t="s">
        <v>21707</v>
      </c>
      <c r="O1908" s="2" t="s">
        <v>21708</v>
      </c>
      <c r="P1908" s="2" t="s">
        <v>21695</v>
      </c>
    </row>
    <row r="1909" spans="1:16" ht="15" customHeight="1">
      <c r="A1909" s="1">
        <v>1908</v>
      </c>
      <c r="B1909" s="2" t="s">
        <v>21709</v>
      </c>
      <c r="C1909" s="2" t="s">
        <v>21710</v>
      </c>
      <c r="D1909" s="2" t="s">
        <v>21711</v>
      </c>
      <c r="E1909" s="351" t="s">
        <v>21712</v>
      </c>
      <c r="F1909" s="2" t="s">
        <v>21713</v>
      </c>
      <c r="G1909" s="2" t="s">
        <v>21714</v>
      </c>
      <c r="H1909" s="2" t="s">
        <v>21715</v>
      </c>
      <c r="I1909" s="2" t="s">
        <v>21716</v>
      </c>
      <c r="J1909" s="2" t="s">
        <v>21717</v>
      </c>
      <c r="K1909" s="2" t="s">
        <v>21718</v>
      </c>
      <c r="L1909" s="2" t="s">
        <v>21719</v>
      </c>
      <c r="M1909" s="2" t="s">
        <v>21720</v>
      </c>
      <c r="N1909" s="2" t="s">
        <v>21721</v>
      </c>
      <c r="O1909" s="2" t="s">
        <v>21722</v>
      </c>
      <c r="P1909" s="2" t="s">
        <v>21709</v>
      </c>
    </row>
    <row r="1910" spans="1:16" ht="15" customHeight="1">
      <c r="A1910" s="1">
        <v>1909</v>
      </c>
      <c r="B1910" s="2" t="s">
        <v>21723</v>
      </c>
      <c r="C1910" s="2" t="s">
        <v>21724</v>
      </c>
      <c r="D1910" s="2" t="s">
        <v>21725</v>
      </c>
      <c r="E1910" s="351" t="s">
        <v>21726</v>
      </c>
      <c r="F1910" s="2" t="s">
        <v>21727</v>
      </c>
      <c r="G1910" s="2" t="s">
        <v>21728</v>
      </c>
      <c r="H1910" s="2" t="s">
        <v>21729</v>
      </c>
      <c r="I1910" s="2" t="s">
        <v>21730</v>
      </c>
      <c r="J1910" s="2" t="s">
        <v>21731</v>
      </c>
      <c r="K1910" s="2" t="s">
        <v>21732</v>
      </c>
      <c r="L1910" s="2" t="s">
        <v>21733</v>
      </c>
      <c r="M1910" s="2" t="s">
        <v>21734</v>
      </c>
      <c r="N1910" s="2" t="s">
        <v>21734</v>
      </c>
      <c r="O1910" s="2" t="s">
        <v>21735</v>
      </c>
      <c r="P1910" s="2" t="s">
        <v>21723</v>
      </c>
    </row>
    <row r="1911" spans="1:16" ht="15" customHeight="1">
      <c r="A1911" s="1">
        <v>1910</v>
      </c>
      <c r="B1911" s="2" t="s">
        <v>21736</v>
      </c>
      <c r="C1911" s="2" t="s">
        <v>21737</v>
      </c>
      <c r="D1911" s="2" t="s">
        <v>21738</v>
      </c>
      <c r="E1911" s="351" t="s">
        <v>21739</v>
      </c>
      <c r="F1911" s="2" t="s">
        <v>21740</v>
      </c>
      <c r="G1911" s="2" t="s">
        <v>21741</v>
      </c>
      <c r="H1911" s="2" t="s">
        <v>21742</v>
      </c>
      <c r="I1911" s="2" t="s">
        <v>21743</v>
      </c>
      <c r="J1911" s="2" t="s">
        <v>21744</v>
      </c>
      <c r="K1911" s="2" t="s">
        <v>21745</v>
      </c>
      <c r="L1911" s="2" t="s">
        <v>21746</v>
      </c>
      <c r="M1911" s="2" t="s">
        <v>21747</v>
      </c>
      <c r="N1911" s="2" t="s">
        <v>21747</v>
      </c>
      <c r="O1911" s="2" t="s">
        <v>21748</v>
      </c>
      <c r="P1911" s="2" t="s">
        <v>21736</v>
      </c>
    </row>
    <row r="1912" spans="1:16" ht="15" customHeight="1">
      <c r="A1912" s="1">
        <v>1911</v>
      </c>
      <c r="B1912" s="2" t="s">
        <v>22651</v>
      </c>
      <c r="C1912" s="2" t="s">
        <v>21750</v>
      </c>
      <c r="D1912" s="2" t="s">
        <v>21751</v>
      </c>
      <c r="E1912" s="351" t="s">
        <v>25821</v>
      </c>
      <c r="F1912" s="2" t="s">
        <v>21752</v>
      </c>
      <c r="G1912" s="2" t="s">
        <v>21753</v>
      </c>
      <c r="H1912" s="2" t="s">
        <v>21754</v>
      </c>
      <c r="I1912" s="2" t="s">
        <v>21755</v>
      </c>
      <c r="J1912" s="2" t="s">
        <v>21756</v>
      </c>
      <c r="K1912" s="2" t="s">
        <v>21757</v>
      </c>
      <c r="L1912" s="2" t="s">
        <v>21758</v>
      </c>
      <c r="M1912" s="2" t="s">
        <v>21759</v>
      </c>
      <c r="N1912" s="2" t="s">
        <v>21760</v>
      </c>
      <c r="O1912" s="2" t="s">
        <v>21761</v>
      </c>
      <c r="P1912" s="2" t="s">
        <v>21749</v>
      </c>
    </row>
    <row r="1913" spans="1:16" ht="15" customHeight="1">
      <c r="A1913" s="1">
        <v>1912</v>
      </c>
      <c r="B1913" s="2" t="s">
        <v>22652</v>
      </c>
      <c r="C1913" s="2" t="s">
        <v>25221</v>
      </c>
      <c r="D1913" s="2" t="s">
        <v>22964</v>
      </c>
      <c r="E1913" s="2" t="s">
        <v>22965</v>
      </c>
      <c r="F1913" s="2" t="s">
        <v>22966</v>
      </c>
      <c r="G1913" s="2" t="s">
        <v>22967</v>
      </c>
      <c r="H1913" s="2" t="s">
        <v>22968</v>
      </c>
      <c r="I1913" s="2" t="s">
        <v>22969</v>
      </c>
      <c r="J1913" s="2" t="s">
        <v>22970</v>
      </c>
      <c r="K1913" s="2" t="s">
        <v>22971</v>
      </c>
      <c r="L1913" s="2" t="s">
        <v>22972</v>
      </c>
      <c r="M1913" s="2" t="s">
        <v>22973</v>
      </c>
      <c r="N1913" s="2" t="s">
        <v>22974</v>
      </c>
      <c r="O1913" s="2" t="s">
        <v>22975</v>
      </c>
      <c r="P1913" s="2" t="s">
        <v>22652</v>
      </c>
    </row>
    <row r="1914" spans="1:16" ht="15" customHeight="1">
      <c r="A1914" s="1">
        <v>1913</v>
      </c>
      <c r="B1914" s="2" t="s">
        <v>22653</v>
      </c>
      <c r="C1914" s="2" t="s">
        <v>22976</v>
      </c>
      <c r="D1914" s="2" t="s">
        <v>22977</v>
      </c>
      <c r="E1914" s="2" t="s">
        <v>22978</v>
      </c>
      <c r="F1914" s="2" t="s">
        <v>22979</v>
      </c>
      <c r="G1914" s="2" t="s">
        <v>22980</v>
      </c>
      <c r="H1914" s="2" t="s">
        <v>22981</v>
      </c>
      <c r="I1914" s="2" t="s">
        <v>22982</v>
      </c>
      <c r="J1914" s="2" t="s">
        <v>22983</v>
      </c>
      <c r="K1914" s="2" t="s">
        <v>22984</v>
      </c>
      <c r="L1914" s="2" t="s">
        <v>22985</v>
      </c>
      <c r="M1914" s="2" t="s">
        <v>22986</v>
      </c>
      <c r="N1914" s="2" t="s">
        <v>22987</v>
      </c>
      <c r="O1914" s="2" t="s">
        <v>22988</v>
      </c>
      <c r="P1914" s="2" t="s">
        <v>22653</v>
      </c>
    </row>
    <row r="1915" spans="1:16" ht="15" customHeight="1">
      <c r="A1915" s="1">
        <v>1914</v>
      </c>
      <c r="B1915" s="2" t="s">
        <v>25822</v>
      </c>
      <c r="C1915" s="2" t="s">
        <v>25823</v>
      </c>
      <c r="D1915" s="2" t="s">
        <v>22989</v>
      </c>
      <c r="E1915" s="2" t="s">
        <v>25824</v>
      </c>
      <c r="F1915" s="2" t="s">
        <v>25825</v>
      </c>
      <c r="G1915" s="2" t="s">
        <v>25826</v>
      </c>
      <c r="H1915" s="2" t="s">
        <v>25827</v>
      </c>
      <c r="I1915" s="2" t="s">
        <v>25828</v>
      </c>
      <c r="J1915" s="2" t="s">
        <v>25829</v>
      </c>
      <c r="K1915" s="2" t="s">
        <v>25822</v>
      </c>
      <c r="L1915" s="2" t="s">
        <v>25830</v>
      </c>
      <c r="M1915" s="2" t="s">
        <v>25822</v>
      </c>
      <c r="N1915" s="2" t="s">
        <v>25822</v>
      </c>
      <c r="O1915" s="2" t="s">
        <v>25827</v>
      </c>
      <c r="P1915" s="2" t="s">
        <v>25822</v>
      </c>
    </row>
    <row r="1916" spans="1:16" ht="15" customHeight="1">
      <c r="A1916" s="1">
        <v>1915</v>
      </c>
      <c r="B1916" s="2" t="s">
        <v>22654</v>
      </c>
      <c r="C1916" s="2" t="s">
        <v>22990</v>
      </c>
      <c r="D1916" s="2" t="s">
        <v>22991</v>
      </c>
      <c r="E1916" s="2" t="s">
        <v>22992</v>
      </c>
      <c r="F1916" s="2" t="s">
        <v>22993</v>
      </c>
      <c r="G1916" s="2" t="s">
        <v>22994</v>
      </c>
      <c r="H1916" s="2" t="s">
        <v>22995</v>
      </c>
      <c r="I1916" s="2" t="s">
        <v>22996</v>
      </c>
      <c r="J1916" s="2" t="s">
        <v>22997</v>
      </c>
      <c r="K1916" s="2" t="s">
        <v>22654</v>
      </c>
      <c r="L1916" s="2" t="s">
        <v>22998</v>
      </c>
      <c r="M1916" s="2" t="s">
        <v>22654</v>
      </c>
      <c r="N1916" s="2" t="s">
        <v>22654</v>
      </c>
      <c r="O1916" s="2" t="s">
        <v>22995</v>
      </c>
      <c r="P1916" s="2" t="s">
        <v>22654</v>
      </c>
    </row>
    <row r="1917" spans="1:16" ht="15" customHeight="1">
      <c r="A1917" s="1">
        <v>1916</v>
      </c>
      <c r="B1917" s="2" t="s">
        <v>22655</v>
      </c>
      <c r="C1917" s="2" t="s">
        <v>22999</v>
      </c>
      <c r="D1917" s="2" t="s">
        <v>23000</v>
      </c>
      <c r="E1917" s="351" t="s">
        <v>25831</v>
      </c>
      <c r="F1917" s="2" t="s">
        <v>23001</v>
      </c>
      <c r="G1917" s="2" t="s">
        <v>23002</v>
      </c>
      <c r="H1917" s="2" t="s">
        <v>23003</v>
      </c>
      <c r="I1917" s="2" t="s">
        <v>23004</v>
      </c>
      <c r="J1917" s="2" t="s">
        <v>23005</v>
      </c>
      <c r="K1917" s="2" t="s">
        <v>23006</v>
      </c>
      <c r="L1917" s="2" t="s">
        <v>23007</v>
      </c>
      <c r="M1917" s="2" t="s">
        <v>23008</v>
      </c>
      <c r="N1917" s="2" t="s">
        <v>23009</v>
      </c>
      <c r="O1917" s="2" t="s">
        <v>23010</v>
      </c>
      <c r="P1917" s="2" t="s">
        <v>22655</v>
      </c>
    </row>
    <row r="1918" spans="1:16">
      <c r="A1918" s="1">
        <v>1917</v>
      </c>
      <c r="B1918" s="2" t="s">
        <v>22656</v>
      </c>
      <c r="C1918" s="2" t="s">
        <v>21763</v>
      </c>
      <c r="D1918" s="2" t="s">
        <v>21764</v>
      </c>
      <c r="E1918" s="2" t="s">
        <v>23011</v>
      </c>
      <c r="F1918" s="2" t="s">
        <v>23012</v>
      </c>
      <c r="G1918" s="2" t="s">
        <v>23013</v>
      </c>
      <c r="H1918" s="2" t="s">
        <v>23014</v>
      </c>
      <c r="I1918" s="2" t="s">
        <v>23015</v>
      </c>
      <c r="J1918" s="2" t="s">
        <v>23016</v>
      </c>
      <c r="K1918" s="2" t="s">
        <v>23017</v>
      </c>
      <c r="L1918" s="2" t="s">
        <v>23018</v>
      </c>
      <c r="M1918" s="2" t="s">
        <v>21765</v>
      </c>
      <c r="N1918" s="2" t="s">
        <v>23019</v>
      </c>
      <c r="O1918" s="2" t="s">
        <v>23020</v>
      </c>
      <c r="P1918" s="2" t="s">
        <v>21762</v>
      </c>
    </row>
    <row r="1919" spans="1:16" ht="15" customHeight="1">
      <c r="A1919" s="1">
        <v>1918</v>
      </c>
      <c r="B1919" s="2" t="s">
        <v>22657</v>
      </c>
      <c r="C1919" s="4" t="s">
        <v>21767</v>
      </c>
      <c r="D1919" s="4" t="s">
        <v>25222</v>
      </c>
      <c r="E1919" s="2" t="s">
        <v>25832</v>
      </c>
      <c r="F1919" s="2" t="s">
        <v>23021</v>
      </c>
      <c r="H1919" s="2" t="s">
        <v>23022</v>
      </c>
      <c r="P1919" s="2" t="s">
        <v>21766</v>
      </c>
    </row>
    <row r="1920" spans="1:16" ht="15" customHeight="1">
      <c r="A1920" s="1">
        <v>1919</v>
      </c>
      <c r="B1920" s="2" t="s">
        <v>22658</v>
      </c>
      <c r="C1920" s="2" t="s">
        <v>21769</v>
      </c>
      <c r="D1920" s="4" t="s">
        <v>25223</v>
      </c>
      <c r="E1920" s="2" t="s">
        <v>25833</v>
      </c>
      <c r="F1920" s="2" t="s">
        <v>23023</v>
      </c>
      <c r="H1920" s="2" t="s">
        <v>23024</v>
      </c>
      <c r="P1920" s="2" t="s">
        <v>21768</v>
      </c>
    </row>
    <row r="1921" spans="1:16" ht="15" customHeight="1">
      <c r="A1921" s="1">
        <v>1920</v>
      </c>
      <c r="B1921" s="2" t="s">
        <v>22659</v>
      </c>
      <c r="C1921" s="4" t="s">
        <v>25224</v>
      </c>
      <c r="D1921" s="4" t="s">
        <v>25225</v>
      </c>
      <c r="E1921" s="2" t="s">
        <v>25834</v>
      </c>
      <c r="F1921" s="2" t="s">
        <v>23025</v>
      </c>
      <c r="H1921" s="2" t="s">
        <v>23026</v>
      </c>
      <c r="P1921" s="2" t="s">
        <v>21770</v>
      </c>
    </row>
    <row r="1922" spans="1:16" ht="15" customHeight="1">
      <c r="A1922" s="1">
        <v>1921</v>
      </c>
      <c r="B1922" s="2" t="s">
        <v>8810</v>
      </c>
      <c r="C1922" s="4" t="s">
        <v>21772</v>
      </c>
      <c r="D1922" s="4" t="s">
        <v>21773</v>
      </c>
      <c r="E1922" s="2" t="s">
        <v>25835</v>
      </c>
      <c r="F1922" s="2" t="s">
        <v>23027</v>
      </c>
      <c r="H1922" s="2" t="s">
        <v>23028</v>
      </c>
      <c r="P1922" s="2" t="s">
        <v>21771</v>
      </c>
    </row>
    <row r="1923" spans="1:16" ht="15" customHeight="1">
      <c r="A1923" s="1">
        <v>1922</v>
      </c>
      <c r="B1923" s="2" t="s">
        <v>12313</v>
      </c>
      <c r="C1923" s="4" t="s">
        <v>21775</v>
      </c>
      <c r="D1923" s="4" t="s">
        <v>21776</v>
      </c>
      <c r="E1923" s="2" t="s">
        <v>25836</v>
      </c>
      <c r="F1923" s="2" t="s">
        <v>23029</v>
      </c>
      <c r="H1923" s="2" t="s">
        <v>23030</v>
      </c>
      <c r="P1923" s="2" t="s">
        <v>21774</v>
      </c>
    </row>
    <row r="1924" spans="1:16" ht="15" customHeight="1">
      <c r="A1924" s="1">
        <v>1923</v>
      </c>
      <c r="B1924" s="2" t="s">
        <v>23031</v>
      </c>
      <c r="C1924" s="4" t="s">
        <v>21778</v>
      </c>
      <c r="D1924" s="4" t="s">
        <v>25226</v>
      </c>
      <c r="E1924" s="2" t="s">
        <v>25837</v>
      </c>
      <c r="F1924" s="2" t="s">
        <v>23032</v>
      </c>
      <c r="H1924" s="2" t="s">
        <v>23033</v>
      </c>
      <c r="P1924" s="2" t="s">
        <v>21777</v>
      </c>
    </row>
    <row r="1925" spans="1:16" ht="15" customHeight="1">
      <c r="A1925" s="1">
        <v>1924</v>
      </c>
      <c r="B1925" s="2" t="s">
        <v>23034</v>
      </c>
      <c r="C1925" s="4" t="s">
        <v>21780</v>
      </c>
      <c r="D1925" s="4" t="s">
        <v>25227</v>
      </c>
      <c r="E1925" s="2" t="s">
        <v>25838</v>
      </c>
      <c r="F1925" s="2" t="s">
        <v>23035</v>
      </c>
      <c r="H1925" s="2" t="s">
        <v>23036</v>
      </c>
      <c r="P1925" s="2" t="s">
        <v>21779</v>
      </c>
    </row>
    <row r="1926" spans="1:16" ht="15" customHeight="1">
      <c r="A1926" s="1">
        <v>1925</v>
      </c>
      <c r="B1926" s="2" t="s">
        <v>23037</v>
      </c>
      <c r="C1926" s="4" t="s">
        <v>21782</v>
      </c>
      <c r="D1926" s="4" t="s">
        <v>25228</v>
      </c>
      <c r="E1926" s="2" t="s">
        <v>25839</v>
      </c>
      <c r="F1926" s="2" t="s">
        <v>23038</v>
      </c>
      <c r="H1926" s="2" t="s">
        <v>23039</v>
      </c>
      <c r="P1926" s="2" t="s">
        <v>21781</v>
      </c>
    </row>
    <row r="1927" spans="1:16" ht="15" customHeight="1">
      <c r="A1927" s="1">
        <v>1926</v>
      </c>
      <c r="B1927" s="2" t="s">
        <v>23040</v>
      </c>
      <c r="C1927" s="4" t="s">
        <v>21784</v>
      </c>
      <c r="D1927" s="4" t="s">
        <v>25229</v>
      </c>
      <c r="E1927" s="2" t="s">
        <v>25840</v>
      </c>
      <c r="F1927" s="2" t="s">
        <v>23041</v>
      </c>
      <c r="H1927" s="2" t="s">
        <v>23042</v>
      </c>
      <c r="P1927" s="2" t="s">
        <v>21783</v>
      </c>
    </row>
    <row r="1928" spans="1:16" ht="15" customHeight="1">
      <c r="A1928" s="1">
        <v>1927</v>
      </c>
      <c r="B1928" s="2" t="s">
        <v>23043</v>
      </c>
      <c r="C1928" s="4" t="s">
        <v>21786</v>
      </c>
      <c r="D1928" s="4" t="s">
        <v>21787</v>
      </c>
      <c r="E1928" s="2" t="s">
        <v>25841</v>
      </c>
      <c r="F1928" s="2" t="s">
        <v>23044</v>
      </c>
      <c r="H1928" s="2" t="s">
        <v>23045</v>
      </c>
      <c r="P1928" s="2" t="s">
        <v>21785</v>
      </c>
    </row>
    <row r="1929" spans="1:16" ht="15" customHeight="1">
      <c r="A1929" s="1">
        <v>1928</v>
      </c>
      <c r="B1929" s="2" t="s">
        <v>23046</v>
      </c>
      <c r="C1929" s="2" t="s">
        <v>21789</v>
      </c>
      <c r="D1929" s="2" t="s">
        <v>21790</v>
      </c>
      <c r="E1929" s="2" t="s">
        <v>25842</v>
      </c>
      <c r="F1929" s="2" t="s">
        <v>23044</v>
      </c>
      <c r="H1929" s="2" t="s">
        <v>23047</v>
      </c>
      <c r="P1929" s="2" t="s">
        <v>21788</v>
      </c>
    </row>
    <row r="1930" spans="1:16" ht="15" customHeight="1">
      <c r="A1930" s="1">
        <v>1929</v>
      </c>
      <c r="B1930" s="2" t="s">
        <v>23048</v>
      </c>
      <c r="C1930" s="2" t="s">
        <v>21792</v>
      </c>
      <c r="D1930" s="2" t="s">
        <v>21793</v>
      </c>
      <c r="E1930" s="2" t="s">
        <v>25843</v>
      </c>
      <c r="F1930" s="2" t="s">
        <v>23049</v>
      </c>
      <c r="H1930" s="2" t="s">
        <v>23050</v>
      </c>
      <c r="P1930" s="2" t="s">
        <v>21791</v>
      </c>
    </row>
    <row r="1931" spans="1:16" ht="13.9" customHeight="1">
      <c r="A1931" s="1">
        <v>1930</v>
      </c>
      <c r="B1931" s="2" t="s">
        <v>21794</v>
      </c>
      <c r="C1931" s="2" t="s">
        <v>21795</v>
      </c>
      <c r="D1931" s="2" t="s">
        <v>21796</v>
      </c>
      <c r="E1931" s="2" t="s">
        <v>23051</v>
      </c>
      <c r="F1931" s="2" t="s">
        <v>23052</v>
      </c>
      <c r="G1931" s="4" t="s">
        <v>23053</v>
      </c>
      <c r="H1931" s="2" t="s">
        <v>23054</v>
      </c>
      <c r="I1931" s="4" t="s">
        <v>23055</v>
      </c>
      <c r="J1931" s="4" t="s">
        <v>23056</v>
      </c>
      <c r="K1931" s="4" t="s">
        <v>23057</v>
      </c>
      <c r="L1931" s="4" t="s">
        <v>23058</v>
      </c>
      <c r="M1931" s="4" t="s">
        <v>23059</v>
      </c>
      <c r="N1931" s="4" t="s">
        <v>23060</v>
      </c>
      <c r="O1931" s="4" t="s">
        <v>23061</v>
      </c>
      <c r="P1931" s="2" t="s">
        <v>21794</v>
      </c>
    </row>
    <row r="1932" spans="1:16">
      <c r="A1932" s="1">
        <v>1931</v>
      </c>
      <c r="B1932" s="2" t="s">
        <v>21797</v>
      </c>
      <c r="C1932" s="2" t="s">
        <v>21798</v>
      </c>
      <c r="D1932" s="2" t="s">
        <v>21799</v>
      </c>
      <c r="E1932" s="2" t="s">
        <v>25844</v>
      </c>
      <c r="F1932" s="2" t="s">
        <v>23062</v>
      </c>
      <c r="H1932" s="2" t="s">
        <v>23063</v>
      </c>
      <c r="P1932" s="2" t="s">
        <v>21797</v>
      </c>
    </row>
    <row r="1933" spans="1:16">
      <c r="A1933" s="1">
        <v>1932</v>
      </c>
      <c r="B1933" s="2" t="s">
        <v>21800</v>
      </c>
      <c r="C1933" s="2" t="s">
        <v>21801</v>
      </c>
      <c r="D1933" s="2" t="s">
        <v>21802</v>
      </c>
      <c r="E1933" s="2" t="s">
        <v>25845</v>
      </c>
      <c r="F1933" s="2" t="s">
        <v>23064</v>
      </c>
      <c r="H1933" s="2" t="s">
        <v>23065</v>
      </c>
      <c r="P1933" s="2" t="s">
        <v>21800</v>
      </c>
    </row>
    <row r="1934" spans="1:16" ht="15" customHeight="1">
      <c r="A1934" s="1">
        <v>1933</v>
      </c>
      <c r="B1934" s="2" t="s">
        <v>21803</v>
      </c>
      <c r="C1934" s="2" t="s">
        <v>21804</v>
      </c>
      <c r="D1934" s="2" t="s">
        <v>21805</v>
      </c>
      <c r="E1934" s="2" t="s">
        <v>25846</v>
      </c>
      <c r="F1934" s="2" t="s">
        <v>23066</v>
      </c>
      <c r="H1934" s="2" t="s">
        <v>23067</v>
      </c>
      <c r="P1934" s="2" t="s">
        <v>21803</v>
      </c>
    </row>
    <row r="1935" spans="1:16" ht="15" customHeight="1">
      <c r="A1935" s="1">
        <v>1934</v>
      </c>
      <c r="B1935" s="2" t="s">
        <v>23068</v>
      </c>
      <c r="C1935" s="2" t="s">
        <v>25230</v>
      </c>
      <c r="D1935" s="2" t="s">
        <v>25231</v>
      </c>
      <c r="E1935" s="2" t="s">
        <v>25847</v>
      </c>
      <c r="F1935" s="2" t="s">
        <v>23069</v>
      </c>
      <c r="H1935" s="2" t="s">
        <v>23070</v>
      </c>
      <c r="P1935" s="2" t="s">
        <v>23068</v>
      </c>
    </row>
    <row r="1936" spans="1:16" ht="15" customHeight="1">
      <c r="A1936" s="1">
        <v>1935</v>
      </c>
      <c r="B1936" s="2" t="s">
        <v>23071</v>
      </c>
      <c r="C1936" s="2" t="s">
        <v>25232</v>
      </c>
      <c r="D1936" s="2" t="s">
        <v>23072</v>
      </c>
      <c r="E1936" s="2" t="s">
        <v>25848</v>
      </c>
      <c r="F1936" s="2" t="s">
        <v>23073</v>
      </c>
      <c r="H1936" s="2" t="s">
        <v>23074</v>
      </c>
      <c r="J1936" s="2" t="s">
        <v>25849</v>
      </c>
      <c r="L1936" s="2" t="s">
        <v>25850</v>
      </c>
      <c r="M1936" s="2" t="s">
        <v>25851</v>
      </c>
      <c r="N1936" s="2" t="s">
        <v>25852</v>
      </c>
      <c r="P1936" s="2" t="s">
        <v>23071</v>
      </c>
    </row>
    <row r="1937" spans="1:16" ht="15" customHeight="1">
      <c r="A1937" s="1">
        <v>1936</v>
      </c>
      <c r="B1937" s="4" t="s">
        <v>21806</v>
      </c>
      <c r="C1937" s="4" t="s">
        <v>25233</v>
      </c>
      <c r="D1937" s="4" t="s">
        <v>25234</v>
      </c>
      <c r="E1937" s="2" t="s">
        <v>25853</v>
      </c>
      <c r="F1937" s="2" t="s">
        <v>23075</v>
      </c>
      <c r="H1937" s="4" t="s">
        <v>23076</v>
      </c>
      <c r="P1937" s="4" t="s">
        <v>21806</v>
      </c>
    </row>
    <row r="1938" spans="1:16" ht="15" customHeight="1">
      <c r="A1938" s="1">
        <v>1937</v>
      </c>
      <c r="B1938" s="4" t="s">
        <v>17080</v>
      </c>
      <c r="C1938" s="4" t="s">
        <v>21807</v>
      </c>
      <c r="D1938" s="4" t="s">
        <v>17082</v>
      </c>
      <c r="E1938" s="2" t="s">
        <v>17083</v>
      </c>
      <c r="F1938" s="2" t="s">
        <v>17084</v>
      </c>
      <c r="H1938" s="4" t="s">
        <v>23077</v>
      </c>
      <c r="P1938" s="4" t="s">
        <v>17080</v>
      </c>
    </row>
    <row r="1939" spans="1:16" ht="15" customHeight="1">
      <c r="A1939" s="1">
        <v>1938</v>
      </c>
      <c r="B1939" s="2" t="s">
        <v>21808</v>
      </c>
      <c r="C1939" s="2" t="s">
        <v>21809</v>
      </c>
      <c r="D1939" s="2" t="s">
        <v>21809</v>
      </c>
      <c r="E1939" s="2" t="s">
        <v>25854</v>
      </c>
      <c r="F1939" s="2" t="s">
        <v>23078</v>
      </c>
      <c r="H1939" s="2" t="s">
        <v>23079</v>
      </c>
      <c r="P1939" s="2" t="s">
        <v>21808</v>
      </c>
    </row>
    <row r="1940" spans="1:16" ht="15" customHeight="1">
      <c r="A1940" s="1">
        <v>1939</v>
      </c>
      <c r="B1940" s="2" t="s">
        <v>21810</v>
      </c>
      <c r="C1940" s="2" t="s">
        <v>21811</v>
      </c>
      <c r="D1940" s="2" t="s">
        <v>1483</v>
      </c>
      <c r="E1940" s="2" t="s">
        <v>1484</v>
      </c>
      <c r="F1940" s="2" t="s">
        <v>23080</v>
      </c>
      <c r="H1940" s="2" t="s">
        <v>23081</v>
      </c>
      <c r="P1940" s="2" t="s">
        <v>21810</v>
      </c>
    </row>
    <row r="1941" spans="1:16" ht="15" customHeight="1">
      <c r="A1941" s="1">
        <v>1940</v>
      </c>
      <c r="B1941" s="2" t="s">
        <v>21812</v>
      </c>
      <c r="C1941" s="2" t="s">
        <v>23082</v>
      </c>
      <c r="D1941" s="2" t="s">
        <v>23083</v>
      </c>
      <c r="E1941" s="2" t="s">
        <v>25855</v>
      </c>
      <c r="F1941" s="2" t="s">
        <v>23084</v>
      </c>
      <c r="H1941" s="2" t="s">
        <v>23085</v>
      </c>
      <c r="P1941" s="2" t="s">
        <v>21812</v>
      </c>
    </row>
    <row r="1942" spans="1:16" ht="15" customHeight="1">
      <c r="A1942" s="1">
        <v>1941</v>
      </c>
      <c r="B1942" s="2" t="s">
        <v>23086</v>
      </c>
      <c r="C1942" s="2" t="s">
        <v>23087</v>
      </c>
      <c r="D1942" s="2" t="s">
        <v>25235</v>
      </c>
      <c r="E1942" s="2" t="s">
        <v>25856</v>
      </c>
      <c r="F1942" s="2" t="s">
        <v>23088</v>
      </c>
      <c r="H1942" s="2" t="s">
        <v>23089</v>
      </c>
      <c r="P1942" s="2" t="s">
        <v>23086</v>
      </c>
    </row>
    <row r="1943" spans="1:16" ht="15" customHeight="1">
      <c r="A1943" s="1">
        <v>1942</v>
      </c>
      <c r="B1943" s="2" t="s">
        <v>23090</v>
      </c>
      <c r="C1943" s="2" t="s">
        <v>23091</v>
      </c>
      <c r="D1943" s="2" t="s">
        <v>25236</v>
      </c>
      <c r="E1943" s="2" t="s">
        <v>25857</v>
      </c>
      <c r="F1943" s="2" t="s">
        <v>23092</v>
      </c>
      <c r="H1943" s="2" t="s">
        <v>23093</v>
      </c>
      <c r="P1943" s="2" t="s">
        <v>23090</v>
      </c>
    </row>
    <row r="1944" spans="1:16" ht="15" customHeight="1">
      <c r="A1944" s="1">
        <v>1943</v>
      </c>
      <c r="B1944" s="2" t="s">
        <v>23094</v>
      </c>
      <c r="C1944" s="2" t="s">
        <v>23095</v>
      </c>
      <c r="E1944" s="2" t="s">
        <v>25858</v>
      </c>
      <c r="F1944" s="2" t="s">
        <v>23096</v>
      </c>
      <c r="H1944" s="2" t="s">
        <v>23097</v>
      </c>
      <c r="P1944" s="2" t="s">
        <v>23094</v>
      </c>
    </row>
    <row r="1945" spans="1:16" ht="15" customHeight="1">
      <c r="A1945" s="1">
        <v>1944</v>
      </c>
      <c r="B1945" s="2" t="s">
        <v>23098</v>
      </c>
      <c r="C1945" s="2" t="s">
        <v>23099</v>
      </c>
      <c r="D1945" s="2" t="s">
        <v>25237</v>
      </c>
      <c r="E1945" s="2" t="s">
        <v>23100</v>
      </c>
      <c r="F1945" s="2" t="s">
        <v>23100</v>
      </c>
      <c r="H1945" s="2" t="s">
        <v>23100</v>
      </c>
      <c r="P1945" s="2" t="s">
        <v>23098</v>
      </c>
    </row>
    <row r="1946" spans="1:16" ht="15" customHeight="1">
      <c r="A1946" s="1">
        <v>1945</v>
      </c>
      <c r="B1946" s="2" t="s">
        <v>23101</v>
      </c>
      <c r="C1946" s="2" t="s">
        <v>25238</v>
      </c>
      <c r="D1946" s="2" t="s">
        <v>25239</v>
      </c>
      <c r="E1946" s="2" t="s">
        <v>25859</v>
      </c>
      <c r="G1946" s="2" t="s">
        <v>23102</v>
      </c>
      <c r="P1946" s="2" t="s">
        <v>23101</v>
      </c>
    </row>
    <row r="1947" spans="1:16" ht="15" customHeight="1">
      <c r="A1947" s="1">
        <v>1946</v>
      </c>
      <c r="B1947" s="2" t="s">
        <v>23103</v>
      </c>
      <c r="C1947" s="2" t="s">
        <v>25240</v>
      </c>
      <c r="D1947" s="2" t="s">
        <v>25241</v>
      </c>
      <c r="E1947" s="2" t="s">
        <v>25860</v>
      </c>
      <c r="G1947" s="2" t="s">
        <v>23104</v>
      </c>
      <c r="P1947" s="2" t="s">
        <v>23103</v>
      </c>
    </row>
    <row r="1948" spans="1:16" ht="15" customHeight="1">
      <c r="A1948" s="1">
        <v>1947</v>
      </c>
      <c r="B1948" s="2" t="s">
        <v>23105</v>
      </c>
      <c r="C1948" s="2" t="s">
        <v>25242</v>
      </c>
      <c r="D1948" s="2" t="s">
        <v>25243</v>
      </c>
      <c r="E1948" s="2" t="s">
        <v>25861</v>
      </c>
      <c r="G1948" s="2" t="s">
        <v>23106</v>
      </c>
      <c r="P1948" s="2" t="s">
        <v>23105</v>
      </c>
    </row>
    <row r="1949" spans="1:16" ht="15" customHeight="1">
      <c r="A1949" s="1">
        <v>1948</v>
      </c>
      <c r="B1949" s="2" t="s">
        <v>23107</v>
      </c>
      <c r="C1949" s="2" t="s">
        <v>25244</v>
      </c>
      <c r="D1949" s="2" t="s">
        <v>25245</v>
      </c>
      <c r="E1949" s="2" t="s">
        <v>25862</v>
      </c>
      <c r="G1949" s="2" t="s">
        <v>23108</v>
      </c>
      <c r="P1949" s="2" t="s">
        <v>23107</v>
      </c>
    </row>
    <row r="1950" spans="1:16" ht="15" customHeight="1">
      <c r="A1950" s="1">
        <v>1949</v>
      </c>
      <c r="B1950" s="2" t="s">
        <v>23109</v>
      </c>
      <c r="C1950" s="2" t="s">
        <v>25246</v>
      </c>
      <c r="D1950" s="2" t="s">
        <v>25247</v>
      </c>
      <c r="E1950" s="2" t="s">
        <v>25863</v>
      </c>
      <c r="G1950" s="2" t="s">
        <v>23110</v>
      </c>
      <c r="J1950" s="2" t="s">
        <v>25864</v>
      </c>
      <c r="L1950" s="2" t="s">
        <v>25865</v>
      </c>
      <c r="M1950" s="2" t="s">
        <v>25866</v>
      </c>
      <c r="N1950" s="2" t="s">
        <v>25866</v>
      </c>
      <c r="P1950" s="2" t="s">
        <v>23109</v>
      </c>
    </row>
    <row r="1951" spans="1:16" ht="15" customHeight="1">
      <c r="A1951" s="1">
        <v>1950</v>
      </c>
      <c r="B1951" s="2" t="s">
        <v>23111</v>
      </c>
      <c r="C1951" s="2" t="s">
        <v>25248</v>
      </c>
      <c r="D1951" s="2" t="s">
        <v>25249</v>
      </c>
      <c r="E1951" s="2" t="s">
        <v>25867</v>
      </c>
      <c r="G1951" s="2" t="s">
        <v>23112</v>
      </c>
      <c r="J1951" s="2" t="s">
        <v>25868</v>
      </c>
      <c r="L1951" s="2" t="s">
        <v>25869</v>
      </c>
      <c r="M1951" s="2" t="s">
        <v>25870</v>
      </c>
      <c r="N1951" s="2" t="s">
        <v>25870</v>
      </c>
      <c r="P1951" s="2" t="s">
        <v>23111</v>
      </c>
    </row>
    <row r="1952" spans="1:16" ht="15" customHeight="1">
      <c r="A1952" s="1">
        <v>1951</v>
      </c>
      <c r="B1952" s="2" t="s">
        <v>23113</v>
      </c>
      <c r="C1952" s="2" t="s">
        <v>25250</v>
      </c>
      <c r="D1952" s="2" t="s">
        <v>25251</v>
      </c>
      <c r="E1952" s="2" t="s">
        <v>25871</v>
      </c>
      <c r="G1952" s="2" t="s">
        <v>23114</v>
      </c>
      <c r="J1952" s="2" t="s">
        <v>25872</v>
      </c>
      <c r="L1952" s="2" t="s">
        <v>25873</v>
      </c>
      <c r="M1952" s="2" t="s">
        <v>25874</v>
      </c>
      <c r="N1952" s="2" t="s">
        <v>25874</v>
      </c>
      <c r="P1952" s="2" t="s">
        <v>23113</v>
      </c>
    </row>
    <row r="1953" spans="1:16" ht="15" customHeight="1">
      <c r="A1953" s="1">
        <v>1952</v>
      </c>
      <c r="B1953" s="2" t="s">
        <v>23115</v>
      </c>
      <c r="C1953" s="2" t="s">
        <v>25252</v>
      </c>
      <c r="D1953" s="2" t="s">
        <v>25253</v>
      </c>
      <c r="E1953" s="2" t="s">
        <v>25875</v>
      </c>
      <c r="G1953" s="2" t="s">
        <v>23116</v>
      </c>
      <c r="P1953" s="2" t="s">
        <v>23115</v>
      </c>
    </row>
    <row r="1954" spans="1:16" ht="15" customHeight="1">
      <c r="A1954" s="1">
        <v>1953</v>
      </c>
      <c r="B1954" s="2" t="s">
        <v>23117</v>
      </c>
      <c r="C1954" s="2" t="s">
        <v>25254</v>
      </c>
      <c r="D1954" s="2" t="s">
        <v>25255</v>
      </c>
      <c r="E1954" s="2" t="s">
        <v>25876</v>
      </c>
      <c r="G1954" s="2" t="s">
        <v>23118</v>
      </c>
      <c r="P1954" s="2" t="s">
        <v>23117</v>
      </c>
    </row>
    <row r="1955" spans="1:16" ht="15" customHeight="1">
      <c r="A1955" s="1">
        <v>1954</v>
      </c>
      <c r="B1955" s="2" t="s">
        <v>23119</v>
      </c>
      <c r="C1955" s="2" t="s">
        <v>25256</v>
      </c>
      <c r="D1955" s="2" t="s">
        <v>25257</v>
      </c>
      <c r="E1955" s="2" t="s">
        <v>25877</v>
      </c>
      <c r="G1955" s="2" t="s">
        <v>23120</v>
      </c>
      <c r="P1955" s="2" t="s">
        <v>23119</v>
      </c>
    </row>
    <row r="1956" spans="1:16" ht="15" customHeight="1">
      <c r="A1956" s="1">
        <v>1955</v>
      </c>
      <c r="B1956" s="2" t="s">
        <v>23121</v>
      </c>
      <c r="C1956" s="2" t="s">
        <v>23121</v>
      </c>
      <c r="D1956" s="2" t="s">
        <v>25258</v>
      </c>
      <c r="E1956" s="2" t="s">
        <v>23121</v>
      </c>
      <c r="F1956" s="2" t="s">
        <v>23121</v>
      </c>
      <c r="G1956" s="2" t="s">
        <v>23121</v>
      </c>
      <c r="H1956" s="2" t="s">
        <v>23121</v>
      </c>
      <c r="I1956" s="2" t="s">
        <v>23121</v>
      </c>
      <c r="J1956" s="2" t="s">
        <v>23121</v>
      </c>
      <c r="K1956" s="2" t="s">
        <v>23121</v>
      </c>
      <c r="L1956" s="2" t="s">
        <v>23121</v>
      </c>
      <c r="M1956" s="2" t="s">
        <v>23121</v>
      </c>
      <c r="N1956" s="2" t="s">
        <v>23121</v>
      </c>
      <c r="O1956" s="2" t="s">
        <v>23121</v>
      </c>
      <c r="P1956" s="2" t="s">
        <v>23121</v>
      </c>
    </row>
    <row r="1957" spans="1:16" ht="15" customHeight="1">
      <c r="A1957" s="1">
        <v>1956</v>
      </c>
      <c r="B1957" s="2" t="s">
        <v>23122</v>
      </c>
      <c r="C1957" s="2" t="s">
        <v>25259</v>
      </c>
      <c r="D1957" s="2" t="s">
        <v>25260</v>
      </c>
      <c r="E1957" s="2" t="s">
        <v>25878</v>
      </c>
      <c r="P1957" s="2" t="s">
        <v>23122</v>
      </c>
    </row>
    <row r="1958" spans="1:16" ht="15" customHeight="1">
      <c r="A1958" s="1">
        <v>1957</v>
      </c>
      <c r="B1958" s="2" t="s">
        <v>23123</v>
      </c>
      <c r="C1958" s="2" t="s">
        <v>25261</v>
      </c>
      <c r="D1958" s="2" t="s">
        <v>25262</v>
      </c>
      <c r="E1958" s="2" t="s">
        <v>25879</v>
      </c>
      <c r="G1958" s="2" t="s">
        <v>23124</v>
      </c>
      <c r="P1958" s="2" t="s">
        <v>23123</v>
      </c>
    </row>
    <row r="1959" spans="1:16" ht="15" customHeight="1">
      <c r="A1959" s="1">
        <v>1958</v>
      </c>
      <c r="B1959" s="2" t="s">
        <v>23125</v>
      </c>
      <c r="C1959" s="2" t="s">
        <v>25263</v>
      </c>
      <c r="D1959" s="2" t="s">
        <v>25264</v>
      </c>
      <c r="E1959" s="2" t="s">
        <v>25880</v>
      </c>
      <c r="P1959" s="2" t="s">
        <v>23125</v>
      </c>
    </row>
    <row r="1960" spans="1:16" ht="15" customHeight="1">
      <c r="A1960" s="1">
        <v>1959</v>
      </c>
      <c r="B1960" s="2" t="s">
        <v>23126</v>
      </c>
      <c r="D1960" s="2" t="s">
        <v>25265</v>
      </c>
      <c r="E1960" s="2" t="s">
        <v>25881</v>
      </c>
      <c r="P1960" s="2" t="s">
        <v>23126</v>
      </c>
    </row>
    <row r="1961" spans="1:16" ht="15" customHeight="1">
      <c r="A1961" s="1">
        <v>1960</v>
      </c>
      <c r="B1961" s="2" t="s">
        <v>25266</v>
      </c>
      <c r="C1961" s="2" t="s">
        <v>25267</v>
      </c>
      <c r="D1961" s="2" t="s">
        <v>25268</v>
      </c>
      <c r="E1961" s="2" t="s">
        <v>25882</v>
      </c>
      <c r="P1961" s="2" t="s">
        <v>23127</v>
      </c>
    </row>
    <row r="1962" spans="1:16" ht="15" customHeight="1">
      <c r="A1962" s="1">
        <v>1961</v>
      </c>
      <c r="B1962" s="2" t="s">
        <v>25269</v>
      </c>
      <c r="C1962" s="2" t="s">
        <v>25270</v>
      </c>
      <c r="D1962" s="2" t="s">
        <v>25271</v>
      </c>
      <c r="E1962" s="2" t="s">
        <v>25883</v>
      </c>
      <c r="P1962" s="2" t="s">
        <v>23128</v>
      </c>
    </row>
    <row r="1963" spans="1:16" ht="15" customHeight="1">
      <c r="A1963" s="1">
        <v>1962</v>
      </c>
      <c r="B1963" s="2" t="s">
        <v>23129</v>
      </c>
      <c r="D1963" s="2" t="s">
        <v>25272</v>
      </c>
      <c r="E1963" s="2" t="s">
        <v>25884</v>
      </c>
      <c r="P1963" s="2" t="s">
        <v>23129</v>
      </c>
    </row>
    <row r="1964" spans="1:16" ht="15" customHeight="1">
      <c r="A1964" s="1">
        <v>1963</v>
      </c>
      <c r="B1964" s="2" t="s">
        <v>23130</v>
      </c>
      <c r="C1964" s="2" t="s">
        <v>25273</v>
      </c>
      <c r="D1964" s="2" t="s">
        <v>25274</v>
      </c>
      <c r="E1964" s="2" t="s">
        <v>25885</v>
      </c>
      <c r="P1964" s="2" t="s">
        <v>23130</v>
      </c>
    </row>
    <row r="1965" spans="1:16" ht="15" customHeight="1">
      <c r="A1965" s="1">
        <v>1964</v>
      </c>
      <c r="B1965" s="2" t="s">
        <v>23131</v>
      </c>
      <c r="C1965" s="2" t="s">
        <v>25275</v>
      </c>
      <c r="D1965" s="2" t="s">
        <v>25276</v>
      </c>
      <c r="E1965" s="2" t="s">
        <v>25886</v>
      </c>
      <c r="P1965" s="2" t="s">
        <v>23131</v>
      </c>
    </row>
    <row r="1966" spans="1:16" ht="15" customHeight="1">
      <c r="A1966" s="1">
        <v>1965</v>
      </c>
      <c r="B1966" s="2" t="s">
        <v>23132</v>
      </c>
      <c r="C1966" s="2" t="s">
        <v>25277</v>
      </c>
      <c r="D1966" s="2" t="s">
        <v>25278</v>
      </c>
      <c r="E1966" s="2" t="s">
        <v>25887</v>
      </c>
      <c r="P1966" s="2" t="s">
        <v>23132</v>
      </c>
    </row>
    <row r="1967" spans="1:16" ht="15" customHeight="1">
      <c r="A1967" s="1">
        <v>1966</v>
      </c>
      <c r="B1967" s="2" t="s">
        <v>23133</v>
      </c>
      <c r="D1967" s="2" t="s">
        <v>25279</v>
      </c>
      <c r="E1967" s="2" t="s">
        <v>25888</v>
      </c>
      <c r="P1967" s="2" t="s">
        <v>23133</v>
      </c>
    </row>
    <row r="1968" spans="1:16" ht="15" customHeight="1">
      <c r="A1968" s="1">
        <v>1967</v>
      </c>
      <c r="B1968" s="2" t="s">
        <v>23134</v>
      </c>
      <c r="C1968" s="2" t="s">
        <v>25280</v>
      </c>
      <c r="D1968" s="2" t="s">
        <v>25281</v>
      </c>
      <c r="E1968" s="2" t="s">
        <v>25889</v>
      </c>
      <c r="P1968" s="2" t="s">
        <v>23134</v>
      </c>
    </row>
    <row r="1969" spans="1:16" ht="15" customHeight="1">
      <c r="A1969" s="1">
        <v>1968</v>
      </c>
      <c r="B1969" s="2" t="s">
        <v>23135</v>
      </c>
      <c r="C1969" s="2" t="s">
        <v>25282</v>
      </c>
      <c r="E1969" s="2" t="s">
        <v>25890</v>
      </c>
      <c r="P1969" s="2" t="s">
        <v>23135</v>
      </c>
    </row>
    <row r="1970" spans="1:16" ht="15" customHeight="1">
      <c r="A1970" s="1">
        <v>1969</v>
      </c>
      <c r="B1970" s="2" t="s">
        <v>23136</v>
      </c>
      <c r="C1970" s="2" t="s">
        <v>25283</v>
      </c>
      <c r="D1970" s="2" t="s">
        <v>25284</v>
      </c>
      <c r="E1970" s="2" t="s">
        <v>25891</v>
      </c>
      <c r="P1970" s="2" t="s">
        <v>23136</v>
      </c>
    </row>
    <row r="1971" spans="1:16" ht="15" customHeight="1">
      <c r="A1971" s="1">
        <v>1970</v>
      </c>
      <c r="B1971" s="2" t="s">
        <v>23137</v>
      </c>
      <c r="C1971" s="2" t="s">
        <v>25285</v>
      </c>
      <c r="D1971" s="2" t="s">
        <v>25286</v>
      </c>
      <c r="E1971" s="2" t="s">
        <v>25892</v>
      </c>
      <c r="P1971" s="2" t="s">
        <v>23137</v>
      </c>
    </row>
    <row r="1972" spans="1:16" ht="15" customHeight="1">
      <c r="A1972" s="1">
        <v>1971</v>
      </c>
      <c r="B1972" s="2" t="s">
        <v>23138</v>
      </c>
      <c r="D1972" s="2" t="s">
        <v>25287</v>
      </c>
      <c r="E1972" s="2" t="s">
        <v>25893</v>
      </c>
      <c r="P1972" s="2" t="s">
        <v>23138</v>
      </c>
    </row>
    <row r="1973" spans="1:16" ht="15" customHeight="1">
      <c r="A1973" s="1">
        <v>1972</v>
      </c>
      <c r="B1973" s="2" t="s">
        <v>23139</v>
      </c>
      <c r="D1973" s="2" t="s">
        <v>25288</v>
      </c>
      <c r="E1973" s="2" t="s">
        <v>25894</v>
      </c>
      <c r="P1973" s="2" t="s">
        <v>23139</v>
      </c>
    </row>
    <row r="1974" spans="1:16" ht="15" customHeight="1">
      <c r="A1974" s="1">
        <v>1973</v>
      </c>
      <c r="B1974" s="2" t="s">
        <v>23140</v>
      </c>
      <c r="D1974" s="2" t="s">
        <v>25289</v>
      </c>
      <c r="E1974" s="2" t="s">
        <v>25895</v>
      </c>
      <c r="P1974" s="2" t="s">
        <v>23140</v>
      </c>
    </row>
    <row r="1975" spans="1:16" ht="15" customHeight="1">
      <c r="A1975" s="1">
        <v>1974</v>
      </c>
      <c r="B1975" s="2" t="s">
        <v>23141</v>
      </c>
      <c r="D1975" s="2" t="s">
        <v>25290</v>
      </c>
      <c r="E1975" s="2" t="s">
        <v>25896</v>
      </c>
      <c r="P1975" s="2" t="s">
        <v>23141</v>
      </c>
    </row>
    <row r="1976" spans="1:16" ht="15" customHeight="1">
      <c r="A1976" s="1">
        <v>1975</v>
      </c>
      <c r="B1976" s="2" t="s">
        <v>23142</v>
      </c>
      <c r="C1976" s="2" t="s">
        <v>25291</v>
      </c>
      <c r="D1976" s="2" t="s">
        <v>25292</v>
      </c>
      <c r="E1976" s="2" t="s">
        <v>25897</v>
      </c>
      <c r="P1976" s="2" t="s">
        <v>23142</v>
      </c>
    </row>
    <row r="1977" spans="1:16" ht="15" customHeight="1">
      <c r="A1977" s="1">
        <v>1976</v>
      </c>
      <c r="B1977" s="2" t="s">
        <v>23143</v>
      </c>
      <c r="C1977" s="2" t="s">
        <v>25293</v>
      </c>
      <c r="D1977" s="2" t="s">
        <v>25294</v>
      </c>
      <c r="E1977" s="2" t="s">
        <v>25898</v>
      </c>
      <c r="P1977" s="2" t="s">
        <v>23143</v>
      </c>
    </row>
    <row r="1978" spans="1:16" ht="15" customHeight="1">
      <c r="A1978" s="1">
        <v>1977</v>
      </c>
      <c r="B1978" s="2" t="s">
        <v>23144</v>
      </c>
      <c r="D1978" s="2" t="s">
        <v>25295</v>
      </c>
      <c r="E1978" s="2" t="s">
        <v>25899</v>
      </c>
      <c r="P1978" s="2" t="s">
        <v>23144</v>
      </c>
    </row>
    <row r="1979" spans="1:16" ht="15" customHeight="1">
      <c r="A1979" s="1">
        <v>1978</v>
      </c>
      <c r="B1979" s="2" t="s">
        <v>23145</v>
      </c>
      <c r="D1979" s="2" t="s">
        <v>25296</v>
      </c>
      <c r="E1979" s="2" t="s">
        <v>25900</v>
      </c>
      <c r="P1979" s="2" t="s">
        <v>23145</v>
      </c>
    </row>
    <row r="1980" spans="1:16" ht="15" customHeight="1">
      <c r="A1980" s="1">
        <v>1979</v>
      </c>
      <c r="B1980" s="2" t="s">
        <v>23146</v>
      </c>
      <c r="D1980" s="2" t="s">
        <v>25297</v>
      </c>
      <c r="E1980" s="2" t="s">
        <v>25901</v>
      </c>
      <c r="P1980" s="2" t="s">
        <v>23146</v>
      </c>
    </row>
    <row r="1981" spans="1:16" ht="15" customHeight="1">
      <c r="A1981" s="1">
        <v>1980</v>
      </c>
      <c r="B1981" s="2" t="s">
        <v>23147</v>
      </c>
      <c r="D1981" s="2" t="s">
        <v>25298</v>
      </c>
      <c r="E1981" s="2" t="s">
        <v>25902</v>
      </c>
      <c r="P1981" s="2" t="s">
        <v>23147</v>
      </c>
    </row>
    <row r="1982" spans="1:16" ht="15" customHeight="1">
      <c r="A1982" s="1">
        <v>1981</v>
      </c>
      <c r="B1982" s="2" t="s">
        <v>23148</v>
      </c>
      <c r="D1982" s="2" t="s">
        <v>25299</v>
      </c>
      <c r="E1982" s="2" t="s">
        <v>25903</v>
      </c>
      <c r="P1982" s="2" t="s">
        <v>23148</v>
      </c>
    </row>
    <row r="1983" spans="1:16" ht="15" customHeight="1">
      <c r="A1983" s="1">
        <v>1982</v>
      </c>
      <c r="B1983" s="2" t="s">
        <v>23149</v>
      </c>
      <c r="D1983" s="2" t="s">
        <v>25300</v>
      </c>
      <c r="E1983" s="2" t="s">
        <v>25904</v>
      </c>
      <c r="P1983" s="2" t="s">
        <v>23149</v>
      </c>
    </row>
    <row r="1984" spans="1:16" ht="15" customHeight="1">
      <c r="A1984" s="1">
        <v>1983</v>
      </c>
      <c r="B1984" s="2" t="s">
        <v>23150</v>
      </c>
      <c r="D1984" s="2" t="s">
        <v>25301</v>
      </c>
      <c r="E1984" s="2" t="s">
        <v>25905</v>
      </c>
      <c r="P1984" s="2" t="s">
        <v>23150</v>
      </c>
    </row>
    <row r="1985" spans="1:16" ht="15" customHeight="1">
      <c r="A1985" s="1">
        <v>1984</v>
      </c>
      <c r="B1985" s="2" t="s">
        <v>23151</v>
      </c>
      <c r="D1985" s="2" t="s">
        <v>25302</v>
      </c>
      <c r="E1985" s="2" t="s">
        <v>25906</v>
      </c>
      <c r="P1985" s="2" t="s">
        <v>23151</v>
      </c>
    </row>
    <row r="1986" spans="1:16" ht="15" customHeight="1">
      <c r="A1986" s="1">
        <v>1985</v>
      </c>
      <c r="B1986" s="2" t="s">
        <v>23152</v>
      </c>
      <c r="D1986" s="2" t="s">
        <v>25303</v>
      </c>
      <c r="E1986" s="2" t="s">
        <v>25907</v>
      </c>
      <c r="P1986" s="2" t="s">
        <v>23152</v>
      </c>
    </row>
    <row r="1987" spans="1:16" ht="15" customHeight="1">
      <c r="A1987" s="1">
        <v>1986</v>
      </c>
      <c r="B1987" s="2" t="s">
        <v>23153</v>
      </c>
      <c r="D1987" s="2" t="s">
        <v>25304</v>
      </c>
      <c r="E1987" s="2" t="s">
        <v>25908</v>
      </c>
      <c r="P1987" s="2" t="s">
        <v>23153</v>
      </c>
    </row>
    <row r="1988" spans="1:16" ht="15" customHeight="1">
      <c r="A1988" s="1">
        <v>1987</v>
      </c>
      <c r="B1988" s="2" t="s">
        <v>23154</v>
      </c>
      <c r="D1988" s="2" t="s">
        <v>25305</v>
      </c>
      <c r="E1988" s="2" t="s">
        <v>25909</v>
      </c>
      <c r="P1988" s="2" t="s">
        <v>23154</v>
      </c>
    </row>
    <row r="1989" spans="1:16" ht="15" customHeight="1">
      <c r="A1989" s="1">
        <v>1988</v>
      </c>
      <c r="B1989" s="2" t="s">
        <v>23155</v>
      </c>
      <c r="D1989" s="2" t="s">
        <v>25306</v>
      </c>
      <c r="E1989" s="2" t="s">
        <v>25910</v>
      </c>
      <c r="P1989" s="2" t="s">
        <v>23155</v>
      </c>
    </row>
    <row r="1990" spans="1:16" ht="15" customHeight="1">
      <c r="A1990" s="1">
        <v>1989</v>
      </c>
      <c r="B1990" s="2" t="s">
        <v>23156</v>
      </c>
      <c r="D1990" s="2" t="s">
        <v>25307</v>
      </c>
      <c r="E1990" s="2" t="s">
        <v>25911</v>
      </c>
      <c r="P1990" s="2" t="s">
        <v>23156</v>
      </c>
    </row>
    <row r="1991" spans="1:16" ht="15" customHeight="1">
      <c r="A1991" s="1">
        <v>1990</v>
      </c>
      <c r="B1991" s="2" t="s">
        <v>23157</v>
      </c>
      <c r="D1991" s="2" t="s">
        <v>25308</v>
      </c>
      <c r="E1991" s="2" t="s">
        <v>25912</v>
      </c>
      <c r="P1991" s="2" t="s">
        <v>23157</v>
      </c>
    </row>
    <row r="1992" spans="1:16" ht="15" customHeight="1">
      <c r="A1992" s="1">
        <v>1991</v>
      </c>
      <c r="B1992" s="2" t="s">
        <v>23158</v>
      </c>
      <c r="E1992" s="2" t="s">
        <v>25913</v>
      </c>
      <c r="P1992" s="2" t="s">
        <v>23158</v>
      </c>
    </row>
    <row r="1993" spans="1:16" ht="15" customHeight="1">
      <c r="A1993" s="1">
        <v>1992</v>
      </c>
      <c r="B1993" s="2" t="s">
        <v>23159</v>
      </c>
      <c r="D1993" s="2" t="s">
        <v>25309</v>
      </c>
      <c r="E1993" s="2" t="s">
        <v>25914</v>
      </c>
      <c r="P1993" s="2" t="s">
        <v>23159</v>
      </c>
    </row>
    <row r="1994" spans="1:16" ht="15" customHeight="1">
      <c r="A1994" s="1">
        <v>1993</v>
      </c>
      <c r="B1994" s="2" t="s">
        <v>23160</v>
      </c>
      <c r="D1994" s="2" t="s">
        <v>25310</v>
      </c>
      <c r="E1994" s="2" t="s">
        <v>25915</v>
      </c>
      <c r="P1994" s="2" t="s">
        <v>23160</v>
      </c>
    </row>
    <row r="1995" spans="1:16" ht="15" customHeight="1">
      <c r="A1995" s="1">
        <v>1994</v>
      </c>
      <c r="B1995" s="2" t="s">
        <v>23161</v>
      </c>
      <c r="D1995" s="2" t="s">
        <v>25311</v>
      </c>
      <c r="E1995" s="2" t="s">
        <v>25916</v>
      </c>
      <c r="P1995" s="2" t="s">
        <v>23161</v>
      </c>
    </row>
    <row r="1996" spans="1:16" ht="15" customHeight="1">
      <c r="A1996" s="1">
        <v>1995</v>
      </c>
      <c r="B1996" s="2" t="s">
        <v>23162</v>
      </c>
      <c r="D1996" s="2" t="s">
        <v>25312</v>
      </c>
      <c r="E1996" s="2" t="s">
        <v>12497</v>
      </c>
      <c r="P1996" s="2" t="s">
        <v>23162</v>
      </c>
    </row>
    <row r="1997" spans="1:16" ht="15" customHeight="1">
      <c r="A1997" s="1">
        <v>1996</v>
      </c>
      <c r="B1997" s="2" t="s">
        <v>23163</v>
      </c>
      <c r="D1997" s="2" t="s">
        <v>25307</v>
      </c>
      <c r="E1997" s="2" t="s">
        <v>25917</v>
      </c>
      <c r="P1997" s="2" t="s">
        <v>23163</v>
      </c>
    </row>
    <row r="1998" spans="1:16" ht="15" customHeight="1">
      <c r="A1998" s="1">
        <v>1997</v>
      </c>
      <c r="B1998" s="2" t="s">
        <v>23164</v>
      </c>
      <c r="D1998" s="2" t="s">
        <v>25313</v>
      </c>
      <c r="E1998" s="2" t="s">
        <v>25918</v>
      </c>
      <c r="P1998" s="2" t="s">
        <v>23164</v>
      </c>
    </row>
    <row r="1999" spans="1:16" ht="15" customHeight="1">
      <c r="A1999" s="1">
        <v>1998</v>
      </c>
      <c r="B1999" s="2" t="s">
        <v>23165</v>
      </c>
      <c r="D1999" s="2" t="s">
        <v>25314</v>
      </c>
      <c r="E1999" s="2" t="s">
        <v>25919</v>
      </c>
      <c r="P1999" s="2" t="s">
        <v>23165</v>
      </c>
    </row>
    <row r="2000" spans="1:16" ht="15" customHeight="1">
      <c r="A2000" s="1">
        <v>1999</v>
      </c>
      <c r="B2000" s="2" t="s">
        <v>23166</v>
      </c>
      <c r="D2000" s="2" t="s">
        <v>25315</v>
      </c>
      <c r="E2000" s="2" t="s">
        <v>25920</v>
      </c>
      <c r="P2000" s="2" t="s">
        <v>23166</v>
      </c>
    </row>
    <row r="2001" spans="1:16" ht="15" customHeight="1">
      <c r="A2001" s="1">
        <v>2000</v>
      </c>
      <c r="B2001" s="2" t="s">
        <v>23167</v>
      </c>
      <c r="E2001" s="2" t="s">
        <v>25921</v>
      </c>
      <c r="P2001" s="2" t="s">
        <v>23167</v>
      </c>
    </row>
    <row r="2002" spans="1:16" ht="15" customHeight="1">
      <c r="A2002" s="1">
        <v>2001</v>
      </c>
      <c r="B2002" s="2" t="s">
        <v>23168</v>
      </c>
      <c r="E2002" s="2" t="s">
        <v>25922</v>
      </c>
      <c r="P2002" s="2" t="s">
        <v>23168</v>
      </c>
    </row>
    <row r="2003" spans="1:16" ht="15" customHeight="1">
      <c r="A2003" s="1">
        <v>2002</v>
      </c>
      <c r="B2003" s="2" t="s">
        <v>23169</v>
      </c>
      <c r="E2003" s="2" t="s">
        <v>25923</v>
      </c>
      <c r="P2003" s="2" t="s">
        <v>23169</v>
      </c>
    </row>
    <row r="2004" spans="1:16" ht="15" customHeight="1">
      <c r="A2004" s="1">
        <v>2003</v>
      </c>
      <c r="B2004" s="2" t="s">
        <v>23170</v>
      </c>
      <c r="E2004" s="2" t="s">
        <v>25924</v>
      </c>
      <c r="P2004" s="2" t="s">
        <v>23170</v>
      </c>
    </row>
    <row r="2005" spans="1:16" ht="15" customHeight="1">
      <c r="A2005" s="1">
        <v>2004</v>
      </c>
      <c r="B2005" s="2" t="s">
        <v>23171</v>
      </c>
      <c r="E2005" s="2" t="s">
        <v>25925</v>
      </c>
      <c r="P2005" s="2" t="s">
        <v>23171</v>
      </c>
    </row>
    <row r="2006" spans="1:16" ht="15" customHeight="1">
      <c r="A2006" s="1">
        <v>2005</v>
      </c>
      <c r="B2006" s="2" t="s">
        <v>23172</v>
      </c>
      <c r="E2006" s="2" t="s">
        <v>25926</v>
      </c>
      <c r="P2006" s="2" t="s">
        <v>23172</v>
      </c>
    </row>
    <row r="2007" spans="1:16" ht="15" customHeight="1">
      <c r="A2007" s="1">
        <v>2006</v>
      </c>
      <c r="B2007" s="2" t="s">
        <v>23173</v>
      </c>
      <c r="E2007" s="2" t="s">
        <v>25927</v>
      </c>
      <c r="P2007" s="2" t="s">
        <v>23173</v>
      </c>
    </row>
    <row r="2008" spans="1:16" ht="15" customHeight="1">
      <c r="A2008" s="1">
        <v>2007</v>
      </c>
      <c r="B2008" s="2" t="s">
        <v>23174</v>
      </c>
      <c r="E2008" s="2" t="s">
        <v>25928</v>
      </c>
      <c r="P2008" s="2" t="s">
        <v>23174</v>
      </c>
    </row>
    <row r="2009" spans="1:16" ht="15" customHeight="1">
      <c r="A2009" s="1">
        <v>2008</v>
      </c>
      <c r="B2009" s="2" t="s">
        <v>23175</v>
      </c>
      <c r="E2009" s="2" t="s">
        <v>25929</v>
      </c>
      <c r="P2009" s="2" t="s">
        <v>23175</v>
      </c>
    </row>
    <row r="2010" spans="1:16" ht="28.5">
      <c r="A2010" s="1">
        <v>2009</v>
      </c>
      <c r="B2010" s="82" t="s">
        <v>23176</v>
      </c>
      <c r="E2010" s="2" t="s">
        <v>25930</v>
      </c>
      <c r="P2010" s="2" t="s">
        <v>23176</v>
      </c>
    </row>
    <row r="2011" spans="1:16" ht="15" customHeight="1">
      <c r="A2011" s="1">
        <v>2010</v>
      </c>
      <c r="B2011" s="2" t="s">
        <v>23177</v>
      </c>
      <c r="C2011" s="2" t="s">
        <v>25316</v>
      </c>
      <c r="D2011" s="2" t="s">
        <v>25317</v>
      </c>
      <c r="E2011" s="2" t="s">
        <v>25931</v>
      </c>
      <c r="P2011" s="2" t="s">
        <v>23177</v>
      </c>
    </row>
    <row r="2012" spans="1:16" ht="15" customHeight="1">
      <c r="A2012" s="1">
        <v>2011</v>
      </c>
      <c r="B2012" s="2" t="s">
        <v>23178</v>
      </c>
      <c r="D2012" s="2" t="s">
        <v>25318</v>
      </c>
      <c r="E2012" s="2" t="s">
        <v>25932</v>
      </c>
      <c r="P2012" s="2" t="s">
        <v>23178</v>
      </c>
    </row>
    <row r="2013" spans="1:16" ht="15" customHeight="1">
      <c r="A2013" s="1">
        <v>2012</v>
      </c>
      <c r="B2013" s="2" t="s">
        <v>23179</v>
      </c>
      <c r="C2013" s="2" t="s">
        <v>25319</v>
      </c>
      <c r="D2013" s="2" t="s">
        <v>25320</v>
      </c>
      <c r="E2013" s="2" t="s">
        <v>25933</v>
      </c>
      <c r="P2013" s="2" t="s">
        <v>23179</v>
      </c>
    </row>
    <row r="2014" spans="1:16" ht="15" customHeight="1">
      <c r="A2014" s="1">
        <v>2013</v>
      </c>
      <c r="B2014" s="2" t="s">
        <v>23180</v>
      </c>
      <c r="D2014" s="2" t="s">
        <v>25321</v>
      </c>
      <c r="E2014" s="2" t="s">
        <v>25934</v>
      </c>
      <c r="P2014" s="2" t="s">
        <v>23180</v>
      </c>
    </row>
    <row r="2015" spans="1:16" ht="15" customHeight="1">
      <c r="A2015" s="1">
        <v>2014</v>
      </c>
      <c r="B2015" s="2" t="s">
        <v>23181</v>
      </c>
      <c r="D2015" s="2" t="s">
        <v>25322</v>
      </c>
      <c r="E2015" s="2" t="s">
        <v>25935</v>
      </c>
      <c r="P2015" s="2" t="s">
        <v>23181</v>
      </c>
    </row>
    <row r="2016" spans="1:16" ht="15" customHeight="1">
      <c r="A2016" s="1">
        <v>2015</v>
      </c>
      <c r="B2016" s="2" t="s">
        <v>23182</v>
      </c>
      <c r="D2016" s="2" t="s">
        <v>25323</v>
      </c>
      <c r="E2016" s="2" t="s">
        <v>25936</v>
      </c>
      <c r="P2016" s="2" t="s">
        <v>23182</v>
      </c>
    </row>
    <row r="2017" spans="1:16" ht="15" customHeight="1">
      <c r="A2017" s="1">
        <v>2016</v>
      </c>
      <c r="B2017" s="2" t="s">
        <v>23183</v>
      </c>
      <c r="D2017" s="2" t="s">
        <v>25324</v>
      </c>
      <c r="E2017" s="2" t="s">
        <v>25937</v>
      </c>
      <c r="P2017" s="2" t="s">
        <v>23183</v>
      </c>
    </row>
    <row r="2018" spans="1:16" ht="15" customHeight="1">
      <c r="A2018" s="1">
        <v>2017</v>
      </c>
      <c r="B2018" s="2" t="s">
        <v>23184</v>
      </c>
      <c r="D2018" s="2" t="s">
        <v>25325</v>
      </c>
      <c r="E2018" s="2" t="s">
        <v>25938</v>
      </c>
      <c r="P2018" s="2" t="s">
        <v>23184</v>
      </c>
    </row>
    <row r="2019" spans="1:16" ht="15" customHeight="1">
      <c r="A2019" s="1">
        <v>2018</v>
      </c>
      <c r="B2019" s="2" t="s">
        <v>23185</v>
      </c>
      <c r="D2019" s="2" t="s">
        <v>25326</v>
      </c>
      <c r="E2019" s="2" t="s">
        <v>25939</v>
      </c>
      <c r="P2019" s="2" t="s">
        <v>23185</v>
      </c>
    </row>
    <row r="2020" spans="1:16" ht="15" customHeight="1">
      <c r="A2020" s="1">
        <v>2019</v>
      </c>
      <c r="B2020" s="2" t="s">
        <v>23186</v>
      </c>
      <c r="D2020" s="2" t="s">
        <v>25327</v>
      </c>
      <c r="E2020" s="2" t="s">
        <v>25940</v>
      </c>
      <c r="P2020" s="2" t="s">
        <v>23186</v>
      </c>
    </row>
    <row r="2021" spans="1:16" ht="15" customHeight="1">
      <c r="A2021" s="1">
        <v>2020</v>
      </c>
      <c r="B2021" s="2" t="s">
        <v>23187</v>
      </c>
      <c r="D2021" s="2" t="s">
        <v>25328</v>
      </c>
      <c r="E2021" s="2" t="s">
        <v>25941</v>
      </c>
      <c r="P2021" s="2" t="s">
        <v>23187</v>
      </c>
    </row>
    <row r="2022" spans="1:16" ht="15" customHeight="1">
      <c r="A2022" s="1">
        <v>2021</v>
      </c>
      <c r="B2022" s="2" t="s">
        <v>23188</v>
      </c>
      <c r="D2022" s="2" t="s">
        <v>25329</v>
      </c>
      <c r="E2022" s="2" t="s">
        <v>25942</v>
      </c>
      <c r="P2022" s="2" t="s">
        <v>23188</v>
      </c>
    </row>
    <row r="2023" spans="1:16" ht="15" customHeight="1">
      <c r="A2023" s="1">
        <v>2022</v>
      </c>
      <c r="B2023" s="2" t="s">
        <v>23189</v>
      </c>
      <c r="D2023" s="2" t="s">
        <v>25330</v>
      </c>
      <c r="E2023" s="2" t="s">
        <v>25943</v>
      </c>
      <c r="P2023" s="2" t="s">
        <v>23189</v>
      </c>
    </row>
    <row r="2024" spans="1:16" ht="15" customHeight="1">
      <c r="A2024" s="1">
        <v>2023</v>
      </c>
      <c r="B2024" s="2" t="s">
        <v>23190</v>
      </c>
      <c r="D2024" s="2" t="s">
        <v>25331</v>
      </c>
      <c r="E2024" s="2" t="s">
        <v>25944</v>
      </c>
      <c r="P2024" s="2" t="s">
        <v>23190</v>
      </c>
    </row>
    <row r="2025" spans="1:16" ht="15" customHeight="1">
      <c r="A2025" s="1">
        <v>2024</v>
      </c>
      <c r="B2025" s="2" t="s">
        <v>23191</v>
      </c>
      <c r="D2025" s="2" t="s">
        <v>25332</v>
      </c>
      <c r="E2025" s="2" t="s">
        <v>25945</v>
      </c>
      <c r="P2025" s="2" t="s">
        <v>23191</v>
      </c>
    </row>
    <row r="2026" spans="1:16" ht="15" customHeight="1">
      <c r="A2026" s="1">
        <v>2025</v>
      </c>
      <c r="B2026" s="2" t="s">
        <v>23192</v>
      </c>
      <c r="D2026" s="2" t="s">
        <v>25333</v>
      </c>
      <c r="E2026" s="2" t="s">
        <v>25946</v>
      </c>
      <c r="P2026" s="2" t="s">
        <v>23192</v>
      </c>
    </row>
    <row r="2027" spans="1:16" ht="15" customHeight="1">
      <c r="A2027" s="1">
        <v>2026</v>
      </c>
      <c r="B2027" s="2" t="s">
        <v>23193</v>
      </c>
      <c r="D2027" s="2" t="s">
        <v>25334</v>
      </c>
      <c r="E2027" s="2" t="s">
        <v>25947</v>
      </c>
      <c r="P2027" s="2" t="s">
        <v>23193</v>
      </c>
    </row>
    <row r="2028" spans="1:16" ht="15" customHeight="1">
      <c r="A2028" s="1">
        <v>2027</v>
      </c>
      <c r="B2028" s="2" t="s">
        <v>23194</v>
      </c>
      <c r="D2028" s="2" t="s">
        <v>25335</v>
      </c>
      <c r="E2028" s="2" t="s">
        <v>25948</v>
      </c>
      <c r="P2028" s="2" t="s">
        <v>23194</v>
      </c>
    </row>
    <row r="2029" spans="1:16" ht="15" customHeight="1">
      <c r="A2029" s="1">
        <v>2028</v>
      </c>
      <c r="B2029" s="2" t="s">
        <v>23195</v>
      </c>
      <c r="D2029" s="2" t="s">
        <v>25336</v>
      </c>
      <c r="E2029" s="2" t="s">
        <v>25495</v>
      </c>
      <c r="P2029" s="2" t="s">
        <v>23195</v>
      </c>
    </row>
    <row r="2030" spans="1:16" ht="15" customHeight="1">
      <c r="A2030" s="1">
        <v>2029</v>
      </c>
      <c r="B2030" s="2" t="s">
        <v>23196</v>
      </c>
      <c r="C2030" s="2" t="s">
        <v>23197</v>
      </c>
      <c r="D2030" s="2" t="s">
        <v>23198</v>
      </c>
      <c r="E2030" s="2" t="s">
        <v>23199</v>
      </c>
      <c r="F2030" s="2" t="s">
        <v>23200</v>
      </c>
      <c r="G2030" s="2" t="s">
        <v>23201</v>
      </c>
      <c r="H2030" s="2" t="s">
        <v>23202</v>
      </c>
      <c r="I2030" s="2" t="s">
        <v>23203</v>
      </c>
      <c r="J2030" s="2" t="s">
        <v>23204</v>
      </c>
      <c r="K2030" s="2" t="s">
        <v>23205</v>
      </c>
      <c r="L2030" s="2" t="s">
        <v>23206</v>
      </c>
      <c r="M2030" s="2" t="s">
        <v>23207</v>
      </c>
      <c r="N2030" s="2" t="s">
        <v>23208</v>
      </c>
      <c r="O2030" s="2" t="s">
        <v>23209</v>
      </c>
      <c r="P2030" s="2" t="s">
        <v>23196</v>
      </c>
    </row>
    <row r="2031" spans="1:16" ht="15" customHeight="1">
      <c r="A2031" s="1">
        <v>2030</v>
      </c>
      <c r="B2031" s="2" t="s">
        <v>23210</v>
      </c>
      <c r="C2031" s="2" t="s">
        <v>23211</v>
      </c>
      <c r="D2031" s="2" t="s">
        <v>23212</v>
      </c>
      <c r="E2031" s="2" t="s">
        <v>23213</v>
      </c>
      <c r="F2031" s="2" t="s">
        <v>23214</v>
      </c>
      <c r="G2031" s="2" t="s">
        <v>23215</v>
      </c>
      <c r="H2031" s="2" t="s">
        <v>23216</v>
      </c>
      <c r="I2031" s="2" t="s">
        <v>23214</v>
      </c>
      <c r="J2031" s="2" t="s">
        <v>23215</v>
      </c>
      <c r="K2031" s="2" t="s">
        <v>23217</v>
      </c>
      <c r="L2031" s="2" t="s">
        <v>23218</v>
      </c>
      <c r="M2031" s="2" t="s">
        <v>23212</v>
      </c>
      <c r="N2031" s="2" t="s">
        <v>23212</v>
      </c>
      <c r="O2031" s="2" t="s">
        <v>23214</v>
      </c>
      <c r="P2031" s="2" t="s">
        <v>23210</v>
      </c>
    </row>
    <row r="2032" spans="1:16" ht="15" customHeight="1">
      <c r="A2032" s="1">
        <v>2031</v>
      </c>
      <c r="B2032" s="2" t="s">
        <v>23219</v>
      </c>
      <c r="C2032" s="2" t="s">
        <v>23220</v>
      </c>
      <c r="D2032" s="2" t="s">
        <v>23221</v>
      </c>
      <c r="E2032" s="2" t="s">
        <v>23222</v>
      </c>
      <c r="F2032" s="2" t="s">
        <v>23223</v>
      </c>
      <c r="G2032" s="2" t="s">
        <v>23224</v>
      </c>
      <c r="H2032" s="2" t="s">
        <v>23225</v>
      </c>
      <c r="I2032" s="2" t="s">
        <v>23223</v>
      </c>
      <c r="J2032" s="2" t="s">
        <v>23226</v>
      </c>
      <c r="K2032" s="2" t="s">
        <v>23227</v>
      </c>
      <c r="L2032" s="2" t="s">
        <v>23228</v>
      </c>
      <c r="M2032" s="2" t="s">
        <v>23228</v>
      </c>
      <c r="N2032" s="2" t="s">
        <v>23229</v>
      </c>
      <c r="O2032" s="2" t="s">
        <v>23230</v>
      </c>
      <c r="P2032" s="2" t="s">
        <v>23219</v>
      </c>
    </row>
    <row r="2033" spans="1:16" ht="15" customHeight="1">
      <c r="A2033" s="1">
        <v>2032</v>
      </c>
      <c r="B2033" s="2" t="s">
        <v>23231</v>
      </c>
      <c r="C2033" s="2" t="s">
        <v>23232</v>
      </c>
      <c r="D2033" s="2" t="s">
        <v>23233</v>
      </c>
      <c r="E2033" s="2" t="s">
        <v>23234</v>
      </c>
      <c r="F2033" s="2" t="s">
        <v>23235</v>
      </c>
      <c r="G2033" s="2" t="s">
        <v>23236</v>
      </c>
      <c r="H2033" s="2" t="s">
        <v>23237</v>
      </c>
      <c r="I2033" s="2" t="s">
        <v>23238</v>
      </c>
      <c r="J2033" s="2" t="s">
        <v>23239</v>
      </c>
      <c r="K2033" s="2" t="s">
        <v>23240</v>
      </c>
      <c r="L2033" s="2" t="s">
        <v>23241</v>
      </c>
      <c r="M2033" s="2" t="s">
        <v>23242</v>
      </c>
      <c r="N2033" s="2" t="s">
        <v>23241</v>
      </c>
      <c r="O2033" s="2" t="s">
        <v>23243</v>
      </c>
      <c r="P2033" s="2" t="s">
        <v>23231</v>
      </c>
    </row>
    <row r="2034" spans="1:16" ht="15" customHeight="1">
      <c r="A2034" s="1">
        <v>2033</v>
      </c>
      <c r="B2034" s="2" t="s">
        <v>23244</v>
      </c>
      <c r="C2034" s="2" t="s">
        <v>23245</v>
      </c>
      <c r="D2034" s="2" t="s">
        <v>23246</v>
      </c>
      <c r="E2034" s="2" t="s">
        <v>23247</v>
      </c>
      <c r="F2034" s="2" t="s">
        <v>23248</v>
      </c>
      <c r="G2034" s="2" t="s">
        <v>23249</v>
      </c>
      <c r="H2034" s="2" t="s">
        <v>23250</v>
      </c>
      <c r="I2034" s="2" t="s">
        <v>23251</v>
      </c>
      <c r="J2034" s="2" t="s">
        <v>23252</v>
      </c>
      <c r="K2034" s="2" t="s">
        <v>23253</v>
      </c>
      <c r="L2034" s="2" t="s">
        <v>23254</v>
      </c>
      <c r="M2034" s="2" t="s">
        <v>23255</v>
      </c>
      <c r="N2034" s="2" t="s">
        <v>23256</v>
      </c>
      <c r="O2034" s="2" t="s">
        <v>23257</v>
      </c>
      <c r="P2034" s="2" t="s">
        <v>23244</v>
      </c>
    </row>
    <row r="2035" spans="1:16" ht="15" customHeight="1">
      <c r="A2035" s="1">
        <v>2034</v>
      </c>
      <c r="B2035" s="2" t="s">
        <v>23258</v>
      </c>
      <c r="C2035" s="2" t="s">
        <v>23259</v>
      </c>
      <c r="D2035" s="2" t="s">
        <v>23260</v>
      </c>
      <c r="E2035" s="2" t="s">
        <v>23261</v>
      </c>
      <c r="F2035" s="2" t="s">
        <v>23262</v>
      </c>
      <c r="G2035" s="2" t="s">
        <v>23263</v>
      </c>
      <c r="H2035" s="2" t="s">
        <v>23264</v>
      </c>
      <c r="I2035" s="2" t="s">
        <v>23265</v>
      </c>
      <c r="J2035" s="2" t="s">
        <v>23266</v>
      </c>
      <c r="K2035" s="2" t="s">
        <v>23267</v>
      </c>
      <c r="L2035" s="2" t="s">
        <v>23268</v>
      </c>
      <c r="M2035" s="2" t="s">
        <v>23269</v>
      </c>
      <c r="N2035" s="2" t="s">
        <v>23270</v>
      </c>
      <c r="O2035" s="2" t="s">
        <v>23271</v>
      </c>
      <c r="P2035" s="2" t="s">
        <v>23258</v>
      </c>
    </row>
    <row r="2036" spans="1:16" ht="15" customHeight="1">
      <c r="A2036" s="1">
        <v>2035</v>
      </c>
      <c r="B2036" s="2" t="s">
        <v>23272</v>
      </c>
      <c r="C2036" s="2" t="s">
        <v>23273</v>
      </c>
      <c r="D2036" s="2" t="s">
        <v>23274</v>
      </c>
      <c r="E2036" s="2" t="s">
        <v>25949</v>
      </c>
      <c r="F2036" s="2" t="s">
        <v>23275</v>
      </c>
      <c r="G2036" s="2" t="s">
        <v>23276</v>
      </c>
      <c r="H2036" s="2" t="s">
        <v>23277</v>
      </c>
      <c r="I2036" s="2" t="s">
        <v>23278</v>
      </c>
      <c r="J2036" s="2" t="s">
        <v>23279</v>
      </c>
      <c r="K2036" s="2" t="s">
        <v>23280</v>
      </c>
      <c r="L2036" s="2" t="s">
        <v>23281</v>
      </c>
      <c r="M2036" s="2" t="s">
        <v>23282</v>
      </c>
      <c r="N2036" s="2" t="s">
        <v>23283</v>
      </c>
      <c r="O2036" s="2" t="s">
        <v>23284</v>
      </c>
      <c r="P2036" s="2" t="s">
        <v>23272</v>
      </c>
    </row>
    <row r="2037" spans="1:16" ht="15" customHeight="1">
      <c r="A2037" s="1">
        <v>2036</v>
      </c>
      <c r="B2037" s="2" t="s">
        <v>23285</v>
      </c>
      <c r="C2037" s="2" t="s">
        <v>23286</v>
      </c>
      <c r="D2037" s="2" t="s">
        <v>23287</v>
      </c>
      <c r="E2037" s="2" t="s">
        <v>23288</v>
      </c>
      <c r="F2037" s="2" t="s">
        <v>23289</v>
      </c>
      <c r="G2037" s="2" t="s">
        <v>23290</v>
      </c>
      <c r="H2037" s="2" t="s">
        <v>23291</v>
      </c>
      <c r="I2037" s="2" t="s">
        <v>23292</v>
      </c>
      <c r="J2037" s="2" t="s">
        <v>23293</v>
      </c>
      <c r="K2037" s="2" t="s">
        <v>23294</v>
      </c>
      <c r="L2037" s="2" t="s">
        <v>23295</v>
      </c>
      <c r="M2037" s="2" t="s">
        <v>23296</v>
      </c>
      <c r="N2037" s="2" t="s">
        <v>23297</v>
      </c>
      <c r="O2037" s="2" t="s">
        <v>23294</v>
      </c>
      <c r="P2037" s="2" t="s">
        <v>23285</v>
      </c>
    </row>
    <row r="2038" spans="1:16" ht="15" customHeight="1">
      <c r="A2038" s="1">
        <v>2037</v>
      </c>
      <c r="B2038" s="2" t="s">
        <v>23298</v>
      </c>
      <c r="C2038" s="2" t="s">
        <v>23299</v>
      </c>
      <c r="D2038" s="2" t="s">
        <v>23300</v>
      </c>
      <c r="E2038" s="2" t="s">
        <v>23301</v>
      </c>
      <c r="F2038" s="2" t="s">
        <v>23302</v>
      </c>
      <c r="G2038" s="2" t="s">
        <v>23303</v>
      </c>
      <c r="H2038" s="2" t="s">
        <v>23304</v>
      </c>
      <c r="I2038" s="2" t="s">
        <v>23305</v>
      </c>
      <c r="J2038" s="2" t="s">
        <v>23306</v>
      </c>
      <c r="K2038" s="2" t="s">
        <v>23307</v>
      </c>
      <c r="L2038" s="2" t="s">
        <v>23308</v>
      </c>
      <c r="M2038" s="2" t="s">
        <v>23309</v>
      </c>
      <c r="N2038" s="2" t="s">
        <v>23310</v>
      </c>
      <c r="O2038" s="2" t="s">
        <v>23311</v>
      </c>
      <c r="P2038" s="2" t="s">
        <v>23298</v>
      </c>
    </row>
    <row r="2039" spans="1:16" ht="15" customHeight="1">
      <c r="A2039" s="1">
        <v>2038</v>
      </c>
      <c r="B2039" s="2" t="s">
        <v>23312</v>
      </c>
      <c r="C2039" s="2" t="s">
        <v>23313</v>
      </c>
      <c r="D2039" s="2" t="s">
        <v>23314</v>
      </c>
      <c r="E2039" s="2" t="s">
        <v>23315</v>
      </c>
      <c r="F2039" s="2" t="s">
        <v>23316</v>
      </c>
      <c r="G2039" s="2" t="s">
        <v>23317</v>
      </c>
      <c r="H2039" s="2" t="s">
        <v>23318</v>
      </c>
      <c r="I2039" s="2" t="s">
        <v>23319</v>
      </c>
      <c r="J2039" s="2" t="s">
        <v>23320</v>
      </c>
      <c r="K2039" s="2" t="s">
        <v>23321</v>
      </c>
      <c r="L2039" s="2" t="s">
        <v>23322</v>
      </c>
      <c r="M2039" s="2" t="s">
        <v>23323</v>
      </c>
      <c r="N2039" s="2" t="s">
        <v>23324</v>
      </c>
      <c r="O2039" s="2" t="s">
        <v>23325</v>
      </c>
      <c r="P2039" s="2" t="s">
        <v>23312</v>
      </c>
    </row>
    <row r="2040" spans="1:16">
      <c r="A2040" s="1">
        <v>2039</v>
      </c>
      <c r="B2040" s="2" t="s">
        <v>23326</v>
      </c>
      <c r="C2040" s="2" t="s">
        <v>23327</v>
      </c>
      <c r="D2040" s="2" t="s">
        <v>23328</v>
      </c>
      <c r="E2040" s="2" t="s">
        <v>23329</v>
      </c>
      <c r="F2040" s="2" t="s">
        <v>23330</v>
      </c>
      <c r="G2040" s="2" t="s">
        <v>23331</v>
      </c>
      <c r="H2040" s="2" t="s">
        <v>23332</v>
      </c>
      <c r="I2040" s="2" t="s">
        <v>23333</v>
      </c>
      <c r="J2040" s="2" t="s">
        <v>23334</v>
      </c>
      <c r="K2040" s="2" t="s">
        <v>23335</v>
      </c>
      <c r="L2040" s="2" t="s">
        <v>23336</v>
      </c>
      <c r="M2040" s="2" t="s">
        <v>23337</v>
      </c>
      <c r="N2040" s="2" t="s">
        <v>23338</v>
      </c>
      <c r="O2040" s="2" t="s">
        <v>23339</v>
      </c>
      <c r="P2040" s="2" t="s">
        <v>23326</v>
      </c>
    </row>
    <row r="2041" spans="1:16" ht="15" customHeight="1">
      <c r="A2041" s="1">
        <v>2040</v>
      </c>
      <c r="B2041" s="2" t="s">
        <v>23340</v>
      </c>
      <c r="C2041" s="2" t="s">
        <v>23341</v>
      </c>
      <c r="D2041" s="2" t="s">
        <v>23342</v>
      </c>
      <c r="E2041" s="2" t="s">
        <v>23343</v>
      </c>
      <c r="F2041" s="2" t="s">
        <v>23344</v>
      </c>
      <c r="G2041" s="2" t="s">
        <v>23345</v>
      </c>
      <c r="H2041" s="2" t="s">
        <v>23346</v>
      </c>
      <c r="I2041" s="2" t="s">
        <v>23347</v>
      </c>
      <c r="J2041" s="2" t="s">
        <v>23348</v>
      </c>
      <c r="K2041" s="2" t="s">
        <v>23349</v>
      </c>
      <c r="L2041" s="2" t="s">
        <v>23350</v>
      </c>
      <c r="M2041" s="2" t="s">
        <v>23351</v>
      </c>
      <c r="N2041" s="2" t="s">
        <v>23352</v>
      </c>
      <c r="O2041" s="2" t="s">
        <v>23353</v>
      </c>
      <c r="P2041" s="2" t="s">
        <v>23340</v>
      </c>
    </row>
    <row r="2042" spans="1:16" ht="15" customHeight="1">
      <c r="A2042" s="1">
        <v>2041</v>
      </c>
      <c r="B2042" s="2" t="s">
        <v>23354</v>
      </c>
      <c r="C2042" s="2" t="s">
        <v>23355</v>
      </c>
      <c r="D2042" s="2" t="s">
        <v>23356</v>
      </c>
      <c r="E2042" s="2" t="s">
        <v>23357</v>
      </c>
      <c r="F2042" s="2" t="s">
        <v>23358</v>
      </c>
      <c r="G2042" s="2" t="s">
        <v>23359</v>
      </c>
      <c r="H2042" s="2" t="s">
        <v>23360</v>
      </c>
      <c r="I2042" s="2" t="s">
        <v>23361</v>
      </c>
      <c r="J2042" s="2" t="s">
        <v>23362</v>
      </c>
      <c r="K2042" s="2" t="s">
        <v>23363</v>
      </c>
      <c r="L2042" s="2" t="s">
        <v>23364</v>
      </c>
      <c r="M2042" s="2" t="s">
        <v>23365</v>
      </c>
      <c r="N2042" s="2" t="s">
        <v>23366</v>
      </c>
      <c r="O2042" s="2" t="s">
        <v>23367</v>
      </c>
      <c r="P2042" s="2" t="s">
        <v>23354</v>
      </c>
    </row>
    <row r="2043" spans="1:16" ht="15" customHeight="1">
      <c r="A2043" s="1">
        <v>2042</v>
      </c>
      <c r="B2043" s="2" t="s">
        <v>23368</v>
      </c>
      <c r="C2043" s="2" t="s">
        <v>23369</v>
      </c>
      <c r="D2043" s="2" t="s">
        <v>23370</v>
      </c>
      <c r="E2043" s="2" t="s">
        <v>23371</v>
      </c>
      <c r="F2043" s="2" t="s">
        <v>23372</v>
      </c>
      <c r="G2043" s="2" t="s">
        <v>23373</v>
      </c>
      <c r="H2043" s="2" t="s">
        <v>23374</v>
      </c>
      <c r="I2043" s="2" t="s">
        <v>23375</v>
      </c>
      <c r="J2043" s="2" t="s">
        <v>23376</v>
      </c>
      <c r="K2043" s="2" t="s">
        <v>23377</v>
      </c>
      <c r="L2043" s="2" t="s">
        <v>23378</v>
      </c>
      <c r="M2043" s="2" t="s">
        <v>23379</v>
      </c>
      <c r="N2043" s="2" t="s">
        <v>23380</v>
      </c>
      <c r="O2043" s="2" t="s">
        <v>23381</v>
      </c>
      <c r="P2043" s="2" t="s">
        <v>23368</v>
      </c>
    </row>
    <row r="2044" spans="1:16" ht="15" customHeight="1">
      <c r="A2044" s="1">
        <v>2043</v>
      </c>
      <c r="B2044" s="2" t="s">
        <v>23382</v>
      </c>
      <c r="C2044" s="2" t="s">
        <v>23383</v>
      </c>
      <c r="D2044" s="2" t="s">
        <v>23384</v>
      </c>
      <c r="E2044" s="2" t="s">
        <v>23385</v>
      </c>
      <c r="F2044" s="2" t="s">
        <v>23386</v>
      </c>
      <c r="G2044" s="2" t="s">
        <v>23387</v>
      </c>
      <c r="H2044" s="2" t="s">
        <v>23388</v>
      </c>
      <c r="I2044" s="2" t="s">
        <v>23389</v>
      </c>
      <c r="J2044" s="2" t="s">
        <v>23390</v>
      </c>
      <c r="K2044" s="2" t="s">
        <v>23391</v>
      </c>
      <c r="L2044" s="2" t="s">
        <v>23392</v>
      </c>
      <c r="M2044" s="2" t="s">
        <v>23393</v>
      </c>
      <c r="N2044" s="2" t="s">
        <v>23394</v>
      </c>
      <c r="O2044" s="2" t="s">
        <v>23395</v>
      </c>
      <c r="P2044" s="2" t="s">
        <v>23396</v>
      </c>
    </row>
    <row r="2045" spans="1:16" ht="15" customHeight="1">
      <c r="A2045" s="1">
        <v>2044</v>
      </c>
      <c r="B2045" s="2" t="s">
        <v>23397</v>
      </c>
      <c r="C2045" s="2" t="s">
        <v>23398</v>
      </c>
      <c r="D2045" s="2" t="s">
        <v>23399</v>
      </c>
      <c r="E2045" s="2" t="s">
        <v>23400</v>
      </c>
      <c r="F2045" s="2" t="s">
        <v>23401</v>
      </c>
      <c r="G2045" s="2" t="s">
        <v>23402</v>
      </c>
      <c r="H2045" s="2" t="s">
        <v>23403</v>
      </c>
      <c r="I2045" s="2" t="s">
        <v>23404</v>
      </c>
      <c r="J2045" s="2" t="s">
        <v>23405</v>
      </c>
      <c r="K2045" s="2" t="s">
        <v>23406</v>
      </c>
      <c r="L2045" s="2" t="s">
        <v>23407</v>
      </c>
      <c r="M2045" s="2" t="s">
        <v>23408</v>
      </c>
      <c r="N2045" s="2" t="s">
        <v>23409</v>
      </c>
      <c r="O2045" s="2" t="s">
        <v>23410</v>
      </c>
      <c r="P2045" s="2" t="s">
        <v>23397</v>
      </c>
    </row>
    <row r="2046" spans="1:16" ht="15" customHeight="1">
      <c r="A2046" s="1">
        <v>2045</v>
      </c>
      <c r="B2046" s="2" t="s">
        <v>23411</v>
      </c>
      <c r="C2046" s="2" t="s">
        <v>23412</v>
      </c>
      <c r="D2046" s="2" t="s">
        <v>23413</v>
      </c>
      <c r="E2046" s="2" t="s">
        <v>23414</v>
      </c>
      <c r="F2046" s="2" t="s">
        <v>23415</v>
      </c>
      <c r="G2046" s="2" t="s">
        <v>23416</v>
      </c>
      <c r="H2046" s="2" t="s">
        <v>23417</v>
      </c>
      <c r="I2046" s="2" t="s">
        <v>23418</v>
      </c>
      <c r="J2046" s="2" t="s">
        <v>23419</v>
      </c>
      <c r="K2046" s="2" t="s">
        <v>23420</v>
      </c>
      <c r="L2046" s="2" t="s">
        <v>23421</v>
      </c>
      <c r="M2046" s="2" t="s">
        <v>23422</v>
      </c>
      <c r="N2046" s="2" t="s">
        <v>23423</v>
      </c>
      <c r="O2046" s="2" t="s">
        <v>23424</v>
      </c>
      <c r="P2046" s="2" t="s">
        <v>23411</v>
      </c>
    </row>
    <row r="2047" spans="1:16" ht="15" customHeight="1">
      <c r="A2047" s="1">
        <v>2046</v>
      </c>
      <c r="B2047" s="2" t="s">
        <v>23425</v>
      </c>
      <c r="C2047" s="2" t="s">
        <v>23426</v>
      </c>
      <c r="D2047" s="2" t="s">
        <v>23427</v>
      </c>
      <c r="E2047" s="2" t="s">
        <v>23428</v>
      </c>
      <c r="F2047" s="2" t="s">
        <v>23429</v>
      </c>
      <c r="G2047" s="2" t="s">
        <v>23430</v>
      </c>
      <c r="H2047" s="2" t="s">
        <v>23431</v>
      </c>
      <c r="I2047" s="2" t="s">
        <v>23432</v>
      </c>
      <c r="J2047" s="2" t="s">
        <v>23433</v>
      </c>
      <c r="K2047" s="2" t="s">
        <v>23434</v>
      </c>
      <c r="L2047" s="2" t="s">
        <v>23435</v>
      </c>
      <c r="M2047" s="2" t="s">
        <v>23436</v>
      </c>
      <c r="N2047" s="2" t="s">
        <v>23437</v>
      </c>
      <c r="O2047" s="2" t="s">
        <v>23438</v>
      </c>
      <c r="P2047" s="2" t="s">
        <v>23425</v>
      </c>
    </row>
    <row r="2048" spans="1:16" ht="15" customHeight="1">
      <c r="A2048" s="1">
        <v>2047</v>
      </c>
      <c r="B2048" s="2" t="s">
        <v>23439</v>
      </c>
      <c r="C2048" s="2" t="s">
        <v>23440</v>
      </c>
      <c r="D2048" s="2" t="s">
        <v>23441</v>
      </c>
      <c r="E2048" s="2" t="s">
        <v>23442</v>
      </c>
      <c r="F2048" s="2" t="s">
        <v>23443</v>
      </c>
      <c r="G2048" s="2" t="s">
        <v>23444</v>
      </c>
      <c r="H2048" s="2" t="s">
        <v>23445</v>
      </c>
      <c r="I2048" s="2" t="s">
        <v>23446</v>
      </c>
      <c r="J2048" s="2" t="s">
        <v>23447</v>
      </c>
      <c r="K2048" s="2" t="s">
        <v>23448</v>
      </c>
      <c r="L2048" s="2" t="s">
        <v>23449</v>
      </c>
      <c r="M2048" s="2" t="s">
        <v>23450</v>
      </c>
      <c r="N2048" s="2" t="s">
        <v>23451</v>
      </c>
      <c r="O2048" s="2" t="s">
        <v>23452</v>
      </c>
      <c r="P2048" s="2" t="s">
        <v>23439</v>
      </c>
    </row>
    <row r="2049" spans="1:16" ht="15" customHeight="1">
      <c r="A2049" s="1">
        <v>2048</v>
      </c>
      <c r="B2049" s="2" t="s">
        <v>23453</v>
      </c>
      <c r="C2049" s="2" t="s">
        <v>23454</v>
      </c>
      <c r="D2049" s="2" t="s">
        <v>23455</v>
      </c>
      <c r="E2049" s="2" t="s">
        <v>23456</v>
      </c>
      <c r="F2049" s="2" t="s">
        <v>23457</v>
      </c>
      <c r="G2049" s="2" t="s">
        <v>23458</v>
      </c>
      <c r="H2049" s="2" t="s">
        <v>23459</v>
      </c>
      <c r="I2049" s="2" t="s">
        <v>23460</v>
      </c>
      <c r="J2049" s="2" t="s">
        <v>23461</v>
      </c>
      <c r="K2049" s="2" t="s">
        <v>23462</v>
      </c>
      <c r="L2049" s="2" t="s">
        <v>23463</v>
      </c>
      <c r="M2049" s="2" t="s">
        <v>23464</v>
      </c>
      <c r="N2049" s="2" t="s">
        <v>23465</v>
      </c>
      <c r="O2049" s="2" t="s">
        <v>23466</v>
      </c>
      <c r="P2049" s="2" t="s">
        <v>23453</v>
      </c>
    </row>
    <row r="2050" spans="1:16" ht="15" customHeight="1">
      <c r="A2050" s="1">
        <v>2049</v>
      </c>
      <c r="B2050" s="2" t="s">
        <v>23467</v>
      </c>
      <c r="C2050" s="2" t="s">
        <v>23468</v>
      </c>
      <c r="D2050" s="2" t="s">
        <v>23469</v>
      </c>
      <c r="E2050" s="2" t="s">
        <v>23470</v>
      </c>
      <c r="F2050" s="2" t="s">
        <v>23471</v>
      </c>
      <c r="G2050" s="2" t="s">
        <v>23472</v>
      </c>
      <c r="H2050" s="2" t="s">
        <v>23473</v>
      </c>
      <c r="I2050" s="2" t="s">
        <v>23474</v>
      </c>
      <c r="J2050" s="2" t="s">
        <v>23475</v>
      </c>
      <c r="K2050" s="2" t="s">
        <v>23476</v>
      </c>
      <c r="L2050" s="2" t="s">
        <v>23477</v>
      </c>
      <c r="M2050" s="2" t="s">
        <v>23478</v>
      </c>
      <c r="N2050" s="2" t="s">
        <v>23479</v>
      </c>
      <c r="O2050" s="2" t="s">
        <v>23480</v>
      </c>
      <c r="P2050" s="2" t="s">
        <v>23467</v>
      </c>
    </row>
    <row r="2051" spans="1:16" ht="15" customHeight="1">
      <c r="A2051" s="1">
        <v>2050</v>
      </c>
      <c r="B2051" s="2" t="s">
        <v>23481</v>
      </c>
      <c r="C2051" s="2" t="s">
        <v>23482</v>
      </c>
      <c r="D2051" s="2" t="s">
        <v>23483</v>
      </c>
      <c r="E2051" s="2" t="s">
        <v>23484</v>
      </c>
      <c r="F2051" s="2" t="s">
        <v>23485</v>
      </c>
      <c r="G2051" s="2" t="s">
        <v>23486</v>
      </c>
      <c r="H2051" s="2" t="s">
        <v>23487</v>
      </c>
      <c r="I2051" s="2" t="s">
        <v>23488</v>
      </c>
      <c r="J2051" s="2" t="s">
        <v>23489</v>
      </c>
      <c r="K2051" s="2" t="s">
        <v>23490</v>
      </c>
      <c r="L2051" s="2" t="s">
        <v>23491</v>
      </c>
      <c r="M2051" s="2" t="s">
        <v>23492</v>
      </c>
      <c r="N2051" s="2" t="s">
        <v>23493</v>
      </c>
      <c r="O2051" s="2" t="s">
        <v>23494</v>
      </c>
      <c r="P2051" s="2" t="s">
        <v>23481</v>
      </c>
    </row>
    <row r="2052" spans="1:16" ht="15" customHeight="1">
      <c r="A2052" s="1">
        <v>2051</v>
      </c>
      <c r="B2052" s="2" t="s">
        <v>23495</v>
      </c>
      <c r="C2052" s="2" t="s">
        <v>23496</v>
      </c>
      <c r="D2052" s="2" t="s">
        <v>23497</v>
      </c>
      <c r="E2052" s="2" t="s">
        <v>23498</v>
      </c>
      <c r="F2052" s="2" t="s">
        <v>23499</v>
      </c>
      <c r="G2052" s="2" t="s">
        <v>23500</v>
      </c>
      <c r="H2052" s="2" t="s">
        <v>23501</v>
      </c>
      <c r="I2052" s="2" t="s">
        <v>23502</v>
      </c>
      <c r="J2052" s="2" t="s">
        <v>23503</v>
      </c>
      <c r="K2052" s="2" t="s">
        <v>23504</v>
      </c>
      <c r="L2052" s="2" t="s">
        <v>23505</v>
      </c>
      <c r="M2052" s="2" t="s">
        <v>23506</v>
      </c>
      <c r="N2052" s="2" t="s">
        <v>23507</v>
      </c>
      <c r="O2052" s="2" t="s">
        <v>23508</v>
      </c>
      <c r="P2052" s="2" t="s">
        <v>23495</v>
      </c>
    </row>
    <row r="2053" spans="1:16" ht="15" customHeight="1">
      <c r="A2053" s="1">
        <v>2052</v>
      </c>
      <c r="B2053" s="2" t="s">
        <v>23509</v>
      </c>
      <c r="C2053" s="2" t="s">
        <v>23510</v>
      </c>
      <c r="D2053" s="2" t="s">
        <v>23511</v>
      </c>
      <c r="E2053" s="2" t="s">
        <v>23512</v>
      </c>
      <c r="F2053" s="2" t="s">
        <v>23513</v>
      </c>
      <c r="G2053" s="2" t="s">
        <v>23514</v>
      </c>
      <c r="H2053" s="2" t="s">
        <v>23515</v>
      </c>
      <c r="I2053" s="2" t="s">
        <v>23516</v>
      </c>
      <c r="J2053" s="2" t="s">
        <v>23517</v>
      </c>
      <c r="K2053" s="2" t="s">
        <v>23518</v>
      </c>
      <c r="L2053" s="2" t="s">
        <v>23519</v>
      </c>
      <c r="M2053" s="2" t="s">
        <v>23520</v>
      </c>
      <c r="N2053" s="2" t="s">
        <v>23521</v>
      </c>
      <c r="O2053" s="2" t="s">
        <v>23522</v>
      </c>
      <c r="P2053" s="2" t="s">
        <v>23509</v>
      </c>
    </row>
    <row r="2054" spans="1:16" ht="15" customHeight="1">
      <c r="A2054" s="1">
        <v>2053</v>
      </c>
      <c r="B2054" s="2" t="s">
        <v>23523</v>
      </c>
      <c r="C2054" s="2" t="s">
        <v>23524</v>
      </c>
      <c r="D2054" s="2" t="s">
        <v>23525</v>
      </c>
      <c r="E2054" s="2" t="s">
        <v>23526</v>
      </c>
      <c r="F2054" s="2" t="s">
        <v>23527</v>
      </c>
      <c r="G2054" s="2" t="s">
        <v>23528</v>
      </c>
      <c r="H2054" s="2" t="s">
        <v>23529</v>
      </c>
      <c r="I2054" s="2" t="s">
        <v>23530</v>
      </c>
      <c r="J2054" s="2" t="s">
        <v>23531</v>
      </c>
      <c r="K2054" s="2" t="s">
        <v>23532</v>
      </c>
      <c r="L2054" s="2" t="s">
        <v>23533</v>
      </c>
      <c r="M2054" s="2" t="s">
        <v>23534</v>
      </c>
      <c r="N2054" s="2" t="s">
        <v>23535</v>
      </c>
      <c r="O2054" s="2" t="s">
        <v>23536</v>
      </c>
      <c r="P2054" s="2" t="s">
        <v>23523</v>
      </c>
    </row>
    <row r="2055" spans="1:16" ht="15" customHeight="1">
      <c r="A2055" s="1">
        <v>2054</v>
      </c>
      <c r="B2055" s="2" t="s">
        <v>23537</v>
      </c>
      <c r="C2055" s="2" t="s">
        <v>23538</v>
      </c>
      <c r="D2055" s="2" t="s">
        <v>23539</v>
      </c>
      <c r="E2055" s="2" t="s">
        <v>23540</v>
      </c>
      <c r="F2055" s="2" t="s">
        <v>23541</v>
      </c>
      <c r="G2055" s="2" t="s">
        <v>23542</v>
      </c>
      <c r="H2055" s="2" t="s">
        <v>23543</v>
      </c>
      <c r="I2055" s="2" t="s">
        <v>23544</v>
      </c>
      <c r="J2055" s="2" t="s">
        <v>23545</v>
      </c>
      <c r="K2055" s="2" t="s">
        <v>23546</v>
      </c>
      <c r="L2055" s="2" t="s">
        <v>23547</v>
      </c>
      <c r="M2055" s="2" t="s">
        <v>23548</v>
      </c>
      <c r="N2055" s="2" t="s">
        <v>23549</v>
      </c>
      <c r="O2055" s="2" t="s">
        <v>23550</v>
      </c>
      <c r="P2055" s="2" t="s">
        <v>23537</v>
      </c>
    </row>
    <row r="2056" spans="1:16" ht="15" customHeight="1">
      <c r="A2056" s="1">
        <v>2055</v>
      </c>
      <c r="B2056" s="2" t="s">
        <v>23551</v>
      </c>
      <c r="C2056" s="2" t="s">
        <v>23552</v>
      </c>
      <c r="D2056" s="2" t="s">
        <v>23553</v>
      </c>
      <c r="E2056" s="2" t="s">
        <v>23554</v>
      </c>
      <c r="F2056" s="2" t="s">
        <v>23555</v>
      </c>
      <c r="G2056" s="2" t="s">
        <v>23556</v>
      </c>
      <c r="H2056" s="2" t="s">
        <v>23557</v>
      </c>
      <c r="I2056" s="2" t="s">
        <v>23558</v>
      </c>
      <c r="J2056" s="2" t="s">
        <v>23559</v>
      </c>
      <c r="K2056" s="2" t="s">
        <v>23560</v>
      </c>
      <c r="L2056" s="2" t="s">
        <v>23561</v>
      </c>
      <c r="M2056" s="2" t="s">
        <v>23562</v>
      </c>
      <c r="N2056" s="2" t="s">
        <v>23563</v>
      </c>
      <c r="O2056" s="2" t="s">
        <v>23564</v>
      </c>
      <c r="P2056" s="2" t="s">
        <v>23551</v>
      </c>
    </row>
    <row r="2057" spans="1:16" ht="15" customHeight="1">
      <c r="A2057" s="1">
        <v>2056</v>
      </c>
      <c r="B2057" s="2" t="s">
        <v>23565</v>
      </c>
      <c r="C2057" s="2" t="s">
        <v>23566</v>
      </c>
      <c r="D2057" s="2" t="s">
        <v>23566</v>
      </c>
      <c r="E2057" s="2" t="s">
        <v>23567</v>
      </c>
      <c r="F2057" s="2" t="s">
        <v>23568</v>
      </c>
      <c r="G2057" s="2" t="s">
        <v>23569</v>
      </c>
      <c r="H2057" s="2" t="s">
        <v>23570</v>
      </c>
      <c r="I2057" s="2" t="s">
        <v>23571</v>
      </c>
      <c r="J2057" s="2" t="s">
        <v>23572</v>
      </c>
      <c r="K2057" s="2" t="s">
        <v>23573</v>
      </c>
      <c r="L2057" s="2" t="s">
        <v>23574</v>
      </c>
      <c r="M2057" s="2" t="s">
        <v>23572</v>
      </c>
      <c r="N2057" s="2" t="s">
        <v>23575</v>
      </c>
      <c r="O2057" s="2" t="s">
        <v>23576</v>
      </c>
      <c r="P2057" s="2" t="s">
        <v>23565</v>
      </c>
    </row>
    <row r="2058" spans="1:16" ht="15" customHeight="1">
      <c r="A2058" s="1">
        <v>2057</v>
      </c>
      <c r="B2058" s="2" t="s">
        <v>23577</v>
      </c>
      <c r="C2058" s="2" t="s">
        <v>23578</v>
      </c>
      <c r="D2058" s="2" t="s">
        <v>23579</v>
      </c>
      <c r="E2058" s="2" t="s">
        <v>23580</v>
      </c>
      <c r="F2058" s="2" t="s">
        <v>23581</v>
      </c>
      <c r="G2058" s="2" t="s">
        <v>23582</v>
      </c>
      <c r="H2058" s="2" t="s">
        <v>23583</v>
      </c>
      <c r="I2058" s="2" t="s">
        <v>23584</v>
      </c>
      <c r="J2058" s="2" t="s">
        <v>23585</v>
      </c>
      <c r="K2058" s="2" t="s">
        <v>23586</v>
      </c>
      <c r="L2058" s="2" t="s">
        <v>23587</v>
      </c>
      <c r="M2058" s="2" t="s">
        <v>23588</v>
      </c>
      <c r="N2058" s="2" t="s">
        <v>23589</v>
      </c>
      <c r="O2058" s="2" t="s">
        <v>23590</v>
      </c>
      <c r="P2058" s="2" t="s">
        <v>23577</v>
      </c>
    </row>
    <row r="2059" spans="1:16" ht="15" customHeight="1">
      <c r="A2059" s="1">
        <v>2058</v>
      </c>
      <c r="B2059" s="2" t="s">
        <v>23591</v>
      </c>
      <c r="C2059" s="2" t="s">
        <v>23592</v>
      </c>
      <c r="D2059" s="2" t="s">
        <v>23593</v>
      </c>
      <c r="E2059" s="2" t="s">
        <v>23594</v>
      </c>
      <c r="F2059" s="2" t="s">
        <v>23595</v>
      </c>
      <c r="G2059" s="2" t="s">
        <v>23596</v>
      </c>
      <c r="H2059" s="2" t="s">
        <v>23597</v>
      </c>
      <c r="I2059" s="2" t="s">
        <v>23598</v>
      </c>
      <c r="J2059" s="2" t="s">
        <v>23599</v>
      </c>
      <c r="K2059" s="2" t="s">
        <v>23600</v>
      </c>
      <c r="L2059" s="2" t="s">
        <v>23601</v>
      </c>
      <c r="M2059" s="2" t="s">
        <v>23602</v>
      </c>
      <c r="N2059" s="2" t="s">
        <v>23603</v>
      </c>
      <c r="O2059" s="2" t="s">
        <v>23604</v>
      </c>
      <c r="P2059" s="2" t="s">
        <v>23591</v>
      </c>
    </row>
    <row r="2060" spans="1:16" ht="15" customHeight="1">
      <c r="A2060" s="1">
        <v>2059</v>
      </c>
      <c r="B2060" s="2" t="s">
        <v>23605</v>
      </c>
      <c r="C2060" s="2" t="s">
        <v>23606</v>
      </c>
      <c r="D2060" s="2" t="s">
        <v>23607</v>
      </c>
      <c r="E2060" s="2" t="s">
        <v>23608</v>
      </c>
      <c r="F2060" s="2" t="s">
        <v>23609</v>
      </c>
      <c r="G2060" s="2" t="s">
        <v>23610</v>
      </c>
      <c r="H2060" s="2" t="s">
        <v>23611</v>
      </c>
      <c r="I2060" s="2" t="s">
        <v>23612</v>
      </c>
      <c r="J2060" s="2" t="s">
        <v>23613</v>
      </c>
      <c r="K2060" s="2" t="s">
        <v>23614</v>
      </c>
      <c r="L2060" s="2" t="s">
        <v>23615</v>
      </c>
      <c r="M2060" s="2" t="s">
        <v>23616</v>
      </c>
      <c r="N2060" s="2" t="s">
        <v>23617</v>
      </c>
      <c r="O2060" s="2" t="s">
        <v>23618</v>
      </c>
      <c r="P2060" s="2" t="s">
        <v>23605</v>
      </c>
    </row>
    <row r="2061" spans="1:16" ht="15" customHeight="1">
      <c r="A2061" s="1">
        <v>2060</v>
      </c>
      <c r="B2061" s="2" t="s">
        <v>23619</v>
      </c>
      <c r="C2061" s="2" t="s">
        <v>23620</v>
      </c>
      <c r="D2061" s="2" t="s">
        <v>23621</v>
      </c>
      <c r="E2061" s="2" t="s">
        <v>23622</v>
      </c>
      <c r="F2061" s="2" t="s">
        <v>23623</v>
      </c>
      <c r="G2061" s="2" t="s">
        <v>23624</v>
      </c>
      <c r="H2061" s="2" t="s">
        <v>23625</v>
      </c>
      <c r="I2061" s="2" t="s">
        <v>23626</v>
      </c>
      <c r="J2061" s="2" t="s">
        <v>23627</v>
      </c>
      <c r="K2061" s="2" t="s">
        <v>23628</v>
      </c>
      <c r="L2061" s="2" t="s">
        <v>23629</v>
      </c>
      <c r="M2061" s="2" t="s">
        <v>23630</v>
      </c>
      <c r="N2061" s="2" t="s">
        <v>23631</v>
      </c>
      <c r="O2061" s="2" t="s">
        <v>23632</v>
      </c>
      <c r="P2061" s="2" t="s">
        <v>23619</v>
      </c>
    </row>
    <row r="2062" spans="1:16" ht="15" customHeight="1">
      <c r="A2062" s="1">
        <v>2061</v>
      </c>
      <c r="B2062" s="2" t="s">
        <v>23633</v>
      </c>
      <c r="C2062" s="2" t="s">
        <v>23634</v>
      </c>
      <c r="D2062" s="2" t="s">
        <v>23635</v>
      </c>
      <c r="E2062" s="2" t="s">
        <v>23636</v>
      </c>
      <c r="F2062" s="2" t="s">
        <v>23637</v>
      </c>
      <c r="G2062" s="2" t="s">
        <v>23638</v>
      </c>
      <c r="H2062" s="2" t="s">
        <v>23639</v>
      </c>
      <c r="I2062" s="2" t="s">
        <v>23640</v>
      </c>
      <c r="J2062" s="2" t="s">
        <v>23641</v>
      </c>
      <c r="K2062" s="2" t="s">
        <v>23642</v>
      </c>
      <c r="L2062" s="2" t="s">
        <v>23643</v>
      </c>
      <c r="M2062" s="2" t="s">
        <v>23644</v>
      </c>
      <c r="N2062" s="2" t="s">
        <v>23645</v>
      </c>
      <c r="O2062" s="2" t="s">
        <v>23646</v>
      </c>
      <c r="P2062" s="2" t="s">
        <v>23633</v>
      </c>
    </row>
    <row r="2063" spans="1:16" ht="15" customHeight="1">
      <c r="A2063" s="1">
        <v>2062</v>
      </c>
      <c r="B2063" s="2" t="s">
        <v>23647</v>
      </c>
      <c r="C2063" s="2" t="s">
        <v>23648</v>
      </c>
      <c r="D2063" s="2" t="s">
        <v>23649</v>
      </c>
      <c r="E2063" s="2" t="s">
        <v>23650</v>
      </c>
      <c r="F2063" s="2" t="s">
        <v>23651</v>
      </c>
      <c r="G2063" s="2" t="s">
        <v>23652</v>
      </c>
      <c r="H2063" s="2" t="s">
        <v>23653</v>
      </c>
      <c r="I2063" s="2" t="s">
        <v>23654</v>
      </c>
      <c r="J2063" s="2" t="s">
        <v>23655</v>
      </c>
      <c r="K2063" s="2" t="s">
        <v>23656</v>
      </c>
      <c r="L2063" s="2" t="s">
        <v>23657</v>
      </c>
      <c r="M2063" s="2" t="s">
        <v>23658</v>
      </c>
      <c r="N2063" s="2" t="s">
        <v>23659</v>
      </c>
      <c r="O2063" s="2" t="s">
        <v>23660</v>
      </c>
      <c r="P2063" s="2" t="s">
        <v>23647</v>
      </c>
    </row>
    <row r="2064" spans="1:16" ht="15" customHeight="1">
      <c r="A2064" s="1">
        <v>2063</v>
      </c>
      <c r="B2064" s="2" t="s">
        <v>23661</v>
      </c>
      <c r="C2064" s="2" t="s">
        <v>23662</v>
      </c>
      <c r="D2064" s="2" t="s">
        <v>23663</v>
      </c>
      <c r="E2064" s="2" t="s">
        <v>25950</v>
      </c>
      <c r="F2064" s="2" t="s">
        <v>23664</v>
      </c>
      <c r="G2064" s="2" t="s">
        <v>23665</v>
      </c>
      <c r="H2064" s="2" t="s">
        <v>23666</v>
      </c>
      <c r="I2064" s="2" t="s">
        <v>23667</v>
      </c>
      <c r="J2064" s="2" t="s">
        <v>23668</v>
      </c>
      <c r="K2064" s="2" t="s">
        <v>23669</v>
      </c>
      <c r="L2064" s="2" t="s">
        <v>23670</v>
      </c>
      <c r="M2064" s="2" t="s">
        <v>23671</v>
      </c>
      <c r="N2064" s="2" t="s">
        <v>23672</v>
      </c>
      <c r="O2064" s="2" t="s">
        <v>23673</v>
      </c>
      <c r="P2064" s="2" t="s">
        <v>23661</v>
      </c>
    </row>
    <row r="2065" spans="1:16" ht="15" customHeight="1">
      <c r="A2065" s="1">
        <v>2064</v>
      </c>
      <c r="B2065" s="2" t="s">
        <v>23674</v>
      </c>
      <c r="C2065" s="2" t="s">
        <v>23675</v>
      </c>
      <c r="D2065" s="2" t="s">
        <v>23676</v>
      </c>
      <c r="E2065" s="2" t="s">
        <v>23677</v>
      </c>
      <c r="F2065" s="2" t="s">
        <v>23678</v>
      </c>
      <c r="G2065" s="2" t="s">
        <v>23679</v>
      </c>
      <c r="H2065" s="2" t="s">
        <v>23680</v>
      </c>
      <c r="I2065" s="2" t="s">
        <v>23681</v>
      </c>
      <c r="J2065" s="2" t="s">
        <v>23682</v>
      </c>
      <c r="K2065" s="2" t="s">
        <v>23683</v>
      </c>
      <c r="L2065" s="2" t="s">
        <v>23684</v>
      </c>
      <c r="M2065" s="2" t="s">
        <v>23685</v>
      </c>
      <c r="N2065" s="2" t="s">
        <v>23686</v>
      </c>
      <c r="O2065" s="2" t="s">
        <v>23687</v>
      </c>
      <c r="P2065" s="2" t="s">
        <v>23674</v>
      </c>
    </row>
    <row r="2066" spans="1:16" ht="15" customHeight="1">
      <c r="A2066" s="1">
        <v>2065</v>
      </c>
      <c r="B2066" s="2" t="s">
        <v>23688</v>
      </c>
      <c r="C2066" s="2" t="s">
        <v>23689</v>
      </c>
      <c r="D2066" s="2" t="s">
        <v>23690</v>
      </c>
      <c r="E2066" s="2" t="s">
        <v>23691</v>
      </c>
      <c r="F2066" s="2" t="s">
        <v>23692</v>
      </c>
      <c r="G2066" s="2" t="s">
        <v>23693</v>
      </c>
      <c r="H2066" s="2" t="s">
        <v>23694</v>
      </c>
      <c r="I2066" s="2" t="s">
        <v>23695</v>
      </c>
      <c r="J2066" s="2" t="s">
        <v>23696</v>
      </c>
      <c r="K2066" s="2" t="s">
        <v>23697</v>
      </c>
      <c r="L2066" s="2" t="s">
        <v>23698</v>
      </c>
      <c r="M2066" s="2" t="s">
        <v>23699</v>
      </c>
      <c r="N2066" s="2" t="s">
        <v>23700</v>
      </c>
      <c r="O2066" s="2" t="s">
        <v>23701</v>
      </c>
      <c r="P2066" s="2" t="s">
        <v>23688</v>
      </c>
    </row>
    <row r="2067" spans="1:16" ht="15" customHeight="1">
      <c r="A2067" s="1">
        <v>2066</v>
      </c>
      <c r="B2067" s="2" t="s">
        <v>23702</v>
      </c>
      <c r="C2067" s="2" t="s">
        <v>23703</v>
      </c>
      <c r="D2067" s="2" t="s">
        <v>23704</v>
      </c>
      <c r="E2067" s="2" t="s">
        <v>23705</v>
      </c>
      <c r="F2067" s="2" t="s">
        <v>23706</v>
      </c>
      <c r="G2067" s="2" t="s">
        <v>23707</v>
      </c>
      <c r="H2067" s="2" t="s">
        <v>23708</v>
      </c>
      <c r="I2067" s="2" t="s">
        <v>23709</v>
      </c>
      <c r="J2067" s="2" t="s">
        <v>23710</v>
      </c>
      <c r="K2067" s="2" t="s">
        <v>23711</v>
      </c>
      <c r="L2067" s="2" t="s">
        <v>23712</v>
      </c>
      <c r="M2067" s="2" t="s">
        <v>23713</v>
      </c>
      <c r="N2067" s="2" t="s">
        <v>23714</v>
      </c>
      <c r="O2067" s="2" t="s">
        <v>23715</v>
      </c>
      <c r="P2067" s="2" t="s">
        <v>23702</v>
      </c>
    </row>
    <row r="2068" spans="1:16" ht="15" customHeight="1">
      <c r="A2068" s="1">
        <v>2067</v>
      </c>
      <c r="B2068" s="2" t="s">
        <v>23716</v>
      </c>
      <c r="C2068" s="2" t="s">
        <v>23717</v>
      </c>
      <c r="D2068" s="2" t="s">
        <v>1535</v>
      </c>
      <c r="E2068" s="2" t="s">
        <v>23718</v>
      </c>
      <c r="F2068" s="2" t="s">
        <v>23719</v>
      </c>
      <c r="G2068" s="2" t="s">
        <v>23720</v>
      </c>
      <c r="H2068" s="2" t="s">
        <v>23721</v>
      </c>
      <c r="I2068" s="2" t="s">
        <v>23722</v>
      </c>
      <c r="J2068" s="2" t="s">
        <v>23723</v>
      </c>
      <c r="K2068" s="2" t="s">
        <v>23724</v>
      </c>
      <c r="L2068" s="2" t="s">
        <v>23725</v>
      </c>
      <c r="M2068" s="2" t="s">
        <v>23726</v>
      </c>
      <c r="N2068" s="2" t="s">
        <v>23727</v>
      </c>
      <c r="O2068" s="2" t="s">
        <v>23728</v>
      </c>
      <c r="P2068" s="2" t="s">
        <v>23716</v>
      </c>
    </row>
    <row r="2069" spans="1:16" ht="15" customHeight="1">
      <c r="A2069" s="1">
        <v>2068</v>
      </c>
      <c r="B2069" s="2" t="s">
        <v>23729</v>
      </c>
      <c r="C2069" s="2" t="s">
        <v>23730</v>
      </c>
      <c r="D2069" s="2" t="s">
        <v>23731</v>
      </c>
      <c r="E2069" s="2" t="s">
        <v>23732</v>
      </c>
      <c r="F2069" s="2" t="s">
        <v>23733</v>
      </c>
      <c r="G2069" s="2" t="s">
        <v>23734</v>
      </c>
      <c r="H2069" s="2" t="s">
        <v>23735</v>
      </c>
      <c r="I2069" s="2" t="s">
        <v>23736</v>
      </c>
      <c r="J2069" s="2" t="s">
        <v>23737</v>
      </c>
      <c r="K2069" s="2" t="s">
        <v>23738</v>
      </c>
      <c r="L2069" s="2" t="s">
        <v>23739</v>
      </c>
      <c r="M2069" s="2" t="s">
        <v>23740</v>
      </c>
      <c r="N2069" s="2" t="s">
        <v>23741</v>
      </c>
      <c r="O2069" s="2" t="s">
        <v>23742</v>
      </c>
      <c r="P2069" s="2" t="s">
        <v>23729</v>
      </c>
    </row>
    <row r="2070" spans="1:16" ht="15" customHeight="1">
      <c r="A2070" s="1">
        <v>2069</v>
      </c>
      <c r="B2070" s="2" t="s">
        <v>23743</v>
      </c>
      <c r="C2070" s="2" t="s">
        <v>23744</v>
      </c>
      <c r="D2070" s="2" t="s">
        <v>23745</v>
      </c>
      <c r="E2070" s="2" t="s">
        <v>23746</v>
      </c>
      <c r="F2070" s="2" t="s">
        <v>23747</v>
      </c>
      <c r="G2070" s="2" t="s">
        <v>23748</v>
      </c>
      <c r="H2070" s="2" t="s">
        <v>23749</v>
      </c>
      <c r="I2070" s="2" t="s">
        <v>23750</v>
      </c>
      <c r="J2070" s="2" t="s">
        <v>23751</v>
      </c>
      <c r="K2070" s="2" t="s">
        <v>23752</v>
      </c>
      <c r="L2070" s="2" t="s">
        <v>23753</v>
      </c>
      <c r="M2070" s="2" t="s">
        <v>23754</v>
      </c>
      <c r="N2070" s="2" t="s">
        <v>23755</v>
      </c>
      <c r="O2070" s="2" t="s">
        <v>23756</v>
      </c>
      <c r="P2070" s="2" t="s">
        <v>23743</v>
      </c>
    </row>
    <row r="2071" spans="1:16" ht="15" customHeight="1">
      <c r="A2071" s="1">
        <v>2070</v>
      </c>
      <c r="B2071" s="2" t="s">
        <v>23757</v>
      </c>
      <c r="C2071" s="2" t="s">
        <v>23758</v>
      </c>
      <c r="D2071" s="2" t="s">
        <v>23759</v>
      </c>
      <c r="E2071" s="2" t="s">
        <v>23760</v>
      </c>
      <c r="F2071" s="2" t="s">
        <v>23761</v>
      </c>
      <c r="G2071" s="2" t="s">
        <v>23762</v>
      </c>
      <c r="H2071" s="2" t="s">
        <v>23763</v>
      </c>
      <c r="I2071" s="2" t="s">
        <v>23761</v>
      </c>
      <c r="J2071" s="2" t="s">
        <v>23764</v>
      </c>
      <c r="K2071" s="2" t="s">
        <v>23765</v>
      </c>
      <c r="L2071" s="2" t="s">
        <v>23766</v>
      </c>
      <c r="M2071" s="2" t="s">
        <v>23767</v>
      </c>
      <c r="N2071" s="2" t="s">
        <v>23768</v>
      </c>
      <c r="O2071" s="2" t="s">
        <v>23769</v>
      </c>
      <c r="P2071" s="2" t="s">
        <v>23757</v>
      </c>
    </row>
    <row r="2072" spans="1:16" ht="15" customHeight="1">
      <c r="A2072" s="1">
        <v>2071</v>
      </c>
      <c r="B2072" s="2" t="s">
        <v>23770</v>
      </c>
      <c r="C2072" s="2" t="s">
        <v>23771</v>
      </c>
      <c r="D2072" s="2" t="s">
        <v>23772</v>
      </c>
      <c r="E2072" s="2" t="s">
        <v>23773</v>
      </c>
      <c r="F2072" s="2" t="s">
        <v>23774</v>
      </c>
      <c r="G2072" s="2" t="s">
        <v>23775</v>
      </c>
      <c r="H2072" s="2" t="s">
        <v>23776</v>
      </c>
      <c r="I2072" s="2" t="s">
        <v>23777</v>
      </c>
      <c r="J2072" s="2" t="s">
        <v>23778</v>
      </c>
      <c r="K2072" s="2" t="s">
        <v>23779</v>
      </c>
      <c r="L2072" s="2" t="s">
        <v>23780</v>
      </c>
      <c r="M2072" s="2" t="s">
        <v>23781</v>
      </c>
      <c r="N2072" s="2" t="s">
        <v>23782</v>
      </c>
      <c r="O2072" s="2" t="s">
        <v>23783</v>
      </c>
      <c r="P2072" s="2" t="s">
        <v>23770</v>
      </c>
    </row>
    <row r="2073" spans="1:16" ht="15" customHeight="1">
      <c r="A2073" s="1">
        <v>2072</v>
      </c>
      <c r="B2073" s="2" t="s">
        <v>23784</v>
      </c>
      <c r="C2073" s="2" t="s">
        <v>23785</v>
      </c>
      <c r="D2073" s="2" t="s">
        <v>23786</v>
      </c>
      <c r="E2073" s="2" t="s">
        <v>23787</v>
      </c>
      <c r="F2073" s="2" t="s">
        <v>23788</v>
      </c>
      <c r="G2073" s="2" t="s">
        <v>23789</v>
      </c>
      <c r="H2073" s="2" t="s">
        <v>23790</v>
      </c>
      <c r="I2073" s="2" t="s">
        <v>23788</v>
      </c>
      <c r="J2073" s="2" t="s">
        <v>23791</v>
      </c>
      <c r="K2073" s="2" t="s">
        <v>23792</v>
      </c>
      <c r="L2073" s="2" t="s">
        <v>23793</v>
      </c>
      <c r="M2073" s="2" t="s">
        <v>23794</v>
      </c>
      <c r="N2073" s="2" t="s">
        <v>23795</v>
      </c>
      <c r="O2073" s="2" t="s">
        <v>23796</v>
      </c>
      <c r="P2073" s="2" t="s">
        <v>23784</v>
      </c>
    </row>
    <row r="2074" spans="1:16" ht="15" customHeight="1">
      <c r="A2074" s="1">
        <v>2073</v>
      </c>
      <c r="B2074" s="2" t="s">
        <v>23797</v>
      </c>
      <c r="C2074" s="2" t="s">
        <v>23798</v>
      </c>
      <c r="D2074" s="2" t="s">
        <v>23799</v>
      </c>
      <c r="E2074" s="2" t="s">
        <v>23800</v>
      </c>
      <c r="F2074" s="2" t="s">
        <v>23801</v>
      </c>
      <c r="G2074" s="2" t="s">
        <v>23802</v>
      </c>
      <c r="H2074" s="2" t="s">
        <v>23803</v>
      </c>
      <c r="I2074" s="2" t="s">
        <v>23801</v>
      </c>
      <c r="J2074" s="2" t="s">
        <v>23804</v>
      </c>
      <c r="K2074" s="2" t="s">
        <v>23805</v>
      </c>
      <c r="L2074" s="2" t="s">
        <v>23806</v>
      </c>
      <c r="M2074" s="2" t="s">
        <v>23807</v>
      </c>
      <c r="N2074" s="2" t="s">
        <v>23807</v>
      </c>
      <c r="O2074" s="2" t="s">
        <v>23801</v>
      </c>
      <c r="P2074" s="2" t="s">
        <v>23797</v>
      </c>
    </row>
    <row r="2075" spans="1:16" ht="15" customHeight="1">
      <c r="A2075" s="1">
        <v>2074</v>
      </c>
      <c r="B2075" s="2" t="s">
        <v>23808</v>
      </c>
      <c r="C2075" s="2" t="s">
        <v>23809</v>
      </c>
      <c r="D2075" s="2" t="s">
        <v>23810</v>
      </c>
      <c r="E2075" s="2" t="s">
        <v>23811</v>
      </c>
      <c r="F2075" s="2" t="s">
        <v>23812</v>
      </c>
      <c r="G2075" s="2" t="s">
        <v>23813</v>
      </c>
      <c r="H2075" s="2" t="s">
        <v>23814</v>
      </c>
      <c r="I2075" s="2" t="s">
        <v>23815</v>
      </c>
      <c r="J2075" s="2" t="s">
        <v>23816</v>
      </c>
      <c r="K2075" s="2" t="s">
        <v>23817</v>
      </c>
      <c r="L2075" s="2" t="s">
        <v>23818</v>
      </c>
      <c r="M2075" s="2" t="s">
        <v>23819</v>
      </c>
      <c r="N2075" s="2" t="s">
        <v>23820</v>
      </c>
      <c r="O2075" s="2" t="s">
        <v>23821</v>
      </c>
      <c r="P2075" s="2" t="s">
        <v>23808</v>
      </c>
    </row>
    <row r="2076" spans="1:16" ht="15" customHeight="1">
      <c r="A2076" s="1">
        <v>2075</v>
      </c>
      <c r="B2076" s="2" t="s">
        <v>23822</v>
      </c>
      <c r="C2076" s="2" t="s">
        <v>23823</v>
      </c>
      <c r="D2076" s="2" t="s">
        <v>23824</v>
      </c>
      <c r="E2076" s="2" t="s">
        <v>23825</v>
      </c>
      <c r="F2076" s="2" t="s">
        <v>23826</v>
      </c>
      <c r="G2076" s="2" t="s">
        <v>23827</v>
      </c>
      <c r="H2076" s="2" t="s">
        <v>23828</v>
      </c>
      <c r="I2076" s="2" t="s">
        <v>23829</v>
      </c>
      <c r="J2076" s="2" t="s">
        <v>23830</v>
      </c>
      <c r="K2076" s="2" t="s">
        <v>23831</v>
      </c>
      <c r="L2076" s="2" t="s">
        <v>23832</v>
      </c>
      <c r="M2076" s="2" t="s">
        <v>23833</v>
      </c>
      <c r="N2076" s="2" t="s">
        <v>23834</v>
      </c>
      <c r="O2076" s="2" t="s">
        <v>23835</v>
      </c>
      <c r="P2076" s="2" t="s">
        <v>23822</v>
      </c>
    </row>
    <row r="2077" spans="1:16" ht="15" customHeight="1">
      <c r="A2077" s="1">
        <v>2076</v>
      </c>
      <c r="B2077" s="2" t="s">
        <v>23836</v>
      </c>
      <c r="C2077" s="2" t="s">
        <v>23837</v>
      </c>
      <c r="D2077" s="2" t="s">
        <v>23838</v>
      </c>
      <c r="E2077" s="2" t="s">
        <v>23839</v>
      </c>
      <c r="F2077" s="2" t="s">
        <v>23840</v>
      </c>
      <c r="G2077" s="2" t="s">
        <v>23841</v>
      </c>
      <c r="H2077" s="2" t="s">
        <v>23842</v>
      </c>
      <c r="I2077" s="2" t="s">
        <v>23843</v>
      </c>
      <c r="J2077" s="2" t="s">
        <v>23844</v>
      </c>
      <c r="K2077" s="2" t="s">
        <v>23845</v>
      </c>
      <c r="L2077" s="2" t="s">
        <v>23846</v>
      </c>
      <c r="M2077" s="2" t="s">
        <v>23847</v>
      </c>
      <c r="N2077" s="2" t="s">
        <v>23846</v>
      </c>
      <c r="O2077" s="2" t="s">
        <v>23848</v>
      </c>
      <c r="P2077" s="2" t="s">
        <v>23836</v>
      </c>
    </row>
    <row r="2078" spans="1:16" ht="15" customHeight="1">
      <c r="A2078" s="1">
        <v>2077</v>
      </c>
      <c r="B2078" s="2" t="s">
        <v>23849</v>
      </c>
      <c r="C2078" s="2" t="s">
        <v>23850</v>
      </c>
      <c r="D2078" s="2" t="s">
        <v>23851</v>
      </c>
      <c r="E2078" s="2" t="s">
        <v>23852</v>
      </c>
      <c r="F2078" s="2" t="s">
        <v>23853</v>
      </c>
      <c r="G2078" s="2" t="s">
        <v>23854</v>
      </c>
      <c r="H2078" s="2" t="s">
        <v>23855</v>
      </c>
      <c r="I2078" s="2" t="s">
        <v>23853</v>
      </c>
      <c r="J2078" s="2" t="s">
        <v>23856</v>
      </c>
      <c r="K2078" s="2" t="s">
        <v>23857</v>
      </c>
      <c r="L2078" s="2" t="s">
        <v>23858</v>
      </c>
      <c r="M2078" s="2" t="s">
        <v>23858</v>
      </c>
      <c r="N2078" s="2" t="s">
        <v>23858</v>
      </c>
      <c r="O2078" s="2" t="s">
        <v>23859</v>
      </c>
      <c r="P2078" s="2" t="s">
        <v>23849</v>
      </c>
    </row>
    <row r="2079" spans="1:16" ht="15" customHeight="1">
      <c r="A2079" s="1">
        <v>2078</v>
      </c>
      <c r="B2079" s="2" t="s">
        <v>25951</v>
      </c>
      <c r="C2079" s="2" t="s">
        <v>25952</v>
      </c>
      <c r="D2079" s="2" t="s">
        <v>25953</v>
      </c>
      <c r="E2079" s="2" t="s">
        <v>25954</v>
      </c>
      <c r="F2079" s="2" t="s">
        <v>25955</v>
      </c>
      <c r="G2079" s="2" t="s">
        <v>25956</v>
      </c>
      <c r="H2079" s="2" t="s">
        <v>25957</v>
      </c>
      <c r="I2079" s="2" t="s">
        <v>25958</v>
      </c>
      <c r="J2079" s="2" t="s">
        <v>25959</v>
      </c>
      <c r="K2079" s="2" t="s">
        <v>25960</v>
      </c>
      <c r="L2079" s="2" t="s">
        <v>25961</v>
      </c>
      <c r="M2079" s="2" t="s">
        <v>25962</v>
      </c>
      <c r="N2079" s="2" t="s">
        <v>25963</v>
      </c>
      <c r="O2079" s="2" t="s">
        <v>25964</v>
      </c>
      <c r="P2079" s="2" t="s">
        <v>25951</v>
      </c>
    </row>
    <row r="2080" spans="1:16" ht="15" customHeight="1">
      <c r="A2080" s="1">
        <v>2079</v>
      </c>
      <c r="B2080" s="2" t="s">
        <v>23860</v>
      </c>
      <c r="C2080" s="2" t="s">
        <v>23861</v>
      </c>
      <c r="D2080" s="2" t="s">
        <v>23862</v>
      </c>
      <c r="E2080" s="2" t="s">
        <v>23863</v>
      </c>
      <c r="F2080" s="2" t="s">
        <v>23864</v>
      </c>
      <c r="G2080" s="2" t="s">
        <v>23865</v>
      </c>
      <c r="H2080" s="2" t="s">
        <v>23866</v>
      </c>
      <c r="I2080" s="2" t="s">
        <v>23867</v>
      </c>
      <c r="J2080" s="2" t="s">
        <v>23868</v>
      </c>
      <c r="K2080" s="2" t="s">
        <v>23869</v>
      </c>
      <c r="L2080" s="2" t="s">
        <v>23870</v>
      </c>
      <c r="M2080" s="2" t="s">
        <v>23871</v>
      </c>
      <c r="N2080" s="2" t="s">
        <v>23872</v>
      </c>
      <c r="O2080" s="2" t="s">
        <v>23873</v>
      </c>
      <c r="P2080" s="2" t="s">
        <v>23860</v>
      </c>
    </row>
    <row r="2081" spans="1:16" ht="15" customHeight="1">
      <c r="A2081" s="1">
        <v>2080</v>
      </c>
      <c r="B2081" s="2" t="s">
        <v>23874</v>
      </c>
      <c r="C2081" s="2" t="s">
        <v>23875</v>
      </c>
      <c r="D2081" s="2" t="s">
        <v>23876</v>
      </c>
      <c r="E2081" s="2" t="s">
        <v>23877</v>
      </c>
      <c r="F2081" s="2" t="s">
        <v>23878</v>
      </c>
      <c r="G2081" s="2" t="s">
        <v>23879</v>
      </c>
      <c r="H2081" s="2" t="s">
        <v>23880</v>
      </c>
      <c r="I2081" s="2" t="s">
        <v>23881</v>
      </c>
      <c r="J2081" s="2" t="s">
        <v>23882</v>
      </c>
      <c r="K2081" s="2" t="s">
        <v>23883</v>
      </c>
      <c r="L2081" s="2" t="s">
        <v>23884</v>
      </c>
      <c r="M2081" s="2" t="s">
        <v>23885</v>
      </c>
      <c r="N2081" s="2" t="s">
        <v>23886</v>
      </c>
      <c r="O2081" s="2" t="s">
        <v>23887</v>
      </c>
      <c r="P2081" s="2" t="s">
        <v>23874</v>
      </c>
    </row>
    <row r="2082" spans="1:16" ht="15" customHeight="1">
      <c r="A2082" s="1">
        <v>2081</v>
      </c>
      <c r="B2082" s="2" t="s">
        <v>23888</v>
      </c>
      <c r="C2082" s="2" t="s">
        <v>23889</v>
      </c>
      <c r="D2082" s="2" t="s">
        <v>23890</v>
      </c>
      <c r="E2082" s="2" t="s">
        <v>23891</v>
      </c>
      <c r="F2082" s="2" t="s">
        <v>23892</v>
      </c>
      <c r="G2082" s="2" t="s">
        <v>23893</v>
      </c>
      <c r="H2082" s="2" t="s">
        <v>23894</v>
      </c>
      <c r="I2082" s="2" t="s">
        <v>23895</v>
      </c>
      <c r="J2082" s="2" t="s">
        <v>23896</v>
      </c>
      <c r="K2082" s="2" t="s">
        <v>23897</v>
      </c>
      <c r="L2082" s="2" t="s">
        <v>23898</v>
      </c>
      <c r="M2082" s="2" t="s">
        <v>23899</v>
      </c>
      <c r="N2082" s="2" t="s">
        <v>23900</v>
      </c>
      <c r="O2082" s="2" t="s">
        <v>23901</v>
      </c>
      <c r="P2082" s="2" t="s">
        <v>23888</v>
      </c>
    </row>
    <row r="2083" spans="1:16" ht="15" customHeight="1">
      <c r="A2083" s="1">
        <v>2082</v>
      </c>
      <c r="B2083" s="2" t="s">
        <v>23902</v>
      </c>
      <c r="C2083" s="2" t="s">
        <v>23903</v>
      </c>
      <c r="D2083" s="2" t="s">
        <v>23904</v>
      </c>
      <c r="E2083" s="2" t="s">
        <v>23905</v>
      </c>
      <c r="F2083" s="2" t="s">
        <v>23906</v>
      </c>
      <c r="G2083" s="2" t="s">
        <v>23907</v>
      </c>
      <c r="H2083" s="2" t="s">
        <v>23908</v>
      </c>
      <c r="I2083" s="2" t="s">
        <v>23909</v>
      </c>
      <c r="J2083" s="2" t="s">
        <v>23910</v>
      </c>
      <c r="K2083" s="2" t="s">
        <v>23911</v>
      </c>
      <c r="L2083" s="2" t="s">
        <v>23912</v>
      </c>
      <c r="M2083" s="2" t="s">
        <v>23913</v>
      </c>
      <c r="N2083" s="2" t="s">
        <v>23914</v>
      </c>
      <c r="O2083" s="2" t="s">
        <v>23915</v>
      </c>
      <c r="P2083" s="2" t="s">
        <v>23902</v>
      </c>
    </row>
    <row r="2084" spans="1:16" ht="15" customHeight="1">
      <c r="A2084" s="1">
        <v>2083</v>
      </c>
      <c r="B2084" s="2" t="s">
        <v>23916</v>
      </c>
      <c r="C2084" s="2" t="s">
        <v>23917</v>
      </c>
      <c r="D2084" s="2" t="s">
        <v>23918</v>
      </c>
      <c r="E2084" s="2" t="s">
        <v>23919</v>
      </c>
      <c r="F2084" s="2" t="s">
        <v>23920</v>
      </c>
      <c r="G2084" s="2" t="s">
        <v>23921</v>
      </c>
      <c r="H2084" s="2" t="s">
        <v>23922</v>
      </c>
      <c r="I2084" s="2" t="s">
        <v>23923</v>
      </c>
      <c r="J2084" s="2" t="s">
        <v>23924</v>
      </c>
      <c r="K2084" s="2" t="s">
        <v>23925</v>
      </c>
      <c r="L2084" s="2" t="s">
        <v>23926</v>
      </c>
      <c r="M2084" s="2" t="s">
        <v>23927</v>
      </c>
      <c r="N2084" s="2" t="s">
        <v>23928</v>
      </c>
      <c r="O2084" s="2" t="s">
        <v>23929</v>
      </c>
      <c r="P2084" s="2" t="s">
        <v>23916</v>
      </c>
    </row>
    <row r="2085" spans="1:16" ht="15" customHeight="1">
      <c r="A2085" s="1">
        <v>2084</v>
      </c>
      <c r="B2085" s="2" t="s">
        <v>23930</v>
      </c>
      <c r="C2085" s="2" t="s">
        <v>23931</v>
      </c>
      <c r="D2085" s="2" t="s">
        <v>23932</v>
      </c>
      <c r="E2085" s="2" t="s">
        <v>23933</v>
      </c>
      <c r="F2085" s="2" t="s">
        <v>23934</v>
      </c>
      <c r="G2085" s="2" t="s">
        <v>23935</v>
      </c>
      <c r="H2085" s="2" t="s">
        <v>23936</v>
      </c>
      <c r="I2085" s="2" t="s">
        <v>23937</v>
      </c>
      <c r="J2085" s="2" t="s">
        <v>23938</v>
      </c>
      <c r="K2085" s="2" t="s">
        <v>23939</v>
      </c>
      <c r="L2085" s="2" t="s">
        <v>23940</v>
      </c>
      <c r="M2085" s="2" t="s">
        <v>23941</v>
      </c>
      <c r="N2085" s="2" t="s">
        <v>23942</v>
      </c>
      <c r="O2085" s="2" t="s">
        <v>23943</v>
      </c>
      <c r="P2085" s="2" t="s">
        <v>23930</v>
      </c>
    </row>
    <row r="2086" spans="1:16" ht="15" customHeight="1">
      <c r="A2086" s="1">
        <v>2085</v>
      </c>
      <c r="B2086" s="2" t="s">
        <v>23944</v>
      </c>
      <c r="C2086" s="2" t="s">
        <v>23717</v>
      </c>
      <c r="D2086" s="2" t="s">
        <v>1535</v>
      </c>
      <c r="E2086" s="2" t="s">
        <v>23945</v>
      </c>
      <c r="F2086" s="2" t="s">
        <v>23946</v>
      </c>
      <c r="G2086" s="2" t="s">
        <v>23947</v>
      </c>
      <c r="H2086" s="2" t="s">
        <v>23948</v>
      </c>
      <c r="I2086" s="2" t="s">
        <v>23949</v>
      </c>
      <c r="J2086" s="2" t="s">
        <v>23950</v>
      </c>
      <c r="K2086" s="2" t="s">
        <v>23951</v>
      </c>
      <c r="L2086" s="2" t="s">
        <v>23952</v>
      </c>
      <c r="M2086" s="2" t="s">
        <v>23953</v>
      </c>
      <c r="N2086" s="2" t="s">
        <v>23954</v>
      </c>
      <c r="O2086" s="2" t="s">
        <v>23955</v>
      </c>
      <c r="P2086" s="2" t="s">
        <v>23944</v>
      </c>
    </row>
    <row r="2087" spans="1:16" ht="15" customHeight="1">
      <c r="A2087" s="1">
        <v>2086</v>
      </c>
      <c r="B2087" s="2" t="s">
        <v>23956</v>
      </c>
      <c r="C2087" s="2" t="s">
        <v>23957</v>
      </c>
      <c r="D2087" s="2" t="s">
        <v>23957</v>
      </c>
      <c r="E2087" s="2" t="s">
        <v>23958</v>
      </c>
      <c r="F2087" s="2" t="s">
        <v>23959</v>
      </c>
      <c r="G2087" s="2" t="s">
        <v>23960</v>
      </c>
      <c r="H2087" s="2" t="s">
        <v>23961</v>
      </c>
      <c r="I2087" s="2" t="s">
        <v>23962</v>
      </c>
      <c r="J2087" s="2" t="s">
        <v>23963</v>
      </c>
      <c r="K2087" s="2" t="s">
        <v>23964</v>
      </c>
      <c r="L2087" s="2" t="s">
        <v>23965</v>
      </c>
      <c r="M2087" s="2" t="s">
        <v>23965</v>
      </c>
      <c r="N2087" s="2" t="s">
        <v>23965</v>
      </c>
      <c r="O2087" s="2" t="s">
        <v>23966</v>
      </c>
      <c r="P2087" s="2" t="s">
        <v>23956</v>
      </c>
    </row>
    <row r="2088" spans="1:16" ht="15" customHeight="1">
      <c r="A2088" s="1">
        <v>2087</v>
      </c>
      <c r="B2088" s="2" t="s">
        <v>23967</v>
      </c>
      <c r="C2088" s="2" t="s">
        <v>23968</v>
      </c>
      <c r="D2088" s="2" t="s">
        <v>23969</v>
      </c>
      <c r="E2088" s="2" t="s">
        <v>23970</v>
      </c>
      <c r="F2088" s="2" t="s">
        <v>23971</v>
      </c>
      <c r="G2088" s="2" t="s">
        <v>23972</v>
      </c>
      <c r="H2088" s="2" t="s">
        <v>23973</v>
      </c>
      <c r="I2088" s="2" t="s">
        <v>23974</v>
      </c>
      <c r="J2088" s="2" t="s">
        <v>23975</v>
      </c>
      <c r="K2088" s="2" t="s">
        <v>23976</v>
      </c>
      <c r="L2088" s="2" t="s">
        <v>23977</v>
      </c>
      <c r="M2088" s="2" t="s">
        <v>23978</v>
      </c>
      <c r="N2088" s="2" t="s">
        <v>23979</v>
      </c>
      <c r="O2088" s="2" t="s">
        <v>23980</v>
      </c>
      <c r="P2088" s="2" t="s">
        <v>23967</v>
      </c>
    </row>
    <row r="2089" spans="1:16" ht="15" customHeight="1">
      <c r="A2089" s="1">
        <v>2088</v>
      </c>
      <c r="B2089" s="2" t="s">
        <v>23981</v>
      </c>
      <c r="C2089" s="2" t="s">
        <v>23982</v>
      </c>
      <c r="D2089" s="2" t="s">
        <v>23983</v>
      </c>
      <c r="E2089" s="2" t="s">
        <v>23984</v>
      </c>
      <c r="F2089" s="2" t="s">
        <v>23985</v>
      </c>
      <c r="G2089" s="2" t="s">
        <v>23986</v>
      </c>
      <c r="H2089" s="2" t="s">
        <v>23987</v>
      </c>
      <c r="I2089" s="2" t="s">
        <v>23988</v>
      </c>
      <c r="J2089" s="2" t="s">
        <v>23989</v>
      </c>
      <c r="K2089" s="2" t="s">
        <v>23990</v>
      </c>
      <c r="L2089" s="2" t="s">
        <v>23991</v>
      </c>
      <c r="M2089" s="2" t="s">
        <v>23992</v>
      </c>
      <c r="N2089" s="2" t="s">
        <v>23993</v>
      </c>
      <c r="O2089" s="2" t="s">
        <v>23994</v>
      </c>
      <c r="P2089" s="2" t="s">
        <v>23981</v>
      </c>
    </row>
    <row r="2090" spans="1:16" ht="15" customHeight="1">
      <c r="A2090" s="1">
        <v>2089</v>
      </c>
      <c r="B2090" s="2" t="s">
        <v>23995</v>
      </c>
      <c r="C2090" s="2" t="s">
        <v>23996</v>
      </c>
      <c r="D2090" s="2" t="s">
        <v>23997</v>
      </c>
      <c r="E2090" s="2" t="s">
        <v>23998</v>
      </c>
      <c r="F2090" s="2" t="s">
        <v>23999</v>
      </c>
      <c r="G2090" s="2" t="s">
        <v>24000</v>
      </c>
      <c r="H2090" s="2" t="s">
        <v>24001</v>
      </c>
      <c r="I2090" s="2" t="s">
        <v>24002</v>
      </c>
      <c r="J2090" s="2" t="s">
        <v>24003</v>
      </c>
      <c r="K2090" s="2" t="s">
        <v>24004</v>
      </c>
      <c r="L2090" s="2" t="s">
        <v>24005</v>
      </c>
      <c r="M2090" s="2" t="s">
        <v>24006</v>
      </c>
      <c r="N2090" s="2" t="s">
        <v>24007</v>
      </c>
      <c r="O2090" s="2" t="s">
        <v>24008</v>
      </c>
      <c r="P2090" s="2" t="s">
        <v>23995</v>
      </c>
    </row>
    <row r="2091" spans="1:16" ht="15" customHeight="1">
      <c r="A2091" s="1">
        <v>2090</v>
      </c>
      <c r="B2091" s="2" t="s">
        <v>24009</v>
      </c>
      <c r="C2091" s="2" t="s">
        <v>24010</v>
      </c>
      <c r="D2091" s="2" t="s">
        <v>24011</v>
      </c>
      <c r="E2091" s="2" t="s">
        <v>24012</v>
      </c>
      <c r="F2091" s="2" t="s">
        <v>24013</v>
      </c>
      <c r="G2091" s="2" t="s">
        <v>24014</v>
      </c>
      <c r="H2091" s="2" t="s">
        <v>24015</v>
      </c>
      <c r="I2091" s="2" t="s">
        <v>24016</v>
      </c>
      <c r="J2091" s="2" t="s">
        <v>24017</v>
      </c>
      <c r="K2091" s="2" t="s">
        <v>24018</v>
      </c>
      <c r="L2091" s="2" t="s">
        <v>24019</v>
      </c>
      <c r="M2091" s="2" t="s">
        <v>24020</v>
      </c>
      <c r="N2091" s="2" t="s">
        <v>24021</v>
      </c>
      <c r="O2091" s="2" t="s">
        <v>24022</v>
      </c>
      <c r="P2091" s="2" t="s">
        <v>24009</v>
      </c>
    </row>
    <row r="2092" spans="1:16" ht="15" customHeight="1">
      <c r="A2092" s="1">
        <v>2091</v>
      </c>
      <c r="B2092" s="2" t="s">
        <v>24023</v>
      </c>
      <c r="C2092" s="2" t="s">
        <v>24024</v>
      </c>
      <c r="D2092" s="2" t="s">
        <v>24025</v>
      </c>
      <c r="E2092" s="2" t="s">
        <v>24026</v>
      </c>
      <c r="F2092" s="2" t="s">
        <v>24027</v>
      </c>
      <c r="G2092" s="2" t="s">
        <v>24028</v>
      </c>
      <c r="H2092" s="2" t="s">
        <v>24029</v>
      </c>
      <c r="I2092" s="2" t="s">
        <v>24030</v>
      </c>
      <c r="J2092" s="2" t="s">
        <v>24031</v>
      </c>
      <c r="K2092" s="2" t="s">
        <v>24032</v>
      </c>
      <c r="L2092" s="2" t="s">
        <v>24033</v>
      </c>
      <c r="M2092" s="2" t="s">
        <v>24034</v>
      </c>
      <c r="N2092" s="2" t="s">
        <v>24035</v>
      </c>
      <c r="O2092" s="2" t="s">
        <v>24036</v>
      </c>
      <c r="P2092" s="2" t="s">
        <v>24023</v>
      </c>
    </row>
    <row r="2093" spans="1:16" ht="15" customHeight="1">
      <c r="A2093" s="1">
        <v>2092</v>
      </c>
      <c r="B2093" s="2" t="s">
        <v>24037</v>
      </c>
      <c r="C2093" s="2" t="s">
        <v>8784</v>
      </c>
      <c r="D2093" s="2" t="s">
        <v>24038</v>
      </c>
      <c r="E2093" s="2" t="s">
        <v>24039</v>
      </c>
      <c r="F2093" s="2" t="s">
        <v>24040</v>
      </c>
      <c r="G2093" s="2" t="s">
        <v>24041</v>
      </c>
      <c r="H2093" s="2" t="s">
        <v>24042</v>
      </c>
      <c r="I2093" s="2" t="s">
        <v>24043</v>
      </c>
      <c r="J2093" s="2" t="s">
        <v>24044</v>
      </c>
      <c r="K2093" s="2" t="s">
        <v>24045</v>
      </c>
      <c r="L2093" s="2" t="s">
        <v>24046</v>
      </c>
      <c r="M2093" s="2" t="s">
        <v>24047</v>
      </c>
      <c r="N2093" s="2" t="s">
        <v>24048</v>
      </c>
      <c r="O2093" s="2" t="s">
        <v>24049</v>
      </c>
      <c r="P2093" s="2" t="s">
        <v>24037</v>
      </c>
    </row>
    <row r="2094" spans="1:16" ht="15" customHeight="1">
      <c r="A2094" s="1">
        <v>2093</v>
      </c>
      <c r="B2094" s="2" t="s">
        <v>25965</v>
      </c>
      <c r="C2094" s="2" t="s">
        <v>25966</v>
      </c>
      <c r="D2094" s="2" t="s">
        <v>25967</v>
      </c>
      <c r="E2094" s="2" t="s">
        <v>25968</v>
      </c>
      <c r="F2094" s="2" t="s">
        <v>25969</v>
      </c>
      <c r="G2094" s="2" t="s">
        <v>25970</v>
      </c>
      <c r="H2094" s="2" t="s">
        <v>25971</v>
      </c>
      <c r="I2094" s="2" t="s">
        <v>25972</v>
      </c>
      <c r="J2094" s="2" t="s">
        <v>25973</v>
      </c>
      <c r="K2094" s="2" t="s">
        <v>25974</v>
      </c>
      <c r="L2094" s="2" t="s">
        <v>25975</v>
      </c>
      <c r="M2094" s="2" t="s">
        <v>25976</v>
      </c>
      <c r="N2094" s="2" t="s">
        <v>25977</v>
      </c>
      <c r="O2094" s="2" t="s">
        <v>25978</v>
      </c>
      <c r="P2094" s="2" t="s">
        <v>25965</v>
      </c>
    </row>
    <row r="2095" spans="1:16" ht="15" customHeight="1">
      <c r="A2095" s="1">
        <v>2094</v>
      </c>
      <c r="B2095" s="2" t="s">
        <v>24050</v>
      </c>
      <c r="C2095" s="2" t="s">
        <v>24051</v>
      </c>
      <c r="D2095" s="2" t="s">
        <v>25337</v>
      </c>
      <c r="E2095" s="2" t="s">
        <v>25979</v>
      </c>
      <c r="P2095" s="2" t="s">
        <v>24050</v>
      </c>
    </row>
    <row r="2096" spans="1:16" ht="15" customHeight="1">
      <c r="A2096" s="1">
        <v>2095</v>
      </c>
      <c r="B2096" s="2" t="s">
        <v>24052</v>
      </c>
      <c r="C2096" s="2" t="s">
        <v>25338</v>
      </c>
      <c r="D2096" s="2" t="s">
        <v>25339</v>
      </c>
      <c r="E2096" s="2" t="s">
        <v>25980</v>
      </c>
      <c r="P2096" s="2" t="s">
        <v>24052</v>
      </c>
    </row>
    <row r="2097" spans="1:16" ht="15" customHeight="1">
      <c r="A2097" s="1">
        <v>2096</v>
      </c>
      <c r="B2097" s="2" t="s">
        <v>24053</v>
      </c>
      <c r="C2097" s="2" t="s">
        <v>24054</v>
      </c>
      <c r="D2097" s="2" t="s">
        <v>24055</v>
      </c>
      <c r="E2097" s="82" t="s">
        <v>24056</v>
      </c>
      <c r="F2097" s="2" t="s">
        <v>24057</v>
      </c>
      <c r="G2097" s="2" t="s">
        <v>24058</v>
      </c>
      <c r="H2097" s="2" t="s">
        <v>24059</v>
      </c>
      <c r="I2097" s="2" t="s">
        <v>24057</v>
      </c>
      <c r="J2097" s="2" t="s">
        <v>24060</v>
      </c>
      <c r="K2097" s="2" t="s">
        <v>24061</v>
      </c>
      <c r="L2097" s="2" t="s">
        <v>24062</v>
      </c>
      <c r="M2097" s="2" t="s">
        <v>24063</v>
      </c>
      <c r="N2097" s="2" t="s">
        <v>24064</v>
      </c>
      <c r="O2097" s="2" t="s">
        <v>24065</v>
      </c>
      <c r="P2097" s="2" t="s">
        <v>24053</v>
      </c>
    </row>
    <row r="2098" spans="1:16" ht="15" customHeight="1">
      <c r="A2098" s="1">
        <v>2097</v>
      </c>
      <c r="B2098" s="2" t="s">
        <v>22603</v>
      </c>
      <c r="C2098" s="2" t="s">
        <v>24066</v>
      </c>
      <c r="D2098" s="2" t="s">
        <v>24067</v>
      </c>
      <c r="E2098" s="2" t="s">
        <v>24068</v>
      </c>
      <c r="F2098" s="2" t="s">
        <v>24069</v>
      </c>
      <c r="G2098" s="2" t="s">
        <v>24070</v>
      </c>
      <c r="H2098" s="2" t="s">
        <v>24071</v>
      </c>
      <c r="I2098" s="2" t="s">
        <v>24072</v>
      </c>
      <c r="J2098" s="2" t="s">
        <v>24073</v>
      </c>
      <c r="K2098" s="2" t="s">
        <v>24074</v>
      </c>
      <c r="L2098" s="2" t="s">
        <v>24075</v>
      </c>
      <c r="M2098" s="2" t="s">
        <v>24075</v>
      </c>
      <c r="N2098" s="2" t="s">
        <v>24076</v>
      </c>
      <c r="O2098" s="2" t="s">
        <v>24077</v>
      </c>
      <c r="P2098" s="2" t="s">
        <v>22603</v>
      </c>
    </row>
    <row r="2099" spans="1:16">
      <c r="A2099" s="1">
        <v>2098</v>
      </c>
      <c r="B2099" s="2" t="s">
        <v>24078</v>
      </c>
      <c r="C2099" s="2" t="s">
        <v>24079</v>
      </c>
      <c r="D2099" s="2" t="s">
        <v>24080</v>
      </c>
      <c r="E2099" s="2" t="s">
        <v>24081</v>
      </c>
      <c r="F2099" s="2" t="s">
        <v>24082</v>
      </c>
      <c r="G2099" s="2" t="s">
        <v>24083</v>
      </c>
      <c r="H2099" s="2" t="s">
        <v>24084</v>
      </c>
      <c r="I2099" s="2" t="s">
        <v>24085</v>
      </c>
      <c r="J2099" s="2" t="s">
        <v>24086</v>
      </c>
      <c r="K2099" s="2" t="s">
        <v>24087</v>
      </c>
      <c r="L2099" s="2" t="s">
        <v>24088</v>
      </c>
      <c r="M2099" s="2" t="s">
        <v>24089</v>
      </c>
      <c r="N2099" s="2" t="s">
        <v>24090</v>
      </c>
      <c r="O2099" s="2" t="s">
        <v>24091</v>
      </c>
      <c r="P2099" s="2" t="s">
        <v>24078</v>
      </c>
    </row>
    <row r="2100" spans="1:16" ht="15" customHeight="1">
      <c r="A2100" s="1">
        <v>2099</v>
      </c>
      <c r="B2100" s="2" t="s">
        <v>24092</v>
      </c>
      <c r="C2100" s="2" t="s">
        <v>24093</v>
      </c>
      <c r="D2100" s="2" t="s">
        <v>24094</v>
      </c>
      <c r="E2100" s="2" t="s">
        <v>24095</v>
      </c>
      <c r="F2100" s="2" t="s">
        <v>24096</v>
      </c>
      <c r="G2100" s="2" t="s">
        <v>24097</v>
      </c>
      <c r="H2100" s="2" t="s">
        <v>24098</v>
      </c>
      <c r="I2100" s="2" t="s">
        <v>24099</v>
      </c>
      <c r="J2100" s="2" t="s">
        <v>24100</v>
      </c>
      <c r="K2100" s="2" t="s">
        <v>24101</v>
      </c>
      <c r="L2100" s="2" t="s">
        <v>24102</v>
      </c>
      <c r="M2100" s="2" t="s">
        <v>24103</v>
      </c>
      <c r="N2100" s="2" t="s">
        <v>24104</v>
      </c>
      <c r="O2100" s="2" t="s">
        <v>24105</v>
      </c>
      <c r="P2100" s="2" t="s">
        <v>24092</v>
      </c>
    </row>
    <row r="2101" spans="1:16" ht="16.5">
      <c r="A2101" s="1">
        <v>2100</v>
      </c>
      <c r="B2101" s="2" t="s">
        <v>24106</v>
      </c>
      <c r="C2101" s="2" t="s">
        <v>24107</v>
      </c>
      <c r="D2101" s="2" t="s">
        <v>24108</v>
      </c>
      <c r="E2101" s="2" t="s">
        <v>24109</v>
      </c>
      <c r="F2101" s="2" t="s">
        <v>13226</v>
      </c>
      <c r="G2101" s="2" t="s">
        <v>24110</v>
      </c>
      <c r="H2101" s="2" t="s">
        <v>24111</v>
      </c>
      <c r="I2101" s="2" t="s">
        <v>13229</v>
      </c>
      <c r="J2101" s="2" t="s">
        <v>24112</v>
      </c>
      <c r="K2101" s="2" t="s">
        <v>13231</v>
      </c>
      <c r="L2101" s="2" t="s">
        <v>24113</v>
      </c>
      <c r="M2101" s="2" t="s">
        <v>24114</v>
      </c>
      <c r="N2101" s="2" t="s">
        <v>24115</v>
      </c>
      <c r="O2101" s="2" t="s">
        <v>24116</v>
      </c>
      <c r="P2101" s="2" t="s">
        <v>24106</v>
      </c>
    </row>
    <row r="2102" spans="1:16" ht="15" customHeight="1">
      <c r="A2102" s="1">
        <v>2101</v>
      </c>
      <c r="B2102" s="2" t="s">
        <v>24117</v>
      </c>
      <c r="C2102" s="2" t="s">
        <v>24118</v>
      </c>
      <c r="D2102" s="2" t="s">
        <v>13116</v>
      </c>
      <c r="E2102" s="2" t="s">
        <v>24119</v>
      </c>
      <c r="F2102" s="2" t="s">
        <v>11397</v>
      </c>
      <c r="G2102" s="2" t="s">
        <v>24120</v>
      </c>
      <c r="H2102" s="2" t="s">
        <v>13119</v>
      </c>
      <c r="I2102" s="2" t="s">
        <v>13120</v>
      </c>
      <c r="J2102" s="2" t="s">
        <v>24121</v>
      </c>
      <c r="K2102" s="2" t="s">
        <v>24122</v>
      </c>
      <c r="L2102" s="2" t="s">
        <v>13123</v>
      </c>
      <c r="M2102" s="2" t="s">
        <v>24123</v>
      </c>
      <c r="N2102" s="2" t="s">
        <v>13124</v>
      </c>
      <c r="O2102" s="2" t="s">
        <v>24124</v>
      </c>
      <c r="P2102" s="2" t="s">
        <v>13114</v>
      </c>
    </row>
    <row r="2103" spans="1:16" ht="15" customHeight="1">
      <c r="A2103" s="1">
        <v>2102</v>
      </c>
      <c r="B2103" s="2" t="s">
        <v>24125</v>
      </c>
      <c r="C2103" s="2" t="s">
        <v>24126</v>
      </c>
      <c r="D2103" s="2" t="s">
        <v>24127</v>
      </c>
      <c r="E2103" s="2" t="s">
        <v>24128</v>
      </c>
      <c r="F2103" s="2" t="s">
        <v>24129</v>
      </c>
      <c r="G2103" s="2" t="s">
        <v>24130</v>
      </c>
      <c r="H2103" s="2" t="s">
        <v>24131</v>
      </c>
      <c r="I2103" s="2" t="s">
        <v>24132</v>
      </c>
      <c r="J2103" s="2" t="s">
        <v>24133</v>
      </c>
      <c r="K2103" s="2" t="s">
        <v>24134</v>
      </c>
      <c r="L2103" s="2" t="s">
        <v>24135</v>
      </c>
      <c r="M2103" s="2" t="s">
        <v>24136</v>
      </c>
      <c r="N2103" s="2" t="s">
        <v>24137</v>
      </c>
      <c r="O2103" s="2" t="s">
        <v>24134</v>
      </c>
      <c r="P2103" s="2" t="s">
        <v>24125</v>
      </c>
    </row>
    <row r="2104" spans="1:16">
      <c r="A2104" s="1">
        <v>2103</v>
      </c>
      <c r="B2104" s="2" t="s">
        <v>12950</v>
      </c>
      <c r="C2104" s="2" t="s">
        <v>24138</v>
      </c>
      <c r="D2104" s="2" t="s">
        <v>24139</v>
      </c>
      <c r="E2104" s="2" t="s">
        <v>2748</v>
      </c>
      <c r="F2104" s="2" t="s">
        <v>22843</v>
      </c>
      <c r="G2104" s="2" t="s">
        <v>12953</v>
      </c>
      <c r="H2104" s="2" t="s">
        <v>12954</v>
      </c>
      <c r="I2104" s="2" t="s">
        <v>2752</v>
      </c>
      <c r="J2104" s="2" t="s">
        <v>12955</v>
      </c>
      <c r="K2104" s="2" t="s">
        <v>2754</v>
      </c>
      <c r="L2104" s="2" t="s">
        <v>2755</v>
      </c>
      <c r="M2104" s="2" t="s">
        <v>2756</v>
      </c>
      <c r="N2104" s="2" t="s">
        <v>2757</v>
      </c>
      <c r="O2104" s="2" t="s">
        <v>12956</v>
      </c>
      <c r="P2104" s="2" t="s">
        <v>12950</v>
      </c>
    </row>
    <row r="2105" spans="1:16" ht="15" customHeight="1">
      <c r="A2105" s="1">
        <v>2104</v>
      </c>
      <c r="B2105" s="2" t="s">
        <v>24140</v>
      </c>
      <c r="C2105" s="2" t="s">
        <v>24141</v>
      </c>
      <c r="D2105" s="2" t="s">
        <v>24141</v>
      </c>
      <c r="E2105" s="2" t="s">
        <v>24142</v>
      </c>
      <c r="F2105" s="2" t="s">
        <v>24143</v>
      </c>
      <c r="G2105" s="2" t="s">
        <v>24144</v>
      </c>
      <c r="H2105" s="2" t="s">
        <v>24145</v>
      </c>
      <c r="I2105" s="2" t="s">
        <v>24146</v>
      </c>
      <c r="J2105" s="2" t="s">
        <v>24147</v>
      </c>
      <c r="K2105" s="2" t="s">
        <v>24148</v>
      </c>
      <c r="L2105" s="2" t="s">
        <v>24149</v>
      </c>
      <c r="M2105" s="2" t="s">
        <v>24150</v>
      </c>
      <c r="N2105" s="2" t="s">
        <v>24149</v>
      </c>
      <c r="O2105" s="2" t="s">
        <v>24151</v>
      </c>
      <c r="P2105" s="2" t="s">
        <v>24140</v>
      </c>
    </row>
    <row r="2106" spans="1:16" ht="15" customHeight="1">
      <c r="A2106" s="1">
        <v>2105</v>
      </c>
      <c r="B2106" s="2" t="s">
        <v>24152</v>
      </c>
      <c r="C2106" s="2" t="s">
        <v>25340</v>
      </c>
      <c r="D2106" s="2" t="s">
        <v>25341</v>
      </c>
      <c r="E2106" s="2" t="s">
        <v>24153</v>
      </c>
      <c r="F2106" s="2" t="s">
        <v>24154</v>
      </c>
      <c r="P2106" s="2" t="s">
        <v>24152</v>
      </c>
    </row>
    <row r="2107" spans="1:16" ht="15" customHeight="1">
      <c r="A2107" s="1">
        <v>2106</v>
      </c>
      <c r="B2107" s="2" t="s">
        <v>22149</v>
      </c>
      <c r="C2107" s="2" t="s">
        <v>22137</v>
      </c>
      <c r="D2107" s="2" t="s">
        <v>22138</v>
      </c>
      <c r="E2107" s="2" t="s">
        <v>22150</v>
      </c>
      <c r="F2107" s="2" t="s">
        <v>22139</v>
      </c>
      <c r="G2107" s="2" t="s">
        <v>22140</v>
      </c>
      <c r="H2107" s="2" t="s">
        <v>22141</v>
      </c>
      <c r="I2107" s="2" t="s">
        <v>22142</v>
      </c>
      <c r="J2107" s="2" t="s">
        <v>22143</v>
      </c>
      <c r="K2107" s="2" t="s">
        <v>22144</v>
      </c>
      <c r="L2107" s="2" t="s">
        <v>22145</v>
      </c>
      <c r="M2107" s="2" t="s">
        <v>22146</v>
      </c>
      <c r="N2107" s="2" t="s">
        <v>22147</v>
      </c>
      <c r="O2107" s="2" t="s">
        <v>22148</v>
      </c>
      <c r="P2107" s="2" t="s">
        <v>22149</v>
      </c>
    </row>
    <row r="2108" spans="1:16" ht="15" customHeight="1">
      <c r="A2108" s="1">
        <v>2107</v>
      </c>
      <c r="B2108" s="2" t="s">
        <v>22151</v>
      </c>
      <c r="C2108" s="2" t="s">
        <v>22152</v>
      </c>
      <c r="D2108" s="2" t="s">
        <v>24155</v>
      </c>
      <c r="E2108" s="2" t="s">
        <v>22156</v>
      </c>
      <c r="F2108" s="2" t="s">
        <v>22155</v>
      </c>
      <c r="G2108" s="2" t="s">
        <v>22158</v>
      </c>
      <c r="H2108" s="2" t="s">
        <v>22160</v>
      </c>
      <c r="I2108" s="2" t="s">
        <v>22162</v>
      </c>
      <c r="J2108" s="2" t="s">
        <v>22164</v>
      </c>
      <c r="K2108" s="2" t="s">
        <v>22166</v>
      </c>
      <c r="L2108" s="2" t="s">
        <v>22168</v>
      </c>
      <c r="M2108" s="2" t="s">
        <v>22170</v>
      </c>
      <c r="N2108" s="2" t="s">
        <v>22170</v>
      </c>
      <c r="O2108" s="2" t="s">
        <v>22173</v>
      </c>
      <c r="P2108" s="2" t="s">
        <v>22151</v>
      </c>
    </row>
    <row r="2109" spans="1:16" ht="15" customHeight="1">
      <c r="A2109" s="1">
        <v>2108</v>
      </c>
      <c r="B2109" s="2" t="s">
        <v>21817</v>
      </c>
      <c r="C2109" s="2" t="s">
        <v>22153</v>
      </c>
      <c r="D2109" s="2" t="s">
        <v>24156</v>
      </c>
      <c r="E2109" s="2" t="s">
        <v>22154</v>
      </c>
      <c r="F2109" s="2" t="s">
        <v>22157</v>
      </c>
      <c r="G2109" s="2" t="s">
        <v>22159</v>
      </c>
      <c r="H2109" s="2" t="s">
        <v>22161</v>
      </c>
      <c r="I2109" s="2" t="s">
        <v>22163</v>
      </c>
      <c r="J2109" s="2" t="s">
        <v>22165</v>
      </c>
      <c r="K2109" s="2" t="s">
        <v>22167</v>
      </c>
      <c r="L2109" s="2" t="s">
        <v>22169</v>
      </c>
      <c r="M2109" s="2" t="s">
        <v>22171</v>
      </c>
      <c r="N2109" s="2" t="s">
        <v>22172</v>
      </c>
      <c r="O2109" s="2" t="s">
        <v>22174</v>
      </c>
      <c r="P2109" s="2" t="s">
        <v>21817</v>
      </c>
    </row>
    <row r="2110" spans="1:16" ht="15" customHeight="1">
      <c r="A2110" s="1">
        <v>2109</v>
      </c>
      <c r="B2110" s="2" t="s">
        <v>22175</v>
      </c>
      <c r="C2110" s="2" t="s">
        <v>25342</v>
      </c>
      <c r="D2110" s="2" t="s">
        <v>24157</v>
      </c>
      <c r="P2110" s="2" t="s">
        <v>22175</v>
      </c>
    </row>
    <row r="2111" spans="1:16" ht="15" customHeight="1">
      <c r="A2111" s="1">
        <v>2110</v>
      </c>
      <c r="B2111" s="2" t="s">
        <v>21821</v>
      </c>
      <c r="C2111" s="2" t="s">
        <v>25343</v>
      </c>
      <c r="D2111" s="2" t="s">
        <v>24158</v>
      </c>
      <c r="P2111" s="2" t="s">
        <v>21821</v>
      </c>
    </row>
    <row r="2112" spans="1:16" ht="85.5">
      <c r="A2112" s="1">
        <v>2111</v>
      </c>
      <c r="B2112" s="82" t="s">
        <v>22177</v>
      </c>
      <c r="D2112" s="82" t="s">
        <v>24159</v>
      </c>
      <c r="P2112" s="83" t="s">
        <v>22177</v>
      </c>
    </row>
    <row r="2113" spans="1:16" ht="15" customHeight="1">
      <c r="A2113" s="1">
        <v>2112</v>
      </c>
      <c r="B2113" s="2" t="s">
        <v>22178</v>
      </c>
      <c r="C2113" s="2" t="s">
        <v>25344</v>
      </c>
      <c r="D2113" s="2" t="s">
        <v>24160</v>
      </c>
      <c r="P2113" s="2" t="s">
        <v>22178</v>
      </c>
    </row>
    <row r="2114" spans="1:16" ht="15" customHeight="1">
      <c r="A2114" s="1">
        <v>2113</v>
      </c>
      <c r="B2114" s="2" t="s">
        <v>24161</v>
      </c>
      <c r="C2114" s="2" t="s">
        <v>25345</v>
      </c>
      <c r="D2114" s="2" t="s">
        <v>24162</v>
      </c>
      <c r="P2114" s="2" t="s">
        <v>22179</v>
      </c>
    </row>
    <row r="2115" spans="1:16" ht="15" customHeight="1">
      <c r="A2115" s="1">
        <v>2114</v>
      </c>
      <c r="B2115" s="2" t="s">
        <v>22180</v>
      </c>
      <c r="D2115" s="2" t="s">
        <v>24163</v>
      </c>
      <c r="P2115" s="2" t="s">
        <v>22180</v>
      </c>
    </row>
    <row r="2116" spans="1:16" ht="15" customHeight="1">
      <c r="A2116" s="1">
        <v>2115</v>
      </c>
      <c r="B2116" s="2" t="s">
        <v>21819</v>
      </c>
      <c r="C2116" s="2" t="s">
        <v>25346</v>
      </c>
      <c r="D2116" s="2" t="s">
        <v>24164</v>
      </c>
      <c r="P2116" s="2" t="s">
        <v>21819</v>
      </c>
    </row>
    <row r="2117" spans="1:16" ht="15" customHeight="1">
      <c r="A2117" s="1">
        <v>2116</v>
      </c>
      <c r="B2117" s="2" t="s">
        <v>22196</v>
      </c>
      <c r="C2117" s="2" t="s">
        <v>22197</v>
      </c>
      <c r="D2117" s="2" t="s">
        <v>22198</v>
      </c>
      <c r="E2117" s="2" t="s">
        <v>22199</v>
      </c>
      <c r="F2117" s="2" t="s">
        <v>22200</v>
      </c>
      <c r="G2117" s="2" t="s">
        <v>22201</v>
      </c>
      <c r="H2117" s="2" t="s">
        <v>22202</v>
      </c>
      <c r="I2117" s="2" t="s">
        <v>22203</v>
      </c>
      <c r="J2117" s="2" t="s">
        <v>22197</v>
      </c>
      <c r="K2117" s="2" t="s">
        <v>22204</v>
      </c>
      <c r="L2117" s="2" t="s">
        <v>22205</v>
      </c>
      <c r="M2117" s="2" t="s">
        <v>22206</v>
      </c>
      <c r="N2117" s="2" t="s">
        <v>22207</v>
      </c>
      <c r="O2117" s="2" t="s">
        <v>22208</v>
      </c>
      <c r="P2117" s="2" t="s">
        <v>22196</v>
      </c>
    </row>
    <row r="2118" spans="1:16" ht="15" customHeight="1">
      <c r="A2118" s="1">
        <v>2117</v>
      </c>
      <c r="B2118" s="2" t="s">
        <v>21825</v>
      </c>
      <c r="D2118" s="2" t="s">
        <v>24165</v>
      </c>
      <c r="P2118" s="2" t="s">
        <v>21825</v>
      </c>
    </row>
    <row r="2119" spans="1:16" ht="15" customHeight="1">
      <c r="A2119" s="1">
        <v>2118</v>
      </c>
      <c r="B2119" s="2" t="s">
        <v>21832</v>
      </c>
      <c r="C2119" s="2" t="s">
        <v>25347</v>
      </c>
      <c r="D2119" s="2" t="s">
        <v>22209</v>
      </c>
      <c r="E2119" s="2" t="s">
        <v>25793</v>
      </c>
      <c r="P2119" s="2" t="s">
        <v>21832</v>
      </c>
    </row>
    <row r="2120" spans="1:16" ht="15" customHeight="1">
      <c r="A2120" s="1">
        <v>2119</v>
      </c>
      <c r="B2120" s="2" t="s">
        <v>21824</v>
      </c>
      <c r="C2120" s="2" t="s">
        <v>25348</v>
      </c>
      <c r="D2120" s="2" t="s">
        <v>24166</v>
      </c>
      <c r="P2120" s="2" t="s">
        <v>21824</v>
      </c>
    </row>
    <row r="2121" spans="1:16" ht="15" customHeight="1">
      <c r="A2121" s="1">
        <v>2120</v>
      </c>
      <c r="B2121" s="2" t="s">
        <v>21835</v>
      </c>
      <c r="C2121" s="2" t="s">
        <v>22210</v>
      </c>
      <c r="D2121" s="2" t="s">
        <v>22211</v>
      </c>
      <c r="E2121" s="2" t="s">
        <v>22212</v>
      </c>
      <c r="F2121" s="2" t="s">
        <v>22213</v>
      </c>
      <c r="G2121" s="2" t="s">
        <v>22214</v>
      </c>
      <c r="H2121" s="2" t="s">
        <v>22215</v>
      </c>
      <c r="I2121" s="2" t="s">
        <v>22216</v>
      </c>
      <c r="J2121" s="2" t="s">
        <v>22217</v>
      </c>
      <c r="K2121" s="340" t="s">
        <v>22218</v>
      </c>
      <c r="L2121" s="2" t="s">
        <v>22219</v>
      </c>
      <c r="M2121" s="2" t="s">
        <v>22220</v>
      </c>
      <c r="N2121" s="2" t="s">
        <v>22221</v>
      </c>
      <c r="O2121" s="2" t="s">
        <v>22222</v>
      </c>
      <c r="P2121" s="2" t="s">
        <v>21835</v>
      </c>
    </row>
    <row r="2122" spans="1:16" ht="15" customHeight="1">
      <c r="A2122" s="1">
        <v>2121</v>
      </c>
      <c r="B2122" s="2" t="s">
        <v>21860</v>
      </c>
      <c r="C2122" s="2" t="s">
        <v>25349</v>
      </c>
      <c r="D2122" s="2" t="s">
        <v>24167</v>
      </c>
      <c r="P2122" s="2" t="s">
        <v>21860</v>
      </c>
    </row>
    <row r="2123" spans="1:16" ht="15" customHeight="1">
      <c r="A2123" s="1">
        <v>2122</v>
      </c>
      <c r="B2123" s="2" t="s">
        <v>21869</v>
      </c>
      <c r="C2123" s="2" t="s">
        <v>18704</v>
      </c>
      <c r="D2123" s="2" t="s">
        <v>22252</v>
      </c>
      <c r="E2123" s="2" t="s">
        <v>18706</v>
      </c>
      <c r="F2123" s="2" t="s">
        <v>18707</v>
      </c>
      <c r="G2123" s="2" t="s">
        <v>18708</v>
      </c>
      <c r="H2123" s="2" t="s">
        <v>18709</v>
      </c>
      <c r="I2123" s="2" t="s">
        <v>18710</v>
      </c>
      <c r="J2123" s="2" t="s">
        <v>18711</v>
      </c>
      <c r="K2123" s="2" t="s">
        <v>22253</v>
      </c>
      <c r="L2123" s="2" t="s">
        <v>22254</v>
      </c>
      <c r="M2123" s="2" t="s">
        <v>18712</v>
      </c>
      <c r="N2123" s="2" t="s">
        <v>18713</v>
      </c>
      <c r="O2123" s="2" t="s">
        <v>18714</v>
      </c>
      <c r="P2123" s="2" t="s">
        <v>21869</v>
      </c>
    </row>
    <row r="2124" spans="1:16" ht="15" customHeight="1">
      <c r="A2124" s="1">
        <v>2123</v>
      </c>
      <c r="B2124" s="2" t="s">
        <v>21870</v>
      </c>
      <c r="C2124" s="2" t="s">
        <v>18716</v>
      </c>
      <c r="D2124" s="2" t="s">
        <v>22255</v>
      </c>
      <c r="E2124" s="2" t="s">
        <v>18718</v>
      </c>
      <c r="F2124" s="2" t="s">
        <v>18719</v>
      </c>
      <c r="G2124" s="2" t="s">
        <v>18720</v>
      </c>
      <c r="H2124" s="2" t="s">
        <v>18721</v>
      </c>
      <c r="I2124" s="2" t="s">
        <v>18722</v>
      </c>
      <c r="J2124" s="2" t="s">
        <v>18723</v>
      </c>
      <c r="K2124" s="2" t="s">
        <v>22256</v>
      </c>
      <c r="L2124" s="2" t="s">
        <v>22257</v>
      </c>
      <c r="M2124" s="2" t="s">
        <v>18724</v>
      </c>
      <c r="N2124" s="2" t="s">
        <v>18725</v>
      </c>
      <c r="O2124" s="2" t="s">
        <v>18726</v>
      </c>
      <c r="P2124" s="2" t="s">
        <v>21870</v>
      </c>
    </row>
    <row r="2125" spans="1:16" ht="15" customHeight="1">
      <c r="A2125" s="1">
        <v>2124</v>
      </c>
      <c r="B2125" s="2" t="s">
        <v>22260</v>
      </c>
      <c r="C2125" s="2" t="s">
        <v>22261</v>
      </c>
      <c r="D2125" s="2" t="s">
        <v>24168</v>
      </c>
      <c r="E2125" s="2" t="s">
        <v>22262</v>
      </c>
      <c r="F2125" s="2" t="s">
        <v>22263</v>
      </c>
      <c r="G2125" s="2" t="s">
        <v>22264</v>
      </c>
      <c r="H2125" s="2" t="s">
        <v>22258</v>
      </c>
      <c r="I2125" s="2" t="s">
        <v>22265</v>
      </c>
      <c r="J2125" s="2" t="s">
        <v>22266</v>
      </c>
      <c r="K2125" s="2" t="s">
        <v>22267</v>
      </c>
      <c r="L2125" s="2" t="s">
        <v>22268</v>
      </c>
      <c r="M2125" s="2" t="s">
        <v>22269</v>
      </c>
      <c r="N2125" s="2" t="s">
        <v>22270</v>
      </c>
      <c r="O2125" s="2" t="s">
        <v>22271</v>
      </c>
      <c r="P2125" s="2" t="s">
        <v>22260</v>
      </c>
    </row>
    <row r="2126" spans="1:16" ht="15" customHeight="1">
      <c r="A2126" s="1">
        <v>2125</v>
      </c>
      <c r="B2126" s="2" t="s">
        <v>22272</v>
      </c>
      <c r="C2126" s="2" t="s">
        <v>22273</v>
      </c>
      <c r="D2126" s="2" t="s">
        <v>24169</v>
      </c>
      <c r="E2126" s="2" t="s">
        <v>22274</v>
      </c>
      <c r="F2126" s="2" t="s">
        <v>22275</v>
      </c>
      <c r="G2126" s="2" t="s">
        <v>22276</v>
      </c>
      <c r="H2126" s="2" t="s">
        <v>22259</v>
      </c>
      <c r="I2126" s="2" t="s">
        <v>22277</v>
      </c>
      <c r="J2126" s="2" t="s">
        <v>22278</v>
      </c>
      <c r="K2126" s="2" t="s">
        <v>22279</v>
      </c>
      <c r="L2126" s="2" t="s">
        <v>22280</v>
      </c>
      <c r="M2126" s="2" t="s">
        <v>22281</v>
      </c>
      <c r="N2126" s="2" t="s">
        <v>22282</v>
      </c>
      <c r="O2126" s="2" t="s">
        <v>22283</v>
      </c>
      <c r="P2126" s="2" t="s">
        <v>22272</v>
      </c>
    </row>
    <row r="2127" spans="1:16" ht="15" customHeight="1">
      <c r="A2127" s="1">
        <v>2126</v>
      </c>
      <c r="B2127" s="2" t="s">
        <v>21833</v>
      </c>
      <c r="C2127" s="2" t="s">
        <v>19569</v>
      </c>
      <c r="D2127" s="2" t="s">
        <v>24170</v>
      </c>
      <c r="E2127" s="2" t="s">
        <v>19571</v>
      </c>
      <c r="F2127" s="2" t="s">
        <v>19572</v>
      </c>
      <c r="G2127" s="2" t="s">
        <v>19573</v>
      </c>
      <c r="H2127" s="2" t="s">
        <v>24171</v>
      </c>
      <c r="I2127" s="2" t="s">
        <v>19574</v>
      </c>
      <c r="J2127" s="2" t="s">
        <v>19575</v>
      </c>
      <c r="K2127" s="2" t="s">
        <v>22284</v>
      </c>
      <c r="L2127" s="2" t="s">
        <v>19576</v>
      </c>
      <c r="M2127" s="2" t="s">
        <v>19577</v>
      </c>
      <c r="N2127" s="2" t="s">
        <v>19578</v>
      </c>
      <c r="O2127" s="2" t="s">
        <v>19579</v>
      </c>
      <c r="P2127" s="2" t="s">
        <v>21833</v>
      </c>
    </row>
    <row r="2128" spans="1:16" ht="15" customHeight="1">
      <c r="A2128" s="1">
        <v>2127</v>
      </c>
      <c r="B2128" s="2" t="s">
        <v>21871</v>
      </c>
      <c r="C2128" s="2" t="s">
        <v>25350</v>
      </c>
      <c r="D2128" s="2" t="s">
        <v>25456</v>
      </c>
      <c r="P2128" s="2" t="s">
        <v>21871</v>
      </c>
    </row>
    <row r="2129" spans="1:16" ht="15" customHeight="1">
      <c r="A2129" s="1">
        <v>2128</v>
      </c>
      <c r="B2129" s="2" t="s">
        <v>21872</v>
      </c>
      <c r="C2129" s="2" t="s">
        <v>25351</v>
      </c>
      <c r="D2129" s="2" t="s">
        <v>25457</v>
      </c>
      <c r="P2129" s="2" t="s">
        <v>21872</v>
      </c>
    </row>
    <row r="2130" spans="1:16" ht="15" customHeight="1">
      <c r="A2130" s="1">
        <v>2129</v>
      </c>
      <c r="B2130" s="2" t="s">
        <v>24172</v>
      </c>
      <c r="C2130" s="2" t="s">
        <v>24173</v>
      </c>
      <c r="D2130" s="2" t="s">
        <v>24174</v>
      </c>
      <c r="E2130" s="2" t="s">
        <v>24175</v>
      </c>
      <c r="F2130" s="2" t="s">
        <v>24176</v>
      </c>
      <c r="G2130" s="2" t="s">
        <v>24177</v>
      </c>
      <c r="H2130" s="2" t="s">
        <v>24178</v>
      </c>
      <c r="I2130" s="2" t="s">
        <v>24179</v>
      </c>
      <c r="J2130" s="2" t="s">
        <v>24180</v>
      </c>
      <c r="K2130" s="2" t="s">
        <v>24181</v>
      </c>
      <c r="L2130" s="2" t="s">
        <v>24182</v>
      </c>
      <c r="M2130" s="2" t="s">
        <v>24183</v>
      </c>
      <c r="N2130" s="2" t="s">
        <v>24184</v>
      </c>
      <c r="O2130" s="2" t="s">
        <v>24185</v>
      </c>
      <c r="P2130" s="2" t="s">
        <v>24172</v>
      </c>
    </row>
    <row r="2131" spans="1:16" ht="15" customHeight="1">
      <c r="A2131" s="1">
        <v>2130</v>
      </c>
      <c r="B2131" s="2" t="s">
        <v>24186</v>
      </c>
      <c r="C2131" s="2" t="s">
        <v>24187</v>
      </c>
      <c r="D2131" s="2" t="s">
        <v>24188</v>
      </c>
      <c r="E2131" s="2" t="s">
        <v>24189</v>
      </c>
      <c r="F2131" s="2" t="s">
        <v>24190</v>
      </c>
      <c r="G2131" s="2" t="s">
        <v>24191</v>
      </c>
      <c r="H2131" s="2" t="s">
        <v>24192</v>
      </c>
      <c r="I2131" s="2" t="s">
        <v>24193</v>
      </c>
      <c r="J2131" s="2" t="s">
        <v>24194</v>
      </c>
      <c r="K2131" s="2" t="s">
        <v>24195</v>
      </c>
      <c r="L2131" s="2" t="s">
        <v>24196</v>
      </c>
      <c r="M2131" s="2" t="s">
        <v>24197</v>
      </c>
      <c r="N2131" s="2" t="s">
        <v>24198</v>
      </c>
      <c r="O2131" s="2" t="s">
        <v>24199</v>
      </c>
      <c r="P2131" s="2" t="s">
        <v>24186</v>
      </c>
    </row>
    <row r="2132" spans="1:16" ht="15" customHeight="1">
      <c r="A2132" s="1">
        <v>2131</v>
      </c>
      <c r="B2132" s="2" t="s">
        <v>24200</v>
      </c>
      <c r="C2132" s="2" t="s">
        <v>24201</v>
      </c>
      <c r="D2132" s="2" t="s">
        <v>24202</v>
      </c>
      <c r="E2132" s="2" t="s">
        <v>24203</v>
      </c>
      <c r="F2132" s="2" t="s">
        <v>24204</v>
      </c>
      <c r="G2132" s="2" t="s">
        <v>24205</v>
      </c>
      <c r="H2132" s="2" t="s">
        <v>24206</v>
      </c>
      <c r="I2132" s="2" t="s">
        <v>24207</v>
      </c>
      <c r="J2132" s="2" t="s">
        <v>24208</v>
      </c>
      <c r="K2132" s="2" t="s">
        <v>24209</v>
      </c>
      <c r="L2132" s="2" t="s">
        <v>24210</v>
      </c>
      <c r="M2132" s="2" t="s">
        <v>24211</v>
      </c>
      <c r="N2132" s="2" t="s">
        <v>24212</v>
      </c>
      <c r="O2132" s="2" t="s">
        <v>24213</v>
      </c>
      <c r="P2132" s="2" t="s">
        <v>24200</v>
      </c>
    </row>
    <row r="2133" spans="1:16" ht="15" customHeight="1">
      <c r="A2133" s="1">
        <v>2132</v>
      </c>
      <c r="B2133" s="2" t="s">
        <v>24214</v>
      </c>
      <c r="C2133" s="2" t="s">
        <v>24215</v>
      </c>
      <c r="D2133" s="2" t="s">
        <v>24216</v>
      </c>
      <c r="E2133" s="2" t="s">
        <v>24217</v>
      </c>
      <c r="F2133" s="2" t="s">
        <v>24218</v>
      </c>
      <c r="G2133" s="2" t="s">
        <v>24219</v>
      </c>
      <c r="H2133" s="2" t="s">
        <v>24220</v>
      </c>
      <c r="I2133" s="2" t="s">
        <v>24221</v>
      </c>
      <c r="J2133" s="2" t="s">
        <v>24222</v>
      </c>
      <c r="K2133" s="2" t="s">
        <v>24223</v>
      </c>
      <c r="L2133" s="2" t="s">
        <v>24224</v>
      </c>
      <c r="M2133" s="2" t="s">
        <v>24225</v>
      </c>
      <c r="N2133" s="2" t="s">
        <v>24226</v>
      </c>
      <c r="O2133" s="2" t="s">
        <v>24227</v>
      </c>
      <c r="P2133" s="2" t="s">
        <v>24214</v>
      </c>
    </row>
    <row r="2134" spans="1:16" ht="15" customHeight="1">
      <c r="A2134" s="1">
        <v>2133</v>
      </c>
      <c r="B2134" s="2" t="s">
        <v>24228</v>
      </c>
      <c r="C2134" s="2" t="s">
        <v>24229</v>
      </c>
      <c r="D2134" s="2" t="s">
        <v>24230</v>
      </c>
      <c r="E2134" s="2" t="s">
        <v>24231</v>
      </c>
      <c r="F2134" s="2" t="s">
        <v>24232</v>
      </c>
      <c r="G2134" s="2" t="s">
        <v>24233</v>
      </c>
      <c r="H2134" s="2" t="s">
        <v>24234</v>
      </c>
      <c r="I2134" s="2" t="s">
        <v>24235</v>
      </c>
      <c r="J2134" s="2" t="s">
        <v>24236</v>
      </c>
      <c r="K2134" s="2" t="s">
        <v>24237</v>
      </c>
      <c r="L2134" s="2" t="s">
        <v>24238</v>
      </c>
      <c r="M2134" s="2" t="s">
        <v>24239</v>
      </c>
      <c r="N2134" s="2" t="s">
        <v>24240</v>
      </c>
      <c r="O2134" s="2" t="s">
        <v>24241</v>
      </c>
      <c r="P2134" s="2" t="s">
        <v>24228</v>
      </c>
    </row>
    <row r="2135" spans="1:16" ht="15" customHeight="1">
      <c r="A2135" s="1">
        <v>2134</v>
      </c>
      <c r="B2135" s="2" t="s">
        <v>24242</v>
      </c>
      <c r="C2135" s="2" t="s">
        <v>24243</v>
      </c>
      <c r="D2135" s="2" t="s">
        <v>24244</v>
      </c>
      <c r="E2135" s="2" t="s">
        <v>24245</v>
      </c>
      <c r="F2135" s="2" t="s">
        <v>24246</v>
      </c>
      <c r="G2135" s="2" t="s">
        <v>24247</v>
      </c>
      <c r="H2135" s="2" t="s">
        <v>24248</v>
      </c>
      <c r="I2135" s="2" t="s">
        <v>24249</v>
      </c>
      <c r="J2135" s="2" t="s">
        <v>24250</v>
      </c>
      <c r="K2135" s="2" t="s">
        <v>24251</v>
      </c>
      <c r="L2135" s="2" t="s">
        <v>24252</v>
      </c>
      <c r="M2135" s="2" t="s">
        <v>24253</v>
      </c>
      <c r="N2135" s="2" t="s">
        <v>24254</v>
      </c>
      <c r="O2135" s="2" t="s">
        <v>24255</v>
      </c>
      <c r="P2135" s="2" t="s">
        <v>24242</v>
      </c>
    </row>
    <row r="2136" spans="1:16" ht="15" customHeight="1">
      <c r="A2136" s="1">
        <v>2135</v>
      </c>
      <c r="B2136" s="2" t="s">
        <v>24256</v>
      </c>
      <c r="C2136" s="2" t="s">
        <v>24257</v>
      </c>
      <c r="D2136" s="2" t="s">
        <v>24258</v>
      </c>
      <c r="E2136" s="2" t="s">
        <v>24259</v>
      </c>
      <c r="F2136" s="2" t="s">
        <v>24260</v>
      </c>
      <c r="G2136" s="2" t="s">
        <v>24261</v>
      </c>
      <c r="H2136" s="2" t="s">
        <v>24262</v>
      </c>
      <c r="I2136" s="2" t="s">
        <v>24263</v>
      </c>
      <c r="J2136" s="2" t="s">
        <v>24264</v>
      </c>
      <c r="K2136" s="2" t="s">
        <v>24265</v>
      </c>
      <c r="L2136" s="2" t="s">
        <v>24266</v>
      </c>
      <c r="M2136" s="2" t="s">
        <v>24267</v>
      </c>
      <c r="N2136" s="2" t="s">
        <v>24268</v>
      </c>
      <c r="O2136" s="2" t="s">
        <v>24269</v>
      </c>
      <c r="P2136" s="2" t="s">
        <v>24256</v>
      </c>
    </row>
    <row r="2137" spans="1:16" ht="15" customHeight="1">
      <c r="A2137" s="1">
        <v>2136</v>
      </c>
      <c r="B2137" s="2" t="s">
        <v>24270</v>
      </c>
      <c r="C2137" s="2" t="s">
        <v>24271</v>
      </c>
      <c r="D2137" s="2" t="s">
        <v>24272</v>
      </c>
      <c r="E2137" s="2" t="s">
        <v>24273</v>
      </c>
      <c r="F2137" s="2" t="s">
        <v>24274</v>
      </c>
      <c r="G2137" s="2" t="s">
        <v>24275</v>
      </c>
      <c r="H2137" s="2" t="s">
        <v>24276</v>
      </c>
      <c r="I2137" s="2" t="s">
        <v>24277</v>
      </c>
      <c r="J2137" s="2" t="s">
        <v>24278</v>
      </c>
      <c r="K2137" s="2" t="s">
        <v>24279</v>
      </c>
      <c r="L2137" s="2" t="s">
        <v>24280</v>
      </c>
      <c r="M2137" s="2" t="s">
        <v>24281</v>
      </c>
      <c r="N2137" s="2" t="s">
        <v>24282</v>
      </c>
      <c r="O2137" s="2" t="s">
        <v>24283</v>
      </c>
      <c r="P2137" s="2" t="s">
        <v>24270</v>
      </c>
    </row>
    <row r="2138" spans="1:16" ht="15" customHeight="1">
      <c r="A2138" s="1">
        <v>2137</v>
      </c>
      <c r="B2138" s="2" t="s">
        <v>24284</v>
      </c>
      <c r="C2138" s="2" t="s">
        <v>24285</v>
      </c>
      <c r="D2138" s="2" t="s">
        <v>24286</v>
      </c>
      <c r="E2138" s="2" t="s">
        <v>24287</v>
      </c>
      <c r="F2138" s="2" t="s">
        <v>24288</v>
      </c>
      <c r="G2138" s="2" t="s">
        <v>24289</v>
      </c>
      <c r="H2138" s="2" t="s">
        <v>24290</v>
      </c>
      <c r="I2138" s="2" t="s">
        <v>24291</v>
      </c>
      <c r="J2138" s="2" t="s">
        <v>24292</v>
      </c>
      <c r="K2138" s="2" t="s">
        <v>24293</v>
      </c>
      <c r="L2138" s="2" t="s">
        <v>24294</v>
      </c>
      <c r="M2138" s="2" t="s">
        <v>24295</v>
      </c>
      <c r="N2138" s="2" t="s">
        <v>24296</v>
      </c>
      <c r="O2138" s="2" t="s">
        <v>24297</v>
      </c>
      <c r="P2138" s="2" t="s">
        <v>24284</v>
      </c>
    </row>
    <row r="2139" spans="1:16" ht="15" customHeight="1">
      <c r="A2139" s="1">
        <v>2138</v>
      </c>
      <c r="B2139" s="2" t="s">
        <v>24298</v>
      </c>
      <c r="C2139" s="2" t="s">
        <v>24299</v>
      </c>
      <c r="D2139" s="2" t="s">
        <v>24300</v>
      </c>
      <c r="E2139" s="2" t="s">
        <v>24301</v>
      </c>
      <c r="F2139" s="2" t="s">
        <v>24302</v>
      </c>
      <c r="G2139" s="2" t="s">
        <v>24303</v>
      </c>
      <c r="H2139" s="2" t="s">
        <v>24304</v>
      </c>
      <c r="I2139" s="2" t="s">
        <v>24305</v>
      </c>
      <c r="J2139" s="2" t="s">
        <v>24306</v>
      </c>
      <c r="K2139" s="2" t="s">
        <v>24307</v>
      </c>
      <c r="L2139" s="2" t="s">
        <v>24308</v>
      </c>
      <c r="M2139" s="2" t="s">
        <v>24309</v>
      </c>
      <c r="N2139" s="2" t="s">
        <v>24310</v>
      </c>
      <c r="O2139" s="2" t="s">
        <v>24311</v>
      </c>
      <c r="P2139" s="2" t="s">
        <v>24298</v>
      </c>
    </row>
    <row r="2140" spans="1:16" ht="15" customHeight="1">
      <c r="A2140" s="1">
        <v>2139</v>
      </c>
      <c r="B2140" s="2" t="s">
        <v>24312</v>
      </c>
      <c r="C2140" s="2" t="s">
        <v>24173</v>
      </c>
      <c r="D2140" s="2" t="s">
        <v>24174</v>
      </c>
      <c r="E2140" s="2" t="s">
        <v>24313</v>
      </c>
      <c r="F2140" s="2" t="s">
        <v>24314</v>
      </c>
      <c r="G2140" s="2" t="s">
        <v>24177</v>
      </c>
      <c r="H2140" s="2" t="s">
        <v>24315</v>
      </c>
      <c r="I2140" s="2" t="s">
        <v>24179</v>
      </c>
      <c r="J2140" s="2" t="s">
        <v>24316</v>
      </c>
      <c r="K2140" s="2" t="s">
        <v>24317</v>
      </c>
      <c r="L2140" s="2" t="s">
        <v>24318</v>
      </c>
      <c r="M2140" s="2" t="s">
        <v>24319</v>
      </c>
      <c r="N2140" s="2" t="s">
        <v>24320</v>
      </c>
      <c r="O2140" s="2" t="s">
        <v>24321</v>
      </c>
      <c r="P2140" s="2" t="s">
        <v>24312</v>
      </c>
    </row>
    <row r="2141" spans="1:16" ht="15" customHeight="1">
      <c r="A2141" s="1">
        <v>2140</v>
      </c>
      <c r="B2141" s="2" t="s">
        <v>24322</v>
      </c>
      <c r="C2141" s="2" t="s">
        <v>24187</v>
      </c>
      <c r="D2141" s="2" t="s">
        <v>24188</v>
      </c>
      <c r="E2141" s="2" t="s">
        <v>24323</v>
      </c>
      <c r="F2141" s="2" t="s">
        <v>24324</v>
      </c>
      <c r="G2141" s="2" t="s">
        <v>24325</v>
      </c>
      <c r="H2141" s="2" t="s">
        <v>24326</v>
      </c>
      <c r="I2141" s="2" t="s">
        <v>24193</v>
      </c>
      <c r="J2141" s="2" t="s">
        <v>24327</v>
      </c>
      <c r="K2141" s="2" t="s">
        <v>24328</v>
      </c>
      <c r="L2141" s="2" t="s">
        <v>24329</v>
      </c>
      <c r="M2141" s="2" t="s">
        <v>24330</v>
      </c>
      <c r="N2141" s="2" t="s">
        <v>24331</v>
      </c>
      <c r="O2141" s="2" t="s">
        <v>24332</v>
      </c>
      <c r="P2141" s="2" t="s">
        <v>24322</v>
      </c>
    </row>
    <row r="2142" spans="1:16" ht="15" customHeight="1">
      <c r="A2142" s="1">
        <v>2141</v>
      </c>
      <c r="B2142" s="2" t="s">
        <v>24333</v>
      </c>
      <c r="C2142" s="2" t="s">
        <v>24201</v>
      </c>
      <c r="D2142" s="2" t="s">
        <v>24202</v>
      </c>
      <c r="E2142" s="2" t="s">
        <v>24334</v>
      </c>
      <c r="F2142" s="2" t="s">
        <v>24335</v>
      </c>
      <c r="G2142" s="2" t="s">
        <v>24205</v>
      </c>
      <c r="H2142" s="2" t="s">
        <v>24336</v>
      </c>
      <c r="I2142" s="2" t="s">
        <v>24207</v>
      </c>
      <c r="J2142" s="2" t="s">
        <v>24337</v>
      </c>
      <c r="K2142" s="2" t="s">
        <v>24338</v>
      </c>
      <c r="L2142" s="2" t="s">
        <v>24339</v>
      </c>
      <c r="M2142" s="2" t="s">
        <v>24340</v>
      </c>
      <c r="N2142" s="2" t="s">
        <v>24341</v>
      </c>
      <c r="O2142" s="2" t="s">
        <v>24342</v>
      </c>
      <c r="P2142" s="2" t="s">
        <v>24333</v>
      </c>
    </row>
    <row r="2143" spans="1:16" ht="15" customHeight="1">
      <c r="A2143" s="1">
        <v>2142</v>
      </c>
      <c r="B2143" s="2" t="s">
        <v>24343</v>
      </c>
      <c r="C2143" s="2" t="s">
        <v>24215</v>
      </c>
      <c r="D2143" s="2" t="s">
        <v>24216</v>
      </c>
      <c r="E2143" s="2" t="s">
        <v>24344</v>
      </c>
      <c r="F2143" s="2" t="s">
        <v>24345</v>
      </c>
      <c r="G2143" s="2" t="s">
        <v>24346</v>
      </c>
      <c r="H2143" s="2" t="s">
        <v>24347</v>
      </c>
      <c r="I2143" s="2" t="s">
        <v>24221</v>
      </c>
      <c r="J2143" s="2" t="s">
        <v>24348</v>
      </c>
      <c r="K2143" s="2" t="s">
        <v>24349</v>
      </c>
      <c r="L2143" s="2" t="s">
        <v>24350</v>
      </c>
      <c r="M2143" s="2" t="s">
        <v>24351</v>
      </c>
      <c r="N2143" s="2" t="s">
        <v>24352</v>
      </c>
      <c r="O2143" s="2" t="s">
        <v>24353</v>
      </c>
      <c r="P2143" s="2" t="s">
        <v>24343</v>
      </c>
    </row>
    <row r="2144" spans="1:16" ht="15" customHeight="1">
      <c r="A2144" s="1">
        <v>2143</v>
      </c>
      <c r="B2144" s="2" t="s">
        <v>24354</v>
      </c>
      <c r="C2144" s="2" t="s">
        <v>24229</v>
      </c>
      <c r="D2144" s="2" t="s">
        <v>24230</v>
      </c>
      <c r="E2144" s="2" t="s">
        <v>24355</v>
      </c>
      <c r="F2144" s="2" t="s">
        <v>24356</v>
      </c>
      <c r="G2144" s="2" t="s">
        <v>24233</v>
      </c>
      <c r="H2144" s="2" t="s">
        <v>24357</v>
      </c>
      <c r="I2144" s="2" t="s">
        <v>24235</v>
      </c>
      <c r="J2144" s="2" t="s">
        <v>24358</v>
      </c>
      <c r="K2144" s="2" t="s">
        <v>24359</v>
      </c>
      <c r="L2144" s="2" t="s">
        <v>24360</v>
      </c>
      <c r="M2144" s="2" t="s">
        <v>24361</v>
      </c>
      <c r="N2144" s="2" t="s">
        <v>24362</v>
      </c>
      <c r="O2144" s="2" t="s">
        <v>24363</v>
      </c>
      <c r="P2144" s="2" t="s">
        <v>24354</v>
      </c>
    </row>
    <row r="2145" spans="1:16" ht="15" customHeight="1">
      <c r="A2145" s="1">
        <v>2144</v>
      </c>
      <c r="B2145" s="2" t="s">
        <v>24364</v>
      </c>
      <c r="C2145" s="2" t="s">
        <v>24243</v>
      </c>
      <c r="D2145" s="2" t="s">
        <v>24244</v>
      </c>
      <c r="E2145" s="2" t="s">
        <v>24365</v>
      </c>
      <c r="F2145" s="2" t="s">
        <v>24366</v>
      </c>
      <c r="G2145" s="2" t="s">
        <v>24367</v>
      </c>
      <c r="H2145" s="2" t="s">
        <v>24368</v>
      </c>
      <c r="I2145" s="2" t="s">
        <v>24249</v>
      </c>
      <c r="J2145" s="2" t="s">
        <v>24369</v>
      </c>
      <c r="K2145" s="2" t="s">
        <v>24370</v>
      </c>
      <c r="L2145" s="2" t="s">
        <v>24371</v>
      </c>
      <c r="M2145" s="2" t="s">
        <v>24372</v>
      </c>
      <c r="N2145" s="2" t="s">
        <v>24373</v>
      </c>
      <c r="O2145" s="2" t="s">
        <v>24374</v>
      </c>
      <c r="P2145" s="2" t="s">
        <v>24364</v>
      </c>
    </row>
    <row r="2146" spans="1:16" ht="15" customHeight="1">
      <c r="A2146" s="1">
        <v>2145</v>
      </c>
      <c r="B2146" s="2" t="s">
        <v>24375</v>
      </c>
      <c r="C2146" s="2" t="s">
        <v>24257</v>
      </c>
      <c r="D2146" s="2" t="s">
        <v>24258</v>
      </c>
      <c r="E2146" s="2" t="s">
        <v>24376</v>
      </c>
      <c r="F2146" s="2" t="s">
        <v>24377</v>
      </c>
      <c r="G2146" s="2" t="s">
        <v>24261</v>
      </c>
      <c r="H2146" s="2" t="s">
        <v>24378</v>
      </c>
      <c r="I2146" s="2" t="s">
        <v>24263</v>
      </c>
      <c r="J2146" s="2" t="s">
        <v>24379</v>
      </c>
      <c r="K2146" s="2" t="s">
        <v>24380</v>
      </c>
      <c r="L2146" s="2" t="s">
        <v>24381</v>
      </c>
      <c r="M2146" s="2" t="s">
        <v>24382</v>
      </c>
      <c r="N2146" s="2" t="s">
        <v>24383</v>
      </c>
      <c r="O2146" s="2" t="s">
        <v>24384</v>
      </c>
      <c r="P2146" s="2" t="s">
        <v>24375</v>
      </c>
    </row>
    <row r="2147" spans="1:16" ht="15" customHeight="1">
      <c r="A2147" s="1">
        <v>2146</v>
      </c>
      <c r="B2147" s="2" t="s">
        <v>24385</v>
      </c>
      <c r="C2147" s="2" t="s">
        <v>24271</v>
      </c>
      <c r="D2147" s="2" t="s">
        <v>24272</v>
      </c>
      <c r="E2147" s="2" t="s">
        <v>24386</v>
      </c>
      <c r="F2147" s="2" t="s">
        <v>24387</v>
      </c>
      <c r="G2147" s="2" t="s">
        <v>24388</v>
      </c>
      <c r="H2147" s="2" t="s">
        <v>24389</v>
      </c>
      <c r="I2147" s="2" t="s">
        <v>24277</v>
      </c>
      <c r="J2147" s="2" t="s">
        <v>24390</v>
      </c>
      <c r="K2147" s="2" t="s">
        <v>24391</v>
      </c>
      <c r="L2147" s="2" t="s">
        <v>24392</v>
      </c>
      <c r="M2147" s="2" t="s">
        <v>24393</v>
      </c>
      <c r="N2147" s="2" t="s">
        <v>24394</v>
      </c>
      <c r="O2147" s="2" t="s">
        <v>24395</v>
      </c>
      <c r="P2147" s="2" t="s">
        <v>24385</v>
      </c>
    </row>
    <row r="2148" spans="1:16" ht="15" customHeight="1">
      <c r="A2148" s="1">
        <v>2147</v>
      </c>
      <c r="B2148" s="2" t="s">
        <v>24942</v>
      </c>
      <c r="C2148" s="2" t="s">
        <v>25352</v>
      </c>
      <c r="D2148" s="2" t="s">
        <v>24396</v>
      </c>
      <c r="P2148" s="2" t="s">
        <v>24942</v>
      </c>
    </row>
    <row r="2149" spans="1:16" ht="15" customHeight="1">
      <c r="A2149" s="1">
        <v>2148</v>
      </c>
      <c r="B2149" s="2" t="s">
        <v>24943</v>
      </c>
      <c r="C2149" s="2" t="s">
        <v>25353</v>
      </c>
      <c r="D2149" s="2" t="s">
        <v>24397</v>
      </c>
      <c r="P2149" s="2" t="s">
        <v>24943</v>
      </c>
    </row>
    <row r="2150" spans="1:16" ht="15" customHeight="1">
      <c r="A2150" s="1">
        <v>2149</v>
      </c>
      <c r="B2150" s="2" t="s">
        <v>22093</v>
      </c>
      <c r="C2150" s="2" t="s">
        <v>25354</v>
      </c>
      <c r="D2150" s="2" t="s">
        <v>24398</v>
      </c>
      <c r="P2150" s="2" t="s">
        <v>22093</v>
      </c>
    </row>
    <row r="2151" spans="1:16" ht="15" customHeight="1">
      <c r="A2151" s="1">
        <v>2150</v>
      </c>
      <c r="B2151" s="2" t="s">
        <v>22190</v>
      </c>
      <c r="C2151" s="2" t="s">
        <v>25355</v>
      </c>
      <c r="D2151" s="2" t="s">
        <v>22285</v>
      </c>
      <c r="P2151" s="2" t="s">
        <v>22190</v>
      </c>
    </row>
    <row r="2152" spans="1:16" ht="15" customHeight="1">
      <c r="A2152" s="1">
        <v>2151</v>
      </c>
      <c r="B2152" s="2" t="s">
        <v>22286</v>
      </c>
      <c r="C2152" s="2" t="s">
        <v>25356</v>
      </c>
      <c r="D2152" s="2" t="s">
        <v>24399</v>
      </c>
      <c r="P2152" s="2" t="s">
        <v>22286</v>
      </c>
    </row>
    <row r="2153" spans="1:16" ht="15" customHeight="1">
      <c r="A2153" s="1">
        <v>2152</v>
      </c>
      <c r="B2153" s="2" t="s">
        <v>22603</v>
      </c>
      <c r="C2153" s="2" t="s">
        <v>24066</v>
      </c>
      <c r="D2153" s="2" t="s">
        <v>24400</v>
      </c>
      <c r="P2153" s="2" t="s">
        <v>22603</v>
      </c>
    </row>
    <row r="2154" spans="1:16" ht="15" customHeight="1">
      <c r="A2154" s="1">
        <v>2153</v>
      </c>
      <c r="B2154" s="2" t="s">
        <v>22592</v>
      </c>
      <c r="D2154" s="2" t="s">
        <v>24401</v>
      </c>
      <c r="P2154" s="2" t="s">
        <v>22592</v>
      </c>
    </row>
    <row r="2155" spans="1:16" ht="15" customHeight="1">
      <c r="A2155" s="1">
        <v>2154</v>
      </c>
      <c r="B2155" s="2" t="s">
        <v>22628</v>
      </c>
      <c r="D2155" s="2" t="s">
        <v>24402</v>
      </c>
      <c r="P2155" s="2" t="s">
        <v>22628</v>
      </c>
    </row>
    <row r="2156" spans="1:16" ht="15" customHeight="1">
      <c r="A2156" s="1">
        <v>2155</v>
      </c>
      <c r="B2156" s="2" t="s">
        <v>22629</v>
      </c>
      <c r="D2156" s="2" t="s">
        <v>24403</v>
      </c>
      <c r="P2156" s="2" t="s">
        <v>22629</v>
      </c>
    </row>
    <row r="2157" spans="1:16" ht="15" customHeight="1">
      <c r="A2157" s="1">
        <v>2156</v>
      </c>
      <c r="B2157" s="2" t="s">
        <v>156</v>
      </c>
      <c r="C2157" s="2" t="s">
        <v>156</v>
      </c>
      <c r="D2157" s="2" t="s">
        <v>25357</v>
      </c>
      <c r="P2157" s="2" t="s">
        <v>156</v>
      </c>
    </row>
    <row r="2158" spans="1:16" ht="15" customHeight="1">
      <c r="A2158" s="1">
        <v>2157</v>
      </c>
      <c r="B2158" s="2" t="s">
        <v>24404</v>
      </c>
      <c r="C2158" s="2" t="s">
        <v>25358</v>
      </c>
      <c r="D2158" s="2" t="s">
        <v>25359</v>
      </c>
      <c r="P2158" s="2" t="s">
        <v>24404</v>
      </c>
    </row>
    <row r="2159" spans="1:16" ht="15" customHeight="1">
      <c r="A2159" s="1">
        <v>2158</v>
      </c>
      <c r="B2159" s="2" t="s">
        <v>24405</v>
      </c>
      <c r="C2159" s="2" t="s">
        <v>25360</v>
      </c>
      <c r="D2159" s="2" t="s">
        <v>25361</v>
      </c>
      <c r="P2159" s="2" t="s">
        <v>24405</v>
      </c>
    </row>
    <row r="2160" spans="1:16" ht="15" customHeight="1">
      <c r="A2160" s="1">
        <v>2159</v>
      </c>
      <c r="B2160" s="2" t="s">
        <v>24406</v>
      </c>
      <c r="C2160" s="2" t="s">
        <v>25362</v>
      </c>
      <c r="D2160" s="2" t="s">
        <v>25363</v>
      </c>
      <c r="J2160" s="2" t="s">
        <v>25872</v>
      </c>
      <c r="L2160" s="2" t="s">
        <v>25873</v>
      </c>
      <c r="M2160" s="2" t="s">
        <v>25874</v>
      </c>
      <c r="N2160" s="2" t="s">
        <v>25874</v>
      </c>
      <c r="P2160" s="2" t="s">
        <v>24406</v>
      </c>
    </row>
    <row r="2161" spans="1:16" ht="15" customHeight="1">
      <c r="A2161" s="1">
        <v>2160</v>
      </c>
      <c r="B2161" s="2" t="s">
        <v>24407</v>
      </c>
      <c r="C2161" s="2" t="s">
        <v>25364</v>
      </c>
      <c r="D2161" s="2" t="s">
        <v>25365</v>
      </c>
      <c r="P2161" s="2" t="s">
        <v>24407</v>
      </c>
    </row>
    <row r="2162" spans="1:16" ht="15" customHeight="1">
      <c r="A2162" s="1">
        <v>2161</v>
      </c>
      <c r="B2162" s="2" t="s">
        <v>25981</v>
      </c>
      <c r="C2162" s="2" t="s">
        <v>25982</v>
      </c>
      <c r="D2162" s="2" t="s">
        <v>25366</v>
      </c>
      <c r="J2162" s="2" t="s">
        <v>25983</v>
      </c>
      <c r="L2162" s="2" t="s">
        <v>25984</v>
      </c>
      <c r="M2162" s="2" t="s">
        <v>25985</v>
      </c>
      <c r="N2162" s="2" t="s">
        <v>25986</v>
      </c>
      <c r="P2162" s="2" t="s">
        <v>25981</v>
      </c>
    </row>
    <row r="2163" spans="1:16">
      <c r="A2163" s="1">
        <v>2162</v>
      </c>
      <c r="B2163" s="2" t="s">
        <v>25987</v>
      </c>
      <c r="C2163" s="2" t="s">
        <v>25988</v>
      </c>
      <c r="D2163" s="2" t="s">
        <v>24408</v>
      </c>
      <c r="E2163" s="2" t="s">
        <v>25989</v>
      </c>
      <c r="F2163" s="2" t="s">
        <v>25990</v>
      </c>
      <c r="G2163" s="2" t="s">
        <v>25991</v>
      </c>
      <c r="H2163" s="2" t="s">
        <v>25992</v>
      </c>
      <c r="I2163" s="2" t="s">
        <v>25993</v>
      </c>
      <c r="J2163" s="2" t="s">
        <v>25994</v>
      </c>
      <c r="K2163" s="2" t="s">
        <v>25995</v>
      </c>
      <c r="L2163" s="2" t="s">
        <v>25996</v>
      </c>
      <c r="M2163" s="2" t="s">
        <v>25997</v>
      </c>
      <c r="N2163" s="2" t="s">
        <v>25998</v>
      </c>
      <c r="O2163" s="2" t="s">
        <v>25999</v>
      </c>
      <c r="P2163" s="2" t="s">
        <v>25987</v>
      </c>
    </row>
    <row r="2164" spans="1:16" ht="15" customHeight="1">
      <c r="A2164" s="1">
        <v>2163</v>
      </c>
      <c r="B2164" s="2" t="s">
        <v>25367</v>
      </c>
      <c r="C2164" s="2" t="s">
        <v>25368</v>
      </c>
      <c r="D2164" s="2" t="s">
        <v>24410</v>
      </c>
      <c r="E2164" s="2" t="s">
        <v>24411</v>
      </c>
      <c r="F2164" s="2" t="s">
        <v>24412</v>
      </c>
      <c r="G2164" s="2" t="s">
        <v>24413</v>
      </c>
      <c r="H2164" s="2" t="s">
        <v>24414</v>
      </c>
      <c r="I2164" s="2" t="s">
        <v>25369</v>
      </c>
      <c r="J2164" s="2" t="s">
        <v>24415</v>
      </c>
      <c r="K2164" s="2" t="s">
        <v>24416</v>
      </c>
      <c r="L2164" s="2" t="s">
        <v>24417</v>
      </c>
      <c r="M2164" s="2" t="s">
        <v>24418</v>
      </c>
      <c r="N2164" s="2" t="s">
        <v>24419</v>
      </c>
      <c r="O2164" s="2" t="s">
        <v>24420</v>
      </c>
      <c r="P2164" s="2" t="s">
        <v>25367</v>
      </c>
    </row>
    <row r="2165" spans="1:16" ht="15" customHeight="1">
      <c r="A2165" s="1">
        <v>2164</v>
      </c>
      <c r="B2165" s="2" t="s">
        <v>24421</v>
      </c>
      <c r="C2165" s="2" t="s">
        <v>10818</v>
      </c>
      <c r="D2165" s="2" t="s">
        <v>24422</v>
      </c>
      <c r="E2165" s="2" t="s">
        <v>10820</v>
      </c>
      <c r="F2165" s="2" t="s">
        <v>10821</v>
      </c>
      <c r="G2165" s="2" t="s">
        <v>10822</v>
      </c>
      <c r="H2165" s="2" t="s">
        <v>10823</v>
      </c>
      <c r="I2165" s="2" t="s">
        <v>10824</v>
      </c>
      <c r="J2165" s="2" t="s">
        <v>10825</v>
      </c>
      <c r="L2165" s="2" t="s">
        <v>10827</v>
      </c>
      <c r="M2165" s="2" t="s">
        <v>10828</v>
      </c>
      <c r="N2165" s="2" t="s">
        <v>10829</v>
      </c>
      <c r="O2165" s="2" t="s">
        <v>10830</v>
      </c>
      <c r="P2165" s="2" t="s">
        <v>24421</v>
      </c>
    </row>
    <row r="2166" spans="1:16" ht="15" customHeight="1">
      <c r="A2166" s="1">
        <v>2165</v>
      </c>
      <c r="B2166" s="2" t="s">
        <v>24423</v>
      </c>
      <c r="C2166" s="2" t="s">
        <v>24423</v>
      </c>
      <c r="D2166" s="2" t="s">
        <v>24423</v>
      </c>
      <c r="E2166" s="2" t="s">
        <v>24423</v>
      </c>
      <c r="F2166" s="2" t="s">
        <v>24423</v>
      </c>
      <c r="G2166" s="2" t="s">
        <v>24423</v>
      </c>
      <c r="H2166" s="2" t="s">
        <v>24423</v>
      </c>
      <c r="I2166" s="2" t="s">
        <v>24423</v>
      </c>
      <c r="J2166" s="2" t="s">
        <v>24423</v>
      </c>
      <c r="K2166" s="2" t="s">
        <v>24423</v>
      </c>
      <c r="L2166" s="2" t="s">
        <v>24423</v>
      </c>
      <c r="M2166" s="2" t="s">
        <v>24423</v>
      </c>
      <c r="N2166" s="2" t="s">
        <v>24423</v>
      </c>
      <c r="O2166" s="2" t="s">
        <v>24423</v>
      </c>
      <c r="P2166" s="2" t="s">
        <v>24423</v>
      </c>
    </row>
    <row r="2167" spans="1:16" ht="15" customHeight="1">
      <c r="A2167" s="1">
        <v>2166</v>
      </c>
      <c r="B2167" s="2" t="s">
        <v>24424</v>
      </c>
      <c r="C2167" s="2" t="s">
        <v>24425</v>
      </c>
      <c r="D2167" s="2" t="s">
        <v>24426</v>
      </c>
      <c r="E2167" s="2" t="s">
        <v>24427</v>
      </c>
      <c r="F2167" s="2" t="s">
        <v>24428</v>
      </c>
      <c r="G2167" s="2" t="s">
        <v>24429</v>
      </c>
      <c r="H2167" s="2" t="s">
        <v>24430</v>
      </c>
      <c r="I2167" s="2" t="s">
        <v>24431</v>
      </c>
      <c r="J2167" s="2" t="s">
        <v>24432</v>
      </c>
      <c r="K2167" s="2" t="s">
        <v>24433</v>
      </c>
      <c r="L2167" s="2" t="s">
        <v>24434</v>
      </c>
      <c r="M2167" s="2" t="s">
        <v>24435</v>
      </c>
      <c r="N2167" s="2" t="s">
        <v>24436</v>
      </c>
      <c r="O2167" s="2" t="s">
        <v>24437</v>
      </c>
      <c r="P2167" s="2" t="s">
        <v>24424</v>
      </c>
    </row>
    <row r="2168" spans="1:16">
      <c r="A2168" s="1">
        <v>2167</v>
      </c>
      <c r="B2168" s="2" t="s">
        <v>24438</v>
      </c>
      <c r="C2168" s="2" t="s">
        <v>24439</v>
      </c>
      <c r="D2168" s="2" t="s">
        <v>24440</v>
      </c>
      <c r="E2168" s="2" t="s">
        <v>24441</v>
      </c>
      <c r="F2168" s="2" t="s">
        <v>24442</v>
      </c>
      <c r="G2168" s="2" t="s">
        <v>24443</v>
      </c>
      <c r="H2168" s="2" t="s">
        <v>24444</v>
      </c>
      <c r="I2168" s="2" t="s">
        <v>24445</v>
      </c>
      <c r="J2168" s="2" t="s">
        <v>24446</v>
      </c>
      <c r="K2168" s="2" t="s">
        <v>24447</v>
      </c>
      <c r="L2168" s="2" t="s">
        <v>24448</v>
      </c>
      <c r="M2168" s="2" t="s">
        <v>24449</v>
      </c>
      <c r="N2168" s="2" t="s">
        <v>24450</v>
      </c>
      <c r="O2168" s="2" t="s">
        <v>24451</v>
      </c>
      <c r="P2168" s="2" t="s">
        <v>24438</v>
      </c>
    </row>
    <row r="2169" spans="1:16" ht="15" customHeight="1">
      <c r="A2169" s="1">
        <v>2168</v>
      </c>
      <c r="B2169" s="2" t="s">
        <v>22652</v>
      </c>
      <c r="C2169" s="2" t="s">
        <v>22963</v>
      </c>
      <c r="D2169" s="2" t="s">
        <v>24452</v>
      </c>
      <c r="E2169" s="2" t="s">
        <v>24453</v>
      </c>
      <c r="F2169" s="2" t="s">
        <v>24454</v>
      </c>
      <c r="G2169" s="2" t="s">
        <v>24455</v>
      </c>
      <c r="H2169" s="2" t="s">
        <v>24456</v>
      </c>
      <c r="I2169" s="2" t="s">
        <v>24457</v>
      </c>
      <c r="J2169" s="2" t="s">
        <v>24458</v>
      </c>
      <c r="K2169" s="2" t="s">
        <v>24459</v>
      </c>
      <c r="L2169" s="2" t="s">
        <v>24460</v>
      </c>
      <c r="M2169" s="2" t="s">
        <v>24461</v>
      </c>
      <c r="N2169" s="2" t="s">
        <v>24462</v>
      </c>
      <c r="O2169" s="2" t="s">
        <v>24463</v>
      </c>
      <c r="P2169" s="2" t="s">
        <v>22652</v>
      </c>
    </row>
    <row r="2170" spans="1:16" ht="15" customHeight="1">
      <c r="A2170" s="1">
        <v>2169</v>
      </c>
      <c r="B2170" s="2" t="s">
        <v>24464</v>
      </c>
      <c r="C2170" s="2" t="s">
        <v>24465</v>
      </c>
      <c r="D2170" s="2" t="s">
        <v>24466</v>
      </c>
      <c r="E2170" s="2" t="s">
        <v>24467</v>
      </c>
      <c r="F2170" s="2" t="s">
        <v>24468</v>
      </c>
      <c r="G2170" s="2" t="s">
        <v>24469</v>
      </c>
      <c r="H2170" s="2" t="s">
        <v>24470</v>
      </c>
      <c r="I2170" s="2" t="s">
        <v>24471</v>
      </c>
      <c r="J2170" s="2" t="s">
        <v>24472</v>
      </c>
      <c r="K2170" s="2" t="s">
        <v>24473</v>
      </c>
      <c r="L2170" s="2" t="s">
        <v>24474</v>
      </c>
      <c r="M2170" s="2" t="s">
        <v>24475</v>
      </c>
      <c r="N2170" s="2" t="s">
        <v>24476</v>
      </c>
      <c r="O2170" s="2" t="s">
        <v>24477</v>
      </c>
      <c r="P2170" s="2" t="s">
        <v>24464</v>
      </c>
    </row>
    <row r="2171" spans="1:16" ht="15" customHeight="1">
      <c r="A2171" s="1">
        <v>2170</v>
      </c>
      <c r="B2171" s="2" t="s">
        <v>24478</v>
      </c>
      <c r="C2171" s="2" t="s">
        <v>24479</v>
      </c>
      <c r="D2171" s="2" t="s">
        <v>24480</v>
      </c>
      <c r="E2171" s="2" t="s">
        <v>24481</v>
      </c>
      <c r="F2171" s="2" t="s">
        <v>24482</v>
      </c>
      <c r="G2171" s="2" t="s">
        <v>24483</v>
      </c>
      <c r="H2171" s="2" t="s">
        <v>24484</v>
      </c>
      <c r="I2171" s="2" t="s">
        <v>24485</v>
      </c>
      <c r="J2171" s="2" t="s">
        <v>24486</v>
      </c>
      <c r="K2171" s="2" t="s">
        <v>24487</v>
      </c>
      <c r="L2171" s="2" t="s">
        <v>24488</v>
      </c>
      <c r="M2171" s="2" t="s">
        <v>24489</v>
      </c>
      <c r="N2171" s="2" t="s">
        <v>24490</v>
      </c>
      <c r="O2171" s="2" t="s">
        <v>24491</v>
      </c>
      <c r="P2171" s="2" t="s">
        <v>24478</v>
      </c>
    </row>
    <row r="2172" spans="1:16">
      <c r="A2172" s="1">
        <v>2171</v>
      </c>
      <c r="B2172" s="2" t="s">
        <v>24492</v>
      </c>
      <c r="C2172" s="2" t="s">
        <v>25370</v>
      </c>
      <c r="D2172" s="2" t="s">
        <v>24493</v>
      </c>
      <c r="E2172" s="2" t="s">
        <v>24494</v>
      </c>
      <c r="F2172" s="2" t="s">
        <v>24495</v>
      </c>
      <c r="G2172" s="2" t="s">
        <v>24496</v>
      </c>
      <c r="H2172" s="2" t="s">
        <v>24497</v>
      </c>
      <c r="I2172" s="2" t="s">
        <v>24498</v>
      </c>
      <c r="J2172" s="2" t="s">
        <v>24499</v>
      </c>
      <c r="K2172" s="2" t="s">
        <v>24500</v>
      </c>
      <c r="L2172" s="2" t="s">
        <v>24501</v>
      </c>
      <c r="M2172" s="2" t="s">
        <v>24502</v>
      </c>
      <c r="N2172" s="2" t="s">
        <v>24503</v>
      </c>
      <c r="O2172" s="2" t="s">
        <v>24504</v>
      </c>
      <c r="P2172" s="2" t="s">
        <v>24492</v>
      </c>
    </row>
    <row r="2173" spans="1:16" ht="15" customHeight="1">
      <c r="A2173" s="1">
        <v>2172</v>
      </c>
      <c r="B2173" s="2" t="s">
        <v>24505</v>
      </c>
      <c r="C2173" s="2" t="s">
        <v>25371</v>
      </c>
      <c r="D2173" s="2" t="s">
        <v>24506</v>
      </c>
      <c r="E2173" s="2" t="s">
        <v>24507</v>
      </c>
      <c r="F2173" s="2" t="s">
        <v>24508</v>
      </c>
      <c r="G2173" s="2" t="s">
        <v>24509</v>
      </c>
      <c r="H2173" s="2" t="s">
        <v>24510</v>
      </c>
      <c r="I2173" s="2" t="s">
        <v>24511</v>
      </c>
      <c r="J2173" s="2" t="s">
        <v>24512</v>
      </c>
      <c r="K2173" s="2" t="s">
        <v>24513</v>
      </c>
      <c r="L2173" s="2" t="s">
        <v>24514</v>
      </c>
      <c r="M2173" s="2" t="s">
        <v>24515</v>
      </c>
      <c r="N2173" s="2" t="s">
        <v>24516</v>
      </c>
      <c r="O2173" s="2" t="s">
        <v>24517</v>
      </c>
      <c r="P2173" s="2" t="s">
        <v>24505</v>
      </c>
    </row>
    <row r="2174" spans="1:16" ht="15" customHeight="1">
      <c r="A2174" s="1">
        <v>2173</v>
      </c>
      <c r="B2174" s="2" t="s">
        <v>24518</v>
      </c>
      <c r="C2174" s="2" t="s">
        <v>24519</v>
      </c>
      <c r="D2174" s="2" t="s">
        <v>24520</v>
      </c>
      <c r="E2174" s="2" t="s">
        <v>24521</v>
      </c>
      <c r="F2174" s="2" t="s">
        <v>24522</v>
      </c>
      <c r="G2174" s="2" t="s">
        <v>24523</v>
      </c>
      <c r="H2174" s="2" t="s">
        <v>24524</v>
      </c>
      <c r="I2174" s="2" t="s">
        <v>24525</v>
      </c>
      <c r="J2174" s="2" t="s">
        <v>24526</v>
      </c>
      <c r="K2174" s="2" t="s">
        <v>24527</v>
      </c>
      <c r="L2174" s="2" t="s">
        <v>24528</v>
      </c>
      <c r="M2174" s="2" t="s">
        <v>24529</v>
      </c>
      <c r="N2174" s="2" t="s">
        <v>24530</v>
      </c>
      <c r="O2174" s="2" t="s">
        <v>24531</v>
      </c>
      <c r="P2174" s="2" t="s">
        <v>24518</v>
      </c>
    </row>
    <row r="2175" spans="1:16" ht="15" customHeight="1">
      <c r="A2175" s="1">
        <v>2174</v>
      </c>
      <c r="B2175" s="2" t="s">
        <v>24532</v>
      </c>
      <c r="C2175" s="2" t="s">
        <v>24533</v>
      </c>
      <c r="D2175" s="2" t="s">
        <v>24534</v>
      </c>
      <c r="E2175" s="2" t="s">
        <v>24535</v>
      </c>
      <c r="F2175" s="2" t="s">
        <v>24536</v>
      </c>
      <c r="G2175" s="2" t="s">
        <v>24537</v>
      </c>
      <c r="H2175" s="2" t="s">
        <v>24538</v>
      </c>
      <c r="I2175" s="2" t="s">
        <v>24539</v>
      </c>
      <c r="J2175" s="2" t="s">
        <v>24540</v>
      </c>
      <c r="K2175" s="2" t="s">
        <v>24541</v>
      </c>
      <c r="L2175" s="2" t="s">
        <v>24542</v>
      </c>
      <c r="M2175" s="2" t="s">
        <v>24543</v>
      </c>
      <c r="N2175" s="2" t="s">
        <v>24544</v>
      </c>
      <c r="O2175" s="2" t="s">
        <v>24545</v>
      </c>
      <c r="P2175" s="2" t="s">
        <v>24532</v>
      </c>
    </row>
    <row r="2176" spans="1:16" ht="15" customHeight="1">
      <c r="A2176" s="1">
        <v>2175</v>
      </c>
      <c r="B2176" s="2" t="s">
        <v>24546</v>
      </c>
      <c r="C2176" s="2" t="s">
        <v>24547</v>
      </c>
      <c r="D2176" s="2" t="s">
        <v>24548</v>
      </c>
      <c r="E2176" s="2" t="s">
        <v>24549</v>
      </c>
      <c r="F2176" s="2" t="s">
        <v>24550</v>
      </c>
      <c r="G2176" s="2" t="s">
        <v>24551</v>
      </c>
      <c r="H2176" s="2" t="s">
        <v>24552</v>
      </c>
      <c r="I2176" s="2" t="s">
        <v>24553</v>
      </c>
      <c r="J2176" s="2" t="s">
        <v>24554</v>
      </c>
      <c r="K2176" s="2" t="s">
        <v>24555</v>
      </c>
      <c r="L2176" s="2" t="s">
        <v>24556</v>
      </c>
      <c r="M2176" s="2" t="s">
        <v>24557</v>
      </c>
      <c r="N2176" s="2" t="s">
        <v>24558</v>
      </c>
      <c r="O2176" s="2" t="s">
        <v>24559</v>
      </c>
      <c r="P2176" s="2" t="s">
        <v>24546</v>
      </c>
    </row>
    <row r="2177" spans="1:16" ht="15" customHeight="1">
      <c r="A2177" s="1">
        <v>2176</v>
      </c>
      <c r="B2177" s="2" t="s">
        <v>24560</v>
      </c>
      <c r="C2177" s="2" t="s">
        <v>25372</v>
      </c>
      <c r="D2177" s="2" t="s">
        <v>25373</v>
      </c>
      <c r="J2177" s="2" t="s">
        <v>26000</v>
      </c>
      <c r="L2177" s="2" t="s">
        <v>26001</v>
      </c>
      <c r="M2177" s="2" t="s">
        <v>25985</v>
      </c>
      <c r="N2177" s="2" t="s">
        <v>26002</v>
      </c>
      <c r="P2177" s="2" t="s">
        <v>24560</v>
      </c>
    </row>
    <row r="2178" spans="1:16" ht="15" customHeight="1">
      <c r="A2178" s="1">
        <v>2177</v>
      </c>
      <c r="B2178" s="2" t="s">
        <v>24561</v>
      </c>
      <c r="C2178" s="2" t="s">
        <v>24562</v>
      </c>
      <c r="D2178" s="2" t="s">
        <v>24563</v>
      </c>
      <c r="E2178" s="2" t="s">
        <v>24564</v>
      </c>
      <c r="F2178" s="2" t="s">
        <v>24565</v>
      </c>
      <c r="G2178" s="2" t="s">
        <v>24566</v>
      </c>
      <c r="H2178" s="2" t="s">
        <v>24567</v>
      </c>
      <c r="I2178" s="2" t="s">
        <v>24568</v>
      </c>
      <c r="J2178" s="2" t="s">
        <v>24569</v>
      </c>
      <c r="K2178" s="2" t="s">
        <v>24570</v>
      </c>
      <c r="L2178" s="2" t="s">
        <v>24571</v>
      </c>
      <c r="M2178" s="2" t="s">
        <v>24572</v>
      </c>
      <c r="N2178" s="2" t="s">
        <v>24573</v>
      </c>
      <c r="O2178" s="2" t="s">
        <v>24574</v>
      </c>
      <c r="P2178" s="2" t="s">
        <v>24561</v>
      </c>
    </row>
    <row r="2179" spans="1:16" ht="15" customHeight="1">
      <c r="A2179" s="1">
        <v>2178</v>
      </c>
      <c r="B2179" s="2" t="s">
        <v>24575</v>
      </c>
      <c r="C2179" s="2" t="s">
        <v>25374</v>
      </c>
      <c r="D2179" s="2" t="s">
        <v>24576</v>
      </c>
      <c r="E2179" s="2" t="s">
        <v>24577</v>
      </c>
      <c r="F2179" s="2" t="s">
        <v>24409</v>
      </c>
      <c r="G2179" s="2" t="s">
        <v>24578</v>
      </c>
      <c r="H2179" s="2" t="s">
        <v>24579</v>
      </c>
      <c r="I2179" s="2" t="s">
        <v>24580</v>
      </c>
      <c r="J2179" s="2" t="s">
        <v>24581</v>
      </c>
      <c r="K2179" s="2" t="s">
        <v>24582</v>
      </c>
      <c r="L2179" s="2" t="s">
        <v>24583</v>
      </c>
      <c r="M2179" s="2" t="s">
        <v>24584</v>
      </c>
      <c r="N2179" s="2" t="s">
        <v>24585</v>
      </c>
      <c r="O2179" s="2" t="s">
        <v>24586</v>
      </c>
      <c r="P2179" s="2" t="s">
        <v>24575</v>
      </c>
    </row>
    <row r="2180" spans="1:16" ht="15" customHeight="1">
      <c r="A2180" s="1">
        <v>2179</v>
      </c>
      <c r="B2180" s="2" t="s">
        <v>24587</v>
      </c>
      <c r="C2180" s="2" t="s">
        <v>26003</v>
      </c>
      <c r="D2180" s="2" t="s">
        <v>24588</v>
      </c>
      <c r="E2180" s="2" t="s">
        <v>24589</v>
      </c>
      <c r="F2180" s="2" t="s">
        <v>26004</v>
      </c>
      <c r="G2180" s="2" t="s">
        <v>24590</v>
      </c>
      <c r="H2180" s="2" t="s">
        <v>26005</v>
      </c>
      <c r="I2180" s="2" t="s">
        <v>26006</v>
      </c>
      <c r="J2180" s="2" t="s">
        <v>26007</v>
      </c>
      <c r="K2180" s="2" t="s">
        <v>24591</v>
      </c>
      <c r="L2180" s="2" t="s">
        <v>26008</v>
      </c>
      <c r="M2180" s="2" t="s">
        <v>26009</v>
      </c>
      <c r="N2180" s="2" t="s">
        <v>26010</v>
      </c>
      <c r="O2180" s="2" t="s">
        <v>26011</v>
      </c>
      <c r="P2180" s="2" t="s">
        <v>24587</v>
      </c>
    </row>
    <row r="2181" spans="1:16" ht="15" customHeight="1">
      <c r="A2181" s="1">
        <v>2180</v>
      </c>
      <c r="B2181" s="2" t="s">
        <v>24592</v>
      </c>
      <c r="C2181" s="2" t="s">
        <v>25375</v>
      </c>
      <c r="D2181" s="2" t="s">
        <v>24593</v>
      </c>
      <c r="E2181" s="2" t="s">
        <v>24594</v>
      </c>
      <c r="F2181" s="2" t="s">
        <v>24595</v>
      </c>
      <c r="G2181" s="2" t="s">
        <v>24596</v>
      </c>
      <c r="H2181" s="2" t="s">
        <v>24597</v>
      </c>
      <c r="I2181" s="2" t="s">
        <v>24598</v>
      </c>
      <c r="J2181" s="2" t="s">
        <v>24599</v>
      </c>
      <c r="K2181" s="2" t="s">
        <v>24600</v>
      </c>
      <c r="L2181" s="2" t="s">
        <v>24601</v>
      </c>
      <c r="M2181" s="2" t="s">
        <v>24602</v>
      </c>
      <c r="N2181" s="2" t="s">
        <v>24603</v>
      </c>
      <c r="O2181" s="2" t="s">
        <v>24604</v>
      </c>
      <c r="P2181" s="2" t="s">
        <v>24592</v>
      </c>
    </row>
    <row r="2182" spans="1:16" ht="15" customHeight="1">
      <c r="A2182" s="1">
        <v>2181</v>
      </c>
      <c r="B2182" s="2" t="s">
        <v>24605</v>
      </c>
      <c r="C2182" s="2" t="s">
        <v>24606</v>
      </c>
      <c r="D2182" s="2" t="s">
        <v>24607</v>
      </c>
      <c r="E2182" s="2" t="s">
        <v>24608</v>
      </c>
      <c r="F2182" s="2" t="s">
        <v>24609</v>
      </c>
      <c r="G2182" s="2" t="s">
        <v>24610</v>
      </c>
      <c r="H2182" s="2" t="s">
        <v>24611</v>
      </c>
      <c r="I2182" s="2" t="s">
        <v>24612</v>
      </c>
      <c r="J2182" s="2" t="s">
        <v>24613</v>
      </c>
      <c r="K2182" s="2" t="s">
        <v>24614</v>
      </c>
      <c r="L2182" s="2" t="s">
        <v>24615</v>
      </c>
      <c r="M2182" s="2" t="s">
        <v>24616</v>
      </c>
      <c r="N2182" s="2" t="s">
        <v>24617</v>
      </c>
      <c r="O2182" s="2" t="s">
        <v>24618</v>
      </c>
      <c r="P2182" s="2" t="s">
        <v>24605</v>
      </c>
    </row>
    <row r="2183" spans="1:16" ht="15" customHeight="1">
      <c r="A2183" s="1">
        <v>2182</v>
      </c>
      <c r="B2183" s="2" t="s">
        <v>24619</v>
      </c>
      <c r="C2183" s="2" t="s">
        <v>25376</v>
      </c>
      <c r="D2183" s="2" t="s">
        <v>24620</v>
      </c>
      <c r="E2183" s="2" t="s">
        <v>24621</v>
      </c>
      <c r="F2183" s="2" t="s">
        <v>24622</v>
      </c>
      <c r="G2183" s="2" t="s">
        <v>24623</v>
      </c>
      <c r="H2183" s="2" t="s">
        <v>24624</v>
      </c>
      <c r="I2183" s="2" t="s">
        <v>24625</v>
      </c>
      <c r="J2183" s="2" t="s">
        <v>24626</v>
      </c>
      <c r="K2183" s="2" t="s">
        <v>24627</v>
      </c>
      <c r="L2183" s="2" t="s">
        <v>24628</v>
      </c>
      <c r="M2183" s="2" t="s">
        <v>24629</v>
      </c>
      <c r="N2183" s="2" t="s">
        <v>24630</v>
      </c>
      <c r="O2183" s="2" t="s">
        <v>24631</v>
      </c>
      <c r="P2183" s="2" t="s">
        <v>24619</v>
      </c>
    </row>
    <row r="2184" spans="1:16" ht="15" customHeight="1">
      <c r="A2184" s="1">
        <v>2183</v>
      </c>
      <c r="B2184" s="2" t="s">
        <v>24632</v>
      </c>
      <c r="C2184" s="2" t="s">
        <v>24633</v>
      </c>
      <c r="D2184" s="2" t="s">
        <v>24634</v>
      </c>
      <c r="E2184" s="2" t="s">
        <v>24635</v>
      </c>
      <c r="F2184" s="2" t="s">
        <v>24636</v>
      </c>
      <c r="G2184" s="2" t="s">
        <v>24637</v>
      </c>
      <c r="H2184" s="2" t="s">
        <v>24638</v>
      </c>
      <c r="I2184" s="2" t="s">
        <v>24639</v>
      </c>
      <c r="J2184" s="2" t="s">
        <v>24640</v>
      </c>
      <c r="K2184" s="2" t="s">
        <v>24641</v>
      </c>
      <c r="L2184" s="2" t="s">
        <v>24642</v>
      </c>
      <c r="M2184" s="2" t="s">
        <v>24643</v>
      </c>
      <c r="N2184" s="2" t="s">
        <v>24644</v>
      </c>
      <c r="O2184" s="2" t="s">
        <v>24645</v>
      </c>
      <c r="P2184" s="2" t="s">
        <v>24632</v>
      </c>
    </row>
    <row r="2185" spans="1:16" ht="15" customHeight="1">
      <c r="A2185" s="1">
        <v>2184</v>
      </c>
      <c r="B2185" s="2" t="s">
        <v>24646</v>
      </c>
      <c r="C2185" s="2" t="s">
        <v>25377</v>
      </c>
      <c r="D2185" s="2" t="s">
        <v>24647</v>
      </c>
      <c r="E2185" s="2" t="s">
        <v>24648</v>
      </c>
      <c r="F2185" s="2" t="s">
        <v>24649</v>
      </c>
      <c r="G2185" s="2" t="s">
        <v>24650</v>
      </c>
      <c r="H2185" s="2" t="s">
        <v>24651</v>
      </c>
      <c r="I2185" s="2" t="s">
        <v>24652</v>
      </c>
      <c r="J2185" s="2" t="s">
        <v>24653</v>
      </c>
      <c r="K2185" s="2" t="s">
        <v>24654</v>
      </c>
      <c r="L2185" s="2" t="s">
        <v>24655</v>
      </c>
      <c r="M2185" s="2" t="s">
        <v>24656</v>
      </c>
      <c r="N2185" s="2" t="s">
        <v>24657</v>
      </c>
      <c r="O2185" s="2" t="s">
        <v>24658</v>
      </c>
      <c r="P2185" s="2" t="s">
        <v>24646</v>
      </c>
    </row>
    <row r="2186" spans="1:16" ht="15" customHeight="1">
      <c r="A2186" s="1">
        <v>2185</v>
      </c>
      <c r="B2186" s="2" t="s">
        <v>17254</v>
      </c>
      <c r="C2186" s="2" t="s">
        <v>25378</v>
      </c>
      <c r="D2186" s="2" t="s">
        <v>25379</v>
      </c>
      <c r="P2186" s="2" t="s">
        <v>17254</v>
      </c>
    </row>
    <row r="2187" spans="1:16" ht="15" customHeight="1">
      <c r="A2187" s="1">
        <v>2186</v>
      </c>
      <c r="B2187" s="340" t="s">
        <v>24659</v>
      </c>
      <c r="C2187" s="340" t="s">
        <v>7445</v>
      </c>
      <c r="D2187" s="340" t="s">
        <v>24660</v>
      </c>
      <c r="E2187" s="340" t="s">
        <v>7447</v>
      </c>
      <c r="F2187" s="340" t="s">
        <v>7448</v>
      </c>
      <c r="G2187" s="2" t="s">
        <v>7449</v>
      </c>
      <c r="H2187" s="340" t="s">
        <v>7450</v>
      </c>
      <c r="I2187" s="2" t="s">
        <v>7451</v>
      </c>
      <c r="J2187" s="341" t="s">
        <v>7452</v>
      </c>
      <c r="K2187" s="340" t="s">
        <v>7453</v>
      </c>
      <c r="L2187" s="340" t="s">
        <v>7454</v>
      </c>
      <c r="M2187" s="341" t="s">
        <v>7455</v>
      </c>
      <c r="N2187" s="341" t="s">
        <v>7456</v>
      </c>
      <c r="O2187" s="340" t="s">
        <v>7457</v>
      </c>
      <c r="P2187" s="340" t="s">
        <v>24659</v>
      </c>
    </row>
    <row r="2188" spans="1:16" ht="15" customHeight="1">
      <c r="A2188" s="1">
        <v>2187</v>
      </c>
      <c r="B2188" s="2" t="s">
        <v>24661</v>
      </c>
      <c r="C2188" s="2" t="s">
        <v>7621</v>
      </c>
      <c r="D2188" s="2" t="s">
        <v>24662</v>
      </c>
      <c r="E2188" s="2" t="s">
        <v>7623</v>
      </c>
      <c r="F2188" s="342" t="s">
        <v>24661</v>
      </c>
      <c r="G2188" s="2" t="s">
        <v>24663</v>
      </c>
      <c r="H2188" s="2" t="s">
        <v>24664</v>
      </c>
      <c r="I2188" s="2" t="s">
        <v>24665</v>
      </c>
      <c r="J2188" s="2" t="s">
        <v>24666</v>
      </c>
      <c r="K2188" s="342" t="s">
        <v>24661</v>
      </c>
      <c r="L2188" s="2" t="s">
        <v>24667</v>
      </c>
      <c r="M2188" s="2" t="s">
        <v>24668</v>
      </c>
      <c r="N2188" s="2" t="s">
        <v>24669</v>
      </c>
      <c r="O2188" s="2" t="s">
        <v>24670</v>
      </c>
      <c r="P2188" s="2" t="s">
        <v>24661</v>
      </c>
    </row>
    <row r="2189" spans="1:16">
      <c r="A2189" s="1">
        <v>2188</v>
      </c>
      <c r="B2189" s="2" t="s">
        <v>24671</v>
      </c>
      <c r="C2189" s="2" t="s">
        <v>24672</v>
      </c>
      <c r="D2189" s="2" t="s">
        <v>24673</v>
      </c>
      <c r="E2189" s="2" t="s">
        <v>7637</v>
      </c>
      <c r="F2189" s="2" t="s">
        <v>24674</v>
      </c>
      <c r="G2189" s="2" t="s">
        <v>24675</v>
      </c>
      <c r="H2189" s="340" t="s">
        <v>24676</v>
      </c>
      <c r="I2189" s="2" t="s">
        <v>24677</v>
      </c>
      <c r="J2189" s="333" t="s">
        <v>24678</v>
      </c>
      <c r="K2189" s="340" t="s">
        <v>24679</v>
      </c>
      <c r="L2189" s="2" t="s">
        <v>24680</v>
      </c>
      <c r="M2189" s="333" t="s">
        <v>24681</v>
      </c>
      <c r="N2189" s="333" t="s">
        <v>24682</v>
      </c>
      <c r="O2189" s="2" t="s">
        <v>24683</v>
      </c>
      <c r="P2189" s="2" t="s">
        <v>24671</v>
      </c>
    </row>
    <row r="2190" spans="1:16">
      <c r="A2190" s="1">
        <v>2189</v>
      </c>
      <c r="B2190" s="2" t="s">
        <v>24684</v>
      </c>
      <c r="C2190" s="2" t="s">
        <v>24685</v>
      </c>
      <c r="D2190" s="2" t="s">
        <v>24686</v>
      </c>
      <c r="E2190" s="2" t="s">
        <v>7651</v>
      </c>
      <c r="F2190" s="2" t="s">
        <v>24687</v>
      </c>
      <c r="G2190" s="2" t="s">
        <v>24688</v>
      </c>
      <c r="H2190" s="340" t="s">
        <v>24689</v>
      </c>
      <c r="I2190" s="2" t="s">
        <v>24690</v>
      </c>
      <c r="J2190" s="333" t="s">
        <v>24691</v>
      </c>
      <c r="K2190" s="340" t="s">
        <v>24692</v>
      </c>
      <c r="L2190" s="2" t="s">
        <v>24693</v>
      </c>
      <c r="M2190" s="333" t="s">
        <v>24694</v>
      </c>
      <c r="N2190" s="333" t="s">
        <v>24695</v>
      </c>
      <c r="O2190" s="2" t="s">
        <v>24696</v>
      </c>
      <c r="P2190" s="2" t="s">
        <v>24684</v>
      </c>
    </row>
    <row r="2191" spans="1:16">
      <c r="A2191" s="1">
        <v>2190</v>
      </c>
      <c r="B2191" s="2" t="s">
        <v>24697</v>
      </c>
      <c r="C2191" s="2" t="s">
        <v>9683</v>
      </c>
      <c r="D2191" s="2" t="s">
        <v>24698</v>
      </c>
      <c r="E2191" s="2" t="s">
        <v>9685</v>
      </c>
      <c r="F2191" s="2" t="s">
        <v>9686</v>
      </c>
      <c r="G2191" s="2" t="s">
        <v>9687</v>
      </c>
      <c r="H2191" s="340" t="s">
        <v>9688</v>
      </c>
      <c r="I2191" s="2" t="s">
        <v>9689</v>
      </c>
      <c r="J2191" s="333" t="s">
        <v>9690</v>
      </c>
      <c r="K2191" s="340" t="s">
        <v>9691</v>
      </c>
      <c r="L2191" s="2" t="s">
        <v>9692</v>
      </c>
      <c r="M2191" s="333" t="s">
        <v>9693</v>
      </c>
      <c r="N2191" s="333" t="s">
        <v>9694</v>
      </c>
      <c r="O2191" s="2" t="s">
        <v>24699</v>
      </c>
      <c r="P2191" s="2" t="s">
        <v>24697</v>
      </c>
    </row>
    <row r="2192" spans="1:16">
      <c r="A2192" s="1">
        <v>2191</v>
      </c>
      <c r="B2192" s="2" t="s">
        <v>24700</v>
      </c>
      <c r="C2192" s="2" t="s">
        <v>24701</v>
      </c>
      <c r="D2192" s="2" t="s">
        <v>24702</v>
      </c>
      <c r="E2192" s="2" t="s">
        <v>24703</v>
      </c>
      <c r="F2192" s="2" t="s">
        <v>24704</v>
      </c>
      <c r="G2192" s="2" t="s">
        <v>24705</v>
      </c>
      <c r="H2192" s="340" t="s">
        <v>24706</v>
      </c>
      <c r="I2192" s="2" t="s">
        <v>24707</v>
      </c>
      <c r="J2192" s="333" t="s">
        <v>24708</v>
      </c>
      <c r="K2192" s="340" t="s">
        <v>24709</v>
      </c>
      <c r="L2192" s="2" t="s">
        <v>24710</v>
      </c>
      <c r="M2192" s="333" t="s">
        <v>24711</v>
      </c>
      <c r="N2192" s="333" t="s">
        <v>24712</v>
      </c>
      <c r="O2192" s="2" t="s">
        <v>24713</v>
      </c>
      <c r="P2192" s="2" t="s">
        <v>24700</v>
      </c>
    </row>
    <row r="2193" spans="1:16">
      <c r="A2193" s="1">
        <v>2192</v>
      </c>
      <c r="B2193" s="2" t="s">
        <v>24714</v>
      </c>
      <c r="C2193" s="2" t="s">
        <v>24715</v>
      </c>
      <c r="D2193" s="2" t="s">
        <v>24716</v>
      </c>
      <c r="E2193" s="2" t="s">
        <v>24717</v>
      </c>
      <c r="F2193" s="2" t="s">
        <v>24718</v>
      </c>
      <c r="G2193" s="2" t="s">
        <v>24719</v>
      </c>
      <c r="H2193" s="340" t="s">
        <v>24720</v>
      </c>
      <c r="I2193" s="2" t="s">
        <v>24721</v>
      </c>
      <c r="J2193" s="333" t="s">
        <v>24722</v>
      </c>
      <c r="K2193" s="340" t="s">
        <v>24723</v>
      </c>
      <c r="L2193" s="2" t="s">
        <v>24724</v>
      </c>
      <c r="M2193" s="333" t="s">
        <v>24725</v>
      </c>
      <c r="N2193" s="333" t="s">
        <v>24726</v>
      </c>
      <c r="O2193" s="2" t="s">
        <v>24727</v>
      </c>
      <c r="P2193" s="2" t="s">
        <v>24714</v>
      </c>
    </row>
    <row r="2194" spans="1:16">
      <c r="A2194" s="1">
        <v>2193</v>
      </c>
      <c r="B2194" s="340" t="s">
        <v>24728</v>
      </c>
      <c r="C2194" s="340" t="s">
        <v>777</v>
      </c>
      <c r="D2194" s="340" t="s">
        <v>24729</v>
      </c>
      <c r="E2194" s="340" t="s">
        <v>779</v>
      </c>
      <c r="F2194" s="340" t="s">
        <v>780</v>
      </c>
      <c r="G2194" s="2" t="s">
        <v>781</v>
      </c>
      <c r="H2194" s="340" t="s">
        <v>782</v>
      </c>
      <c r="I2194" s="2" t="s">
        <v>783</v>
      </c>
      <c r="J2194" s="341" t="s">
        <v>784</v>
      </c>
      <c r="K2194" s="340" t="s">
        <v>785</v>
      </c>
      <c r="L2194" s="340" t="s">
        <v>786</v>
      </c>
      <c r="M2194" s="341" t="s">
        <v>787</v>
      </c>
      <c r="N2194" s="341" t="s">
        <v>788</v>
      </c>
      <c r="O2194" s="340" t="s">
        <v>24730</v>
      </c>
      <c r="P2194" s="340" t="s">
        <v>24728</v>
      </c>
    </row>
    <row r="2195" spans="1:16">
      <c r="A2195" s="1">
        <v>2194</v>
      </c>
      <c r="B2195" s="340" t="s">
        <v>24731</v>
      </c>
      <c r="C2195" s="340" t="s">
        <v>791</v>
      </c>
      <c r="D2195" s="340" t="s">
        <v>24732</v>
      </c>
      <c r="E2195" s="340" t="s">
        <v>793</v>
      </c>
      <c r="F2195" s="340" t="s">
        <v>794</v>
      </c>
      <c r="G2195" s="2" t="s">
        <v>795</v>
      </c>
      <c r="H2195" s="340" t="s">
        <v>796</v>
      </c>
      <c r="I2195" s="2" t="s">
        <v>797</v>
      </c>
      <c r="J2195" s="341" t="s">
        <v>798</v>
      </c>
      <c r="K2195" s="340" t="s">
        <v>799</v>
      </c>
      <c r="L2195" s="340" t="s">
        <v>800</v>
      </c>
      <c r="M2195" s="341" t="s">
        <v>801</v>
      </c>
      <c r="N2195" s="341" t="s">
        <v>802</v>
      </c>
      <c r="O2195" s="340" t="s">
        <v>24733</v>
      </c>
      <c r="P2195" s="340" t="s">
        <v>24731</v>
      </c>
    </row>
    <row r="2196" spans="1:16">
      <c r="A2196" s="1">
        <v>2195</v>
      </c>
      <c r="B2196" s="340" t="s">
        <v>24734</v>
      </c>
      <c r="C2196" s="340" t="s">
        <v>805</v>
      </c>
      <c r="D2196" s="340" t="s">
        <v>24735</v>
      </c>
      <c r="E2196" s="340" t="s">
        <v>807</v>
      </c>
      <c r="F2196" s="340" t="s">
        <v>808</v>
      </c>
      <c r="G2196" s="2" t="s">
        <v>809</v>
      </c>
      <c r="H2196" s="340" t="s">
        <v>810</v>
      </c>
      <c r="I2196" s="2" t="s">
        <v>811</v>
      </c>
      <c r="J2196" s="341" t="s">
        <v>812</v>
      </c>
      <c r="K2196" s="340" t="s">
        <v>813</v>
      </c>
      <c r="L2196" s="340" t="s">
        <v>814</v>
      </c>
      <c r="M2196" s="341" t="s">
        <v>815</v>
      </c>
      <c r="N2196" s="341" t="s">
        <v>816</v>
      </c>
      <c r="O2196" s="340" t="s">
        <v>24736</v>
      </c>
      <c r="P2196" s="340" t="s">
        <v>24734</v>
      </c>
    </row>
    <row r="2197" spans="1:16">
      <c r="A2197" s="1">
        <v>2196</v>
      </c>
      <c r="B2197" s="340" t="s">
        <v>24737</v>
      </c>
      <c r="C2197" s="340" t="s">
        <v>6619</v>
      </c>
      <c r="D2197" s="340" t="s">
        <v>24738</v>
      </c>
      <c r="E2197" s="340" t="s">
        <v>6621</v>
      </c>
      <c r="F2197" s="340" t="s">
        <v>6622</v>
      </c>
      <c r="G2197" s="2" t="s">
        <v>6623</v>
      </c>
      <c r="H2197" s="340" t="s">
        <v>6624</v>
      </c>
      <c r="I2197" s="2" t="s">
        <v>6625</v>
      </c>
      <c r="J2197" s="341" t="s">
        <v>6626</v>
      </c>
      <c r="K2197" s="340" t="s">
        <v>6627</v>
      </c>
      <c r="L2197" s="340" t="s">
        <v>6628</v>
      </c>
      <c r="M2197" s="341" t="s">
        <v>6629</v>
      </c>
      <c r="N2197" s="341" t="s">
        <v>6630</v>
      </c>
      <c r="O2197" s="340" t="s">
        <v>24739</v>
      </c>
      <c r="P2197" s="340" t="s">
        <v>24737</v>
      </c>
    </row>
    <row r="2198" spans="1:16">
      <c r="A2198" s="1">
        <v>2197</v>
      </c>
      <c r="B2198" s="340" t="s">
        <v>24740</v>
      </c>
      <c r="C2198" s="340" t="s">
        <v>6647</v>
      </c>
      <c r="D2198" s="340" t="s">
        <v>24741</v>
      </c>
      <c r="E2198" s="340" t="s">
        <v>6649</v>
      </c>
      <c r="F2198" s="340" t="s">
        <v>6650</v>
      </c>
      <c r="G2198" s="2" t="s">
        <v>6651</v>
      </c>
      <c r="H2198" s="340" t="s">
        <v>6652</v>
      </c>
      <c r="I2198" s="2" t="s">
        <v>6653</v>
      </c>
      <c r="J2198" s="341" t="s">
        <v>6654</v>
      </c>
      <c r="K2198" s="340" t="s">
        <v>6655</v>
      </c>
      <c r="L2198" s="340" t="s">
        <v>6656</v>
      </c>
      <c r="M2198" s="341" t="s">
        <v>6657</v>
      </c>
      <c r="N2198" s="341" t="s">
        <v>6658</v>
      </c>
      <c r="O2198" s="340" t="s">
        <v>24742</v>
      </c>
      <c r="P2198" s="340" t="s">
        <v>24740</v>
      </c>
    </row>
    <row r="2199" spans="1:16">
      <c r="A2199" s="1">
        <v>2198</v>
      </c>
      <c r="B2199" s="340" t="s">
        <v>24743</v>
      </c>
      <c r="C2199" s="340" t="s">
        <v>6633</v>
      </c>
      <c r="D2199" s="340" t="s">
        <v>24744</v>
      </c>
      <c r="E2199" s="340" t="s">
        <v>6635</v>
      </c>
      <c r="F2199" s="340" t="s">
        <v>6636</v>
      </c>
      <c r="G2199" s="2" t="s">
        <v>6637</v>
      </c>
      <c r="H2199" s="340" t="s">
        <v>6638</v>
      </c>
      <c r="I2199" s="2" t="s">
        <v>6639</v>
      </c>
      <c r="J2199" s="341" t="s">
        <v>6640</v>
      </c>
      <c r="K2199" s="340" t="s">
        <v>6641</v>
      </c>
      <c r="L2199" s="340" t="s">
        <v>6642</v>
      </c>
      <c r="M2199" s="341" t="s">
        <v>6643</v>
      </c>
      <c r="N2199" s="341" t="s">
        <v>6644</v>
      </c>
      <c r="O2199" s="340" t="s">
        <v>24745</v>
      </c>
      <c r="P2199" s="340" t="s">
        <v>24743</v>
      </c>
    </row>
    <row r="2200" spans="1:16">
      <c r="A2200" s="1">
        <v>2199</v>
      </c>
      <c r="B2200" s="340" t="s">
        <v>667</v>
      </c>
      <c r="C2200" s="340" t="s">
        <v>666</v>
      </c>
      <c r="D2200" s="340" t="s">
        <v>666</v>
      </c>
      <c r="E2200" s="340" t="s">
        <v>667</v>
      </c>
      <c r="F2200" s="340" t="s">
        <v>667</v>
      </c>
      <c r="G2200" s="2" t="s">
        <v>666</v>
      </c>
      <c r="H2200" s="340" t="s">
        <v>667</v>
      </c>
      <c r="I2200" s="2" t="s">
        <v>668</v>
      </c>
      <c r="J2200" s="341" t="s">
        <v>668</v>
      </c>
      <c r="K2200" s="340" t="s">
        <v>667</v>
      </c>
      <c r="L2200" s="340" t="s">
        <v>669</v>
      </c>
      <c r="M2200" s="341" t="s">
        <v>667</v>
      </c>
      <c r="N2200" s="341" t="s">
        <v>670</v>
      </c>
      <c r="O2200" s="340" t="s">
        <v>667</v>
      </c>
      <c r="P2200" s="340" t="s">
        <v>667</v>
      </c>
    </row>
    <row r="2201" spans="1:16">
      <c r="A2201" s="1">
        <v>2200</v>
      </c>
      <c r="B2201" s="340" t="s">
        <v>673</v>
      </c>
      <c r="C2201" s="340" t="s">
        <v>672</v>
      </c>
      <c r="D2201" s="340" t="s">
        <v>672</v>
      </c>
      <c r="E2201" s="340" t="s">
        <v>673</v>
      </c>
      <c r="F2201" s="340" t="s">
        <v>673</v>
      </c>
      <c r="G2201" s="2" t="s">
        <v>672</v>
      </c>
      <c r="H2201" s="340" t="s">
        <v>673</v>
      </c>
      <c r="I2201" s="2" t="s">
        <v>674</v>
      </c>
      <c r="J2201" s="341" t="s">
        <v>674</v>
      </c>
      <c r="K2201" s="340" t="s">
        <v>673</v>
      </c>
      <c r="L2201" s="340" t="s">
        <v>675</v>
      </c>
      <c r="M2201" s="341" t="s">
        <v>673</v>
      </c>
      <c r="N2201" s="341" t="s">
        <v>676</v>
      </c>
      <c r="O2201" s="340" t="s">
        <v>673</v>
      </c>
      <c r="P2201" s="340" t="s">
        <v>673</v>
      </c>
    </row>
    <row r="2202" spans="1:16">
      <c r="A2202" s="1">
        <v>2201</v>
      </c>
      <c r="B2202" s="340" t="s">
        <v>24746</v>
      </c>
      <c r="C2202" s="340" t="s">
        <v>22</v>
      </c>
      <c r="D2202" s="340" t="s">
        <v>24747</v>
      </c>
      <c r="E2202" s="340" t="s">
        <v>24</v>
      </c>
      <c r="F2202" s="340" t="s">
        <v>25</v>
      </c>
      <c r="G2202" s="2" t="s">
        <v>26</v>
      </c>
      <c r="H2202" s="340" t="s">
        <v>27</v>
      </c>
      <c r="I2202" s="2" t="s">
        <v>28</v>
      </c>
      <c r="J2202" s="341" t="s">
        <v>29</v>
      </c>
      <c r="K2202" s="340" t="s">
        <v>30</v>
      </c>
      <c r="L2202" s="340" t="s">
        <v>31</v>
      </c>
      <c r="M2202" s="341" t="s">
        <v>32</v>
      </c>
      <c r="N2202" s="341" t="s">
        <v>32</v>
      </c>
      <c r="O2202" s="340" t="s">
        <v>24748</v>
      </c>
      <c r="P2202" s="340" t="s">
        <v>24746</v>
      </c>
    </row>
    <row r="2203" spans="1:16">
      <c r="A2203" s="1">
        <v>2202</v>
      </c>
      <c r="B2203" s="340" t="s">
        <v>24749</v>
      </c>
      <c r="C2203" s="340" t="s">
        <v>35</v>
      </c>
      <c r="D2203" s="340" t="s">
        <v>24750</v>
      </c>
      <c r="E2203" s="340" t="s">
        <v>37</v>
      </c>
      <c r="F2203" s="340" t="s">
        <v>38</v>
      </c>
      <c r="G2203" s="2" t="s">
        <v>39</v>
      </c>
      <c r="H2203" s="340" t="s">
        <v>40</v>
      </c>
      <c r="I2203" s="2" t="s">
        <v>41</v>
      </c>
      <c r="J2203" s="341" t="s">
        <v>42</v>
      </c>
      <c r="K2203" s="340" t="s">
        <v>43</v>
      </c>
      <c r="L2203" s="340" t="s">
        <v>44</v>
      </c>
      <c r="M2203" s="341" t="s">
        <v>45</v>
      </c>
      <c r="N2203" s="341" t="s">
        <v>45</v>
      </c>
      <c r="O2203" s="340" t="s">
        <v>24751</v>
      </c>
      <c r="P2203" s="340" t="s">
        <v>24749</v>
      </c>
    </row>
    <row r="2204" spans="1:16">
      <c r="A2204" s="1">
        <v>2203</v>
      </c>
      <c r="B2204" s="340" t="s">
        <v>24752</v>
      </c>
      <c r="C2204" s="340" t="s">
        <v>48</v>
      </c>
      <c r="D2204" s="340" t="s">
        <v>24753</v>
      </c>
      <c r="E2204" s="340" t="s">
        <v>50</v>
      </c>
      <c r="F2204" s="340" t="s">
        <v>51</v>
      </c>
      <c r="G2204" s="2" t="s">
        <v>52</v>
      </c>
      <c r="H2204" s="340" t="s">
        <v>53</v>
      </c>
      <c r="I2204" s="2" t="s">
        <v>54</v>
      </c>
      <c r="J2204" s="341" t="s">
        <v>55</v>
      </c>
      <c r="K2204" s="340" t="s">
        <v>56</v>
      </c>
      <c r="L2204" s="340" t="s">
        <v>57</v>
      </c>
      <c r="M2204" s="341" t="s">
        <v>58</v>
      </c>
      <c r="N2204" s="341" t="s">
        <v>58</v>
      </c>
      <c r="O2204" s="340" t="s">
        <v>24754</v>
      </c>
      <c r="P2204" s="340" t="s">
        <v>24752</v>
      </c>
    </row>
    <row r="2205" spans="1:16">
      <c r="A2205" s="1">
        <v>2204</v>
      </c>
      <c r="B2205" s="340" t="s">
        <v>24755</v>
      </c>
      <c r="C2205" s="340" t="s">
        <v>61</v>
      </c>
      <c r="D2205" s="340" t="s">
        <v>24756</v>
      </c>
      <c r="E2205" s="340" t="s">
        <v>63</v>
      </c>
      <c r="F2205" s="340" t="s">
        <v>64</v>
      </c>
      <c r="G2205" s="2" t="s">
        <v>65</v>
      </c>
      <c r="H2205" s="340" t="s">
        <v>66</v>
      </c>
      <c r="I2205" s="2" t="s">
        <v>67</v>
      </c>
      <c r="J2205" s="341" t="s">
        <v>68</v>
      </c>
      <c r="K2205" s="340" t="s">
        <v>69</v>
      </c>
      <c r="L2205" s="340" t="s">
        <v>70</v>
      </c>
      <c r="M2205" s="341" t="s">
        <v>71</v>
      </c>
      <c r="N2205" s="341" t="s">
        <v>71</v>
      </c>
      <c r="O2205" s="340" t="s">
        <v>24757</v>
      </c>
      <c r="P2205" s="340" t="s">
        <v>24755</v>
      </c>
    </row>
    <row r="2206" spans="1:16">
      <c r="A2206" s="1">
        <v>2205</v>
      </c>
      <c r="B2206" s="340" t="s">
        <v>25467</v>
      </c>
      <c r="C2206" s="340" t="s">
        <v>25466</v>
      </c>
      <c r="D2206" s="340" t="s">
        <v>24758</v>
      </c>
      <c r="E2206" s="340" t="s">
        <v>25467</v>
      </c>
      <c r="F2206" s="340" t="s">
        <v>25467</v>
      </c>
      <c r="G2206" s="2" t="s">
        <v>25466</v>
      </c>
      <c r="H2206" s="340" t="s">
        <v>25467</v>
      </c>
      <c r="I2206" s="2" t="s">
        <v>25467</v>
      </c>
      <c r="J2206" s="341" t="s">
        <v>25467</v>
      </c>
      <c r="K2206" s="340" t="s">
        <v>25467</v>
      </c>
      <c r="L2206" s="340" t="s">
        <v>25467</v>
      </c>
      <c r="M2206" s="341" t="s">
        <v>25467</v>
      </c>
      <c r="N2206" s="341" t="s">
        <v>25468</v>
      </c>
      <c r="O2206" s="340" t="s">
        <v>25467</v>
      </c>
      <c r="P2206" s="340" t="s">
        <v>25467</v>
      </c>
    </row>
    <row r="2207" spans="1:16">
      <c r="A2207" s="1">
        <v>2206</v>
      </c>
      <c r="B2207" s="340" t="s">
        <v>214</v>
      </c>
      <c r="C2207" s="340" t="s">
        <v>213</v>
      </c>
      <c r="D2207" s="340" t="s">
        <v>24759</v>
      </c>
      <c r="E2207" s="340" t="s">
        <v>214</v>
      </c>
      <c r="F2207" s="340" t="s">
        <v>214</v>
      </c>
      <c r="G2207" s="2" t="s">
        <v>213</v>
      </c>
      <c r="H2207" s="340" t="s">
        <v>214</v>
      </c>
      <c r="I2207" s="2" t="s">
        <v>214</v>
      </c>
      <c r="J2207" s="341" t="s">
        <v>214</v>
      </c>
      <c r="K2207" s="340" t="s">
        <v>214</v>
      </c>
      <c r="L2207" s="340" t="s">
        <v>214</v>
      </c>
      <c r="M2207" s="341" t="s">
        <v>214</v>
      </c>
      <c r="N2207" s="341" t="s">
        <v>215</v>
      </c>
      <c r="O2207" s="340" t="s">
        <v>214</v>
      </c>
      <c r="P2207" s="340" t="s">
        <v>214</v>
      </c>
    </row>
    <row r="2208" spans="1:16">
      <c r="A2208" s="1">
        <v>2207</v>
      </c>
      <c r="B2208" s="340" t="s">
        <v>208</v>
      </c>
      <c r="C2208" s="340" t="s">
        <v>206</v>
      </c>
      <c r="D2208" s="340" t="s">
        <v>24760</v>
      </c>
      <c r="E2208" s="340" t="s">
        <v>208</v>
      </c>
      <c r="F2208" s="340" t="s">
        <v>208</v>
      </c>
      <c r="G2208" s="2" t="s">
        <v>206</v>
      </c>
      <c r="H2208" s="340" t="s">
        <v>208</v>
      </c>
      <c r="I2208" s="2" t="s">
        <v>208</v>
      </c>
      <c r="J2208" s="341" t="s">
        <v>209</v>
      </c>
      <c r="K2208" s="340" t="s">
        <v>208</v>
      </c>
      <c r="L2208" s="340" t="s">
        <v>208</v>
      </c>
      <c r="M2208" s="341" t="s">
        <v>208</v>
      </c>
      <c r="N2208" s="341" t="s">
        <v>210</v>
      </c>
      <c r="O2208" s="340" t="s">
        <v>208</v>
      </c>
      <c r="P2208" s="340" t="s">
        <v>208</v>
      </c>
    </row>
    <row r="2209" spans="1:16">
      <c r="A2209" s="1">
        <v>2208</v>
      </c>
      <c r="B2209" s="2" t="s">
        <v>1199</v>
      </c>
      <c r="C2209" s="2" t="s">
        <v>1199</v>
      </c>
      <c r="D2209" s="2" t="s">
        <v>1199</v>
      </c>
      <c r="E2209" s="2" t="s">
        <v>1199</v>
      </c>
      <c r="F2209" s="342" t="s">
        <v>1199</v>
      </c>
      <c r="G2209" s="2" t="s">
        <v>1199</v>
      </c>
      <c r="H2209" s="2" t="s">
        <v>1199</v>
      </c>
      <c r="I2209" s="2" t="s">
        <v>1199</v>
      </c>
      <c r="J2209" s="2" t="s">
        <v>1199</v>
      </c>
      <c r="K2209" s="342" t="s">
        <v>1199</v>
      </c>
      <c r="L2209" s="2" t="s">
        <v>1199</v>
      </c>
      <c r="M2209" s="2" t="s">
        <v>1199</v>
      </c>
      <c r="N2209" s="2" t="s">
        <v>1199</v>
      </c>
      <c r="O2209" s="2" t="s">
        <v>1199</v>
      </c>
      <c r="P2209" s="2" t="s">
        <v>1199</v>
      </c>
    </row>
    <row r="2210" spans="1:16" ht="13.9" customHeight="1">
      <c r="A2210" s="1">
        <v>2209</v>
      </c>
      <c r="B2210" s="2" t="s">
        <v>25472</v>
      </c>
      <c r="C2210" s="2" t="s">
        <v>25470</v>
      </c>
      <c r="D2210" s="2" t="s">
        <v>24761</v>
      </c>
      <c r="E2210" s="2" t="s">
        <v>25471</v>
      </c>
      <c r="F2210" s="2" t="s">
        <v>25472</v>
      </c>
      <c r="G2210" s="2" t="s">
        <v>25470</v>
      </c>
      <c r="H2210" s="2" t="s">
        <v>25472</v>
      </c>
      <c r="I2210" s="2" t="s">
        <v>25472</v>
      </c>
      <c r="J2210" s="4" t="s">
        <v>25473</v>
      </c>
      <c r="K2210" s="2" t="s">
        <v>25472</v>
      </c>
      <c r="L2210" s="2" t="s">
        <v>25472</v>
      </c>
      <c r="M2210" s="4" t="s">
        <v>25472</v>
      </c>
      <c r="N2210" s="4" t="s">
        <v>25474</v>
      </c>
      <c r="O2210" s="2" t="s">
        <v>25472</v>
      </c>
      <c r="P2210" s="2" t="s">
        <v>25472</v>
      </c>
    </row>
    <row r="2211" spans="1:16" ht="13.9" customHeight="1">
      <c r="A2211" s="1">
        <v>2210</v>
      </c>
      <c r="B2211" s="2" t="s">
        <v>837</v>
      </c>
      <c r="C2211" s="2" t="s">
        <v>835</v>
      </c>
      <c r="D2211" s="2" t="s">
        <v>24762</v>
      </c>
      <c r="E2211" s="2" t="s">
        <v>837</v>
      </c>
      <c r="F2211" s="2" t="s">
        <v>837</v>
      </c>
      <c r="G2211" s="2" t="s">
        <v>835</v>
      </c>
      <c r="H2211" s="2" t="s">
        <v>837</v>
      </c>
      <c r="I2211" s="2" t="s">
        <v>837</v>
      </c>
      <c r="J2211" s="4" t="s">
        <v>838</v>
      </c>
      <c r="K2211" s="2" t="s">
        <v>837</v>
      </c>
      <c r="L2211" s="2" t="s">
        <v>837</v>
      </c>
      <c r="M2211" s="4" t="s">
        <v>837</v>
      </c>
      <c r="N2211" s="4" t="s">
        <v>839</v>
      </c>
      <c r="O2211" s="2" t="s">
        <v>837</v>
      </c>
      <c r="P2211" s="2" t="s">
        <v>837</v>
      </c>
    </row>
    <row r="2212" spans="1:16" ht="13.9" customHeight="1">
      <c r="A2212" s="1">
        <v>2211</v>
      </c>
      <c r="B2212" s="2" t="s">
        <v>757</v>
      </c>
      <c r="C2212" s="2" t="s">
        <v>757</v>
      </c>
      <c r="D2212" s="2" t="s">
        <v>757</v>
      </c>
      <c r="E2212" s="2" t="s">
        <v>758</v>
      </c>
      <c r="F2212" s="2" t="s">
        <v>758</v>
      </c>
      <c r="G2212" s="2" t="s">
        <v>757</v>
      </c>
      <c r="H2212" s="2" t="s">
        <v>757</v>
      </c>
      <c r="I2212" s="2" t="s">
        <v>757</v>
      </c>
      <c r="J2212" s="4" t="s">
        <v>757</v>
      </c>
      <c r="K2212" s="2" t="s">
        <v>758</v>
      </c>
      <c r="L2212" s="2" t="s">
        <v>757</v>
      </c>
      <c r="M2212" s="4" t="s">
        <v>757</v>
      </c>
      <c r="N2212" s="4" t="s">
        <v>757</v>
      </c>
      <c r="O2212" s="2" t="s">
        <v>757</v>
      </c>
      <c r="P2212" s="2" t="s">
        <v>757</v>
      </c>
    </row>
    <row r="2213" spans="1:16" ht="13.9" customHeight="1">
      <c r="A2213" s="1">
        <v>2212</v>
      </c>
      <c r="B2213" s="2" t="s">
        <v>873</v>
      </c>
      <c r="C2213" s="2" t="s">
        <v>873</v>
      </c>
      <c r="D2213" s="2" t="s">
        <v>873</v>
      </c>
      <c r="E2213" s="2" t="s">
        <v>874</v>
      </c>
      <c r="F2213" s="2" t="s">
        <v>874</v>
      </c>
      <c r="G2213" s="2" t="s">
        <v>873</v>
      </c>
      <c r="H2213" s="2" t="s">
        <v>873</v>
      </c>
      <c r="I2213" s="2" t="s">
        <v>873</v>
      </c>
      <c r="J2213" s="4" t="s">
        <v>873</v>
      </c>
      <c r="K2213" s="2" t="s">
        <v>874</v>
      </c>
      <c r="L2213" s="2" t="s">
        <v>873</v>
      </c>
      <c r="M2213" s="4" t="s">
        <v>873</v>
      </c>
      <c r="N2213" s="4" t="s">
        <v>873</v>
      </c>
      <c r="O2213" s="2" t="s">
        <v>873</v>
      </c>
      <c r="P2213" s="2" t="s">
        <v>873</v>
      </c>
    </row>
    <row r="2214" spans="1:16" ht="13.9" customHeight="1">
      <c r="A2214" s="1">
        <v>2213</v>
      </c>
      <c r="B2214" s="2" t="s">
        <v>982</v>
      </c>
      <c r="C2214" s="2" t="s">
        <v>982</v>
      </c>
      <c r="D2214" s="2" t="s">
        <v>982</v>
      </c>
      <c r="E2214" s="2" t="s">
        <v>983</v>
      </c>
      <c r="F2214" s="2" t="s">
        <v>983</v>
      </c>
      <c r="G2214" s="2" t="s">
        <v>982</v>
      </c>
      <c r="H2214" s="2" t="s">
        <v>982</v>
      </c>
      <c r="I2214" s="2" t="s">
        <v>982</v>
      </c>
      <c r="J2214" s="4" t="s">
        <v>982</v>
      </c>
      <c r="K2214" s="2" t="s">
        <v>983</v>
      </c>
      <c r="L2214" s="2" t="s">
        <v>982</v>
      </c>
      <c r="M2214" s="4" t="s">
        <v>982</v>
      </c>
      <c r="N2214" s="4" t="s">
        <v>982</v>
      </c>
      <c r="O2214" s="2" t="s">
        <v>982</v>
      </c>
      <c r="P2214" s="2" t="s">
        <v>982</v>
      </c>
    </row>
    <row r="2215" spans="1:16" ht="13.9" customHeight="1">
      <c r="A2215" s="1">
        <v>2214</v>
      </c>
      <c r="B2215" s="2" t="s">
        <v>1133</v>
      </c>
      <c r="C2215" s="2" t="s">
        <v>1133</v>
      </c>
      <c r="D2215" s="2" t="s">
        <v>1133</v>
      </c>
      <c r="E2215" s="2" t="s">
        <v>25475</v>
      </c>
      <c r="F2215" s="2" t="s">
        <v>25475</v>
      </c>
      <c r="G2215" s="2" t="s">
        <v>1133</v>
      </c>
      <c r="H2215" s="2" t="s">
        <v>1133</v>
      </c>
      <c r="I2215" s="2" t="s">
        <v>1133</v>
      </c>
      <c r="J2215" s="4" t="s">
        <v>1133</v>
      </c>
      <c r="K2215" s="2" t="s">
        <v>25475</v>
      </c>
      <c r="L2215" s="2" t="s">
        <v>1133</v>
      </c>
      <c r="M2215" s="4" t="s">
        <v>1133</v>
      </c>
      <c r="N2215" s="4" t="s">
        <v>1133</v>
      </c>
      <c r="O2215" s="2" t="s">
        <v>1133</v>
      </c>
      <c r="P2215" s="2" t="s">
        <v>1133</v>
      </c>
    </row>
    <row r="2216" spans="1:16" ht="13.9" customHeight="1">
      <c r="A2216" s="1">
        <v>2215</v>
      </c>
      <c r="B2216" s="2" t="s">
        <v>1181</v>
      </c>
      <c r="C2216" s="2" t="s">
        <v>1177</v>
      </c>
      <c r="D2216" s="2" t="s">
        <v>24763</v>
      </c>
      <c r="E2216" s="2" t="s">
        <v>1179</v>
      </c>
      <c r="F2216" s="2" t="s">
        <v>1180</v>
      </c>
      <c r="G2216" s="2" t="s">
        <v>1177</v>
      </c>
      <c r="H2216" s="2" t="s">
        <v>1181</v>
      </c>
      <c r="I2216" s="2" t="s">
        <v>1181</v>
      </c>
      <c r="J2216" s="4" t="s">
        <v>1182</v>
      </c>
      <c r="K2216" s="2" t="s">
        <v>1180</v>
      </c>
      <c r="L2216" s="2" t="s">
        <v>1181</v>
      </c>
      <c r="M2216" s="4" t="s">
        <v>1181</v>
      </c>
      <c r="N2216" s="4" t="s">
        <v>1183</v>
      </c>
      <c r="O2216" s="2" t="s">
        <v>1181</v>
      </c>
      <c r="P2216" s="2" t="s">
        <v>1181</v>
      </c>
    </row>
    <row r="2217" spans="1:16" ht="15" customHeight="1">
      <c r="A2217" s="1">
        <v>2216</v>
      </c>
      <c r="B2217" s="2" t="s">
        <v>501</v>
      </c>
      <c r="C2217" s="2" t="s">
        <v>500</v>
      </c>
      <c r="D2217" s="2" t="s">
        <v>24764</v>
      </c>
      <c r="E2217" s="2" t="s">
        <v>498</v>
      </c>
      <c r="F2217" s="2" t="s">
        <v>499</v>
      </c>
      <c r="G2217" s="2" t="s">
        <v>500</v>
      </c>
      <c r="H2217" s="2" t="s">
        <v>501</v>
      </c>
      <c r="I2217" s="2" t="s">
        <v>501</v>
      </c>
      <c r="J2217" s="4" t="s">
        <v>502</v>
      </c>
      <c r="K2217" s="2" t="s">
        <v>499</v>
      </c>
      <c r="L2217" s="2" t="s">
        <v>501</v>
      </c>
      <c r="M2217" s="4" t="s">
        <v>501</v>
      </c>
      <c r="N2217" s="4" t="s">
        <v>503</v>
      </c>
      <c r="O2217" s="2" t="s">
        <v>501</v>
      </c>
      <c r="P2217" s="2" t="s">
        <v>501</v>
      </c>
    </row>
    <row r="2218" spans="1:16" ht="15" customHeight="1">
      <c r="A2218" s="1">
        <v>2217</v>
      </c>
      <c r="B2218" s="2" t="s">
        <v>510</v>
      </c>
      <c r="C2218" s="2" t="s">
        <v>509</v>
      </c>
      <c r="D2218" s="2" t="s">
        <v>24765</v>
      </c>
      <c r="E2218" s="2" t="s">
        <v>507</v>
      </c>
      <c r="F2218" s="2" t="s">
        <v>508</v>
      </c>
      <c r="G2218" s="2" t="s">
        <v>509</v>
      </c>
      <c r="H2218" s="2" t="s">
        <v>510</v>
      </c>
      <c r="I2218" s="2" t="s">
        <v>510</v>
      </c>
      <c r="J2218" s="4" t="s">
        <v>511</v>
      </c>
      <c r="K2218" s="2" t="s">
        <v>508</v>
      </c>
      <c r="L2218" s="2" t="s">
        <v>512</v>
      </c>
      <c r="M2218" s="4" t="s">
        <v>510</v>
      </c>
      <c r="N2218" s="4" t="s">
        <v>513</v>
      </c>
      <c r="O2218" s="2" t="s">
        <v>510</v>
      </c>
      <c r="P2218" s="2" t="s">
        <v>510</v>
      </c>
    </row>
    <row r="2219" spans="1:16" ht="15" customHeight="1">
      <c r="A2219" s="1">
        <v>2218</v>
      </c>
      <c r="B2219" s="82" t="s">
        <v>24766</v>
      </c>
      <c r="C2219" s="2" t="s">
        <v>24767</v>
      </c>
      <c r="D2219" s="2" t="s">
        <v>24768</v>
      </c>
      <c r="E2219" s="82" t="s">
        <v>24769</v>
      </c>
      <c r="F2219" s="82" t="s">
        <v>24770</v>
      </c>
      <c r="G2219" s="2" t="s">
        <v>24771</v>
      </c>
      <c r="H2219" s="82" t="s">
        <v>24772</v>
      </c>
      <c r="I2219" s="82" t="s">
        <v>24773</v>
      </c>
      <c r="J2219" s="334" t="s">
        <v>4813</v>
      </c>
      <c r="K2219" s="2" t="s">
        <v>24774</v>
      </c>
      <c r="L2219" s="2" t="s">
        <v>24775</v>
      </c>
      <c r="M2219" s="334" t="s">
        <v>24776</v>
      </c>
      <c r="N2219" s="334" t="s">
        <v>24777</v>
      </c>
      <c r="O2219" s="82" t="s">
        <v>24778</v>
      </c>
      <c r="P2219" s="82" t="s">
        <v>24766</v>
      </c>
    </row>
    <row r="2220" spans="1:16" ht="15" customHeight="1">
      <c r="A2220" s="1">
        <v>2219</v>
      </c>
      <c r="B2220" s="82" t="s">
        <v>24779</v>
      </c>
      <c r="C2220" s="2" t="s">
        <v>24780</v>
      </c>
      <c r="D2220" s="2" t="s">
        <v>24781</v>
      </c>
      <c r="E2220" s="82" t="s">
        <v>24782</v>
      </c>
      <c r="F2220" s="82" t="s">
        <v>24783</v>
      </c>
      <c r="G2220" s="2" t="s">
        <v>24784</v>
      </c>
      <c r="H2220" s="82" t="s">
        <v>24785</v>
      </c>
      <c r="I2220" s="82" t="s">
        <v>24786</v>
      </c>
      <c r="J2220" s="334" t="s">
        <v>4813</v>
      </c>
      <c r="K2220" s="2" t="s">
        <v>24787</v>
      </c>
      <c r="L2220" s="2" t="s">
        <v>24788</v>
      </c>
      <c r="M2220" s="334" t="s">
        <v>24789</v>
      </c>
      <c r="N2220" s="334" t="s">
        <v>24790</v>
      </c>
      <c r="O2220" s="82" t="s">
        <v>24791</v>
      </c>
      <c r="P2220" s="82" t="s">
        <v>24779</v>
      </c>
    </row>
    <row r="2221" spans="1:16" ht="15" customHeight="1">
      <c r="A2221" s="1">
        <v>2220</v>
      </c>
      <c r="B2221" s="82" t="s">
        <v>24792</v>
      </c>
      <c r="C2221" s="2" t="s">
        <v>24793</v>
      </c>
      <c r="D2221" s="2" t="s">
        <v>24794</v>
      </c>
      <c r="E2221" s="82" t="s">
        <v>24795</v>
      </c>
      <c r="F2221" s="82" t="s">
        <v>24796</v>
      </c>
      <c r="G2221" s="2" t="s">
        <v>24797</v>
      </c>
      <c r="H2221" s="82" t="s">
        <v>24798</v>
      </c>
      <c r="I2221" s="82" t="s">
        <v>24799</v>
      </c>
      <c r="J2221" s="334" t="s">
        <v>4813</v>
      </c>
      <c r="K2221" s="2" t="s">
        <v>24800</v>
      </c>
      <c r="L2221" s="2" t="s">
        <v>24801</v>
      </c>
      <c r="M2221" s="334" t="s">
        <v>24802</v>
      </c>
      <c r="N2221" s="334" t="s">
        <v>24803</v>
      </c>
      <c r="O2221" s="82" t="s">
        <v>24804</v>
      </c>
      <c r="P2221" s="82" t="s">
        <v>24792</v>
      </c>
    </row>
    <row r="2222" spans="1:16" ht="15" customHeight="1">
      <c r="A2222" s="1">
        <v>2221</v>
      </c>
      <c r="B2222" s="82" t="s">
        <v>24805</v>
      </c>
      <c r="C2222" s="2" t="s">
        <v>24806</v>
      </c>
      <c r="D2222" s="2" t="s">
        <v>24807</v>
      </c>
      <c r="E2222" s="82" t="s">
        <v>24808</v>
      </c>
      <c r="F2222" s="82" t="s">
        <v>24809</v>
      </c>
      <c r="G2222" s="2" t="s">
        <v>24810</v>
      </c>
      <c r="H2222" s="82" t="s">
        <v>24811</v>
      </c>
      <c r="I2222" s="82" t="s">
        <v>24812</v>
      </c>
      <c r="J2222" s="334" t="s">
        <v>4813</v>
      </c>
      <c r="K2222" s="2" t="s">
        <v>24813</v>
      </c>
      <c r="L2222" s="2" t="s">
        <v>24814</v>
      </c>
      <c r="M2222" s="334" t="s">
        <v>24815</v>
      </c>
      <c r="N2222" s="334" t="s">
        <v>24816</v>
      </c>
      <c r="O2222" s="82" t="s">
        <v>24817</v>
      </c>
      <c r="P2222" s="82" t="s">
        <v>24805</v>
      </c>
    </row>
    <row r="2223" spans="1:16" ht="15" customHeight="1">
      <c r="A2223" s="1">
        <v>2222</v>
      </c>
      <c r="B2223" s="82" t="s">
        <v>24818</v>
      </c>
      <c r="C2223" s="2" t="s">
        <v>24819</v>
      </c>
      <c r="D2223" s="2" t="s">
        <v>24820</v>
      </c>
      <c r="E2223" s="82" t="s">
        <v>24821</v>
      </c>
      <c r="F2223" s="82" t="s">
        <v>24822</v>
      </c>
      <c r="G2223" s="2" t="s">
        <v>24823</v>
      </c>
      <c r="H2223" s="82" t="s">
        <v>24824</v>
      </c>
      <c r="I2223" s="82" t="s">
        <v>24825</v>
      </c>
      <c r="J2223" s="334" t="s">
        <v>4813</v>
      </c>
      <c r="K2223" s="2" t="s">
        <v>24826</v>
      </c>
      <c r="L2223" s="2" t="s">
        <v>24827</v>
      </c>
      <c r="M2223" s="334" t="s">
        <v>24828</v>
      </c>
      <c r="N2223" s="334" t="s">
        <v>24829</v>
      </c>
      <c r="O2223" s="82" t="s">
        <v>24830</v>
      </c>
      <c r="P2223" s="82" t="s">
        <v>24818</v>
      </c>
    </row>
    <row r="2224" spans="1:16" ht="15" customHeight="1">
      <c r="A2224" s="1">
        <v>2223</v>
      </c>
      <c r="B2224" s="82" t="s">
        <v>24831</v>
      </c>
      <c r="C2224" s="2" t="s">
        <v>24819</v>
      </c>
      <c r="D2224" s="2" t="s">
        <v>24820</v>
      </c>
      <c r="E2224" s="82" t="s">
        <v>24821</v>
      </c>
      <c r="F2224" s="82" t="s">
        <v>24822</v>
      </c>
      <c r="G2224" s="2" t="s">
        <v>24823</v>
      </c>
      <c r="H2224" s="82" t="s">
        <v>24824</v>
      </c>
      <c r="I2224" s="82" t="s">
        <v>24825</v>
      </c>
      <c r="J2224" s="334" t="s">
        <v>4813</v>
      </c>
      <c r="K2224" s="2" t="s">
        <v>24826</v>
      </c>
      <c r="L2224" s="2" t="s">
        <v>24827</v>
      </c>
      <c r="M2224" s="334" t="s">
        <v>24828</v>
      </c>
      <c r="N2224" s="334" t="s">
        <v>24829</v>
      </c>
      <c r="O2224" s="82" t="s">
        <v>24830</v>
      </c>
      <c r="P2224" s="82" t="s">
        <v>24831</v>
      </c>
    </row>
    <row r="2225" spans="1:16">
      <c r="A2225" s="1">
        <v>2224</v>
      </c>
      <c r="B2225" s="2" t="s">
        <v>24832</v>
      </c>
      <c r="C2225" s="2" t="s">
        <v>5492</v>
      </c>
      <c r="D2225" s="2" t="s">
        <v>24833</v>
      </c>
      <c r="E2225" s="2" t="s">
        <v>5494</v>
      </c>
      <c r="F2225" s="342" t="s">
        <v>24832</v>
      </c>
      <c r="G2225" s="2" t="s">
        <v>24834</v>
      </c>
      <c r="H2225" s="2" t="s">
        <v>24835</v>
      </c>
      <c r="I2225" s="2" t="s">
        <v>24836</v>
      </c>
      <c r="J2225" s="2" t="s">
        <v>24837</v>
      </c>
      <c r="K2225" s="342" t="s">
        <v>24832</v>
      </c>
      <c r="L2225" s="2" t="s">
        <v>24838</v>
      </c>
      <c r="M2225" s="2" t="s">
        <v>24839</v>
      </c>
      <c r="N2225" s="2" t="s">
        <v>24840</v>
      </c>
      <c r="O2225" s="2" t="s">
        <v>24841</v>
      </c>
      <c r="P2225" s="2" t="s">
        <v>24832</v>
      </c>
    </row>
    <row r="2226" spans="1:16">
      <c r="A2226" s="1">
        <v>2225</v>
      </c>
      <c r="B2226" s="2" t="s">
        <v>16054</v>
      </c>
      <c r="C2226" s="2" t="s">
        <v>16055</v>
      </c>
      <c r="D2226" s="2" t="s">
        <v>16056</v>
      </c>
      <c r="E2226" s="2" t="s">
        <v>16057</v>
      </c>
      <c r="F2226" s="2" t="s">
        <v>16058</v>
      </c>
      <c r="G2226" s="2" t="s">
        <v>16059</v>
      </c>
      <c r="H2226" s="2" t="s">
        <v>16060</v>
      </c>
      <c r="I2226" s="2" t="s">
        <v>16061</v>
      </c>
      <c r="J2226" s="2" t="s">
        <v>16062</v>
      </c>
      <c r="K2226" s="2" t="s">
        <v>16063</v>
      </c>
      <c r="L2226" s="2" t="s">
        <v>16064</v>
      </c>
      <c r="M2226" s="2" t="s">
        <v>16065</v>
      </c>
      <c r="N2226" s="2" t="s">
        <v>16066</v>
      </c>
      <c r="O2226" s="2" t="s">
        <v>16067</v>
      </c>
      <c r="P2226" s="2" t="s">
        <v>16054</v>
      </c>
    </row>
    <row r="2227" spans="1:16" ht="13.9" customHeight="1">
      <c r="A2227" s="1">
        <v>2226</v>
      </c>
      <c r="B2227" s="2" t="s">
        <v>24842</v>
      </c>
      <c r="C2227" s="2" t="s">
        <v>6798</v>
      </c>
      <c r="D2227" s="2" t="s">
        <v>24843</v>
      </c>
      <c r="E2227" s="2" t="s">
        <v>6705</v>
      </c>
      <c r="F2227" s="2" t="s">
        <v>6847</v>
      </c>
      <c r="G2227" s="2" t="s">
        <v>6848</v>
      </c>
      <c r="H2227" s="2" t="s">
        <v>6849</v>
      </c>
      <c r="I2227" s="2" t="s">
        <v>6801</v>
      </c>
      <c r="J2227" s="4" t="s">
        <v>6850</v>
      </c>
      <c r="K2227" s="2" t="s">
        <v>6851</v>
      </c>
      <c r="L2227" s="2" t="s">
        <v>6852</v>
      </c>
      <c r="M2227" s="4" t="s">
        <v>6853</v>
      </c>
      <c r="N2227" s="4" t="s">
        <v>6854</v>
      </c>
      <c r="O2227" s="2" t="s">
        <v>24844</v>
      </c>
      <c r="P2227" s="2" t="s">
        <v>24842</v>
      </c>
    </row>
    <row r="2228" spans="1:16" ht="13.9" customHeight="1">
      <c r="A2228" s="1">
        <v>2227</v>
      </c>
      <c r="B2228" s="2" t="s">
        <v>24845</v>
      </c>
      <c r="C2228" s="2" t="s">
        <v>24846</v>
      </c>
      <c r="D2228" s="2" t="s">
        <v>24847</v>
      </c>
      <c r="E2228" s="2" t="s">
        <v>24848</v>
      </c>
      <c r="F2228" s="2" t="s">
        <v>24849</v>
      </c>
      <c r="G2228" s="2" t="s">
        <v>24850</v>
      </c>
      <c r="H2228" s="2" t="s">
        <v>24851</v>
      </c>
      <c r="I2228" s="2" t="s">
        <v>24852</v>
      </c>
      <c r="J2228" s="4" t="s">
        <v>24853</v>
      </c>
      <c r="K2228" s="2" t="s">
        <v>24854</v>
      </c>
      <c r="L2228" s="2" t="s">
        <v>24855</v>
      </c>
      <c r="M2228" s="4" t="s">
        <v>24856</v>
      </c>
      <c r="N2228" s="4" t="s">
        <v>24857</v>
      </c>
      <c r="O2228" s="2" t="s">
        <v>24858</v>
      </c>
      <c r="P2228" s="2" t="s">
        <v>24845</v>
      </c>
    </row>
    <row r="2229" spans="1:16" ht="13.9" customHeight="1">
      <c r="A2229" s="1">
        <v>2228</v>
      </c>
      <c r="B2229" s="2" t="s">
        <v>24859</v>
      </c>
      <c r="C2229" s="2" t="s">
        <v>24860</v>
      </c>
      <c r="D2229" s="2" t="s">
        <v>24861</v>
      </c>
      <c r="E2229" s="2" t="s">
        <v>24862</v>
      </c>
      <c r="F2229" s="2" t="s">
        <v>24863</v>
      </c>
      <c r="G2229" s="2" t="s">
        <v>24864</v>
      </c>
      <c r="H2229" s="2" t="s">
        <v>24865</v>
      </c>
      <c r="I2229" s="2" t="s">
        <v>24866</v>
      </c>
      <c r="J2229" s="4" t="s">
        <v>24867</v>
      </c>
      <c r="K2229" s="2" t="s">
        <v>24868</v>
      </c>
      <c r="L2229" s="2" t="s">
        <v>24869</v>
      </c>
      <c r="M2229" s="4" t="s">
        <v>24870</v>
      </c>
      <c r="N2229" s="4" t="s">
        <v>24871</v>
      </c>
      <c r="O2229" s="2" t="s">
        <v>24872</v>
      </c>
      <c r="P2229" s="2" t="s">
        <v>24859</v>
      </c>
    </row>
    <row r="2230" spans="1:16" ht="13.9" customHeight="1">
      <c r="A2230" s="1">
        <v>2229</v>
      </c>
      <c r="B2230" s="2" t="s">
        <v>24873</v>
      </c>
      <c r="C2230" s="2" t="s">
        <v>24874</v>
      </c>
      <c r="D2230" s="2" t="s">
        <v>24875</v>
      </c>
      <c r="E2230" s="2" t="s">
        <v>24876</v>
      </c>
      <c r="F2230" s="2" t="s">
        <v>24877</v>
      </c>
      <c r="G2230" s="2" t="s">
        <v>24878</v>
      </c>
      <c r="H2230" s="2" t="s">
        <v>24879</v>
      </c>
      <c r="I2230" s="2" t="s">
        <v>24880</v>
      </c>
      <c r="J2230" s="4" t="s">
        <v>24881</v>
      </c>
      <c r="K2230" s="2" t="s">
        <v>24882</v>
      </c>
      <c r="L2230" s="2" t="s">
        <v>24883</v>
      </c>
      <c r="M2230" s="4" t="s">
        <v>24884</v>
      </c>
      <c r="N2230" s="4" t="s">
        <v>24885</v>
      </c>
      <c r="O2230" s="2" t="s">
        <v>24886</v>
      </c>
      <c r="P2230" s="2" t="s">
        <v>24873</v>
      </c>
    </row>
    <row r="2231" spans="1:16" ht="13.9" customHeight="1">
      <c r="A2231" s="1">
        <v>2230</v>
      </c>
      <c r="B2231" s="2" t="s">
        <v>24887</v>
      </c>
      <c r="C2231" s="2" t="s">
        <v>24888</v>
      </c>
      <c r="D2231" s="2" t="s">
        <v>24889</v>
      </c>
      <c r="E2231" s="2" t="s">
        <v>24890</v>
      </c>
      <c r="F2231" s="2" t="s">
        <v>24891</v>
      </c>
      <c r="G2231" s="2" t="s">
        <v>24892</v>
      </c>
      <c r="H2231" s="2" t="s">
        <v>24893</v>
      </c>
      <c r="I2231" s="2" t="s">
        <v>24894</v>
      </c>
      <c r="J2231" s="4" t="s">
        <v>24895</v>
      </c>
      <c r="K2231" s="2" t="s">
        <v>24896</v>
      </c>
      <c r="L2231" s="2" t="s">
        <v>24897</v>
      </c>
      <c r="M2231" s="4" t="s">
        <v>24898</v>
      </c>
      <c r="N2231" s="4" t="s">
        <v>24899</v>
      </c>
      <c r="O2231" s="2" t="s">
        <v>24900</v>
      </c>
      <c r="P2231" s="2" t="s">
        <v>24887</v>
      </c>
    </row>
    <row r="2232" spans="1:16" ht="13.9" customHeight="1">
      <c r="A2232" s="1">
        <v>2231</v>
      </c>
      <c r="B2232" s="2" t="s">
        <v>24901</v>
      </c>
      <c r="C2232" s="2" t="s">
        <v>24902</v>
      </c>
      <c r="D2232" s="2" t="s">
        <v>24903</v>
      </c>
      <c r="E2232" s="2" t="s">
        <v>24904</v>
      </c>
      <c r="F2232" s="2" t="s">
        <v>24905</v>
      </c>
      <c r="G2232" s="2" t="s">
        <v>24906</v>
      </c>
      <c r="H2232" s="2" t="s">
        <v>24907</v>
      </c>
      <c r="I2232" s="2" t="s">
        <v>24908</v>
      </c>
      <c r="J2232" s="4" t="s">
        <v>24909</v>
      </c>
      <c r="K2232" s="2" t="s">
        <v>24910</v>
      </c>
      <c r="L2232" s="2" t="s">
        <v>24911</v>
      </c>
      <c r="M2232" s="4" t="s">
        <v>24912</v>
      </c>
      <c r="N2232" s="4" t="s">
        <v>24913</v>
      </c>
      <c r="O2232" s="2" t="s">
        <v>24914</v>
      </c>
      <c r="P2232" s="2" t="s">
        <v>24901</v>
      </c>
    </row>
    <row r="2233" spans="1:16" ht="13.9" customHeight="1">
      <c r="A2233" s="1">
        <v>2232</v>
      </c>
      <c r="B2233" s="2" t="s">
        <v>24915</v>
      </c>
      <c r="C2233" s="2" t="s">
        <v>24916</v>
      </c>
      <c r="D2233" s="2" t="s">
        <v>24917</v>
      </c>
      <c r="E2233" s="2" t="s">
        <v>24918</v>
      </c>
      <c r="F2233" s="2" t="s">
        <v>24919</v>
      </c>
      <c r="G2233" s="2" t="s">
        <v>24920</v>
      </c>
      <c r="H2233" s="2" t="s">
        <v>24921</v>
      </c>
      <c r="I2233" s="2" t="s">
        <v>24922</v>
      </c>
      <c r="J2233" s="4" t="s">
        <v>24923</v>
      </c>
      <c r="K2233" s="2" t="s">
        <v>24924</v>
      </c>
      <c r="L2233" s="2" t="s">
        <v>24925</v>
      </c>
      <c r="M2233" s="4" t="s">
        <v>24926</v>
      </c>
      <c r="N2233" s="4" t="s">
        <v>24927</v>
      </c>
      <c r="O2233" s="2" t="s">
        <v>24928</v>
      </c>
      <c r="P2233" s="2" t="s">
        <v>24915</v>
      </c>
    </row>
    <row r="2234" spans="1:16" ht="13.9" customHeight="1">
      <c r="A2234" s="1">
        <v>2233</v>
      </c>
      <c r="B2234" s="2" t="s">
        <v>904</v>
      </c>
      <c r="C2234" s="2" t="s">
        <v>904</v>
      </c>
      <c r="D2234" s="2" t="s">
        <v>904</v>
      </c>
      <c r="E2234" s="2" t="s">
        <v>905</v>
      </c>
      <c r="F2234" s="2" t="s">
        <v>905</v>
      </c>
      <c r="G2234" s="2" t="s">
        <v>904</v>
      </c>
      <c r="H2234" s="2" t="s">
        <v>904</v>
      </c>
      <c r="I2234" s="2" t="s">
        <v>904</v>
      </c>
      <c r="J2234" s="4" t="s">
        <v>904</v>
      </c>
      <c r="K2234" s="2" t="s">
        <v>905</v>
      </c>
      <c r="L2234" s="2" t="s">
        <v>904</v>
      </c>
      <c r="M2234" s="4" t="s">
        <v>904</v>
      </c>
      <c r="N2234" s="4" t="s">
        <v>904</v>
      </c>
      <c r="O2234" s="2" t="s">
        <v>904</v>
      </c>
      <c r="P2234" s="2" t="s">
        <v>904</v>
      </c>
    </row>
    <row r="2235" spans="1:16">
      <c r="A2235" s="1">
        <v>2234</v>
      </c>
      <c r="B2235" s="2" t="s">
        <v>22633</v>
      </c>
      <c r="C2235" s="2" t="s">
        <v>24930</v>
      </c>
      <c r="D2235" s="2" t="s">
        <v>24931</v>
      </c>
      <c r="E2235" s="2" t="s">
        <v>24932</v>
      </c>
      <c r="F2235" s="2" t="s">
        <v>24933</v>
      </c>
      <c r="G2235" s="2" t="s">
        <v>24929</v>
      </c>
      <c r="H2235" s="2" t="s">
        <v>24934</v>
      </c>
      <c r="I2235" s="2" t="s">
        <v>24935</v>
      </c>
      <c r="J2235" s="2" t="s">
        <v>24936</v>
      </c>
      <c r="K2235" s="2" t="s">
        <v>24937</v>
      </c>
      <c r="L2235" s="2" t="s">
        <v>24938</v>
      </c>
      <c r="M2235" s="2" t="s">
        <v>24939</v>
      </c>
      <c r="N2235" s="2" t="s">
        <v>24940</v>
      </c>
      <c r="O2235" s="2" t="s">
        <v>24941</v>
      </c>
      <c r="P2235" s="2" t="s">
        <v>22633</v>
      </c>
    </row>
    <row r="2236" spans="1:16">
      <c r="A2236" s="1">
        <v>2235</v>
      </c>
      <c r="B2236" s="2" t="s">
        <v>25380</v>
      </c>
      <c r="C2236" s="2" t="s">
        <v>25381</v>
      </c>
      <c r="D2236" s="2" t="s">
        <v>25382</v>
      </c>
      <c r="P2236" s="2" t="s">
        <v>25380</v>
      </c>
    </row>
    <row r="2237" spans="1:16">
      <c r="A2237" s="1">
        <v>2236</v>
      </c>
      <c r="B2237" s="2" t="s">
        <v>25383</v>
      </c>
      <c r="C2237" s="2" t="s">
        <v>25384</v>
      </c>
      <c r="D2237" s="2" t="s">
        <v>25385</v>
      </c>
      <c r="P2237" s="2" t="s">
        <v>25383</v>
      </c>
    </row>
    <row r="2238" spans="1:16">
      <c r="A2238" s="1">
        <v>2237</v>
      </c>
      <c r="B2238" s="2" t="s">
        <v>25386</v>
      </c>
      <c r="C2238" s="2" t="s">
        <v>25387</v>
      </c>
      <c r="D2238" s="2" t="s">
        <v>25388</v>
      </c>
      <c r="E2238" s="2" t="s">
        <v>25389</v>
      </c>
      <c r="F2238" s="2" t="s">
        <v>25390</v>
      </c>
      <c r="G2238" s="2" t="s">
        <v>25391</v>
      </c>
      <c r="H2238" s="2" t="s">
        <v>25391</v>
      </c>
      <c r="I2238" s="2" t="s">
        <v>25392</v>
      </c>
      <c r="J2238" s="2" t="s">
        <v>25393</v>
      </c>
      <c r="K2238" s="2" t="s">
        <v>25394</v>
      </c>
      <c r="L2238" s="2" t="s">
        <v>25395</v>
      </c>
      <c r="M2238" s="2" t="s">
        <v>25396</v>
      </c>
      <c r="N2238" s="2" t="s">
        <v>25397</v>
      </c>
      <c r="O2238" s="2" t="s">
        <v>25398</v>
      </c>
      <c r="P2238" s="2" t="s">
        <v>25386</v>
      </c>
    </row>
    <row r="2239" spans="1:16">
      <c r="A2239" s="1">
        <v>2238</v>
      </c>
      <c r="B2239" s="2" t="s">
        <v>25399</v>
      </c>
      <c r="C2239" s="2" t="s">
        <v>25400</v>
      </c>
      <c r="D2239" s="2" t="s">
        <v>25401</v>
      </c>
      <c r="E2239" s="2" t="s">
        <v>25402</v>
      </c>
      <c r="F2239" s="2" t="s">
        <v>25403</v>
      </c>
      <c r="G2239" s="2" t="s">
        <v>3949</v>
      </c>
      <c r="H2239" s="2" t="s">
        <v>3950</v>
      </c>
      <c r="I2239" s="2" t="s">
        <v>25404</v>
      </c>
      <c r="J2239" s="2" t="s">
        <v>25405</v>
      </c>
      <c r="K2239" s="2" t="s">
        <v>25406</v>
      </c>
      <c r="L2239" s="2" t="s">
        <v>25407</v>
      </c>
      <c r="M2239" s="2" t="s">
        <v>25408</v>
      </c>
      <c r="N2239" s="2" t="s">
        <v>25409</v>
      </c>
      <c r="O2239" s="2" t="s">
        <v>25410</v>
      </c>
      <c r="P2239" s="2" t="s">
        <v>25399</v>
      </c>
    </row>
    <row r="2240" spans="1:16">
      <c r="A2240" s="1">
        <v>2239</v>
      </c>
      <c r="B2240" s="2" t="s">
        <v>25411</v>
      </c>
      <c r="C2240" s="2" t="s">
        <v>25412</v>
      </c>
      <c r="D2240" s="2" t="s">
        <v>25413</v>
      </c>
      <c r="E2240" s="2" t="s">
        <v>25414</v>
      </c>
      <c r="F2240" s="2" t="s">
        <v>25415</v>
      </c>
      <c r="G2240" s="2" t="s">
        <v>25416</v>
      </c>
      <c r="H2240" s="2" t="s">
        <v>25417</v>
      </c>
      <c r="I2240" s="2" t="s">
        <v>25418</v>
      </c>
      <c r="J2240" s="2" t="s">
        <v>25419</v>
      </c>
      <c r="K2240" s="2" t="s">
        <v>25420</v>
      </c>
      <c r="L2240" s="2" t="s">
        <v>25421</v>
      </c>
      <c r="M2240" s="2" t="s">
        <v>25422</v>
      </c>
      <c r="N2240" s="2" t="s">
        <v>25423</v>
      </c>
      <c r="O2240" s="2" t="s">
        <v>25424</v>
      </c>
      <c r="P2240" s="2" t="s">
        <v>25411</v>
      </c>
    </row>
    <row r="2241" spans="1:16">
      <c r="A2241" s="1">
        <v>2240</v>
      </c>
      <c r="B2241" s="2" t="s">
        <v>25425</v>
      </c>
      <c r="C2241" s="2" t="s">
        <v>25426</v>
      </c>
      <c r="D2241" s="2" t="s">
        <v>25427</v>
      </c>
      <c r="E2241" s="2" t="s">
        <v>25428</v>
      </c>
      <c r="F2241" s="2" t="s">
        <v>25429</v>
      </c>
      <c r="G2241" s="2" t="s">
        <v>25430</v>
      </c>
      <c r="H2241" s="2" t="s">
        <v>25431</v>
      </c>
      <c r="I2241" s="2" t="s">
        <v>25432</v>
      </c>
      <c r="J2241" s="2" t="s">
        <v>25433</v>
      </c>
      <c r="K2241" s="2" t="s">
        <v>25434</v>
      </c>
      <c r="L2241" s="2" t="s">
        <v>25435</v>
      </c>
      <c r="M2241" s="2" t="s">
        <v>25436</v>
      </c>
      <c r="N2241" s="2" t="s">
        <v>25437</v>
      </c>
      <c r="O2241" s="2" t="s">
        <v>25438</v>
      </c>
      <c r="P2241" s="2" t="s">
        <v>25425</v>
      </c>
    </row>
    <row r="2242" spans="1:16">
      <c r="A2242" s="1">
        <v>2241</v>
      </c>
      <c r="B2242" s="2" t="s">
        <v>25439</v>
      </c>
      <c r="C2242" s="2" t="s">
        <v>25440</v>
      </c>
      <c r="D2242" s="2" t="s">
        <v>25441</v>
      </c>
      <c r="E2242" s="2" t="s">
        <v>25442</v>
      </c>
      <c r="F2242" s="2" t="s">
        <v>25443</v>
      </c>
      <c r="G2242" s="2" t="s">
        <v>25444</v>
      </c>
      <c r="H2242" s="2" t="s">
        <v>25445</v>
      </c>
      <c r="I2242" s="2" t="s">
        <v>25446</v>
      </c>
      <c r="J2242" s="2" t="s">
        <v>25447</v>
      </c>
      <c r="K2242" s="2" t="s">
        <v>25448</v>
      </c>
      <c r="L2242" s="2" t="s">
        <v>25449</v>
      </c>
      <c r="M2242" s="2" t="s">
        <v>25450</v>
      </c>
      <c r="N2242" s="2" t="s">
        <v>25451</v>
      </c>
      <c r="O2242" s="2" t="s">
        <v>25452</v>
      </c>
      <c r="P2242" s="2" t="s">
        <v>25439</v>
      </c>
    </row>
    <row r="2243" spans="1:16" ht="15" customHeight="1">
      <c r="A2243" s="1">
        <v>2242</v>
      </c>
      <c r="B2243" s="2" t="s">
        <v>25717</v>
      </c>
      <c r="C2243" s="2" t="s">
        <v>25718</v>
      </c>
      <c r="D2243" s="2" t="s">
        <v>12455</v>
      </c>
      <c r="E2243" s="2" t="s">
        <v>25719</v>
      </c>
      <c r="F2243" s="2" t="s">
        <v>25720</v>
      </c>
      <c r="G2243" s="2" t="s">
        <v>25721</v>
      </c>
      <c r="H2243" s="2" t="s">
        <v>25722</v>
      </c>
      <c r="I2243" s="2" t="s">
        <v>25723</v>
      </c>
      <c r="J2243" s="2" t="s">
        <v>25724</v>
      </c>
      <c r="K2243" s="2" t="s">
        <v>25725</v>
      </c>
      <c r="L2243" s="2" t="s">
        <v>25726</v>
      </c>
      <c r="M2243" s="2" t="s">
        <v>25727</v>
      </c>
      <c r="N2243" s="2" t="s">
        <v>25728</v>
      </c>
      <c r="O2243" s="2" t="s">
        <v>25729</v>
      </c>
      <c r="P2243" s="2" t="s">
        <v>25717</v>
      </c>
    </row>
    <row r="2244" spans="1:16">
      <c r="A2244" s="1">
        <v>2243</v>
      </c>
      <c r="B2244" s="2" t="s">
        <v>26012</v>
      </c>
      <c r="C2244" s="2" t="s">
        <v>26013</v>
      </c>
      <c r="D2244" s="2" t="s">
        <v>26014</v>
      </c>
      <c r="E2244" s="2" t="s">
        <v>26015</v>
      </c>
      <c r="F2244" s="2" t="s">
        <v>26012</v>
      </c>
      <c r="G2244" s="2" t="s">
        <v>26012</v>
      </c>
      <c r="H2244" s="2" t="s">
        <v>26012</v>
      </c>
      <c r="I2244" s="2" t="s">
        <v>26012</v>
      </c>
      <c r="J2244" s="2" t="s">
        <v>26013</v>
      </c>
      <c r="K2244" s="2" t="s">
        <v>26012</v>
      </c>
      <c r="L2244" s="2" t="s">
        <v>26012</v>
      </c>
      <c r="M2244" s="2" t="s">
        <v>26012</v>
      </c>
      <c r="N2244" s="2" t="s">
        <v>26016</v>
      </c>
      <c r="O2244" s="2" t="s">
        <v>26012</v>
      </c>
      <c r="P2244" s="2" t="s">
        <v>26012</v>
      </c>
    </row>
    <row r="2245" spans="1:16">
      <c r="A2245" s="1">
        <v>2244</v>
      </c>
      <c r="B2245" s="2" t="s">
        <v>26017</v>
      </c>
      <c r="P2245" s="2" t="s">
        <v>26017</v>
      </c>
    </row>
    <row r="2246" spans="1:16">
      <c r="A2246" s="1">
        <v>2245</v>
      </c>
      <c r="B2246" s="2" t="s">
        <v>26018</v>
      </c>
      <c r="C2246" s="2" t="s">
        <v>26019</v>
      </c>
      <c r="D2246" s="2" t="s">
        <v>26020</v>
      </c>
      <c r="E2246" s="2" t="s">
        <v>26021</v>
      </c>
      <c r="F2246" s="2" t="s">
        <v>26022</v>
      </c>
      <c r="G2246" s="2" t="s">
        <v>26023</v>
      </c>
      <c r="H2246" s="2" t="s">
        <v>26024</v>
      </c>
      <c r="I2246" s="2" t="s">
        <v>26022</v>
      </c>
      <c r="J2246" s="2" t="s">
        <v>26025</v>
      </c>
      <c r="K2246" s="2" t="s">
        <v>26026</v>
      </c>
      <c r="L2246" s="2" t="s">
        <v>26027</v>
      </c>
      <c r="M2246" s="2" t="s">
        <v>26028</v>
      </c>
      <c r="N2246" s="2" t="s">
        <v>26029</v>
      </c>
      <c r="O2246" s="2" t="s">
        <v>26026</v>
      </c>
      <c r="P2246" s="2" t="s">
        <v>26018</v>
      </c>
    </row>
    <row r="2247" spans="1:16">
      <c r="A2247" s="1">
        <v>2246</v>
      </c>
      <c r="B2247" s="2" t="s">
        <v>26030</v>
      </c>
      <c r="C2247" s="2" t="s">
        <v>26031</v>
      </c>
      <c r="D2247" s="2" t="s">
        <v>26032</v>
      </c>
      <c r="E2247" s="2" t="s">
        <v>26033</v>
      </c>
      <c r="F2247" s="2" t="s">
        <v>26034</v>
      </c>
      <c r="G2247" s="2" t="s">
        <v>26035</v>
      </c>
      <c r="H2247" s="2" t="s">
        <v>26036</v>
      </c>
      <c r="I2247" s="2" t="s">
        <v>26037</v>
      </c>
      <c r="J2247" s="2" t="s">
        <v>26038</v>
      </c>
      <c r="K2247" s="2" t="s">
        <v>26039</v>
      </c>
      <c r="L2247" s="2" t="s">
        <v>26040</v>
      </c>
      <c r="M2247" s="2" t="s">
        <v>26041</v>
      </c>
      <c r="N2247" s="2" t="s">
        <v>26042</v>
      </c>
      <c r="O2247" s="2" t="s">
        <v>26043</v>
      </c>
      <c r="P2247" s="2" t="s">
        <v>26030</v>
      </c>
    </row>
    <row r="2248" spans="1:16">
      <c r="A2248" s="1">
        <v>2247</v>
      </c>
      <c r="B2248" s="2" t="s">
        <v>26044</v>
      </c>
      <c r="C2248" s="2" t="s">
        <v>26045</v>
      </c>
      <c r="D2248" s="2" t="s">
        <v>26046</v>
      </c>
      <c r="E2248" s="2" t="s">
        <v>26047</v>
      </c>
      <c r="F2248" s="2" t="s">
        <v>26048</v>
      </c>
      <c r="G2248" s="2" t="s">
        <v>26049</v>
      </c>
      <c r="H2248" s="2" t="s">
        <v>26050</v>
      </c>
      <c r="I2248" s="2" t="s">
        <v>26051</v>
      </c>
      <c r="J2248" s="2" t="s">
        <v>26052</v>
      </c>
      <c r="K2248" s="2" t="s">
        <v>26053</v>
      </c>
      <c r="L2248" s="2" t="s">
        <v>26054</v>
      </c>
      <c r="M2248" s="2" t="s">
        <v>26055</v>
      </c>
      <c r="N2248" s="2" t="s">
        <v>26054</v>
      </c>
      <c r="O2248" s="2" t="s">
        <v>26056</v>
      </c>
      <c r="P2248" s="2" t="s">
        <v>26044</v>
      </c>
    </row>
    <row r="2249" spans="1:16">
      <c r="A2249" s="1">
        <v>2248</v>
      </c>
      <c r="B2249" s="2" t="s">
        <v>26057</v>
      </c>
      <c r="C2249" s="2" t="s">
        <v>26058</v>
      </c>
      <c r="D2249" s="2" t="s">
        <v>26059</v>
      </c>
      <c r="E2249" s="2" t="s">
        <v>26060</v>
      </c>
      <c r="F2249" s="2" t="s">
        <v>26061</v>
      </c>
      <c r="G2249" s="2" t="s">
        <v>26062</v>
      </c>
      <c r="H2249" s="2" t="s">
        <v>26063</v>
      </c>
      <c r="I2249" s="2" t="s">
        <v>26064</v>
      </c>
      <c r="J2249" s="2" t="s">
        <v>26065</v>
      </c>
      <c r="K2249" s="2" t="s">
        <v>26066</v>
      </c>
      <c r="L2249" s="2" t="s">
        <v>26067</v>
      </c>
      <c r="M2249" s="2" t="s">
        <v>26068</v>
      </c>
      <c r="N2249" s="2" t="s">
        <v>26069</v>
      </c>
      <c r="O2249" s="2" t="s">
        <v>26070</v>
      </c>
      <c r="P2249" s="2" t="s">
        <v>26057</v>
      </c>
    </row>
    <row r="2250" spans="1:16">
      <c r="A2250" s="1">
        <v>2249</v>
      </c>
      <c r="B2250" s="2" t="s">
        <v>26071</v>
      </c>
      <c r="C2250" s="2" t="s">
        <v>26072</v>
      </c>
      <c r="D2250" s="2" t="s">
        <v>26073</v>
      </c>
      <c r="E2250" s="2" t="s">
        <v>26074</v>
      </c>
      <c r="F2250" s="2" t="s">
        <v>26075</v>
      </c>
      <c r="G2250" s="2" t="s">
        <v>26076</v>
      </c>
      <c r="H2250" s="2" t="s">
        <v>26077</v>
      </c>
      <c r="I2250" s="2" t="s">
        <v>26078</v>
      </c>
      <c r="J2250" s="2" t="s">
        <v>26079</v>
      </c>
      <c r="K2250" s="2" t="s">
        <v>26080</v>
      </c>
      <c r="L2250" s="2" t="s">
        <v>26081</v>
      </c>
      <c r="M2250" s="2" t="s">
        <v>26082</v>
      </c>
      <c r="N2250" s="2" t="s">
        <v>26083</v>
      </c>
      <c r="O2250" s="2" t="s">
        <v>26084</v>
      </c>
      <c r="P2250" s="2" t="s">
        <v>26071</v>
      </c>
    </row>
    <row r="2251" spans="1:16" ht="18.75">
      <c r="A2251" s="1">
        <v>2250</v>
      </c>
      <c r="B2251" s="2" t="s">
        <v>26085</v>
      </c>
      <c r="C2251" s="2" t="s">
        <v>26086</v>
      </c>
      <c r="D2251" s="2" t="s">
        <v>26087</v>
      </c>
      <c r="E2251" s="2" t="s">
        <v>26088</v>
      </c>
      <c r="F2251" s="2" t="s">
        <v>26089</v>
      </c>
      <c r="G2251" s="2" t="s">
        <v>26090</v>
      </c>
      <c r="H2251" s="2" t="s">
        <v>26091</v>
      </c>
      <c r="I2251" s="2" t="s">
        <v>26092</v>
      </c>
      <c r="J2251" s="2" t="s">
        <v>26093</v>
      </c>
      <c r="K2251" s="2" t="s">
        <v>26094</v>
      </c>
      <c r="L2251" s="2" t="s">
        <v>26095</v>
      </c>
      <c r="M2251" s="2" t="s">
        <v>26096</v>
      </c>
      <c r="N2251" s="2" t="s">
        <v>26095</v>
      </c>
      <c r="O2251" s="2" t="s">
        <v>26097</v>
      </c>
      <c r="P2251" s="2" t="s">
        <v>26085</v>
      </c>
    </row>
    <row r="2252" spans="1:16" ht="18.75">
      <c r="A2252" s="1">
        <v>2251</v>
      </c>
      <c r="B2252" s="2" t="s">
        <v>26098</v>
      </c>
      <c r="C2252" s="2" t="s">
        <v>26099</v>
      </c>
      <c r="D2252" s="2" t="s">
        <v>26100</v>
      </c>
      <c r="E2252" s="2" t="s">
        <v>26101</v>
      </c>
      <c r="F2252" s="2" t="s">
        <v>26102</v>
      </c>
      <c r="G2252" s="2" t="s">
        <v>26103</v>
      </c>
      <c r="H2252" s="2" t="s">
        <v>26104</v>
      </c>
      <c r="I2252" s="2" t="s">
        <v>26105</v>
      </c>
      <c r="J2252" s="2" t="s">
        <v>26106</v>
      </c>
      <c r="K2252" s="2" t="s">
        <v>26107</v>
      </c>
      <c r="L2252" s="2" t="s">
        <v>26108</v>
      </c>
      <c r="M2252" s="2" t="s">
        <v>26109</v>
      </c>
      <c r="N2252" s="2" t="s">
        <v>26108</v>
      </c>
      <c r="O2252" s="2" t="s">
        <v>26110</v>
      </c>
      <c r="P2252" s="2" t="s">
        <v>26098</v>
      </c>
    </row>
    <row r="2253" spans="1:16">
      <c r="A2253" s="1">
        <v>2252</v>
      </c>
      <c r="B2253" s="2" t="s">
        <v>26111</v>
      </c>
      <c r="C2253" s="2" t="s">
        <v>26112</v>
      </c>
      <c r="D2253" s="2" t="s">
        <v>26113</v>
      </c>
      <c r="E2253" s="2" t="s">
        <v>26114</v>
      </c>
      <c r="F2253" s="2" t="s">
        <v>26115</v>
      </c>
      <c r="G2253" s="2" t="s">
        <v>26116</v>
      </c>
      <c r="H2253" s="2" t="s">
        <v>26117</v>
      </c>
      <c r="I2253" s="2" t="s">
        <v>26118</v>
      </c>
      <c r="J2253" s="2" t="s">
        <v>26119</v>
      </c>
      <c r="K2253" s="2" t="s">
        <v>26120</v>
      </c>
      <c r="L2253" s="2" t="s">
        <v>26121</v>
      </c>
      <c r="M2253" s="2" t="s">
        <v>26122</v>
      </c>
      <c r="N2253" s="2" t="s">
        <v>26123</v>
      </c>
      <c r="O2253" s="2" t="s">
        <v>26124</v>
      </c>
      <c r="P2253" s="2" t="s">
        <v>26111</v>
      </c>
    </row>
    <row r="2254" spans="1:16">
      <c r="A2254" s="1">
        <v>2253</v>
      </c>
      <c r="B2254" s="2" t="s">
        <v>26125</v>
      </c>
      <c r="C2254" s="2" t="s">
        <v>26126</v>
      </c>
      <c r="D2254" s="2" t="s">
        <v>26127</v>
      </c>
      <c r="E2254" s="2" t="s">
        <v>26128</v>
      </c>
      <c r="F2254" s="2" t="s">
        <v>26129</v>
      </c>
      <c r="G2254" s="2" t="s">
        <v>26130</v>
      </c>
      <c r="H2254" s="2" t="s">
        <v>26131</v>
      </c>
      <c r="I2254" s="2" t="s">
        <v>26132</v>
      </c>
      <c r="J2254" s="2" t="s">
        <v>26133</v>
      </c>
      <c r="K2254" s="2" t="s">
        <v>26134</v>
      </c>
      <c r="L2254" s="2" t="s">
        <v>26135</v>
      </c>
      <c r="M2254" s="2" t="s">
        <v>26136</v>
      </c>
      <c r="N2254" s="2" t="s">
        <v>26137</v>
      </c>
      <c r="O2254" s="2" t="s">
        <v>26138</v>
      </c>
      <c r="P2254" s="2" t="s">
        <v>26125</v>
      </c>
    </row>
    <row r="2255" spans="1:16">
      <c r="A2255" s="1">
        <v>2254</v>
      </c>
      <c r="B2255" s="2" t="s">
        <v>26139</v>
      </c>
      <c r="C2255" s="2" t="s">
        <v>26140</v>
      </c>
      <c r="D2255" s="2" t="s">
        <v>26141</v>
      </c>
      <c r="E2255" s="2" t="s">
        <v>26142</v>
      </c>
      <c r="F2255" s="2" t="s">
        <v>26143</v>
      </c>
      <c r="G2255" s="2" t="s">
        <v>26144</v>
      </c>
      <c r="H2255" s="2" t="s">
        <v>26145</v>
      </c>
      <c r="I2255" s="2" t="s">
        <v>26146</v>
      </c>
      <c r="J2255" s="2" t="s">
        <v>26147</v>
      </c>
      <c r="K2255" s="2" t="s">
        <v>26148</v>
      </c>
      <c r="L2255" s="2" t="s">
        <v>26149</v>
      </c>
      <c r="M2255" s="2" t="s">
        <v>26150</v>
      </c>
      <c r="N2255" s="2" t="s">
        <v>26151</v>
      </c>
      <c r="O2255" s="2" t="s">
        <v>26152</v>
      </c>
      <c r="P2255" s="2" t="s">
        <v>26139</v>
      </c>
    </row>
    <row r="2256" spans="1:16">
      <c r="A2256" s="1">
        <v>2255</v>
      </c>
      <c r="B2256" s="2" t="s">
        <v>26153</v>
      </c>
      <c r="C2256" s="2" t="s">
        <v>26154</v>
      </c>
      <c r="D2256" s="2" t="s">
        <v>26155</v>
      </c>
      <c r="E2256" s="2" t="s">
        <v>26156</v>
      </c>
      <c r="F2256" s="2" t="s">
        <v>26157</v>
      </c>
      <c r="G2256" s="2" t="s">
        <v>26158</v>
      </c>
      <c r="H2256" s="2" t="s">
        <v>26159</v>
      </c>
      <c r="I2256" s="2" t="s">
        <v>26160</v>
      </c>
      <c r="J2256" s="2" t="s">
        <v>26161</v>
      </c>
      <c r="K2256" s="2" t="s">
        <v>26162</v>
      </c>
      <c r="L2256" s="2" t="s">
        <v>26163</v>
      </c>
      <c r="M2256" s="2" t="s">
        <v>26164</v>
      </c>
      <c r="N2256" s="2" t="s">
        <v>26165</v>
      </c>
      <c r="O2256" s="2" t="s">
        <v>26166</v>
      </c>
      <c r="P2256" s="2" t="s">
        <v>26153</v>
      </c>
    </row>
    <row r="2257" spans="1:16">
      <c r="A2257" s="1">
        <v>2256</v>
      </c>
      <c r="B2257" s="2" t="s">
        <v>26167</v>
      </c>
      <c r="C2257" s="2" t="s">
        <v>26168</v>
      </c>
      <c r="D2257" s="2" t="s">
        <v>26169</v>
      </c>
      <c r="E2257" s="2" t="s">
        <v>26170</v>
      </c>
      <c r="F2257" s="2" t="s">
        <v>26171</v>
      </c>
      <c r="G2257" s="2" t="s">
        <v>26172</v>
      </c>
      <c r="H2257" s="2" t="s">
        <v>26173</v>
      </c>
      <c r="I2257" s="2" t="s">
        <v>26174</v>
      </c>
      <c r="J2257" s="2" t="s">
        <v>26175</v>
      </c>
      <c r="K2257" s="2" t="s">
        <v>26176</v>
      </c>
      <c r="L2257" s="2" t="s">
        <v>26177</v>
      </c>
      <c r="M2257" s="2" t="s">
        <v>26178</v>
      </c>
      <c r="N2257" s="2" t="s">
        <v>26179</v>
      </c>
      <c r="O2257" s="2" t="s">
        <v>26180</v>
      </c>
      <c r="P2257" s="2" t="s">
        <v>26167</v>
      </c>
    </row>
    <row r="2258" spans="1:16">
      <c r="A2258" s="1">
        <v>2257</v>
      </c>
      <c r="B2258" s="2" t="s">
        <v>26181</v>
      </c>
      <c r="C2258" s="2" t="s">
        <v>26182</v>
      </c>
      <c r="D2258" s="2" t="s">
        <v>26183</v>
      </c>
      <c r="E2258" s="2" t="s">
        <v>26184</v>
      </c>
      <c r="F2258" s="2" t="s">
        <v>26185</v>
      </c>
      <c r="G2258" s="2" t="s">
        <v>26186</v>
      </c>
      <c r="H2258" s="2" t="s">
        <v>26187</v>
      </c>
      <c r="I2258" s="2" t="s">
        <v>26188</v>
      </c>
      <c r="J2258" s="2" t="s">
        <v>26189</v>
      </c>
      <c r="K2258" s="2" t="s">
        <v>26190</v>
      </c>
      <c r="L2258" s="2" t="s">
        <v>26191</v>
      </c>
      <c r="M2258" s="2" t="s">
        <v>26192</v>
      </c>
      <c r="N2258" s="2" t="s">
        <v>26193</v>
      </c>
      <c r="O2258" s="2" t="s">
        <v>26194</v>
      </c>
      <c r="P2258" s="2" t="s">
        <v>26181</v>
      </c>
    </row>
    <row r="2259" spans="1:16">
      <c r="A2259" s="1">
        <v>2258</v>
      </c>
      <c r="B2259" s="2" t="s">
        <v>26195</v>
      </c>
    </row>
    <row r="2260" spans="1:16">
      <c r="A2260" s="1">
        <v>2259</v>
      </c>
      <c r="B2260" s="2" t="s">
        <v>25464</v>
      </c>
      <c r="C2260" s="2" t="s">
        <v>25347</v>
      </c>
      <c r="D2260" s="2" t="s">
        <v>22209</v>
      </c>
      <c r="E2260" s="2" t="s">
        <v>18373</v>
      </c>
      <c r="P2260" s="2" t="s">
        <v>25464</v>
      </c>
    </row>
    <row r="2261" spans="1:16">
      <c r="A2261" s="1">
        <v>2260</v>
      </c>
    </row>
    <row r="2262" spans="1:16">
      <c r="A2262" s="1">
        <v>2261</v>
      </c>
    </row>
  </sheetData>
  <autoFilter ref="A1:P1939" xr:uid="{00000000-0009-0000-0000-000000000000}">
    <sortState xmlns:xlrd2="http://schemas.microsoft.com/office/spreadsheetml/2017/richdata2" ref="A682:P1023">
      <sortCondition ref="C1:C1586"/>
    </sortState>
  </autoFilter>
  <conditionalFormatting sqref="A2:A2097">
    <cfRule type="expression" dxfId="231" priority="88">
      <formula>ISBLANK(A2)</formula>
    </cfRule>
  </conditionalFormatting>
  <conditionalFormatting sqref="A2157:A2234">
    <cfRule type="expression" dxfId="230" priority="16">
      <formula>ISBLANK(A2157)</formula>
    </cfRule>
  </conditionalFormatting>
  <conditionalFormatting sqref="A1:B1">
    <cfRule type="expression" dxfId="229" priority="93">
      <formula>ISBLANK(A1)</formula>
    </cfRule>
  </conditionalFormatting>
  <conditionalFormatting sqref="A2099:C2156 E2107:N2156">
    <cfRule type="expression" dxfId="228" priority="47">
      <formula>ISBLANK(A2099)</formula>
    </cfRule>
  </conditionalFormatting>
  <conditionalFormatting sqref="A2235:P2237 A2238:A2243 B2242:P2242">
    <cfRule type="expression" dxfId="227" priority="26">
      <formula>ISBLANK(A2235)</formula>
    </cfRule>
  </conditionalFormatting>
  <conditionalFormatting sqref="A2244:P2259 A2260 A2261:P1048576">
    <cfRule type="expression" dxfId="226" priority="9">
      <formula>ISBLANK(A2244)</formula>
    </cfRule>
  </conditionalFormatting>
  <conditionalFormatting sqref="B2:B1931">
    <cfRule type="expression" dxfId="225" priority="24">
      <formula>ISBLANK(B2)</formula>
    </cfRule>
  </conditionalFormatting>
  <conditionalFormatting sqref="B1933:C2096">
    <cfRule type="expression" dxfId="224" priority="36">
      <formula>ISBLANK(B1933)</formula>
    </cfRule>
  </conditionalFormatting>
  <conditionalFormatting sqref="B2157:C2186">
    <cfRule type="expression" dxfId="223" priority="12">
      <formula>ISBLANK(B2157)</formula>
    </cfRule>
  </conditionalFormatting>
  <conditionalFormatting sqref="B2238:C2271">
    <cfRule type="expression" dxfId="222" priority="3">
      <formula>ISBLANK(B2238)</formula>
    </cfRule>
  </conditionalFormatting>
  <conditionalFormatting sqref="B2232:P2232">
    <cfRule type="expression" dxfId="221" priority="27">
      <formula>ISBLANK(B2232)</formula>
    </cfRule>
  </conditionalFormatting>
  <conditionalFormatting sqref="C1:C1904">
    <cfRule type="expression" dxfId="220" priority="87">
      <formula>ISBLANK(C1)</formula>
    </cfRule>
  </conditionalFormatting>
  <conditionalFormatting sqref="C1906:C1929">
    <cfRule type="expression" dxfId="219" priority="86">
      <formula>ISBLANK(C1906)</formula>
    </cfRule>
  </conditionalFormatting>
  <conditionalFormatting sqref="C1931">
    <cfRule type="expression" dxfId="218" priority="90">
      <formula>ISBLANK(C1931)</formula>
    </cfRule>
  </conditionalFormatting>
  <conditionalFormatting sqref="C2253:P2258">
    <cfRule type="expression" dxfId="217" priority="5">
      <formula>ISBLANK(C2253)</formula>
    </cfRule>
  </conditionalFormatting>
  <conditionalFormatting sqref="D1:D1645 D1703:D1705 D1707:D1754 D1756:D1758 D1762:D1778 D1780:D1782 D1784:D1786 D1788:D1790 D1792:D1816">
    <cfRule type="expression" dxfId="216" priority="32">
      <formula>ISBLANK(D1)</formula>
    </cfRule>
  </conditionalFormatting>
  <conditionalFormatting sqref="D1648:D1700">
    <cfRule type="expression" dxfId="215" priority="28">
      <formula>ISBLANK(D1648)</formula>
    </cfRule>
  </conditionalFormatting>
  <conditionalFormatting sqref="D1818:D1919">
    <cfRule type="expression" dxfId="214" priority="31">
      <formula>ISBLANK(D1818)</formula>
    </cfRule>
  </conditionalFormatting>
  <conditionalFormatting sqref="D1921:D1928">
    <cfRule type="expression" dxfId="213" priority="33">
      <formula>ISBLANK(D1921)</formula>
    </cfRule>
  </conditionalFormatting>
  <conditionalFormatting sqref="D1931:D1933">
    <cfRule type="expression" dxfId="212" priority="30">
      <formula>ISBLANK(D1931)</formula>
    </cfRule>
  </conditionalFormatting>
  <conditionalFormatting sqref="D1937:D1970">
    <cfRule type="expression" dxfId="211" priority="29">
      <formula>ISBLANK(D1937)</formula>
    </cfRule>
  </conditionalFormatting>
  <conditionalFormatting sqref="D1972:D2186">
    <cfRule type="expression" dxfId="210" priority="11">
      <formula>ISBLANK(D1972)</formula>
    </cfRule>
  </conditionalFormatting>
  <conditionalFormatting sqref="D2238:K2241">
    <cfRule type="expression" dxfId="209" priority="21">
      <formula>ISBLANK(D2238)</formula>
    </cfRule>
  </conditionalFormatting>
  <conditionalFormatting sqref="D2243:K2243">
    <cfRule type="expression" dxfId="208" priority="18">
      <formula>ISBLANK(D2243)</formula>
    </cfRule>
  </conditionalFormatting>
  <conditionalFormatting sqref="D2260:P2260">
    <cfRule type="expression" dxfId="207" priority="1">
      <formula>ISBLANK(D2260)</formula>
    </cfRule>
  </conditionalFormatting>
  <conditionalFormatting sqref="E2:E2096">
    <cfRule type="expression" dxfId="206" priority="4">
      <formula>ISBLANK(E2)</formula>
    </cfRule>
  </conditionalFormatting>
  <conditionalFormatting sqref="E1:F1 F2:F1955">
    <cfRule type="expression" dxfId="205" priority="78">
      <formula>ISBLANK(E1)</formula>
    </cfRule>
  </conditionalFormatting>
  <conditionalFormatting sqref="E2101:K2102">
    <cfRule type="expression" dxfId="204" priority="55">
      <formula>ISBLANK(E2101)</formula>
    </cfRule>
  </conditionalFormatting>
  <conditionalFormatting sqref="E2104:K2104">
    <cfRule type="expression" dxfId="203" priority="53">
      <formula>ISBLANK(E2104)</formula>
    </cfRule>
  </conditionalFormatting>
  <conditionalFormatting sqref="E2163:K2164">
    <cfRule type="expression" dxfId="202" priority="39">
      <formula>ISBLANK(E2163)</formula>
    </cfRule>
  </conditionalFormatting>
  <conditionalFormatting sqref="E2168:K2169">
    <cfRule type="expression" dxfId="201" priority="43">
      <formula>ISBLANK(E2168)</formula>
    </cfRule>
  </conditionalFormatting>
  <conditionalFormatting sqref="E2172:K2176">
    <cfRule type="expression" dxfId="200" priority="41">
      <formula>ISBLANK(E2172)</formula>
    </cfRule>
  </conditionalFormatting>
  <conditionalFormatting sqref="E2178:K2185">
    <cfRule type="expression" dxfId="199" priority="14">
      <formula>ISBLANK(E2178)</formula>
    </cfRule>
  </conditionalFormatting>
  <conditionalFormatting sqref="E2157:O2162">
    <cfRule type="expression" dxfId="198" priority="35">
      <formula>ISBLANK(E2157)</formula>
    </cfRule>
  </conditionalFormatting>
  <conditionalFormatting sqref="E2165:O2167 E2170:P2171">
    <cfRule type="expression" dxfId="197" priority="46">
      <formula>ISBLANK(E2165)</formula>
    </cfRule>
  </conditionalFormatting>
  <conditionalFormatting sqref="E2177:O2177">
    <cfRule type="expression" dxfId="196" priority="34">
      <formula>ISBLANK(E2177)</formula>
    </cfRule>
  </conditionalFormatting>
  <conditionalFormatting sqref="E2099:P2100">
    <cfRule type="expression" dxfId="195" priority="57">
      <formula>ISBLANK(E2099)</formula>
    </cfRule>
  </conditionalFormatting>
  <conditionalFormatting sqref="E2130:P2147">
    <cfRule type="expression" dxfId="194" priority="48">
      <formula>ISBLANK(E2130)</formula>
    </cfRule>
  </conditionalFormatting>
  <conditionalFormatting sqref="F1956:H2096 C2097:C2098 E2097:H2098">
    <cfRule type="expression" dxfId="193" priority="52">
      <formula>ISBLANK(C1956)</formula>
    </cfRule>
  </conditionalFormatting>
  <conditionalFormatting sqref="G1:G1299">
    <cfRule type="expression" dxfId="192" priority="82">
      <formula>ISBLANK(G1)</formula>
    </cfRule>
  </conditionalFormatting>
  <conditionalFormatting sqref="G1302:G1955">
    <cfRule type="expression" dxfId="191" priority="23">
      <formula>ISBLANK(G1302)</formula>
    </cfRule>
  </conditionalFormatting>
  <conditionalFormatting sqref="H1933:H1955">
    <cfRule type="expression" dxfId="190" priority="79">
      <formula>ISBLANK(H1933)</formula>
    </cfRule>
  </conditionalFormatting>
  <conditionalFormatting sqref="H1:I1931">
    <cfRule type="expression" dxfId="189" priority="51">
      <formula>ISBLANK(H1)</formula>
    </cfRule>
  </conditionalFormatting>
  <conditionalFormatting sqref="I1933:I2098">
    <cfRule type="expression" dxfId="188" priority="50">
      <formula>ISBLANK(I1933)</formula>
    </cfRule>
  </conditionalFormatting>
  <conditionalFormatting sqref="J1:K1955">
    <cfRule type="expression" dxfId="187" priority="83">
      <formula>ISBLANK(J1)</formula>
    </cfRule>
  </conditionalFormatting>
  <conditionalFormatting sqref="J2040:K2040">
    <cfRule type="expression" dxfId="186" priority="75">
      <formula>ISBLANK(J2040)</formula>
    </cfRule>
  </conditionalFormatting>
  <conditionalFormatting sqref="J2043:K2047">
    <cfRule type="expression" dxfId="185" priority="73">
      <formula>ISBLANK(J2043)</formula>
    </cfRule>
  </conditionalFormatting>
  <conditionalFormatting sqref="J2062:K2063">
    <cfRule type="expression" dxfId="184" priority="68">
      <formula>ISBLANK(J2062)</formula>
    </cfRule>
  </conditionalFormatting>
  <conditionalFormatting sqref="J2068:K2068">
    <cfRule type="expression" dxfId="183" priority="64">
      <formula>ISBLANK(J2068)</formula>
    </cfRule>
  </conditionalFormatting>
  <conditionalFormatting sqref="J2083:K2085">
    <cfRule type="expression" dxfId="182" priority="61">
      <formula>ISBLANK(J2083)</formula>
    </cfRule>
  </conditionalFormatting>
  <conditionalFormatting sqref="J2092:K2093">
    <cfRule type="expression" dxfId="181" priority="59">
      <formula>ISBLANK(J2092)</formula>
    </cfRule>
  </conditionalFormatting>
  <conditionalFormatting sqref="J2050:O2061">
    <cfRule type="expression" dxfId="180" priority="70">
      <formula>ISBLANK(J2050)</formula>
    </cfRule>
  </conditionalFormatting>
  <conditionalFormatting sqref="J1956:P2039">
    <cfRule type="expression" dxfId="179" priority="72">
      <formula>ISBLANK(J1956)</formula>
    </cfRule>
  </conditionalFormatting>
  <conditionalFormatting sqref="J2041:P2041 J2042:O2042 J2048:P2049 A2098:B2098 E2103:P2103 E2105:P2106 E2186:O2186">
    <cfRule type="expression" dxfId="178" priority="77">
      <formula>ISBLANK(A2041)</formula>
    </cfRule>
  </conditionalFormatting>
  <conditionalFormatting sqref="J2064:P2067 J2086:P2091">
    <cfRule type="expression" dxfId="177" priority="66">
      <formula>ISBLANK(J2064)</formula>
    </cfRule>
  </conditionalFormatting>
  <conditionalFormatting sqref="J2069:P2082">
    <cfRule type="expression" dxfId="176" priority="63">
      <formula>ISBLANK(J2069)</formula>
    </cfRule>
  </conditionalFormatting>
  <conditionalFormatting sqref="J2094:P2098 B2097">
    <cfRule type="expression" dxfId="175" priority="58">
      <formula>ISBLANK(B2094)</formula>
    </cfRule>
  </conditionalFormatting>
  <conditionalFormatting sqref="L1 L1049:L1425 L1427:L1955">
    <cfRule type="expression" dxfId="174" priority="81">
      <formula>ISBLANK(L1)</formula>
    </cfRule>
  </conditionalFormatting>
  <conditionalFormatting sqref="L3:L7">
    <cfRule type="expression" dxfId="173" priority="80">
      <formula>ISBLANK(L3)</formula>
    </cfRule>
  </conditionalFormatting>
  <conditionalFormatting sqref="L2169">
    <cfRule type="expression" dxfId="172" priority="45">
      <formula>ISBLANK(L2169)</formula>
    </cfRule>
  </conditionalFormatting>
  <conditionalFormatting sqref="L2180">
    <cfRule type="expression" dxfId="171" priority="17">
      <formula>ISBLANK(L2180)</formula>
    </cfRule>
  </conditionalFormatting>
  <conditionalFormatting sqref="L2240:L2241">
    <cfRule type="expression" dxfId="170" priority="22">
      <formula>ISBLANK(L2240)</formula>
    </cfRule>
  </conditionalFormatting>
  <conditionalFormatting sqref="M1:M1918">
    <cfRule type="expression" dxfId="169" priority="91">
      <formula>ISBLANK(M1)</formula>
    </cfRule>
  </conditionalFormatting>
  <conditionalFormatting sqref="M1940:M1955">
    <cfRule type="expression" dxfId="168" priority="92">
      <formula>ISBLANK(M1940)</formula>
    </cfRule>
  </conditionalFormatting>
  <conditionalFormatting sqref="M2043:O2047">
    <cfRule type="expression" dxfId="167" priority="74">
      <formula>ISBLANK(M2043)</formula>
    </cfRule>
  </conditionalFormatting>
  <conditionalFormatting sqref="M2062:O2063">
    <cfRule type="expression" dxfId="166" priority="69">
      <formula>ISBLANK(M2062)</formula>
    </cfRule>
  </conditionalFormatting>
  <conditionalFormatting sqref="M2163:O2164">
    <cfRule type="expression" dxfId="165" priority="40">
      <formula>ISBLANK(M2163)</formula>
    </cfRule>
  </conditionalFormatting>
  <conditionalFormatting sqref="M2168:O2169">
    <cfRule type="expression" dxfId="164" priority="44">
      <formula>ISBLANK(M2168)</formula>
    </cfRule>
  </conditionalFormatting>
  <conditionalFormatting sqref="M2172:O2176">
    <cfRule type="expression" dxfId="163" priority="42">
      <formula>ISBLANK(M2172)</formula>
    </cfRule>
  </conditionalFormatting>
  <conditionalFormatting sqref="M2178:O2185">
    <cfRule type="expression" dxfId="162" priority="15">
      <formula>ISBLANK(M2178)</formula>
    </cfRule>
  </conditionalFormatting>
  <conditionalFormatting sqref="M2238:O2241">
    <cfRule type="expression" dxfId="161" priority="25">
      <formula>ISBLANK(M2238)</formula>
    </cfRule>
  </conditionalFormatting>
  <conditionalFormatting sqref="M2243:O2243">
    <cfRule type="expression" dxfId="160" priority="19">
      <formula>ISBLANK(M2243)</formula>
    </cfRule>
  </conditionalFormatting>
  <conditionalFormatting sqref="M2040:P2040">
    <cfRule type="expression" dxfId="159" priority="76">
      <formula>ISBLANK(M2040)</formula>
    </cfRule>
  </conditionalFormatting>
  <conditionalFormatting sqref="M2068:P2068">
    <cfRule type="expression" dxfId="158" priority="65">
      <formula>ISBLANK(M2068)</formula>
    </cfRule>
  </conditionalFormatting>
  <conditionalFormatting sqref="M2083:P2085">
    <cfRule type="expression" dxfId="157" priority="62">
      <formula>ISBLANK(M2083)</formula>
    </cfRule>
  </conditionalFormatting>
  <conditionalFormatting sqref="M2092:P2093">
    <cfRule type="expression" dxfId="156" priority="60">
      <formula>ISBLANK(M2092)</formula>
    </cfRule>
  </conditionalFormatting>
  <conditionalFormatting sqref="M2101:P2102">
    <cfRule type="expression" dxfId="155" priority="56">
      <formula>ISBLANK(M2101)</formula>
    </cfRule>
  </conditionalFormatting>
  <conditionalFormatting sqref="M2104:P2104">
    <cfRule type="expression" dxfId="154" priority="54">
      <formula>ISBLANK(M2104)</formula>
    </cfRule>
  </conditionalFormatting>
  <conditionalFormatting sqref="N1:N1955">
    <cfRule type="expression" dxfId="153" priority="85">
      <formula>ISBLANK(N1)</formula>
    </cfRule>
  </conditionalFormatting>
  <conditionalFormatting sqref="O1:O1931">
    <cfRule type="expression" dxfId="152" priority="84">
      <formula>ISBLANK(O1)</formula>
    </cfRule>
  </conditionalFormatting>
  <conditionalFormatting sqref="O1933:O1955">
    <cfRule type="expression" dxfId="151" priority="89">
      <formula>ISBLANK(O1933)</formula>
    </cfRule>
  </conditionalFormatting>
  <conditionalFormatting sqref="O2107:P2129">
    <cfRule type="expression" dxfId="150" priority="49">
      <formula>ISBLANK(O2107)</formula>
    </cfRule>
  </conditionalFormatting>
  <conditionalFormatting sqref="O2148:P2156">
    <cfRule type="expression" dxfId="149" priority="20">
      <formula>ISBLANK(O2148)</formula>
    </cfRule>
  </conditionalFormatting>
  <conditionalFormatting sqref="P1:P1955">
    <cfRule type="expression" dxfId="148" priority="38">
      <formula>ISBLANK(P1)</formula>
    </cfRule>
  </conditionalFormatting>
  <conditionalFormatting sqref="P2042:P2047">
    <cfRule type="expression" dxfId="147" priority="71">
      <formula>ISBLANK(P2042)</formula>
    </cfRule>
  </conditionalFormatting>
  <conditionalFormatting sqref="P2050:P2063">
    <cfRule type="expression" dxfId="146" priority="67">
      <formula>ISBLANK(P2050)</formula>
    </cfRule>
  </conditionalFormatting>
  <conditionalFormatting sqref="P2157:P2169">
    <cfRule type="expression" dxfId="145" priority="37">
      <formula>ISBLANK(P2157)</formula>
    </cfRule>
  </conditionalFormatting>
  <conditionalFormatting sqref="P2172:P2186">
    <cfRule type="expression" dxfId="144" priority="13">
      <formula>ISBLANK(P2172)</formula>
    </cfRule>
  </conditionalFormatting>
  <conditionalFormatting sqref="P2238:P2245">
    <cfRule type="expression" dxfId="143" priority="10">
      <formula>ISBLANK(P2238)</formula>
    </cfRule>
  </conditionalFormatting>
  <conditionalFormatting sqref="P2249">
    <cfRule type="expression" dxfId="142" priority="6">
      <formula>ISBLANK(P2249)</formula>
    </cfRule>
  </conditionalFormatting>
  <conditionalFormatting sqref="Q1:XFD1931">
    <cfRule type="expression" dxfId="141" priority="94">
      <formula>ISBLANK(Q1)</formula>
    </cfRule>
  </conditionalFormatting>
  <conditionalFormatting sqref="Q1933:XFD1048576">
    <cfRule type="expression" dxfId="140" priority="7">
      <formula>ISBLANK(Q1933)</formula>
    </cfRule>
  </conditionalFormatting>
  <pageMargins left="0.7" right="0.7" top="0.78740157499999996" bottom="0.78740157499999996"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3E4F2-4B4D-45A1-9D63-5E701975CB80}">
  <sheetPr codeName="Tabelle6"/>
  <dimension ref="A1:N176"/>
  <sheetViews>
    <sheetView workbookViewId="0">
      <selection activeCell="K27" sqref="K27"/>
    </sheetView>
  </sheetViews>
  <sheetFormatPr baseColWidth="10" defaultRowHeight="15"/>
  <cols>
    <col min="5" max="5" width="69.5703125" bestFit="1" customWidth="1"/>
    <col min="14" max="14" width="64" bestFit="1" customWidth="1"/>
  </cols>
  <sheetData>
    <row r="1" spans="1:14" s="87" customFormat="1" ht="26.25" thickBot="1">
      <c r="A1" s="58" t="s">
        <v>6605</v>
      </c>
      <c r="B1" s="58" t="s">
        <v>3813</v>
      </c>
      <c r="C1" s="58" t="s">
        <v>22186</v>
      </c>
      <c r="D1" s="58" t="s">
        <v>22187</v>
      </c>
      <c r="E1" s="89" t="s">
        <v>2544</v>
      </c>
      <c r="F1" s="58" t="s">
        <v>22188</v>
      </c>
      <c r="G1" s="58" t="s">
        <v>22189</v>
      </c>
      <c r="H1" s="58" t="s">
        <v>22223</v>
      </c>
      <c r="I1" s="58" t="s">
        <v>22250</v>
      </c>
      <c r="N1" s="113" t="s">
        <v>22249</v>
      </c>
    </row>
    <row r="2" spans="1:14" ht="15" customHeight="1">
      <c r="A2" s="60">
        <v>750</v>
      </c>
      <c r="B2" s="60" t="s">
        <v>18061</v>
      </c>
      <c r="C2" s="60" t="s">
        <v>21961</v>
      </c>
      <c r="D2" s="60" t="s">
        <v>21961</v>
      </c>
      <c r="E2" s="88" t="s">
        <v>17994</v>
      </c>
      <c r="F2" s="140">
        <v>28.9</v>
      </c>
      <c r="G2" s="140">
        <f>F2*1.1</f>
        <v>31.790000000000003</v>
      </c>
      <c r="H2" s="78">
        <v>0.27600000000000002</v>
      </c>
      <c r="I2" s="78"/>
      <c r="J2" s="111"/>
      <c r="K2" s="112"/>
      <c r="L2" s="112"/>
    </row>
    <row r="3" spans="1:14" ht="15" customHeight="1">
      <c r="A3" s="60">
        <v>1350</v>
      </c>
      <c r="B3" s="60" t="s">
        <v>18061</v>
      </c>
      <c r="C3" s="60" t="s">
        <v>21962</v>
      </c>
      <c r="D3" s="60" t="s">
        <v>21962</v>
      </c>
      <c r="E3" s="88" t="s">
        <v>17994</v>
      </c>
      <c r="F3" s="141">
        <v>33.799999999999997</v>
      </c>
      <c r="G3" s="141">
        <f>F3*1.1</f>
        <v>37.18</v>
      </c>
      <c r="H3" s="60">
        <v>0.497</v>
      </c>
      <c r="I3" s="60"/>
      <c r="J3" s="111"/>
      <c r="K3" s="112"/>
      <c r="L3" s="112"/>
    </row>
    <row r="4" spans="1:14" ht="15" customHeight="1">
      <c r="A4" s="60">
        <v>1750</v>
      </c>
      <c r="B4" s="60" t="s">
        <v>18061</v>
      </c>
      <c r="C4" s="60" t="s">
        <v>21986</v>
      </c>
      <c r="D4" s="60" t="s">
        <v>21986</v>
      </c>
      <c r="E4" s="88" t="s">
        <v>17994</v>
      </c>
      <c r="F4" s="141">
        <v>45.4</v>
      </c>
      <c r="G4" s="141">
        <f t="shared" ref="G4:G67" si="0">F4*1.1</f>
        <v>49.940000000000005</v>
      </c>
      <c r="H4" s="60">
        <v>0.64400000000000002</v>
      </c>
      <c r="I4" s="60"/>
      <c r="J4" s="111"/>
      <c r="K4" s="112"/>
      <c r="L4" s="112"/>
    </row>
    <row r="5" spans="1:14" ht="15" customHeight="1">
      <c r="A5" s="60">
        <v>2150</v>
      </c>
      <c r="B5" s="60" t="s">
        <v>18061</v>
      </c>
      <c r="C5" s="60" t="s">
        <v>21987</v>
      </c>
      <c r="D5" s="60" t="s">
        <v>21987</v>
      </c>
      <c r="E5" s="88" t="s">
        <v>17994</v>
      </c>
      <c r="F5" s="141">
        <v>57.9</v>
      </c>
      <c r="G5" s="141">
        <f t="shared" si="0"/>
        <v>63.690000000000005</v>
      </c>
      <c r="H5" s="60">
        <v>0.79100000000000004</v>
      </c>
      <c r="I5" s="60"/>
      <c r="J5" s="111"/>
      <c r="K5" s="112"/>
      <c r="L5" s="112"/>
    </row>
    <row r="6" spans="1:14" ht="15" customHeight="1">
      <c r="A6" s="60">
        <v>750</v>
      </c>
      <c r="B6" s="60" t="s">
        <v>18061</v>
      </c>
      <c r="C6" s="60" t="s">
        <v>21963</v>
      </c>
      <c r="D6" s="60" t="s">
        <v>21963</v>
      </c>
      <c r="E6" s="88" t="s">
        <v>18134</v>
      </c>
      <c r="F6" s="141">
        <v>27.8</v>
      </c>
      <c r="G6" s="141">
        <f t="shared" si="0"/>
        <v>30.580000000000002</v>
      </c>
      <c r="H6" s="60">
        <v>0.35199999999999998</v>
      </c>
      <c r="I6" s="60"/>
      <c r="K6" s="112"/>
      <c r="L6" s="112"/>
    </row>
    <row r="7" spans="1:14" ht="15" customHeight="1">
      <c r="A7" s="60">
        <v>1350</v>
      </c>
      <c r="B7" s="60" t="s">
        <v>18061</v>
      </c>
      <c r="C7" s="60" t="s">
        <v>21964</v>
      </c>
      <c r="D7" s="60" t="s">
        <v>21964</v>
      </c>
      <c r="E7" s="88" t="s">
        <v>18134</v>
      </c>
      <c r="F7" s="141">
        <v>33.65</v>
      </c>
      <c r="G7" s="141">
        <f t="shared" si="0"/>
        <v>37.015000000000001</v>
      </c>
      <c r="H7" s="60">
        <v>0.63300000000000001</v>
      </c>
      <c r="I7" s="60"/>
      <c r="J7" s="111"/>
      <c r="K7" s="112"/>
      <c r="L7" s="112"/>
    </row>
    <row r="8" spans="1:14" ht="15" customHeight="1">
      <c r="A8" s="60">
        <v>1750</v>
      </c>
      <c r="B8" s="60" t="s">
        <v>18061</v>
      </c>
      <c r="C8" s="60" t="s">
        <v>21965</v>
      </c>
      <c r="D8" s="60" t="s">
        <v>21965</v>
      </c>
      <c r="E8" s="88" t="s">
        <v>18134</v>
      </c>
      <c r="F8" s="141">
        <v>37.5</v>
      </c>
      <c r="G8" s="141">
        <f t="shared" si="0"/>
        <v>41.25</v>
      </c>
      <c r="H8" s="60">
        <v>0.82099999999999995</v>
      </c>
      <c r="I8" s="60"/>
      <c r="J8" s="111"/>
      <c r="K8" s="112"/>
      <c r="L8" s="112"/>
    </row>
    <row r="9" spans="1:14" ht="15" customHeight="1">
      <c r="A9" s="60">
        <v>2150</v>
      </c>
      <c r="B9" s="60" t="s">
        <v>18061</v>
      </c>
      <c r="C9" s="60" t="s">
        <v>21966</v>
      </c>
      <c r="D9" s="60" t="s">
        <v>21966</v>
      </c>
      <c r="E9" s="88" t="s">
        <v>18134</v>
      </c>
      <c r="F9" s="141">
        <v>41.4</v>
      </c>
      <c r="G9" s="141">
        <f t="shared" si="0"/>
        <v>45.54</v>
      </c>
      <c r="H9" s="60">
        <v>1.008</v>
      </c>
      <c r="I9" s="60"/>
      <c r="J9" s="111"/>
      <c r="K9" s="112"/>
      <c r="L9" s="112"/>
    </row>
    <row r="10" spans="1:14" ht="15" customHeight="1">
      <c r="A10" s="60">
        <v>750</v>
      </c>
      <c r="B10" s="60" t="s">
        <v>18061</v>
      </c>
      <c r="C10" s="60" t="s">
        <v>21967</v>
      </c>
      <c r="D10" s="60" t="s">
        <v>21967</v>
      </c>
      <c r="E10" s="88" t="s">
        <v>18147</v>
      </c>
      <c r="F10" s="141">
        <v>34.950000000000003</v>
      </c>
      <c r="G10" s="141">
        <f t="shared" si="0"/>
        <v>38.445000000000007</v>
      </c>
      <c r="H10" s="60">
        <v>0.58699999999999997</v>
      </c>
      <c r="I10" s="60"/>
      <c r="J10" s="111"/>
    </row>
    <row r="11" spans="1:14" ht="15" customHeight="1">
      <c r="A11" s="60">
        <v>1350</v>
      </c>
      <c r="B11" s="60" t="s">
        <v>18061</v>
      </c>
      <c r="C11" s="60" t="s">
        <v>21968</v>
      </c>
      <c r="D11" s="60" t="s">
        <v>21968</v>
      </c>
      <c r="E11" s="88" t="s">
        <v>18147</v>
      </c>
      <c r="F11" s="141">
        <v>46.4</v>
      </c>
      <c r="G11" s="141">
        <f t="shared" si="0"/>
        <v>51.04</v>
      </c>
      <c r="H11" s="60">
        <v>1.056</v>
      </c>
      <c r="I11" s="60"/>
      <c r="J11" s="111"/>
    </row>
    <row r="12" spans="1:14" ht="15" customHeight="1">
      <c r="A12" s="60">
        <v>1750</v>
      </c>
      <c r="B12" s="60" t="s">
        <v>18061</v>
      </c>
      <c r="C12" s="60" t="s">
        <v>21969</v>
      </c>
      <c r="D12" s="60" t="s">
        <v>21969</v>
      </c>
      <c r="E12" s="88" t="s">
        <v>18147</v>
      </c>
      <c r="F12" s="141">
        <v>54.05</v>
      </c>
      <c r="G12" s="141">
        <f t="shared" si="0"/>
        <v>59.454999999999998</v>
      </c>
      <c r="H12" s="60">
        <v>1.369</v>
      </c>
      <c r="I12" s="60"/>
      <c r="J12" s="111"/>
    </row>
    <row r="13" spans="1:14" ht="15" customHeight="1">
      <c r="A13" s="60">
        <v>2150</v>
      </c>
      <c r="B13" s="60" t="s">
        <v>18061</v>
      </c>
      <c r="C13" s="60" t="s">
        <v>21970</v>
      </c>
      <c r="D13" s="60" t="s">
        <v>21970</v>
      </c>
      <c r="E13" s="88" t="s">
        <v>18147</v>
      </c>
      <c r="F13" s="141">
        <v>61.65</v>
      </c>
      <c r="G13" s="141">
        <f t="shared" si="0"/>
        <v>67.814999999999998</v>
      </c>
      <c r="H13" s="60">
        <v>1.681</v>
      </c>
      <c r="I13" s="60"/>
      <c r="J13" s="111"/>
    </row>
    <row r="14" spans="1:14" ht="15" customHeight="1">
      <c r="A14" s="60">
        <v>750</v>
      </c>
      <c r="B14" s="60" t="s">
        <v>18061</v>
      </c>
      <c r="C14" s="60" t="s">
        <v>21951</v>
      </c>
      <c r="D14" s="60" t="s">
        <v>21951</v>
      </c>
      <c r="E14" s="88" t="s">
        <v>18008</v>
      </c>
      <c r="F14" s="141">
        <v>103.1</v>
      </c>
      <c r="G14" s="141">
        <f t="shared" si="0"/>
        <v>113.41</v>
      </c>
      <c r="H14" s="60">
        <v>0.29499999999999998</v>
      </c>
      <c r="I14" s="60"/>
      <c r="J14" s="111"/>
    </row>
    <row r="15" spans="1:14" ht="15" customHeight="1">
      <c r="A15" s="60">
        <v>1350</v>
      </c>
      <c r="B15" s="60" t="s">
        <v>18061</v>
      </c>
      <c r="C15" s="60" t="s">
        <v>21952</v>
      </c>
      <c r="D15" s="60" t="s">
        <v>21952</v>
      </c>
      <c r="E15" s="88" t="s">
        <v>18008</v>
      </c>
      <c r="F15" s="141">
        <v>108</v>
      </c>
      <c r="G15" s="141">
        <f t="shared" si="0"/>
        <v>118.80000000000001</v>
      </c>
      <c r="H15" s="60">
        <v>0.51600000000000001</v>
      </c>
      <c r="I15" s="60"/>
      <c r="J15" s="111"/>
    </row>
    <row r="16" spans="1:14" ht="15" customHeight="1">
      <c r="A16" s="60">
        <v>1750</v>
      </c>
      <c r="B16" s="60" t="s">
        <v>18061</v>
      </c>
      <c r="C16" s="60" t="s">
        <v>21988</v>
      </c>
      <c r="D16" s="60" t="s">
        <v>21988</v>
      </c>
      <c r="E16" s="88" t="s">
        <v>22017</v>
      </c>
      <c r="F16" s="141">
        <v>113.85</v>
      </c>
      <c r="G16" s="141">
        <f t="shared" si="0"/>
        <v>125.235</v>
      </c>
      <c r="H16" s="60">
        <v>0.66300000000000003</v>
      </c>
      <c r="I16" s="60"/>
      <c r="J16" s="111"/>
    </row>
    <row r="17" spans="1:10" ht="15" customHeight="1">
      <c r="A17" s="60">
        <v>2150</v>
      </c>
      <c r="B17" s="60" t="s">
        <v>18061</v>
      </c>
      <c r="C17" s="60" t="s">
        <v>22642</v>
      </c>
      <c r="D17" s="60" t="s">
        <v>22642</v>
      </c>
      <c r="E17" s="88" t="s">
        <v>22018</v>
      </c>
      <c r="F17" s="141">
        <v>119.8</v>
      </c>
      <c r="G17" s="141">
        <f t="shared" si="0"/>
        <v>131.78</v>
      </c>
      <c r="H17" s="60">
        <v>0.81</v>
      </c>
      <c r="I17" s="60"/>
      <c r="J17" s="111"/>
    </row>
    <row r="18" spans="1:10" ht="15" customHeight="1">
      <c r="A18" s="60">
        <v>750</v>
      </c>
      <c r="B18" s="60" t="s">
        <v>18061</v>
      </c>
      <c r="C18" s="60" t="s">
        <v>21953</v>
      </c>
      <c r="D18" s="60" t="s">
        <v>21953</v>
      </c>
      <c r="E18" s="88" t="s">
        <v>18173</v>
      </c>
      <c r="F18" s="141">
        <v>109.25</v>
      </c>
      <c r="G18" s="141">
        <f t="shared" si="0"/>
        <v>120.17500000000001</v>
      </c>
      <c r="H18" s="60">
        <v>0.38500000000000001</v>
      </c>
      <c r="I18" s="60"/>
      <c r="J18" s="111"/>
    </row>
    <row r="19" spans="1:10" ht="15" customHeight="1">
      <c r="A19" s="60">
        <v>1350</v>
      </c>
      <c r="B19" s="60" t="s">
        <v>18061</v>
      </c>
      <c r="C19" s="60" t="s">
        <v>21954</v>
      </c>
      <c r="D19" s="60" t="s">
        <v>21954</v>
      </c>
      <c r="E19" s="88" t="s">
        <v>18173</v>
      </c>
      <c r="F19" s="141">
        <v>115.25</v>
      </c>
      <c r="G19" s="141">
        <f t="shared" si="0"/>
        <v>126.77500000000001</v>
      </c>
      <c r="H19" s="60">
        <v>0.66600000000000004</v>
      </c>
      <c r="I19" s="60"/>
      <c r="J19" s="111"/>
    </row>
    <row r="20" spans="1:10" ht="15" customHeight="1">
      <c r="A20" s="60">
        <v>1750</v>
      </c>
      <c r="B20" s="60" t="s">
        <v>18061</v>
      </c>
      <c r="C20" s="60" t="s">
        <v>21955</v>
      </c>
      <c r="D20" s="60" t="s">
        <v>21955</v>
      </c>
      <c r="E20" s="88" t="s">
        <v>18173</v>
      </c>
      <c r="F20" s="141">
        <v>118.9</v>
      </c>
      <c r="G20" s="141">
        <f t="shared" si="0"/>
        <v>130.79000000000002</v>
      </c>
      <c r="H20" s="60">
        <v>0.85399999999999998</v>
      </c>
      <c r="I20" s="60"/>
      <c r="J20" s="111"/>
    </row>
    <row r="21" spans="1:10" ht="15" customHeight="1">
      <c r="A21" s="60">
        <v>2150</v>
      </c>
      <c r="B21" s="60" t="s">
        <v>18061</v>
      </c>
      <c r="C21" s="60" t="s">
        <v>21956</v>
      </c>
      <c r="D21" s="60" t="s">
        <v>21956</v>
      </c>
      <c r="E21" s="88" t="s">
        <v>18173</v>
      </c>
      <c r="F21" s="141">
        <v>122.75</v>
      </c>
      <c r="G21" s="141">
        <f t="shared" si="0"/>
        <v>135.02500000000001</v>
      </c>
      <c r="H21" s="60">
        <v>1.0409999999999999</v>
      </c>
      <c r="I21" s="60"/>
      <c r="J21" s="111"/>
    </row>
    <row r="22" spans="1:10" ht="15" customHeight="1">
      <c r="A22" s="60">
        <v>750</v>
      </c>
      <c r="B22" s="60" t="s">
        <v>18061</v>
      </c>
      <c r="C22" s="60" t="s">
        <v>21957</v>
      </c>
      <c r="D22" s="60" t="s">
        <v>21957</v>
      </c>
      <c r="E22" s="88" t="s">
        <v>18186</v>
      </c>
      <c r="F22" s="141">
        <v>116.35</v>
      </c>
      <c r="G22" s="141">
        <f t="shared" si="0"/>
        <v>127.985</v>
      </c>
      <c r="H22" s="60">
        <v>0.64100000000000001</v>
      </c>
      <c r="I22" s="60"/>
      <c r="J22" s="111"/>
    </row>
    <row r="23" spans="1:10" ht="15" customHeight="1">
      <c r="A23" s="60">
        <v>1350</v>
      </c>
      <c r="B23" s="60" t="s">
        <v>18061</v>
      </c>
      <c r="C23" s="60" t="s">
        <v>21958</v>
      </c>
      <c r="D23" s="60" t="s">
        <v>21958</v>
      </c>
      <c r="E23" s="88" t="s">
        <v>18186</v>
      </c>
      <c r="F23" s="141">
        <v>127.7</v>
      </c>
      <c r="G23" s="141">
        <f t="shared" si="0"/>
        <v>140.47000000000003</v>
      </c>
      <c r="H23" s="60">
        <v>1.1100000000000001</v>
      </c>
      <c r="I23" s="60"/>
      <c r="J23" s="111"/>
    </row>
    <row r="24" spans="1:10" ht="15" customHeight="1">
      <c r="A24" s="60">
        <v>1750</v>
      </c>
      <c r="B24" s="60" t="s">
        <v>18061</v>
      </c>
      <c r="C24" s="60" t="s">
        <v>21959</v>
      </c>
      <c r="D24" s="60" t="s">
        <v>21959</v>
      </c>
      <c r="E24" s="88" t="s">
        <v>18186</v>
      </c>
      <c r="F24" s="141">
        <v>135.44999999999999</v>
      </c>
      <c r="G24" s="141">
        <f t="shared" si="0"/>
        <v>148.995</v>
      </c>
      <c r="H24" s="60">
        <v>1.423</v>
      </c>
      <c r="I24" s="60"/>
      <c r="J24" s="111"/>
    </row>
    <row r="25" spans="1:10" ht="15" customHeight="1">
      <c r="A25" s="60">
        <v>2150</v>
      </c>
      <c r="B25" s="60" t="s">
        <v>18061</v>
      </c>
      <c r="C25" s="60" t="s">
        <v>21960</v>
      </c>
      <c r="D25" s="60" t="s">
        <v>21960</v>
      </c>
      <c r="E25" s="88" t="s">
        <v>18186</v>
      </c>
      <c r="F25" s="141">
        <v>143.05000000000001</v>
      </c>
      <c r="G25" s="141">
        <f t="shared" si="0"/>
        <v>157.35500000000002</v>
      </c>
      <c r="H25" s="60">
        <v>1.736</v>
      </c>
      <c r="I25" s="60"/>
      <c r="J25" s="111"/>
    </row>
    <row r="26" spans="1:10" ht="15" customHeight="1">
      <c r="A26" s="60"/>
      <c r="B26" s="60" t="s">
        <v>18061</v>
      </c>
      <c r="C26" s="60" t="s">
        <v>25459</v>
      </c>
      <c r="D26" s="60" t="s">
        <v>25459</v>
      </c>
      <c r="E26" s="88" t="s">
        <v>21873</v>
      </c>
      <c r="F26" s="141"/>
      <c r="G26" s="141"/>
      <c r="H26" s="60"/>
      <c r="I26" s="60"/>
      <c r="J26" s="111"/>
    </row>
    <row r="27" spans="1:10" ht="15" customHeight="1">
      <c r="A27" s="60"/>
      <c r="B27" s="60" t="s">
        <v>18061</v>
      </c>
      <c r="C27" s="60" t="s">
        <v>25460</v>
      </c>
      <c r="D27" s="60" t="s">
        <v>25460</v>
      </c>
      <c r="E27" s="88" t="s">
        <v>21874</v>
      </c>
      <c r="F27" s="141"/>
      <c r="G27" s="141"/>
      <c r="H27" s="60"/>
      <c r="I27" s="60"/>
    </row>
    <row r="28" spans="1:10" ht="15" customHeight="1">
      <c r="A28" s="60"/>
      <c r="B28" s="60" t="s">
        <v>18022</v>
      </c>
      <c r="C28" s="60" t="s">
        <v>25458</v>
      </c>
      <c r="D28" s="60" t="s">
        <v>25458</v>
      </c>
      <c r="E28" s="88" t="s">
        <v>18345</v>
      </c>
      <c r="F28" s="141"/>
      <c r="G28" s="141"/>
      <c r="H28" s="60"/>
      <c r="I28" s="60"/>
    </row>
    <row r="29" spans="1:10" ht="15" customHeight="1">
      <c r="A29" s="60"/>
      <c r="B29" s="60" t="s">
        <v>18042</v>
      </c>
      <c r="C29" s="60" t="s">
        <v>21943</v>
      </c>
      <c r="D29" s="60" t="s">
        <v>21943</v>
      </c>
      <c r="E29" s="88" t="s">
        <v>18627</v>
      </c>
      <c r="F29" s="141">
        <v>29.7</v>
      </c>
      <c r="G29" s="141"/>
      <c r="H29" s="60"/>
      <c r="I29" s="60"/>
    </row>
    <row r="30" spans="1:10" ht="15" customHeight="1">
      <c r="A30" s="60"/>
      <c r="B30" s="60" t="s">
        <v>18042</v>
      </c>
      <c r="C30" s="60" t="s">
        <v>21944</v>
      </c>
      <c r="D30" s="60" t="s">
        <v>21944</v>
      </c>
      <c r="E30" s="88" t="s">
        <v>18640</v>
      </c>
      <c r="F30" s="141">
        <v>29.7</v>
      </c>
      <c r="G30" s="141"/>
      <c r="H30" s="60"/>
      <c r="I30" s="60"/>
    </row>
    <row r="31" spans="1:10" ht="15" customHeight="1">
      <c r="A31" s="60"/>
      <c r="B31" s="60" t="s">
        <v>18042</v>
      </c>
      <c r="C31" s="60" t="s">
        <v>21945</v>
      </c>
      <c r="D31" s="60" t="s">
        <v>21945</v>
      </c>
      <c r="E31" s="88" t="s">
        <v>18653</v>
      </c>
      <c r="F31" s="141">
        <v>47.9</v>
      </c>
      <c r="G31" s="141"/>
      <c r="H31" s="60"/>
      <c r="I31" s="60"/>
    </row>
    <row r="32" spans="1:10" ht="15" customHeight="1">
      <c r="A32" s="60"/>
      <c r="B32" s="60" t="s">
        <v>18061</v>
      </c>
      <c r="C32" s="60" t="s">
        <v>21934</v>
      </c>
      <c r="D32" s="60" t="s">
        <v>21934</v>
      </c>
      <c r="E32" s="88" t="s">
        <v>21867</v>
      </c>
      <c r="F32" s="141">
        <v>439.95</v>
      </c>
      <c r="G32" s="141"/>
      <c r="H32" s="60">
        <v>7.6230000000000002</v>
      </c>
      <c r="I32" s="60"/>
    </row>
    <row r="33" spans="1:10" ht="15" customHeight="1">
      <c r="A33" s="60"/>
      <c r="B33" s="60" t="s">
        <v>18061</v>
      </c>
      <c r="C33" s="60" t="s">
        <v>21935</v>
      </c>
      <c r="D33" s="60" t="s">
        <v>21935</v>
      </c>
      <c r="E33" s="88" t="s">
        <v>21868</v>
      </c>
      <c r="F33" s="141">
        <v>767.55</v>
      </c>
      <c r="G33" s="141"/>
      <c r="H33" s="60" t="s">
        <v>21826</v>
      </c>
      <c r="I33" s="60"/>
    </row>
    <row r="34" spans="1:10" ht="15" customHeight="1">
      <c r="A34" s="60"/>
      <c r="B34" s="60" t="s">
        <v>18061</v>
      </c>
      <c r="C34" s="60" t="s">
        <v>21936</v>
      </c>
      <c r="D34" s="60" t="s">
        <v>21936</v>
      </c>
      <c r="E34" s="88" t="s">
        <v>21869</v>
      </c>
      <c r="F34" s="141">
        <v>850.8</v>
      </c>
      <c r="G34" s="141"/>
      <c r="H34" s="60">
        <v>15.847</v>
      </c>
      <c r="I34" s="60"/>
    </row>
    <row r="35" spans="1:10" ht="15" customHeight="1">
      <c r="A35" s="60"/>
      <c r="B35" s="60" t="s">
        <v>18061</v>
      </c>
      <c r="C35" s="60" t="s">
        <v>21937</v>
      </c>
      <c r="D35" s="60" t="s">
        <v>21937</v>
      </c>
      <c r="E35" s="88" t="s">
        <v>21870</v>
      </c>
      <c r="F35" s="141">
        <v>1090.3</v>
      </c>
      <c r="G35" s="141"/>
      <c r="H35" s="60" t="s">
        <v>21826</v>
      </c>
      <c r="I35" s="60"/>
    </row>
    <row r="36" spans="1:10" ht="15" customHeight="1">
      <c r="A36" s="60"/>
      <c r="B36" s="60" t="s">
        <v>18044</v>
      </c>
      <c r="C36" s="60" t="s">
        <v>21877</v>
      </c>
      <c r="D36" s="60" t="s">
        <v>21877</v>
      </c>
      <c r="E36" s="88" t="s">
        <v>18765</v>
      </c>
      <c r="F36" s="141">
        <v>104.55</v>
      </c>
      <c r="G36" s="141">
        <f t="shared" si="0"/>
        <v>115.00500000000001</v>
      </c>
      <c r="H36" s="60"/>
      <c r="I36" s="60">
        <v>2.9849999999999999</v>
      </c>
    </row>
    <row r="37" spans="1:10" ht="15" customHeight="1">
      <c r="A37" s="60"/>
      <c r="B37" s="60" t="s">
        <v>18044</v>
      </c>
      <c r="C37" s="60" t="s">
        <v>21878</v>
      </c>
      <c r="D37" s="60" t="s">
        <v>21878</v>
      </c>
      <c r="E37" s="88" t="s">
        <v>18778</v>
      </c>
      <c r="F37" s="141">
        <v>138.30000000000001</v>
      </c>
      <c r="G37" s="141">
        <f t="shared" si="0"/>
        <v>152.13000000000002</v>
      </c>
      <c r="H37" s="60"/>
      <c r="I37" s="60">
        <v>5.6239999999999997</v>
      </c>
    </row>
    <row r="38" spans="1:10" ht="15" customHeight="1">
      <c r="A38" s="60"/>
      <c r="B38" s="60" t="s">
        <v>18044</v>
      </c>
      <c r="C38" s="60" t="s">
        <v>21879</v>
      </c>
      <c r="D38" s="60" t="s">
        <v>21879</v>
      </c>
      <c r="E38" s="88" t="s">
        <v>18791</v>
      </c>
      <c r="F38" s="141">
        <v>132.1</v>
      </c>
      <c r="G38" s="141">
        <f t="shared" si="0"/>
        <v>145.31</v>
      </c>
      <c r="H38" s="60"/>
      <c r="I38" s="60">
        <v>4.117</v>
      </c>
    </row>
    <row r="39" spans="1:10" ht="15" customHeight="1">
      <c r="A39" s="60"/>
      <c r="B39" s="60" t="s">
        <v>18044</v>
      </c>
      <c r="C39" s="60" t="s">
        <v>21880</v>
      </c>
      <c r="D39" s="60" t="s">
        <v>21880</v>
      </c>
      <c r="E39" s="88" t="s">
        <v>18803</v>
      </c>
      <c r="F39" s="141">
        <v>203.05</v>
      </c>
      <c r="G39" s="141">
        <f t="shared" si="0"/>
        <v>223.35500000000002</v>
      </c>
      <c r="H39" s="60"/>
      <c r="I39" s="60">
        <v>7.7839999999999998</v>
      </c>
    </row>
    <row r="40" spans="1:10" ht="15" customHeight="1">
      <c r="A40" s="60"/>
      <c r="B40" s="60" t="s">
        <v>18072</v>
      </c>
      <c r="C40" s="60" t="s">
        <v>21947</v>
      </c>
      <c r="D40" s="60" t="s">
        <v>21947</v>
      </c>
      <c r="E40" s="88" t="s">
        <v>18815</v>
      </c>
      <c r="F40" s="141">
        <v>72.599999999999994</v>
      </c>
      <c r="G40" s="141"/>
      <c r="H40" s="60"/>
      <c r="I40" s="60"/>
    </row>
    <row r="41" spans="1:10" ht="15" customHeight="1">
      <c r="A41" s="60"/>
      <c r="B41" s="60" t="s">
        <v>18072</v>
      </c>
      <c r="C41" s="60" t="s">
        <v>21946</v>
      </c>
      <c r="D41" s="60" t="s">
        <v>21946</v>
      </c>
      <c r="E41" s="88" t="s">
        <v>18828</v>
      </c>
      <c r="F41" s="141">
        <v>73.45</v>
      </c>
      <c r="G41" s="141"/>
      <c r="H41" s="60"/>
      <c r="I41" s="60"/>
    </row>
    <row r="42" spans="1:10" ht="15" customHeight="1">
      <c r="A42" s="60"/>
      <c r="B42" s="60" t="s">
        <v>18061</v>
      </c>
      <c r="C42" s="60" t="s">
        <v>21977</v>
      </c>
      <c r="D42" s="60" t="s">
        <v>21977</v>
      </c>
      <c r="E42" s="88" t="s">
        <v>18841</v>
      </c>
      <c r="F42" s="141"/>
      <c r="G42" s="141"/>
      <c r="H42" s="60"/>
      <c r="I42" s="60"/>
    </row>
    <row r="43" spans="1:10" ht="15" customHeight="1">
      <c r="A43" s="60"/>
      <c r="B43" s="60" t="s">
        <v>18042</v>
      </c>
      <c r="C43" s="60" t="s">
        <v>21974</v>
      </c>
      <c r="D43" s="60" t="s">
        <v>21974</v>
      </c>
      <c r="E43" s="88" t="s">
        <v>18917</v>
      </c>
      <c r="F43" s="141">
        <v>38.1</v>
      </c>
      <c r="G43" s="141"/>
      <c r="H43" s="60"/>
      <c r="I43" s="60"/>
    </row>
    <row r="44" spans="1:10" ht="15" customHeight="1">
      <c r="A44" s="60"/>
      <c r="B44" s="60" t="s">
        <v>18042</v>
      </c>
      <c r="C44" s="60" t="s">
        <v>21949</v>
      </c>
      <c r="D44" s="60" t="s">
        <v>21949</v>
      </c>
      <c r="E44" s="88" t="s">
        <v>18931</v>
      </c>
      <c r="F44" s="141">
        <v>58.65</v>
      </c>
      <c r="G44" s="141"/>
      <c r="H44" s="60"/>
      <c r="I44" s="60"/>
    </row>
    <row r="45" spans="1:10" ht="15" customHeight="1">
      <c r="A45" s="60"/>
      <c r="B45" s="60" t="s">
        <v>18042</v>
      </c>
      <c r="C45" s="60" t="s">
        <v>21950</v>
      </c>
      <c r="D45" s="60" t="s">
        <v>21950</v>
      </c>
      <c r="E45" s="88" t="s">
        <v>18942</v>
      </c>
      <c r="F45" s="141">
        <v>99.05</v>
      </c>
      <c r="G45" s="141"/>
      <c r="H45" s="60"/>
      <c r="I45" s="60"/>
    </row>
    <row r="46" spans="1:10" ht="15" customHeight="1">
      <c r="A46" s="60"/>
      <c r="B46" s="60" t="s">
        <v>18061</v>
      </c>
      <c r="C46" s="60" t="s">
        <v>21978</v>
      </c>
      <c r="D46" s="60" t="s">
        <v>21978</v>
      </c>
      <c r="E46" s="88" t="s">
        <v>19014</v>
      </c>
      <c r="F46" s="141">
        <v>49.75</v>
      </c>
      <c r="G46" s="141"/>
      <c r="H46" s="60"/>
      <c r="I46" s="60"/>
    </row>
    <row r="47" spans="1:10" ht="15" customHeight="1">
      <c r="A47" s="60"/>
      <c r="B47" s="60" t="s">
        <v>18061</v>
      </c>
      <c r="C47" s="60" t="s">
        <v>21979</v>
      </c>
      <c r="D47" s="60" t="s">
        <v>21979</v>
      </c>
      <c r="E47" s="88" t="s">
        <v>19027</v>
      </c>
      <c r="F47" s="141">
        <v>49.75</v>
      </c>
      <c r="G47" s="141"/>
      <c r="H47" s="60"/>
      <c r="I47" s="60"/>
    </row>
    <row r="48" spans="1:10" ht="15" customHeight="1">
      <c r="A48" s="60">
        <v>750</v>
      </c>
      <c r="B48" s="60" t="s">
        <v>18061</v>
      </c>
      <c r="C48" s="60" t="s">
        <v>21884</v>
      </c>
      <c r="D48" s="60" t="s">
        <v>21884</v>
      </c>
      <c r="E48" s="88" t="s">
        <v>21861</v>
      </c>
      <c r="F48" s="141">
        <v>95</v>
      </c>
      <c r="G48" s="141">
        <f t="shared" si="0"/>
        <v>104.50000000000001</v>
      </c>
      <c r="H48" s="60">
        <v>3</v>
      </c>
      <c r="I48" s="60"/>
      <c r="J48" s="111"/>
    </row>
    <row r="49" spans="1:14" ht="15" customHeight="1">
      <c r="A49" s="60">
        <v>1350</v>
      </c>
      <c r="B49" s="60" t="s">
        <v>18061</v>
      </c>
      <c r="C49" s="60" t="s">
        <v>21885</v>
      </c>
      <c r="D49" s="60" t="s">
        <v>21885</v>
      </c>
      <c r="E49" s="88" t="s">
        <v>21861</v>
      </c>
      <c r="F49" s="141">
        <v>149.85</v>
      </c>
      <c r="G49" s="141">
        <f t="shared" si="0"/>
        <v>164.83500000000001</v>
      </c>
      <c r="H49" s="60">
        <v>5.4</v>
      </c>
      <c r="I49" s="60"/>
      <c r="J49" s="111"/>
    </row>
    <row r="50" spans="1:14" ht="15" customHeight="1">
      <c r="A50" s="60">
        <v>1750</v>
      </c>
      <c r="B50" s="60" t="s">
        <v>18061</v>
      </c>
      <c r="C50" s="60" t="s">
        <v>21984</v>
      </c>
      <c r="D50" s="60" t="s">
        <v>21984</v>
      </c>
      <c r="E50" s="88" t="s">
        <v>21861</v>
      </c>
      <c r="F50" s="141">
        <v>186.4</v>
      </c>
      <c r="G50" s="141">
        <f t="shared" si="0"/>
        <v>205.04000000000002</v>
      </c>
      <c r="H50" s="60">
        <v>7</v>
      </c>
      <c r="I50" s="60"/>
      <c r="J50" s="111"/>
    </row>
    <row r="51" spans="1:14" ht="15" customHeight="1">
      <c r="A51" s="60">
        <v>2150</v>
      </c>
      <c r="B51" s="60" t="s">
        <v>18061</v>
      </c>
      <c r="C51" s="60" t="s">
        <v>21985</v>
      </c>
      <c r="D51" s="60" t="s">
        <v>21985</v>
      </c>
      <c r="E51" s="88" t="s">
        <v>21861</v>
      </c>
      <c r="F51" s="141">
        <v>222.9</v>
      </c>
      <c r="G51" s="141">
        <f t="shared" si="0"/>
        <v>245.19000000000003</v>
      </c>
      <c r="H51" s="60">
        <v>8.6</v>
      </c>
      <c r="I51" s="60"/>
      <c r="J51" s="111"/>
      <c r="N51" t="s">
        <v>22230</v>
      </c>
    </row>
    <row r="52" spans="1:14" ht="15" customHeight="1">
      <c r="A52" s="60"/>
      <c r="B52" s="60" t="s">
        <v>18061</v>
      </c>
      <c r="C52" s="60" t="s">
        <v>22641</v>
      </c>
      <c r="D52" s="60" t="s">
        <v>22641</v>
      </c>
      <c r="E52" s="88" t="s">
        <v>21862</v>
      </c>
      <c r="F52" s="141">
        <v>75.05</v>
      </c>
      <c r="G52" s="141"/>
      <c r="H52" s="60"/>
      <c r="I52" s="60">
        <v>4</v>
      </c>
      <c r="N52" t="s">
        <v>22229</v>
      </c>
    </row>
    <row r="53" spans="1:14" ht="15" customHeight="1">
      <c r="A53" s="60">
        <v>750</v>
      </c>
      <c r="B53" s="60" t="s">
        <v>18061</v>
      </c>
      <c r="C53" s="60" t="s">
        <v>21896</v>
      </c>
      <c r="D53" s="60" t="s">
        <v>21896</v>
      </c>
      <c r="E53" s="88" t="s">
        <v>21863</v>
      </c>
      <c r="F53" s="141">
        <v>144.85</v>
      </c>
      <c r="G53" s="141">
        <f t="shared" si="0"/>
        <v>159.33500000000001</v>
      </c>
      <c r="H53" s="60">
        <v>4.3120000000000003</v>
      </c>
      <c r="I53" s="60"/>
      <c r="J53" s="111"/>
      <c r="N53" t="s">
        <v>22228</v>
      </c>
    </row>
    <row r="54" spans="1:14" ht="15" customHeight="1">
      <c r="A54" s="60">
        <v>1350</v>
      </c>
      <c r="B54" s="60" t="s">
        <v>18061</v>
      </c>
      <c r="C54" s="60" t="s">
        <v>21897</v>
      </c>
      <c r="D54" s="60" t="s">
        <v>21897</v>
      </c>
      <c r="E54" s="88" t="s">
        <v>21863</v>
      </c>
      <c r="F54" s="141">
        <v>228.1</v>
      </c>
      <c r="G54" s="141">
        <f t="shared" si="0"/>
        <v>250.91000000000003</v>
      </c>
      <c r="H54" s="60">
        <v>7.7610000000000001</v>
      </c>
      <c r="I54" s="60"/>
      <c r="J54" s="111"/>
      <c r="N54" t="s">
        <v>22228</v>
      </c>
    </row>
    <row r="55" spans="1:14" ht="15" customHeight="1">
      <c r="A55" s="60">
        <v>1750</v>
      </c>
      <c r="B55" s="60" t="s">
        <v>18061</v>
      </c>
      <c r="C55" s="60" t="s">
        <v>21898</v>
      </c>
      <c r="D55" s="60" t="s">
        <v>21898</v>
      </c>
      <c r="E55" s="88" t="s">
        <v>21863</v>
      </c>
      <c r="F55" s="141">
        <v>284.14999999999998</v>
      </c>
      <c r="G55" s="141">
        <f t="shared" si="0"/>
        <v>312.565</v>
      </c>
      <c r="H55" s="60">
        <v>10.061</v>
      </c>
      <c r="I55" s="60"/>
      <c r="J55" s="111"/>
      <c r="N55" t="s">
        <v>22240</v>
      </c>
    </row>
    <row r="56" spans="1:14" ht="15" customHeight="1">
      <c r="A56" s="60">
        <v>2150</v>
      </c>
      <c r="B56" s="60" t="s">
        <v>18061</v>
      </c>
      <c r="C56" s="60" t="s">
        <v>21899</v>
      </c>
      <c r="D56" s="60" t="s">
        <v>21899</v>
      </c>
      <c r="E56" s="88" t="s">
        <v>21863</v>
      </c>
      <c r="F56" s="141">
        <v>340.25</v>
      </c>
      <c r="G56" s="141">
        <f t="shared" si="0"/>
        <v>374.27500000000003</v>
      </c>
      <c r="H56" s="60">
        <v>12.36</v>
      </c>
      <c r="I56" s="60"/>
      <c r="J56" s="111"/>
      <c r="N56" t="s">
        <v>22238</v>
      </c>
    </row>
    <row r="57" spans="1:14" ht="15" customHeight="1">
      <c r="A57" s="60"/>
      <c r="B57" s="60" t="s">
        <v>18061</v>
      </c>
      <c r="C57" s="60" t="s">
        <v>21900</v>
      </c>
      <c r="D57" s="60" t="s">
        <v>21900</v>
      </c>
      <c r="E57" s="88" t="s">
        <v>21864</v>
      </c>
      <c r="F57" s="141">
        <v>148.5</v>
      </c>
      <c r="G57" s="141"/>
      <c r="H57" s="60"/>
      <c r="I57" s="60">
        <v>5.7489999999999997</v>
      </c>
      <c r="N57" t="s">
        <v>22236</v>
      </c>
    </row>
    <row r="58" spans="1:14" ht="15" customHeight="1">
      <c r="A58" s="60">
        <v>750</v>
      </c>
      <c r="B58" s="60" t="s">
        <v>18061</v>
      </c>
      <c r="C58" s="60" t="s">
        <v>21901</v>
      </c>
      <c r="D58" s="60" t="s">
        <v>21901</v>
      </c>
      <c r="E58" s="88" t="s">
        <v>21865</v>
      </c>
      <c r="F58" s="141">
        <v>160.5</v>
      </c>
      <c r="G58" s="141">
        <f t="shared" si="0"/>
        <v>176.55</v>
      </c>
      <c r="H58" s="60">
        <v>4.798</v>
      </c>
      <c r="I58" s="60"/>
      <c r="J58" s="111"/>
      <c r="N58" t="s">
        <v>22235</v>
      </c>
    </row>
    <row r="59" spans="1:14" ht="15" customHeight="1">
      <c r="A59" s="60">
        <v>1350</v>
      </c>
      <c r="B59" s="60" t="s">
        <v>18061</v>
      </c>
      <c r="C59" s="60" t="s">
        <v>21902</v>
      </c>
      <c r="D59" s="60" t="s">
        <v>21902</v>
      </c>
      <c r="E59" s="88" t="s">
        <v>21865</v>
      </c>
      <c r="F59" s="141">
        <v>256.5</v>
      </c>
      <c r="G59" s="141">
        <f t="shared" si="0"/>
        <v>282.15000000000003</v>
      </c>
      <c r="H59" s="60">
        <v>8.6359999999999992</v>
      </c>
      <c r="I59" s="60"/>
      <c r="J59" s="111"/>
      <c r="N59" t="s">
        <v>22239</v>
      </c>
    </row>
    <row r="60" spans="1:14" ht="15" customHeight="1">
      <c r="A60" s="60">
        <v>1750</v>
      </c>
      <c r="B60" s="60" t="s">
        <v>18061</v>
      </c>
      <c r="C60" s="60" t="s">
        <v>21903</v>
      </c>
      <c r="D60" s="60" t="s">
        <v>21903</v>
      </c>
      <c r="E60" s="88" t="s">
        <v>21865</v>
      </c>
      <c r="F60" s="141">
        <v>320.85000000000002</v>
      </c>
      <c r="G60" s="141">
        <f t="shared" si="0"/>
        <v>352.93500000000006</v>
      </c>
      <c r="H60" s="60">
        <v>11.195</v>
      </c>
      <c r="I60" s="60"/>
      <c r="J60" s="111"/>
      <c r="N60" t="s">
        <v>22237</v>
      </c>
    </row>
    <row r="61" spans="1:14" ht="15" customHeight="1">
      <c r="A61" s="60">
        <v>2150</v>
      </c>
      <c r="B61" s="60" t="s">
        <v>18061</v>
      </c>
      <c r="C61" s="60" t="s">
        <v>21904</v>
      </c>
      <c r="D61" s="60" t="s">
        <v>21904</v>
      </c>
      <c r="E61" s="88" t="s">
        <v>21865</v>
      </c>
      <c r="F61" s="141">
        <v>385.4</v>
      </c>
      <c r="G61" s="141">
        <f t="shared" si="0"/>
        <v>423.94</v>
      </c>
      <c r="H61" s="60">
        <v>13.754</v>
      </c>
      <c r="I61" s="60"/>
      <c r="J61" s="111"/>
      <c r="N61" t="s">
        <v>22234</v>
      </c>
    </row>
    <row r="62" spans="1:14" ht="15" customHeight="1">
      <c r="A62" s="60"/>
      <c r="B62" s="60" t="s">
        <v>18061</v>
      </c>
      <c r="C62" s="60" t="s">
        <v>21905</v>
      </c>
      <c r="D62" s="60" t="s">
        <v>21905</v>
      </c>
      <c r="E62" s="88" t="s">
        <v>21866</v>
      </c>
      <c r="F62" s="141">
        <v>162.25</v>
      </c>
      <c r="G62" s="141"/>
      <c r="H62" s="60"/>
      <c r="I62" s="60">
        <v>6.3970000000000002</v>
      </c>
      <c r="N62" t="s">
        <v>22233</v>
      </c>
    </row>
    <row r="63" spans="1:14" ht="15" customHeight="1">
      <c r="A63" s="60"/>
      <c r="B63" s="60" t="s">
        <v>18072</v>
      </c>
      <c r="C63" s="60" t="s">
        <v>21948</v>
      </c>
      <c r="D63" s="60" t="s">
        <v>21948</v>
      </c>
      <c r="E63" s="88" t="s">
        <v>19519</v>
      </c>
      <c r="F63" s="141">
        <v>67.05</v>
      </c>
      <c r="G63" s="141"/>
      <c r="H63" s="60"/>
      <c r="I63" s="60"/>
      <c r="N63" t="s">
        <v>22232</v>
      </c>
    </row>
    <row r="64" spans="1:14" ht="15" customHeight="1">
      <c r="A64" s="60"/>
      <c r="B64" s="60" t="s">
        <v>18053</v>
      </c>
      <c r="C64" s="60" t="s">
        <v>21972</v>
      </c>
      <c r="D64" s="60" t="s">
        <v>21972</v>
      </c>
      <c r="E64" s="88" t="s">
        <v>19532</v>
      </c>
      <c r="F64" s="141">
        <v>215.75</v>
      </c>
      <c r="G64" s="141"/>
      <c r="H64" s="60"/>
      <c r="I64" s="60"/>
      <c r="N64" t="s">
        <v>22231</v>
      </c>
    </row>
    <row r="65" spans="1:14" ht="15" customHeight="1">
      <c r="A65" s="60"/>
      <c r="B65" s="60" t="s">
        <v>18061</v>
      </c>
      <c r="C65" s="60" t="s">
        <v>21976</v>
      </c>
      <c r="D65" s="60" t="s">
        <v>21976</v>
      </c>
      <c r="E65" s="88" t="s">
        <v>21833</v>
      </c>
      <c r="F65" s="141">
        <v>131.5</v>
      </c>
      <c r="G65" s="141"/>
      <c r="H65" s="60"/>
      <c r="I65" s="60"/>
      <c r="N65" t="s">
        <v>22227</v>
      </c>
    </row>
    <row r="66" spans="1:14" ht="15" customHeight="1">
      <c r="A66" s="60"/>
      <c r="B66" s="60" t="s">
        <v>18061</v>
      </c>
      <c r="C66" s="60" t="s">
        <v>21973</v>
      </c>
      <c r="D66" s="60" t="s">
        <v>21973</v>
      </c>
      <c r="E66" s="88" t="s">
        <v>21871</v>
      </c>
      <c r="F66" s="141">
        <v>125.7</v>
      </c>
      <c r="G66" s="141">
        <f t="shared" si="0"/>
        <v>138.27000000000001</v>
      </c>
      <c r="H66" s="60">
        <v>3.222</v>
      </c>
      <c r="I66" s="60"/>
      <c r="J66" t="s">
        <v>22251</v>
      </c>
      <c r="N66" t="s">
        <v>22226</v>
      </c>
    </row>
    <row r="67" spans="1:14" ht="15" customHeight="1">
      <c r="A67" s="60"/>
      <c r="B67" s="60" t="s">
        <v>18061</v>
      </c>
      <c r="C67" s="60" t="s">
        <v>21975</v>
      </c>
      <c r="D67" s="60" t="s">
        <v>21975</v>
      </c>
      <c r="E67" s="88" t="s">
        <v>21872</v>
      </c>
      <c r="F67" s="141">
        <v>49.35</v>
      </c>
      <c r="G67" s="141">
        <f t="shared" si="0"/>
        <v>54.285000000000004</v>
      </c>
      <c r="H67" s="60">
        <v>1.234</v>
      </c>
      <c r="I67" s="60"/>
      <c r="N67" t="s">
        <v>22225</v>
      </c>
    </row>
    <row r="68" spans="1:14" ht="15" customHeight="1">
      <c r="A68" s="60">
        <v>750</v>
      </c>
      <c r="B68" s="60" t="s">
        <v>18061</v>
      </c>
      <c r="C68" s="60" t="s">
        <v>21938</v>
      </c>
      <c r="D68" s="60" t="s">
        <v>21938</v>
      </c>
      <c r="E68" s="88" t="s">
        <v>20111</v>
      </c>
      <c r="F68" s="141">
        <v>458.8</v>
      </c>
      <c r="G68" s="141"/>
      <c r="H68" s="60"/>
      <c r="I68" s="60"/>
      <c r="N68" t="s">
        <v>22224</v>
      </c>
    </row>
    <row r="69" spans="1:14" ht="15" customHeight="1">
      <c r="A69" s="60">
        <v>1350</v>
      </c>
      <c r="B69" s="60" t="s">
        <v>18061</v>
      </c>
      <c r="C69" s="60" t="s">
        <v>21939</v>
      </c>
      <c r="D69" s="60" t="s">
        <v>21939</v>
      </c>
      <c r="E69" s="88" t="s">
        <v>20111</v>
      </c>
      <c r="F69" s="141">
        <v>498.35</v>
      </c>
      <c r="G69" s="141"/>
      <c r="H69" s="60"/>
      <c r="I69" s="60"/>
      <c r="N69" t="s">
        <v>22242</v>
      </c>
    </row>
    <row r="70" spans="1:14" ht="15" customHeight="1">
      <c r="A70" s="60">
        <v>1750</v>
      </c>
      <c r="B70" s="60" t="s">
        <v>18061</v>
      </c>
      <c r="C70" s="60" t="s">
        <v>21940</v>
      </c>
      <c r="D70" s="60" t="s">
        <v>21940</v>
      </c>
      <c r="E70" s="88" t="s">
        <v>20111</v>
      </c>
      <c r="F70" s="141">
        <v>555.6</v>
      </c>
      <c r="G70" s="141"/>
      <c r="H70" s="60"/>
      <c r="I70" s="60"/>
      <c r="N70" t="s">
        <v>22241</v>
      </c>
    </row>
    <row r="71" spans="1:14" ht="15" customHeight="1">
      <c r="A71" s="60">
        <v>750</v>
      </c>
      <c r="B71" s="60" t="s">
        <v>18061</v>
      </c>
      <c r="C71" s="60" t="s">
        <v>21906</v>
      </c>
      <c r="D71" s="60" t="s">
        <v>21906</v>
      </c>
      <c r="E71" s="88" t="s">
        <v>20332</v>
      </c>
      <c r="F71" s="141">
        <v>369.95</v>
      </c>
      <c r="G71" s="141"/>
      <c r="H71" s="60">
        <v>7.8010000000000002</v>
      </c>
      <c r="I71" s="60"/>
      <c r="J71" s="111"/>
      <c r="N71" t="s">
        <v>22247</v>
      </c>
    </row>
    <row r="72" spans="1:14" ht="15" customHeight="1">
      <c r="A72" s="60">
        <v>1350</v>
      </c>
      <c r="B72" s="60" t="s">
        <v>18061</v>
      </c>
      <c r="C72" s="60" t="s">
        <v>21907</v>
      </c>
      <c r="D72" s="60" t="s">
        <v>21907</v>
      </c>
      <c r="E72" s="88" t="s">
        <v>20332</v>
      </c>
      <c r="F72" s="141">
        <v>440.6</v>
      </c>
      <c r="G72" s="141"/>
      <c r="H72" s="60">
        <v>14.041</v>
      </c>
      <c r="I72" s="60"/>
      <c r="J72" s="111"/>
      <c r="N72" t="s">
        <v>22244</v>
      </c>
    </row>
    <row r="73" spans="1:14" ht="15" customHeight="1">
      <c r="A73" s="60">
        <v>1750</v>
      </c>
      <c r="B73" s="60" t="s">
        <v>18061</v>
      </c>
      <c r="C73" s="60" t="s">
        <v>21908</v>
      </c>
      <c r="D73" s="60" t="s">
        <v>21908</v>
      </c>
      <c r="E73" s="88" t="s">
        <v>20332</v>
      </c>
      <c r="F73" s="141">
        <v>509.75</v>
      </c>
      <c r="G73" s="141"/>
      <c r="H73" s="60">
        <v>18.202000000000002</v>
      </c>
      <c r="I73" s="60"/>
      <c r="J73" s="111"/>
      <c r="N73" t="s">
        <v>22243</v>
      </c>
    </row>
    <row r="74" spans="1:14" ht="15" customHeight="1">
      <c r="A74" s="60">
        <v>2150</v>
      </c>
      <c r="B74" s="60" t="s">
        <v>18061</v>
      </c>
      <c r="C74" s="60" t="s">
        <v>21909</v>
      </c>
      <c r="D74" s="60" t="s">
        <v>21909</v>
      </c>
      <c r="E74" s="88" t="s">
        <v>20332</v>
      </c>
      <c r="F74" s="141">
        <v>554.29999999999995</v>
      </c>
      <c r="G74" s="141"/>
      <c r="H74" s="60">
        <v>22.361999999999998</v>
      </c>
      <c r="I74" s="60"/>
      <c r="J74" s="111"/>
      <c r="N74" t="s">
        <v>22243</v>
      </c>
    </row>
    <row r="75" spans="1:14" ht="15" customHeight="1">
      <c r="A75" s="60"/>
      <c r="B75" s="60" t="s">
        <v>18061</v>
      </c>
      <c r="C75" s="60"/>
      <c r="D75" s="60"/>
      <c r="E75" s="88" t="s">
        <v>20345</v>
      </c>
      <c r="F75" s="141"/>
      <c r="G75" s="141"/>
      <c r="H75" s="60"/>
      <c r="I75" s="60">
        <v>10.401</v>
      </c>
      <c r="N75" t="s">
        <v>22248</v>
      </c>
    </row>
    <row r="76" spans="1:14" ht="15" customHeight="1">
      <c r="A76" s="60">
        <v>750</v>
      </c>
      <c r="B76" s="60" t="s">
        <v>18061</v>
      </c>
      <c r="C76" s="60" t="s">
        <v>21910</v>
      </c>
      <c r="D76" s="60" t="s">
        <v>21910</v>
      </c>
      <c r="E76" s="88" t="s">
        <v>20410</v>
      </c>
      <c r="F76" s="141">
        <v>404.05</v>
      </c>
      <c r="G76" s="141"/>
      <c r="H76" s="60">
        <v>8.4440000000000008</v>
      </c>
      <c r="I76" s="60"/>
      <c r="J76" s="111"/>
      <c r="N76" t="s">
        <v>22246</v>
      </c>
    </row>
    <row r="77" spans="1:14" ht="15" customHeight="1">
      <c r="A77" s="60">
        <v>1350</v>
      </c>
      <c r="B77" s="60" t="s">
        <v>18061</v>
      </c>
      <c r="C77" s="60" t="s">
        <v>21911</v>
      </c>
      <c r="D77" s="60" t="s">
        <v>21911</v>
      </c>
      <c r="E77" s="88" t="s">
        <v>20410</v>
      </c>
      <c r="F77" s="141">
        <v>507.3</v>
      </c>
      <c r="G77" s="141"/>
      <c r="H77" s="60">
        <v>15.198</v>
      </c>
      <c r="I77" s="60"/>
      <c r="J77" s="111"/>
      <c r="N77" t="s">
        <v>22245</v>
      </c>
    </row>
    <row r="78" spans="1:14" ht="15" customHeight="1">
      <c r="A78" s="60">
        <v>1750</v>
      </c>
      <c r="B78" s="60" t="s">
        <v>18061</v>
      </c>
      <c r="C78" s="60" t="s">
        <v>21912</v>
      </c>
      <c r="D78" s="60" t="s">
        <v>21912</v>
      </c>
      <c r="E78" s="88" t="s">
        <v>20410</v>
      </c>
      <c r="F78" s="141">
        <v>576.20000000000005</v>
      </c>
      <c r="G78" s="141"/>
      <c r="H78" s="60">
        <v>19.702000000000002</v>
      </c>
      <c r="I78" s="60"/>
      <c r="J78" s="111"/>
      <c r="N78" t="s">
        <v>22245</v>
      </c>
    </row>
    <row r="79" spans="1:14" ht="15" customHeight="1">
      <c r="A79" s="60">
        <v>2150</v>
      </c>
      <c r="B79" s="60" t="s">
        <v>18061</v>
      </c>
      <c r="C79" s="60" t="s">
        <v>21913</v>
      </c>
      <c r="D79" s="60" t="s">
        <v>21913</v>
      </c>
      <c r="E79" s="88" t="s">
        <v>20410</v>
      </c>
      <c r="F79" s="141">
        <v>644.85</v>
      </c>
      <c r="G79" s="141"/>
      <c r="H79" s="60">
        <v>24.204999999999998</v>
      </c>
      <c r="I79" s="60"/>
      <c r="J79" s="111"/>
    </row>
    <row r="80" spans="1:14" ht="15" customHeight="1">
      <c r="A80" s="60"/>
      <c r="B80" s="60" t="s">
        <v>18061</v>
      </c>
      <c r="C80" s="60"/>
      <c r="D80" s="60"/>
      <c r="E80" s="88" t="s">
        <v>20449</v>
      </c>
      <c r="F80" s="141"/>
      <c r="G80" s="141"/>
      <c r="H80" s="60"/>
      <c r="I80" s="60">
        <v>11.257999999999999</v>
      </c>
    </row>
    <row r="81" spans="1:14" ht="15" customHeight="1">
      <c r="A81" s="60">
        <v>750</v>
      </c>
      <c r="B81" s="60" t="s">
        <v>18061</v>
      </c>
      <c r="C81" s="60" t="s">
        <v>21914</v>
      </c>
      <c r="D81" s="60" t="s">
        <v>21914</v>
      </c>
      <c r="E81" s="88" t="s">
        <v>20423</v>
      </c>
      <c r="F81" s="141">
        <v>538.25</v>
      </c>
      <c r="G81" s="141"/>
      <c r="H81" s="60">
        <v>11.012</v>
      </c>
      <c r="I81" s="60"/>
      <c r="J81" s="111"/>
    </row>
    <row r="82" spans="1:14" ht="15" customHeight="1">
      <c r="A82" s="60">
        <v>1350</v>
      </c>
      <c r="B82" s="60" t="s">
        <v>18061</v>
      </c>
      <c r="C82" s="60" t="s">
        <v>21915</v>
      </c>
      <c r="D82" s="60" t="s">
        <v>21915</v>
      </c>
      <c r="E82" s="88" t="s">
        <v>20423</v>
      </c>
      <c r="F82" s="141">
        <v>672.9</v>
      </c>
      <c r="G82" s="141"/>
      <c r="H82" s="60">
        <v>19.821000000000002</v>
      </c>
      <c r="I82" s="60"/>
      <c r="J82" s="111"/>
    </row>
    <row r="83" spans="1:14" ht="15" customHeight="1">
      <c r="A83" s="60">
        <v>1750</v>
      </c>
      <c r="B83" s="60" t="s">
        <v>18061</v>
      </c>
      <c r="C83" s="60" t="s">
        <v>21916</v>
      </c>
      <c r="D83" s="60" t="s">
        <v>21916</v>
      </c>
      <c r="E83" s="88" t="s">
        <v>20423</v>
      </c>
      <c r="F83" s="141">
        <v>762.7</v>
      </c>
      <c r="G83" s="141"/>
      <c r="H83" s="60">
        <v>25.693999999999999</v>
      </c>
      <c r="I83" s="60"/>
      <c r="J83" s="111"/>
    </row>
    <row r="84" spans="1:14" ht="15" customHeight="1">
      <c r="A84" s="60">
        <v>2150</v>
      </c>
      <c r="B84" s="60" t="s">
        <v>18061</v>
      </c>
      <c r="C84" s="60" t="s">
        <v>21917</v>
      </c>
      <c r="D84" s="60" t="s">
        <v>21917</v>
      </c>
      <c r="E84" s="88" t="s">
        <v>20423</v>
      </c>
      <c r="F84" s="141">
        <v>852.3</v>
      </c>
      <c r="G84" s="141"/>
      <c r="H84" s="60">
        <v>31.565999999999999</v>
      </c>
      <c r="I84" s="60"/>
      <c r="J84" s="111"/>
    </row>
    <row r="85" spans="1:14" ht="15" customHeight="1">
      <c r="A85" s="60"/>
      <c r="B85" s="60" t="s">
        <v>18061</v>
      </c>
      <c r="C85" s="60"/>
      <c r="D85" s="60"/>
      <c r="E85" s="88" t="s">
        <v>20436</v>
      </c>
      <c r="F85" s="141"/>
      <c r="G85" s="141"/>
      <c r="H85" s="60"/>
      <c r="I85" s="60">
        <v>14.682</v>
      </c>
    </row>
    <row r="86" spans="1:14" ht="15" customHeight="1">
      <c r="A86" s="60">
        <v>750</v>
      </c>
      <c r="B86" s="60" t="s">
        <v>18061</v>
      </c>
      <c r="C86" s="60" t="s">
        <v>21918</v>
      </c>
      <c r="D86" s="60" t="s">
        <v>21918</v>
      </c>
      <c r="E86" s="88" t="s">
        <v>20358</v>
      </c>
      <c r="F86" s="141">
        <v>478.05</v>
      </c>
      <c r="G86" s="141"/>
      <c r="H86" s="60">
        <v>7.383</v>
      </c>
      <c r="I86" s="60"/>
      <c r="J86" s="111"/>
    </row>
    <row r="87" spans="1:14" ht="15" customHeight="1">
      <c r="A87" s="60">
        <v>1350</v>
      </c>
      <c r="B87" s="60" t="s">
        <v>18061</v>
      </c>
      <c r="C87" s="60" t="s">
        <v>21919</v>
      </c>
      <c r="D87" s="60" t="s">
        <v>21919</v>
      </c>
      <c r="E87" s="88" t="s">
        <v>20358</v>
      </c>
      <c r="F87" s="141">
        <v>557.4</v>
      </c>
      <c r="G87" s="141"/>
      <c r="H87" s="60">
        <v>13.289</v>
      </c>
      <c r="I87" s="60"/>
      <c r="J87" s="111"/>
    </row>
    <row r="88" spans="1:14" ht="15" customHeight="1">
      <c r="A88" s="60">
        <v>1750</v>
      </c>
      <c r="B88" s="60" t="s">
        <v>18061</v>
      </c>
      <c r="C88" s="60" t="s">
        <v>21920</v>
      </c>
      <c r="D88" s="60" t="s">
        <v>21920</v>
      </c>
      <c r="E88" s="88" t="s">
        <v>20358</v>
      </c>
      <c r="F88" s="141">
        <v>610.25</v>
      </c>
      <c r="G88" s="141"/>
      <c r="H88" s="60">
        <v>17.227</v>
      </c>
      <c r="I88" s="60"/>
      <c r="J88" s="111"/>
    </row>
    <row r="89" spans="1:14" ht="15" customHeight="1">
      <c r="A89" s="60">
        <v>2150</v>
      </c>
      <c r="B89" s="60" t="s">
        <v>18061</v>
      </c>
      <c r="C89" s="60" t="s">
        <v>21921</v>
      </c>
      <c r="D89" s="60" t="s">
        <v>21921</v>
      </c>
      <c r="E89" s="88" t="s">
        <v>20358</v>
      </c>
      <c r="F89" s="141">
        <v>663.3</v>
      </c>
      <c r="G89" s="141"/>
      <c r="H89" s="60">
        <v>21.164999999999999</v>
      </c>
      <c r="I89" s="60"/>
      <c r="J89" s="111"/>
      <c r="N89" s="111"/>
    </row>
    <row r="90" spans="1:14" ht="15" customHeight="1">
      <c r="A90" s="60"/>
      <c r="B90" s="60" t="s">
        <v>18061</v>
      </c>
      <c r="C90" s="60"/>
      <c r="D90" s="60"/>
      <c r="E90" s="88" t="s">
        <v>20371</v>
      </c>
      <c r="F90" s="141"/>
      <c r="G90" s="141"/>
      <c r="H90" s="60"/>
      <c r="I90" s="60">
        <v>9.8439999999999994</v>
      </c>
    </row>
    <row r="91" spans="1:14" ht="15" customHeight="1">
      <c r="A91" s="60">
        <v>750</v>
      </c>
      <c r="B91" s="60" t="s">
        <v>18061</v>
      </c>
      <c r="C91" s="60" t="s">
        <v>21922</v>
      </c>
      <c r="D91" s="60" t="s">
        <v>21922</v>
      </c>
      <c r="E91" s="88" t="s">
        <v>20462</v>
      </c>
      <c r="F91" s="141">
        <v>544.6</v>
      </c>
      <c r="G91" s="141"/>
      <c r="H91" s="60">
        <v>11.263999999999999</v>
      </c>
      <c r="I91" s="60"/>
      <c r="J91" s="111"/>
    </row>
    <row r="92" spans="1:14" ht="15" customHeight="1">
      <c r="A92" s="60">
        <v>1350</v>
      </c>
      <c r="B92" s="60" t="s">
        <v>18061</v>
      </c>
      <c r="C92" s="60" t="s">
        <v>21923</v>
      </c>
      <c r="D92" s="60" t="s">
        <v>21923</v>
      </c>
      <c r="E92" s="88" t="s">
        <v>20462</v>
      </c>
      <c r="F92" s="141">
        <v>682.6</v>
      </c>
      <c r="G92" s="141"/>
      <c r="H92" s="60">
        <v>20.276</v>
      </c>
      <c r="I92" s="60"/>
      <c r="J92" s="111"/>
    </row>
    <row r="93" spans="1:14" ht="15" customHeight="1">
      <c r="A93" s="60">
        <v>1750</v>
      </c>
      <c r="B93" s="60" t="s">
        <v>18061</v>
      </c>
      <c r="C93" s="60" t="s">
        <v>21924</v>
      </c>
      <c r="D93" s="60" t="s">
        <v>21924</v>
      </c>
      <c r="E93" s="88" t="s">
        <v>20462</v>
      </c>
      <c r="F93" s="141">
        <v>774.8</v>
      </c>
      <c r="G93" s="141"/>
      <c r="H93" s="60">
        <v>26.283000000000001</v>
      </c>
      <c r="I93" s="60"/>
      <c r="J93" s="111"/>
    </row>
    <row r="94" spans="1:14" ht="15" customHeight="1">
      <c r="A94" s="60">
        <v>2150</v>
      </c>
      <c r="B94" s="60" t="s">
        <v>18061</v>
      </c>
      <c r="C94" s="60" t="s">
        <v>21925</v>
      </c>
      <c r="D94" s="60" t="s">
        <v>21925</v>
      </c>
      <c r="E94" s="88" t="s">
        <v>20462</v>
      </c>
      <c r="F94" s="141">
        <v>866.75</v>
      </c>
      <c r="G94" s="141"/>
      <c r="H94" s="60">
        <v>32.290999999999997</v>
      </c>
      <c r="I94" s="60"/>
      <c r="J94" s="111"/>
    </row>
    <row r="95" spans="1:14" ht="15" customHeight="1">
      <c r="A95" s="60"/>
      <c r="B95" s="60" t="s">
        <v>18061</v>
      </c>
      <c r="C95" s="60"/>
      <c r="D95" s="60"/>
      <c r="E95" s="88" t="s">
        <v>20475</v>
      </c>
      <c r="F95" s="141"/>
      <c r="G95" s="141"/>
      <c r="H95" s="60"/>
      <c r="I95" s="60">
        <v>15.019</v>
      </c>
    </row>
    <row r="96" spans="1:14" ht="15" customHeight="1">
      <c r="A96" s="60">
        <v>750</v>
      </c>
      <c r="B96" s="60" t="s">
        <v>18061</v>
      </c>
      <c r="C96" s="60" t="s">
        <v>21926</v>
      </c>
      <c r="D96" s="60" t="s">
        <v>21926</v>
      </c>
      <c r="E96" s="88" t="s">
        <v>22023</v>
      </c>
      <c r="F96" s="141">
        <v>805.1</v>
      </c>
      <c r="G96" s="141"/>
      <c r="H96" s="60">
        <v>15.651</v>
      </c>
      <c r="I96" s="60"/>
      <c r="J96" s="111"/>
    </row>
    <row r="97" spans="1:14" ht="15" customHeight="1">
      <c r="A97" s="60">
        <v>1350</v>
      </c>
      <c r="B97" s="60" t="s">
        <v>18061</v>
      </c>
      <c r="C97" s="60" t="s">
        <v>21927</v>
      </c>
      <c r="D97" s="60" t="s">
        <v>21927</v>
      </c>
      <c r="E97" s="88" t="s">
        <v>22020</v>
      </c>
      <c r="F97" s="141">
        <v>988.05</v>
      </c>
      <c r="G97" s="141"/>
      <c r="H97" s="60">
        <v>28.172000000000001</v>
      </c>
      <c r="I97" s="60"/>
      <c r="J97" s="111"/>
    </row>
    <row r="98" spans="1:14" ht="15" customHeight="1">
      <c r="A98" s="60">
        <v>1750</v>
      </c>
      <c r="B98" s="60" t="s">
        <v>18061</v>
      </c>
      <c r="C98" s="60" t="s">
        <v>21928</v>
      </c>
      <c r="D98" s="60" t="s">
        <v>21928</v>
      </c>
      <c r="E98" s="88" t="s">
        <v>22021</v>
      </c>
      <c r="F98" s="141">
        <v>1110.0999999999999</v>
      </c>
      <c r="G98" s="141"/>
      <c r="H98" s="60">
        <v>36.518999999999998</v>
      </c>
      <c r="I98" s="60"/>
      <c r="J98" s="111"/>
    </row>
    <row r="99" spans="1:14" ht="15" customHeight="1">
      <c r="A99" s="60">
        <v>2150</v>
      </c>
      <c r="B99" s="60" t="s">
        <v>18061</v>
      </c>
      <c r="C99" s="60" t="s">
        <v>21929</v>
      </c>
      <c r="D99" s="60" t="s">
        <v>21929</v>
      </c>
      <c r="E99" s="88" t="s">
        <v>22022</v>
      </c>
      <c r="F99" s="141">
        <v>1231.95</v>
      </c>
      <c r="G99" s="141"/>
      <c r="H99" s="60">
        <v>44.866</v>
      </c>
      <c r="I99" s="60"/>
      <c r="J99" s="111"/>
    </row>
    <row r="100" spans="1:14" ht="15" customHeight="1">
      <c r="A100" s="60"/>
      <c r="B100" s="60" t="s">
        <v>18061</v>
      </c>
      <c r="C100" s="60" t="s">
        <v>21826</v>
      </c>
      <c r="D100" s="60" t="s">
        <v>21826</v>
      </c>
      <c r="E100" s="88" t="s">
        <v>22019</v>
      </c>
      <c r="F100" s="141"/>
      <c r="G100" s="141"/>
      <c r="H100" s="60"/>
      <c r="I100" s="60">
        <v>20.867999999999999</v>
      </c>
      <c r="N100" s="111"/>
    </row>
    <row r="101" spans="1:14" ht="15" customHeight="1">
      <c r="A101" s="60">
        <v>750</v>
      </c>
      <c r="B101" s="60" t="s">
        <v>18061</v>
      </c>
      <c r="C101" s="60" t="s">
        <v>22001</v>
      </c>
      <c r="D101" s="60" t="s">
        <v>22001</v>
      </c>
      <c r="E101" s="88" t="s">
        <v>22033</v>
      </c>
      <c r="F101" s="141">
        <v>805.1</v>
      </c>
      <c r="G101" s="141"/>
      <c r="H101" s="60">
        <v>16.515999999999998</v>
      </c>
      <c r="I101" s="60"/>
      <c r="J101" s="111"/>
    </row>
    <row r="102" spans="1:14" ht="15" customHeight="1">
      <c r="A102" s="60">
        <v>1350</v>
      </c>
      <c r="B102" s="60" t="s">
        <v>18061</v>
      </c>
      <c r="C102" s="60" t="s">
        <v>22002</v>
      </c>
      <c r="D102" s="60" t="s">
        <v>22002</v>
      </c>
      <c r="E102" s="88" t="s">
        <v>22030</v>
      </c>
      <c r="F102" s="141">
        <v>988.05</v>
      </c>
      <c r="G102" s="141"/>
      <c r="H102" s="60">
        <v>29.728000000000002</v>
      </c>
      <c r="I102" s="60"/>
      <c r="J102" s="111"/>
    </row>
    <row r="103" spans="1:14" ht="15" customHeight="1">
      <c r="A103" s="60">
        <v>1750</v>
      </c>
      <c r="B103" s="60" t="s">
        <v>18061</v>
      </c>
      <c r="C103" s="60" t="s">
        <v>22003</v>
      </c>
      <c r="D103" s="60" t="s">
        <v>22003</v>
      </c>
      <c r="E103" s="88" t="s">
        <v>22031</v>
      </c>
      <c r="F103" s="141">
        <v>1110.0999999999999</v>
      </c>
      <c r="G103" s="141"/>
      <c r="H103" s="60">
        <v>38.536999999999999</v>
      </c>
      <c r="I103" s="60"/>
      <c r="J103" s="111"/>
    </row>
    <row r="104" spans="1:14" ht="15" customHeight="1">
      <c r="A104" s="60">
        <v>2150</v>
      </c>
      <c r="B104" s="60" t="s">
        <v>18061</v>
      </c>
      <c r="C104" s="60" t="s">
        <v>22004</v>
      </c>
      <c r="D104" s="60" t="s">
        <v>22004</v>
      </c>
      <c r="E104" s="88" t="s">
        <v>22032</v>
      </c>
      <c r="F104" s="141">
        <v>1231.95</v>
      </c>
      <c r="G104" s="141"/>
      <c r="H104" s="60">
        <v>47.344999999999999</v>
      </c>
      <c r="I104" s="60"/>
      <c r="J104" s="111"/>
    </row>
    <row r="105" spans="1:14" ht="15" customHeight="1">
      <c r="A105" s="60"/>
      <c r="B105" s="60" t="s">
        <v>18061</v>
      </c>
      <c r="C105" s="60" t="s">
        <v>21826</v>
      </c>
      <c r="D105" s="60" t="s">
        <v>21826</v>
      </c>
      <c r="E105" s="88" t="s">
        <v>22029</v>
      </c>
      <c r="F105" s="141"/>
      <c r="G105" s="141"/>
      <c r="H105" s="60"/>
      <c r="I105" s="60">
        <v>22.021000000000001</v>
      </c>
      <c r="N105" s="111"/>
    </row>
    <row r="106" spans="1:14" ht="15" customHeight="1">
      <c r="A106" s="60">
        <v>750</v>
      </c>
      <c r="B106" s="60" t="s">
        <v>18061</v>
      </c>
      <c r="C106" s="60" t="s">
        <v>22005</v>
      </c>
      <c r="D106" s="60" t="s">
        <v>22005</v>
      </c>
      <c r="E106" s="88" t="s">
        <v>22043</v>
      </c>
      <c r="F106" s="141">
        <v>805.1</v>
      </c>
      <c r="G106" s="141"/>
      <c r="H106" s="60">
        <v>16.506</v>
      </c>
      <c r="I106" s="60"/>
      <c r="J106" s="111"/>
    </row>
    <row r="107" spans="1:14" ht="15" customHeight="1">
      <c r="A107" s="60">
        <v>1350</v>
      </c>
      <c r="B107" s="60" t="s">
        <v>18061</v>
      </c>
      <c r="C107" s="60" t="s">
        <v>22006</v>
      </c>
      <c r="D107" s="60" t="s">
        <v>22006</v>
      </c>
      <c r="E107" s="88" t="s">
        <v>22040</v>
      </c>
      <c r="F107" s="141">
        <v>988.05</v>
      </c>
      <c r="G107" s="141"/>
      <c r="H107" s="60">
        <v>29.710999999999999</v>
      </c>
      <c r="I107" s="60"/>
      <c r="J107" s="111"/>
    </row>
    <row r="108" spans="1:14" ht="15" customHeight="1">
      <c r="A108" s="60">
        <v>1750</v>
      </c>
      <c r="B108" s="60" t="s">
        <v>18061</v>
      </c>
      <c r="C108" s="60" t="s">
        <v>22007</v>
      </c>
      <c r="D108" s="60" t="s">
        <v>22007</v>
      </c>
      <c r="E108" s="88" t="s">
        <v>22041</v>
      </c>
      <c r="F108" s="141">
        <v>1110.0999999999999</v>
      </c>
      <c r="G108" s="141"/>
      <c r="H108" s="60">
        <v>38.514000000000003</v>
      </c>
      <c r="I108" s="60"/>
      <c r="J108" s="111"/>
    </row>
    <row r="109" spans="1:14" ht="15" customHeight="1">
      <c r="A109" s="60">
        <v>2150</v>
      </c>
      <c r="B109" s="60" t="s">
        <v>18061</v>
      </c>
      <c r="C109" s="60" t="s">
        <v>22008</v>
      </c>
      <c r="D109" s="60" t="s">
        <v>22008</v>
      </c>
      <c r="E109" s="88" t="s">
        <v>22042</v>
      </c>
      <c r="F109" s="141">
        <v>1231.95</v>
      </c>
      <c r="G109" s="141"/>
      <c r="H109" s="60">
        <v>47.317</v>
      </c>
      <c r="I109" s="60"/>
      <c r="J109" s="111"/>
    </row>
    <row r="110" spans="1:14" ht="15" customHeight="1">
      <c r="A110" s="60"/>
      <c r="B110" s="60" t="s">
        <v>18061</v>
      </c>
      <c r="C110" s="60" t="s">
        <v>21826</v>
      </c>
      <c r="D110" s="60" t="s">
        <v>21826</v>
      </c>
      <c r="E110" s="88" t="s">
        <v>22039</v>
      </c>
      <c r="F110" s="141"/>
      <c r="G110" s="141"/>
      <c r="H110" s="60"/>
      <c r="I110" s="60">
        <v>22.007999999999999</v>
      </c>
      <c r="N110" s="111"/>
    </row>
    <row r="111" spans="1:14" ht="15" customHeight="1">
      <c r="A111" s="60">
        <v>750</v>
      </c>
      <c r="B111" s="60" t="s">
        <v>18061</v>
      </c>
      <c r="C111" s="60" t="s">
        <v>22009</v>
      </c>
      <c r="D111" s="60" t="s">
        <v>22009</v>
      </c>
      <c r="E111" s="88" t="s">
        <v>22053</v>
      </c>
      <c r="F111" s="141">
        <v>805.1</v>
      </c>
      <c r="G111" s="141"/>
      <c r="H111" s="60">
        <v>16.515999999999998</v>
      </c>
      <c r="I111" s="60"/>
      <c r="J111" s="111"/>
    </row>
    <row r="112" spans="1:14" ht="15" customHeight="1">
      <c r="A112" s="60">
        <v>1350</v>
      </c>
      <c r="B112" s="60" t="s">
        <v>18061</v>
      </c>
      <c r="C112" s="60" t="s">
        <v>22010</v>
      </c>
      <c r="D112" s="60" t="s">
        <v>22010</v>
      </c>
      <c r="E112" s="88" t="s">
        <v>22050</v>
      </c>
      <c r="F112" s="141">
        <v>988.05</v>
      </c>
      <c r="G112" s="141"/>
      <c r="H112" s="60">
        <v>29.728000000000002</v>
      </c>
      <c r="I112" s="60"/>
    </row>
    <row r="113" spans="1:14" ht="15" customHeight="1">
      <c r="A113" s="60">
        <v>1750</v>
      </c>
      <c r="B113" s="60" t="s">
        <v>18061</v>
      </c>
      <c r="C113" s="60" t="s">
        <v>22011</v>
      </c>
      <c r="D113" s="60" t="s">
        <v>22011</v>
      </c>
      <c r="E113" s="88" t="s">
        <v>22051</v>
      </c>
      <c r="F113" s="141">
        <v>1110.0999999999999</v>
      </c>
      <c r="G113" s="141"/>
      <c r="H113" s="60">
        <v>38.536999999999999</v>
      </c>
      <c r="I113" s="60"/>
    </row>
    <row r="114" spans="1:14" ht="15" customHeight="1">
      <c r="A114" s="60">
        <v>2150</v>
      </c>
      <c r="B114" s="60" t="s">
        <v>18061</v>
      </c>
      <c r="C114" s="60" t="s">
        <v>22012</v>
      </c>
      <c r="D114" s="60" t="s">
        <v>22012</v>
      </c>
      <c r="E114" s="88" t="s">
        <v>22052</v>
      </c>
      <c r="F114" s="141">
        <v>1231.95</v>
      </c>
      <c r="G114" s="141"/>
      <c r="H114" s="60">
        <v>47.344999999999999</v>
      </c>
      <c r="I114" s="60"/>
    </row>
    <row r="115" spans="1:14" ht="15" customHeight="1">
      <c r="A115" s="60"/>
      <c r="B115" s="60" t="s">
        <v>18061</v>
      </c>
      <c r="C115" s="60" t="s">
        <v>21826</v>
      </c>
      <c r="D115" s="60" t="s">
        <v>21826</v>
      </c>
      <c r="E115" s="88" t="s">
        <v>22049</v>
      </c>
      <c r="F115" s="141"/>
      <c r="G115" s="141"/>
      <c r="H115" s="60"/>
      <c r="I115" s="60">
        <v>22.021000000000001</v>
      </c>
      <c r="N115" s="111"/>
    </row>
    <row r="116" spans="1:14" ht="15" customHeight="1">
      <c r="A116" s="60">
        <v>750</v>
      </c>
      <c r="B116" s="60" t="s">
        <v>18061</v>
      </c>
      <c r="C116" s="60" t="s">
        <v>22013</v>
      </c>
      <c r="D116" s="60" t="s">
        <v>22013</v>
      </c>
      <c r="E116" s="88" t="s">
        <v>22063</v>
      </c>
      <c r="F116" s="141">
        <v>805.1</v>
      </c>
      <c r="G116" s="141"/>
      <c r="H116" s="60">
        <v>15.726000000000001</v>
      </c>
      <c r="I116" s="60"/>
      <c r="J116" s="111"/>
    </row>
    <row r="117" spans="1:14" ht="15" customHeight="1">
      <c r="A117" s="60">
        <v>1350</v>
      </c>
      <c r="B117" s="60" t="s">
        <v>18061</v>
      </c>
      <c r="C117" s="60" t="s">
        <v>22014</v>
      </c>
      <c r="D117" s="60" t="s">
        <v>22014</v>
      </c>
      <c r="E117" s="88" t="s">
        <v>22060</v>
      </c>
      <c r="F117" s="141">
        <v>988.05</v>
      </c>
      <c r="G117" s="141"/>
      <c r="H117" s="60">
        <v>28.306999999999999</v>
      </c>
      <c r="I117" s="60"/>
      <c r="J117" s="111"/>
    </row>
    <row r="118" spans="1:14" ht="15" customHeight="1">
      <c r="A118" s="60">
        <v>1750</v>
      </c>
      <c r="B118" s="60" t="s">
        <v>18061</v>
      </c>
      <c r="C118" s="60" t="s">
        <v>22015</v>
      </c>
      <c r="D118" s="60" t="s">
        <v>22015</v>
      </c>
      <c r="E118" s="88" t="s">
        <v>22061</v>
      </c>
      <c r="F118" s="141">
        <v>1110.0999999999999</v>
      </c>
      <c r="G118" s="141"/>
      <c r="H118" s="60">
        <v>36.694000000000003</v>
      </c>
      <c r="I118" s="60"/>
      <c r="J118" s="111"/>
    </row>
    <row r="119" spans="1:14" ht="15" customHeight="1">
      <c r="A119" s="60">
        <v>2150</v>
      </c>
      <c r="B119" s="60" t="s">
        <v>18061</v>
      </c>
      <c r="C119" s="60" t="s">
        <v>22016</v>
      </c>
      <c r="D119" s="60" t="s">
        <v>22016</v>
      </c>
      <c r="E119" s="88" t="s">
        <v>22062</v>
      </c>
      <c r="F119" s="141">
        <v>1231.95</v>
      </c>
      <c r="G119" s="141"/>
      <c r="H119" s="60">
        <v>45.081000000000003</v>
      </c>
      <c r="I119" s="60"/>
      <c r="J119" s="111"/>
    </row>
    <row r="120" spans="1:14" ht="15" customHeight="1">
      <c r="A120" s="60"/>
      <c r="B120" s="60" t="s">
        <v>18061</v>
      </c>
      <c r="C120" s="60" t="s">
        <v>21826</v>
      </c>
      <c r="D120" s="60" t="s">
        <v>21826</v>
      </c>
      <c r="E120" s="88" t="s">
        <v>22059</v>
      </c>
      <c r="F120" s="141"/>
      <c r="G120" s="141"/>
      <c r="H120" s="60"/>
      <c r="I120" s="60">
        <v>20.968</v>
      </c>
      <c r="N120" s="111"/>
    </row>
    <row r="121" spans="1:14" ht="15" customHeight="1">
      <c r="A121" s="60">
        <v>750</v>
      </c>
      <c r="B121" s="60" t="s">
        <v>18061</v>
      </c>
      <c r="C121" s="60" t="s">
        <v>21930</v>
      </c>
      <c r="D121" s="60" t="s">
        <v>21930</v>
      </c>
      <c r="E121" s="88" t="s">
        <v>22028</v>
      </c>
      <c r="F121" s="141">
        <v>628.54999999999995</v>
      </c>
      <c r="G121" s="141"/>
      <c r="H121" s="60">
        <v>14.244</v>
      </c>
      <c r="I121" s="60"/>
      <c r="J121" s="111"/>
    </row>
    <row r="122" spans="1:14" ht="15" customHeight="1">
      <c r="A122" s="60">
        <v>1350</v>
      </c>
      <c r="B122" s="60" t="s">
        <v>18061</v>
      </c>
      <c r="C122" s="60" t="s">
        <v>21931</v>
      </c>
      <c r="D122" s="60" t="s">
        <v>21931</v>
      </c>
      <c r="E122" s="88" t="s">
        <v>22025</v>
      </c>
      <c r="F122" s="141">
        <v>814.15</v>
      </c>
      <c r="G122" s="141"/>
      <c r="H122" s="60">
        <v>25.638999999999999</v>
      </c>
      <c r="I122" s="60"/>
      <c r="J122" s="111"/>
    </row>
    <row r="123" spans="1:14" ht="15" customHeight="1">
      <c r="A123" s="60">
        <v>1750</v>
      </c>
      <c r="B123" s="60" t="s">
        <v>18061</v>
      </c>
      <c r="C123" s="60" t="s">
        <v>21932</v>
      </c>
      <c r="D123" s="60" t="s">
        <v>21932</v>
      </c>
      <c r="E123" s="88" t="s">
        <v>22026</v>
      </c>
      <c r="F123" s="141">
        <v>937.8</v>
      </c>
      <c r="G123" s="141"/>
      <c r="H123" s="60">
        <v>33.235999999999997</v>
      </c>
      <c r="I123" s="60"/>
      <c r="J123" s="111"/>
    </row>
    <row r="124" spans="1:14" ht="15" customHeight="1">
      <c r="A124" s="60">
        <v>2150</v>
      </c>
      <c r="B124" s="60" t="s">
        <v>18061</v>
      </c>
      <c r="C124" s="60" t="s">
        <v>21933</v>
      </c>
      <c r="D124" s="60" t="s">
        <v>21933</v>
      </c>
      <c r="E124" s="88" t="s">
        <v>22027</v>
      </c>
      <c r="F124" s="141">
        <v>1061.5</v>
      </c>
      <c r="G124" s="141"/>
      <c r="H124" s="60">
        <v>40.832999999999998</v>
      </c>
      <c r="I124" s="60"/>
      <c r="J124" s="111"/>
    </row>
    <row r="125" spans="1:14" ht="15" customHeight="1">
      <c r="A125" s="60"/>
      <c r="B125" s="60" t="s">
        <v>18061</v>
      </c>
      <c r="C125" s="60" t="s">
        <v>21826</v>
      </c>
      <c r="D125" s="60" t="s">
        <v>21826</v>
      </c>
      <c r="E125" s="88" t="s">
        <v>22024</v>
      </c>
      <c r="F125" s="141"/>
      <c r="G125" s="141"/>
      <c r="H125" s="60"/>
      <c r="I125" s="60">
        <v>18.992000000000001</v>
      </c>
    </row>
    <row r="126" spans="1:14" ht="15" customHeight="1">
      <c r="A126" s="60">
        <v>750</v>
      </c>
      <c r="B126" s="60" t="s">
        <v>18061</v>
      </c>
      <c r="C126" s="60" t="s">
        <v>21989</v>
      </c>
      <c r="D126" s="60" t="s">
        <v>21989</v>
      </c>
      <c r="E126" s="88" t="s">
        <v>22038</v>
      </c>
      <c r="F126" s="141">
        <v>628.54999999999995</v>
      </c>
      <c r="G126" s="141"/>
      <c r="H126" s="60">
        <v>15.167</v>
      </c>
      <c r="I126" s="60"/>
      <c r="J126" s="111"/>
    </row>
    <row r="127" spans="1:14" ht="15" customHeight="1">
      <c r="A127" s="60">
        <v>1350</v>
      </c>
      <c r="B127" s="60" t="s">
        <v>18061</v>
      </c>
      <c r="C127" s="60" t="s">
        <v>21990</v>
      </c>
      <c r="D127" s="60" t="s">
        <v>21990</v>
      </c>
      <c r="E127" s="88" t="s">
        <v>22035</v>
      </c>
      <c r="F127" s="141">
        <v>814.15</v>
      </c>
      <c r="G127" s="141"/>
      <c r="H127" s="60">
        <v>27.300999999999998</v>
      </c>
      <c r="I127" s="60"/>
      <c r="J127" s="111"/>
    </row>
    <row r="128" spans="1:14" ht="15" customHeight="1">
      <c r="A128" s="60">
        <v>1750</v>
      </c>
      <c r="B128" s="60" t="s">
        <v>18061</v>
      </c>
      <c r="C128" s="60" t="s">
        <v>21991</v>
      </c>
      <c r="D128" s="60" t="s">
        <v>21991</v>
      </c>
      <c r="E128" s="88" t="s">
        <v>22036</v>
      </c>
      <c r="F128" s="141">
        <v>937.8</v>
      </c>
      <c r="G128" s="141"/>
      <c r="H128" s="60">
        <v>35.39</v>
      </c>
      <c r="I128" s="60"/>
      <c r="J128" s="111"/>
    </row>
    <row r="129" spans="1:10" ht="15" customHeight="1">
      <c r="A129" s="60">
        <v>2150</v>
      </c>
      <c r="B129" s="60" t="s">
        <v>18061</v>
      </c>
      <c r="C129" s="60" t="s">
        <v>21992</v>
      </c>
      <c r="D129" s="60" t="s">
        <v>21992</v>
      </c>
      <c r="E129" s="88" t="s">
        <v>22037</v>
      </c>
      <c r="F129" s="141">
        <v>1061.5</v>
      </c>
      <c r="G129" s="141"/>
      <c r="H129" s="60">
        <v>43.478999999999999</v>
      </c>
      <c r="I129" s="60"/>
      <c r="J129" s="111"/>
    </row>
    <row r="130" spans="1:10" ht="15" customHeight="1">
      <c r="A130" s="60"/>
      <c r="B130" s="60" t="s">
        <v>18061</v>
      </c>
      <c r="C130" s="60" t="s">
        <v>21826</v>
      </c>
      <c r="D130" s="60" t="s">
        <v>21826</v>
      </c>
      <c r="E130" s="88" t="s">
        <v>22034</v>
      </c>
      <c r="F130" s="141"/>
      <c r="G130" s="141"/>
      <c r="H130" s="60"/>
      <c r="I130" s="60">
        <v>20.222999999999999</v>
      </c>
    </row>
    <row r="131" spans="1:10" ht="15" customHeight="1">
      <c r="A131" s="60">
        <v>750</v>
      </c>
      <c r="B131" s="60" t="s">
        <v>18061</v>
      </c>
      <c r="C131" s="60" t="s">
        <v>21993</v>
      </c>
      <c r="D131" s="60" t="s">
        <v>21993</v>
      </c>
      <c r="E131" s="88" t="s">
        <v>22048</v>
      </c>
      <c r="F131" s="141">
        <v>628.54999999999995</v>
      </c>
      <c r="G131" s="141"/>
      <c r="H131" s="60">
        <v>15.167</v>
      </c>
      <c r="I131" s="60"/>
    </row>
    <row r="132" spans="1:10" ht="15" customHeight="1">
      <c r="A132" s="60">
        <v>1350</v>
      </c>
      <c r="B132" s="60" t="s">
        <v>18061</v>
      </c>
      <c r="C132" s="60" t="s">
        <v>21994</v>
      </c>
      <c r="D132" s="60" t="s">
        <v>21994</v>
      </c>
      <c r="E132" s="88" t="s">
        <v>22045</v>
      </c>
      <c r="F132" s="141">
        <v>814.15</v>
      </c>
      <c r="G132" s="141"/>
      <c r="H132" s="60">
        <v>27.300999999999998</v>
      </c>
      <c r="I132" s="60"/>
    </row>
    <row r="133" spans="1:10" ht="15" customHeight="1">
      <c r="A133" s="60">
        <v>1750</v>
      </c>
      <c r="B133" s="60" t="s">
        <v>18061</v>
      </c>
      <c r="C133" s="60" t="s">
        <v>21995</v>
      </c>
      <c r="D133" s="60" t="s">
        <v>21995</v>
      </c>
      <c r="E133" s="88" t="s">
        <v>22046</v>
      </c>
      <c r="F133" s="141">
        <v>937.8</v>
      </c>
      <c r="G133" s="141"/>
      <c r="H133" s="60">
        <v>35.39</v>
      </c>
      <c r="I133" s="60"/>
    </row>
    <row r="134" spans="1:10" ht="15" customHeight="1">
      <c r="A134" s="60">
        <v>2150</v>
      </c>
      <c r="B134" s="60" t="s">
        <v>18061</v>
      </c>
      <c r="C134" s="60" t="s">
        <v>21996</v>
      </c>
      <c r="D134" s="60" t="s">
        <v>21996</v>
      </c>
      <c r="E134" s="88" t="s">
        <v>22047</v>
      </c>
      <c r="F134" s="141">
        <v>1061.5</v>
      </c>
      <c r="G134" s="141"/>
      <c r="H134" s="60">
        <v>43.478999999999999</v>
      </c>
      <c r="I134" s="60"/>
    </row>
    <row r="135" spans="1:10" ht="15" customHeight="1">
      <c r="A135" s="60"/>
      <c r="B135" s="60" t="s">
        <v>18061</v>
      </c>
      <c r="C135" s="60" t="s">
        <v>21826</v>
      </c>
      <c r="D135" s="60" t="s">
        <v>21826</v>
      </c>
      <c r="E135" s="88" t="s">
        <v>22044</v>
      </c>
      <c r="F135" s="141"/>
      <c r="G135" s="141"/>
      <c r="H135" s="60"/>
      <c r="I135" s="60">
        <v>20.222999999999999</v>
      </c>
    </row>
    <row r="136" spans="1:10" ht="15" customHeight="1">
      <c r="A136" s="60">
        <v>750</v>
      </c>
      <c r="B136" s="60" t="s">
        <v>18061</v>
      </c>
      <c r="C136" s="60" t="s">
        <v>21997</v>
      </c>
      <c r="D136" s="60" t="s">
        <v>21997</v>
      </c>
      <c r="E136" s="88" t="s">
        <v>22058</v>
      </c>
      <c r="F136" s="141">
        <v>628.54999999999995</v>
      </c>
      <c r="G136" s="141"/>
      <c r="H136" s="60">
        <v>14.244</v>
      </c>
      <c r="I136" s="60"/>
    </row>
    <row r="137" spans="1:10" ht="15" customHeight="1">
      <c r="A137" s="60">
        <v>1350</v>
      </c>
      <c r="B137" s="60" t="s">
        <v>18061</v>
      </c>
      <c r="C137" s="60" t="s">
        <v>21998</v>
      </c>
      <c r="D137" s="60" t="s">
        <v>21998</v>
      </c>
      <c r="E137" s="88" t="s">
        <v>22055</v>
      </c>
      <c r="F137" s="141">
        <v>814.15</v>
      </c>
      <c r="G137" s="141"/>
      <c r="H137" s="60">
        <v>25.638999999999999</v>
      </c>
      <c r="I137" s="60"/>
    </row>
    <row r="138" spans="1:10" ht="15" customHeight="1">
      <c r="A138" s="60">
        <v>1750</v>
      </c>
      <c r="B138" s="60" t="s">
        <v>18061</v>
      </c>
      <c r="C138" s="60" t="s">
        <v>21999</v>
      </c>
      <c r="D138" s="60" t="s">
        <v>21999</v>
      </c>
      <c r="E138" s="88" t="s">
        <v>22056</v>
      </c>
      <c r="F138" s="141">
        <v>937.8</v>
      </c>
      <c r="G138" s="141"/>
      <c r="H138" s="60">
        <v>33.235999999999997</v>
      </c>
      <c r="I138" s="60"/>
    </row>
    <row r="139" spans="1:10" ht="15" customHeight="1">
      <c r="A139" s="60">
        <v>2150</v>
      </c>
      <c r="B139" s="60" t="s">
        <v>18061</v>
      </c>
      <c r="C139" s="60" t="s">
        <v>22000</v>
      </c>
      <c r="D139" s="60" t="s">
        <v>22000</v>
      </c>
      <c r="E139" s="88" t="s">
        <v>22057</v>
      </c>
      <c r="F139" s="141">
        <v>1061.5</v>
      </c>
      <c r="G139" s="141"/>
      <c r="H139" s="60">
        <v>40.832999999999998</v>
      </c>
      <c r="I139" s="60"/>
    </row>
    <row r="140" spans="1:10" ht="15" customHeight="1">
      <c r="A140" s="60"/>
      <c r="B140" s="60" t="s">
        <v>18061</v>
      </c>
      <c r="C140" s="60" t="s">
        <v>21826</v>
      </c>
      <c r="D140" s="60" t="s">
        <v>21826</v>
      </c>
      <c r="E140" s="88" t="s">
        <v>22054</v>
      </c>
      <c r="F140" s="141"/>
      <c r="G140" s="141"/>
      <c r="H140" s="60"/>
      <c r="I140" s="60">
        <v>18.992000000000001</v>
      </c>
    </row>
    <row r="141" spans="1:10" ht="15" customHeight="1">
      <c r="A141" s="60"/>
      <c r="B141" s="60" t="s">
        <v>18061</v>
      </c>
      <c r="C141" s="60" t="s">
        <v>21971</v>
      </c>
      <c r="D141" s="60" t="s">
        <v>21971</v>
      </c>
      <c r="E141" s="88" t="s">
        <v>20584</v>
      </c>
      <c r="F141" s="141">
        <v>15.9</v>
      </c>
      <c r="G141" s="141"/>
      <c r="H141" s="60"/>
      <c r="I141" s="60"/>
    </row>
    <row r="142" spans="1:10" ht="15" customHeight="1">
      <c r="A142" s="60"/>
      <c r="B142" s="60" t="s">
        <v>18061</v>
      </c>
      <c r="C142" s="60" t="s">
        <v>21942</v>
      </c>
      <c r="D142" s="60" t="s">
        <v>21942</v>
      </c>
      <c r="E142" s="88" t="s">
        <v>20623</v>
      </c>
      <c r="F142" s="141">
        <v>98.9</v>
      </c>
      <c r="G142" s="141"/>
      <c r="H142" s="60"/>
      <c r="I142" s="60"/>
    </row>
    <row r="143" spans="1:10" ht="15" customHeight="1">
      <c r="A143" s="60"/>
      <c r="B143" s="60" t="s">
        <v>18061</v>
      </c>
      <c r="C143" s="60" t="s">
        <v>21941</v>
      </c>
      <c r="D143" s="60" t="s">
        <v>21941</v>
      </c>
      <c r="E143" s="88" t="s">
        <v>20650</v>
      </c>
      <c r="F143" s="141">
        <v>104.9</v>
      </c>
      <c r="G143" s="141"/>
      <c r="H143" s="60"/>
      <c r="I143" s="60"/>
    </row>
    <row r="144" spans="1:10" ht="15" customHeight="1">
      <c r="A144" s="60"/>
      <c r="B144" s="60" t="s">
        <v>18061</v>
      </c>
      <c r="C144" s="60" t="s">
        <v>21981</v>
      </c>
      <c r="D144" s="60" t="s">
        <v>21981</v>
      </c>
      <c r="E144" s="88" t="s">
        <v>21876</v>
      </c>
      <c r="F144" s="141">
        <v>110.9</v>
      </c>
      <c r="G144" s="141"/>
      <c r="H144" s="60"/>
      <c r="I144" s="60"/>
    </row>
    <row r="145" spans="1:10" ht="15" customHeight="1">
      <c r="A145" s="60"/>
      <c r="B145" s="60" t="s">
        <v>18061</v>
      </c>
      <c r="C145" s="60" t="s">
        <v>21980</v>
      </c>
      <c r="D145" s="60" t="s">
        <v>21980</v>
      </c>
      <c r="E145" s="88" t="s">
        <v>21875</v>
      </c>
      <c r="F145" s="141">
        <v>106.9</v>
      </c>
      <c r="G145" s="141"/>
      <c r="H145" s="60"/>
      <c r="I145" s="60"/>
    </row>
    <row r="146" spans="1:10" ht="15" customHeight="1">
      <c r="A146" s="60">
        <v>750</v>
      </c>
      <c r="B146" s="60" t="s">
        <v>18061</v>
      </c>
      <c r="C146" s="60" t="s">
        <v>21881</v>
      </c>
      <c r="D146" s="60" t="s">
        <v>21881</v>
      </c>
      <c r="E146" s="88" t="s">
        <v>22093</v>
      </c>
      <c r="F146" s="141">
        <v>81.150000000000006</v>
      </c>
      <c r="G146" s="141">
        <f t="shared" ref="G146:G159" si="1">F146*1.1</f>
        <v>89.265000000000015</v>
      </c>
      <c r="H146" s="60">
        <v>2.7149999999999999</v>
      </c>
      <c r="I146" s="60"/>
    </row>
    <row r="147" spans="1:10" ht="15" customHeight="1">
      <c r="A147" s="60">
        <v>1350</v>
      </c>
      <c r="B147" s="60" t="s">
        <v>18061</v>
      </c>
      <c r="C147" s="60" t="s">
        <v>21882</v>
      </c>
      <c r="D147" s="60" t="s">
        <v>21882</v>
      </c>
      <c r="E147" s="88" t="s">
        <v>22093</v>
      </c>
      <c r="F147" s="141">
        <v>123.15</v>
      </c>
      <c r="G147" s="141">
        <f t="shared" si="1"/>
        <v>135.465</v>
      </c>
      <c r="H147" s="60">
        <v>4.8869999999999996</v>
      </c>
      <c r="I147" s="60"/>
    </row>
    <row r="148" spans="1:10" ht="15" customHeight="1">
      <c r="A148" s="60">
        <v>1750</v>
      </c>
      <c r="B148" s="60" t="s">
        <v>18061</v>
      </c>
      <c r="C148" s="60" t="s">
        <v>21982</v>
      </c>
      <c r="D148" s="60" t="s">
        <v>21982</v>
      </c>
      <c r="E148" s="88" t="s">
        <v>22093</v>
      </c>
      <c r="F148" s="141">
        <v>137.5</v>
      </c>
      <c r="G148" s="141">
        <f t="shared" si="1"/>
        <v>151.25</v>
      </c>
      <c r="H148" s="60">
        <v>6.335</v>
      </c>
      <c r="I148" s="60"/>
    </row>
    <row r="149" spans="1:10" ht="15" customHeight="1">
      <c r="A149" s="60">
        <v>2150</v>
      </c>
      <c r="B149" s="60" t="s">
        <v>18061</v>
      </c>
      <c r="C149" s="60" t="s">
        <v>21983</v>
      </c>
      <c r="D149" s="60" t="s">
        <v>21983</v>
      </c>
      <c r="E149" s="88" t="s">
        <v>22093</v>
      </c>
      <c r="F149" s="141">
        <v>162.9</v>
      </c>
      <c r="G149" s="141">
        <f t="shared" si="1"/>
        <v>179.19000000000003</v>
      </c>
      <c r="H149" s="60">
        <v>7.7830000000000004</v>
      </c>
      <c r="I149" s="60"/>
    </row>
    <row r="150" spans="1:10" ht="15" customHeight="1">
      <c r="A150" s="60"/>
      <c r="B150" s="60" t="s">
        <v>18061</v>
      </c>
      <c r="C150" s="60" t="s">
        <v>21883</v>
      </c>
      <c r="D150" s="60" t="s">
        <v>21883</v>
      </c>
      <c r="E150" s="88" t="s">
        <v>21094</v>
      </c>
      <c r="F150" s="141">
        <v>72</v>
      </c>
      <c r="G150" s="141"/>
      <c r="H150" s="60"/>
      <c r="I150" s="60">
        <v>3.62</v>
      </c>
    </row>
    <row r="151" spans="1:10" ht="15" customHeight="1">
      <c r="A151" s="60">
        <v>750</v>
      </c>
      <c r="B151" s="60" t="s">
        <v>18061</v>
      </c>
      <c r="C151" s="60" t="s">
        <v>21886</v>
      </c>
      <c r="D151" s="60" t="s">
        <v>21886</v>
      </c>
      <c r="E151" s="88" t="s">
        <v>21107</v>
      </c>
      <c r="F151" s="141">
        <v>134.25</v>
      </c>
      <c r="G151" s="141">
        <f t="shared" si="1"/>
        <v>147.67500000000001</v>
      </c>
      <c r="H151" s="60">
        <v>3.3410000000000002</v>
      </c>
      <c r="I151" s="60"/>
      <c r="J151" s="111"/>
    </row>
    <row r="152" spans="1:10" ht="15" customHeight="1">
      <c r="A152" s="60">
        <v>1350</v>
      </c>
      <c r="B152" s="60" t="s">
        <v>18061</v>
      </c>
      <c r="C152" s="60" t="s">
        <v>21887</v>
      </c>
      <c r="D152" s="60" t="s">
        <v>21887</v>
      </c>
      <c r="E152" s="88" t="s">
        <v>21107</v>
      </c>
      <c r="F152" s="141">
        <v>206.7</v>
      </c>
      <c r="G152" s="141">
        <f t="shared" si="1"/>
        <v>227.37</v>
      </c>
      <c r="H152" s="60">
        <v>6.0129999999999999</v>
      </c>
      <c r="I152" s="60"/>
      <c r="J152" s="111"/>
    </row>
    <row r="153" spans="1:10" ht="15" customHeight="1">
      <c r="A153" s="60">
        <v>1750</v>
      </c>
      <c r="B153" s="60" t="s">
        <v>18061</v>
      </c>
      <c r="C153" s="60" t="s">
        <v>21888</v>
      </c>
      <c r="D153" s="60" t="s">
        <v>21888</v>
      </c>
      <c r="E153" s="88" t="s">
        <v>21107</v>
      </c>
      <c r="F153" s="141">
        <v>256.25</v>
      </c>
      <c r="G153" s="141">
        <f t="shared" si="1"/>
        <v>281.875</v>
      </c>
      <c r="H153" s="60">
        <v>7.7949999999999999</v>
      </c>
      <c r="I153" s="60"/>
      <c r="J153" s="111"/>
    </row>
    <row r="154" spans="1:10" ht="15" customHeight="1">
      <c r="A154" s="60">
        <v>2150</v>
      </c>
      <c r="B154" s="60" t="s">
        <v>18061</v>
      </c>
      <c r="C154" s="60" t="s">
        <v>21889</v>
      </c>
      <c r="D154" s="60" t="s">
        <v>21889</v>
      </c>
      <c r="E154" s="88" t="s">
        <v>21107</v>
      </c>
      <c r="F154" s="141">
        <v>306.5</v>
      </c>
      <c r="G154" s="141">
        <f t="shared" si="1"/>
        <v>337.15000000000003</v>
      </c>
      <c r="H154" s="60">
        <v>9.5760000000000005</v>
      </c>
      <c r="I154" s="60"/>
      <c r="J154" s="111"/>
    </row>
    <row r="155" spans="1:10" ht="15" customHeight="1">
      <c r="A155" s="60"/>
      <c r="B155" s="60" t="s">
        <v>18061</v>
      </c>
      <c r="C155" s="60" t="s">
        <v>21890</v>
      </c>
      <c r="D155" s="60" t="s">
        <v>21890</v>
      </c>
      <c r="E155" s="88" t="s">
        <v>21120</v>
      </c>
      <c r="F155" s="141">
        <v>117.2</v>
      </c>
      <c r="G155" s="141"/>
      <c r="H155" s="60"/>
      <c r="I155" s="60">
        <v>4.4539999999999997</v>
      </c>
    </row>
    <row r="156" spans="1:10" ht="15" customHeight="1">
      <c r="A156" s="60">
        <v>750</v>
      </c>
      <c r="B156" s="60" t="s">
        <v>18061</v>
      </c>
      <c r="C156" s="60" t="s">
        <v>21891</v>
      </c>
      <c r="D156" s="60" t="s">
        <v>21891</v>
      </c>
      <c r="E156" s="88" t="s">
        <v>21133</v>
      </c>
      <c r="F156" s="141">
        <v>153.25</v>
      </c>
      <c r="G156" s="141">
        <f t="shared" si="1"/>
        <v>168.57500000000002</v>
      </c>
      <c r="H156" s="60">
        <v>3.83</v>
      </c>
      <c r="I156" s="60"/>
      <c r="J156" s="111"/>
    </row>
    <row r="157" spans="1:10" ht="15" customHeight="1">
      <c r="A157" s="60">
        <v>1350</v>
      </c>
      <c r="B157" s="60" t="s">
        <v>18061</v>
      </c>
      <c r="C157" s="60" t="s">
        <v>21892</v>
      </c>
      <c r="D157" s="60" t="s">
        <v>21892</v>
      </c>
      <c r="E157" s="88" t="s">
        <v>21133</v>
      </c>
      <c r="F157" s="141">
        <v>239.85</v>
      </c>
      <c r="G157" s="141">
        <f t="shared" si="1"/>
        <v>263.83500000000004</v>
      </c>
      <c r="H157" s="60">
        <v>6.8929999999999998</v>
      </c>
      <c r="I157" s="60"/>
      <c r="J157" s="111"/>
    </row>
    <row r="158" spans="1:10" ht="15" customHeight="1">
      <c r="A158" s="60">
        <v>1750</v>
      </c>
      <c r="B158" s="60" t="s">
        <v>18061</v>
      </c>
      <c r="C158" s="60" t="s">
        <v>21893</v>
      </c>
      <c r="D158" s="60" t="s">
        <v>21893</v>
      </c>
      <c r="E158" s="88" t="s">
        <v>21133</v>
      </c>
      <c r="F158" s="141">
        <v>298.89999999999998</v>
      </c>
      <c r="G158" s="141">
        <f t="shared" si="1"/>
        <v>328.79</v>
      </c>
      <c r="H158" s="60">
        <v>8.9359999999999999</v>
      </c>
      <c r="I158" s="60"/>
      <c r="J158" s="111"/>
    </row>
    <row r="159" spans="1:10" ht="15" customHeight="1">
      <c r="A159" s="60">
        <v>2150</v>
      </c>
      <c r="B159" s="60" t="s">
        <v>18061</v>
      </c>
      <c r="C159" s="60" t="s">
        <v>21894</v>
      </c>
      <c r="D159" s="60" t="s">
        <v>21894</v>
      </c>
      <c r="E159" s="88" t="s">
        <v>21133</v>
      </c>
      <c r="F159" s="141">
        <v>359</v>
      </c>
      <c r="G159" s="141">
        <f t="shared" si="1"/>
        <v>394.90000000000003</v>
      </c>
      <c r="H159" s="60">
        <v>10.978</v>
      </c>
      <c r="I159" s="60"/>
      <c r="J159" s="111"/>
    </row>
    <row r="160" spans="1:10" ht="15" customHeight="1">
      <c r="A160" s="60"/>
      <c r="B160" s="60" t="s">
        <v>18061</v>
      </c>
      <c r="C160" s="60" t="s">
        <v>21895</v>
      </c>
      <c r="D160" s="60" t="s">
        <v>21895</v>
      </c>
      <c r="E160" s="88" t="s">
        <v>21146</v>
      </c>
      <c r="F160" s="141">
        <v>141.35</v>
      </c>
      <c r="G160" s="141"/>
      <c r="H160" s="60"/>
      <c r="I160" s="60">
        <v>5.1059999999999999</v>
      </c>
    </row>
    <row r="161" spans="1:10" ht="15" customHeight="1">
      <c r="A161" s="60"/>
      <c r="B161" s="60" t="s">
        <v>18061</v>
      </c>
      <c r="C161" s="60" t="s">
        <v>25461</v>
      </c>
      <c r="D161" s="60" t="s">
        <v>25461</v>
      </c>
      <c r="E161" s="88" t="s">
        <v>25462</v>
      </c>
      <c r="F161" s="141">
        <v>80</v>
      </c>
      <c r="G161" s="141"/>
      <c r="H161" s="60"/>
      <c r="I161" s="60"/>
      <c r="J161" s="111"/>
    </row>
    <row r="170" spans="1:10">
      <c r="E170" t="s">
        <v>22190</v>
      </c>
      <c r="G170">
        <v>90</v>
      </c>
    </row>
    <row r="171" spans="1:10">
      <c r="E171" t="s">
        <v>22193</v>
      </c>
      <c r="G171">
        <v>300</v>
      </c>
    </row>
    <row r="175" spans="1:10">
      <c r="E175" t="s">
        <v>19390</v>
      </c>
      <c r="G175">
        <v>200</v>
      </c>
    </row>
    <row r="176" spans="1:10">
      <c r="E176" t="s">
        <v>22194</v>
      </c>
      <c r="G176">
        <v>1000</v>
      </c>
    </row>
  </sheetData>
  <pageMargins left="0.7" right="0.7" top="0.78740157499999996" bottom="0.78740157499999996" header="0.3" footer="0.3"/>
  <pageSetup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381D1-E55C-4CE4-9B1B-336AC54A1580}">
  <dimension ref="A1:J79"/>
  <sheetViews>
    <sheetView topLeftCell="A28" workbookViewId="0">
      <selection activeCell="B39" sqref="B39"/>
    </sheetView>
  </sheetViews>
  <sheetFormatPr baseColWidth="10" defaultRowHeight="15"/>
  <cols>
    <col min="2" max="2" width="39.85546875" bestFit="1" customWidth="1"/>
  </cols>
  <sheetData>
    <row r="1" spans="1:10">
      <c r="A1" t="s">
        <v>26196</v>
      </c>
    </row>
    <row r="4" spans="1:10">
      <c r="A4" t="s">
        <v>26197</v>
      </c>
      <c r="B4" t="s">
        <v>26198</v>
      </c>
      <c r="D4" t="s">
        <v>26199</v>
      </c>
      <c r="E4" t="s">
        <v>2545</v>
      </c>
      <c r="F4" t="s">
        <v>26200</v>
      </c>
      <c r="G4" t="s">
        <v>26201</v>
      </c>
      <c r="H4" t="s">
        <v>26202</v>
      </c>
    </row>
    <row r="5" spans="1:10">
      <c r="A5">
        <v>0</v>
      </c>
      <c r="B5" t="s">
        <v>22289</v>
      </c>
      <c r="C5">
        <f>IF(Erhebungsbogen!$F$8='HWS Partner'!B5,1,0)</f>
        <v>0</v>
      </c>
      <c r="J5" t="s">
        <v>26203</v>
      </c>
    </row>
    <row r="6" spans="1:10">
      <c r="A6">
        <v>1</v>
      </c>
      <c r="B6" t="s">
        <v>26204</v>
      </c>
      <c r="C6">
        <f>IF(Erhebungsbogen!$F$8='HWS Partner'!B6,1,0)</f>
        <v>0</v>
      </c>
      <c r="D6" t="s">
        <v>26205</v>
      </c>
      <c r="E6" t="s">
        <v>26206</v>
      </c>
      <c r="F6" t="s">
        <v>26207</v>
      </c>
      <c r="G6">
        <v>6015</v>
      </c>
      <c r="H6" t="s">
        <v>26208</v>
      </c>
    </row>
    <row r="7" spans="1:10">
      <c r="A7">
        <v>2</v>
      </c>
      <c r="B7" t="s">
        <v>26209</v>
      </c>
      <c r="C7">
        <f>IF(Erhebungsbogen!$F$8='HWS Partner'!B7,1,0)</f>
        <v>0</v>
      </c>
      <c r="D7" t="s">
        <v>26210</v>
      </c>
      <c r="E7" t="s">
        <v>26211</v>
      </c>
      <c r="F7" t="s">
        <v>26207</v>
      </c>
      <c r="G7">
        <v>6015</v>
      </c>
      <c r="H7" t="s">
        <v>26208</v>
      </c>
    </row>
    <row r="8" spans="1:10">
      <c r="A8">
        <v>3</v>
      </c>
      <c r="B8" t="s">
        <v>26212</v>
      </c>
      <c r="C8">
        <f>IF(Erhebungsbogen!$F$8='HWS Partner'!B8,1,0)</f>
        <v>0</v>
      </c>
      <c r="D8" t="s">
        <v>26213</v>
      </c>
      <c r="E8" t="s">
        <v>26214</v>
      </c>
      <c r="F8" t="s">
        <v>26215</v>
      </c>
      <c r="G8">
        <v>6418</v>
      </c>
      <c r="H8" t="s">
        <v>26216</v>
      </c>
    </row>
    <row r="9" spans="1:10">
      <c r="A9">
        <v>4</v>
      </c>
      <c r="B9" t="s">
        <v>26217</v>
      </c>
      <c r="C9">
        <f>IF(Erhebungsbogen!$F$8='HWS Partner'!B9,1,0)</f>
        <v>0</v>
      </c>
      <c r="D9" t="s">
        <v>26218</v>
      </c>
      <c r="E9" t="s">
        <v>26219</v>
      </c>
      <c r="F9" t="s">
        <v>26220</v>
      </c>
      <c r="G9">
        <v>8050</v>
      </c>
      <c r="H9" t="s">
        <v>26221</v>
      </c>
    </row>
    <row r="10" spans="1:10">
      <c r="A10">
        <v>5</v>
      </c>
      <c r="B10" t="s">
        <v>26217</v>
      </c>
      <c r="C10">
        <f>IF(Erhebungsbogen!$F$8='HWS Partner'!B10,1,0)</f>
        <v>0</v>
      </c>
      <c r="D10" t="s">
        <v>26222</v>
      </c>
      <c r="E10" t="s">
        <v>26223</v>
      </c>
      <c r="F10" t="s">
        <v>26220</v>
      </c>
      <c r="G10">
        <v>8050</v>
      </c>
      <c r="H10" t="s">
        <v>26221</v>
      </c>
    </row>
    <row r="11" spans="1:10">
      <c r="A11">
        <v>6</v>
      </c>
      <c r="B11" t="s">
        <v>26224</v>
      </c>
      <c r="C11">
        <f>IF(Erhebungsbogen!$F$8='HWS Partner'!B11,1,0)</f>
        <v>0</v>
      </c>
      <c r="D11" t="s">
        <v>26225</v>
      </c>
      <c r="E11" t="s">
        <v>26226</v>
      </c>
      <c r="F11" t="s">
        <v>26227</v>
      </c>
      <c r="G11">
        <v>8882</v>
      </c>
      <c r="H11" t="s">
        <v>26228</v>
      </c>
    </row>
    <row r="12" spans="1:10">
      <c r="A12">
        <v>7</v>
      </c>
      <c r="B12" t="s">
        <v>26229</v>
      </c>
      <c r="C12">
        <f>IF(Erhebungsbogen!$F$8='HWS Partner'!B12,1,0)</f>
        <v>0</v>
      </c>
      <c r="D12" t="s">
        <v>26230</v>
      </c>
      <c r="E12" t="s">
        <v>26231</v>
      </c>
      <c r="F12" t="s">
        <v>26232</v>
      </c>
      <c r="G12">
        <v>8468</v>
      </c>
      <c r="H12" t="s">
        <v>26233</v>
      </c>
    </row>
    <row r="13" spans="1:10">
      <c r="A13">
        <v>8</v>
      </c>
      <c r="B13" t="s">
        <v>26234</v>
      </c>
      <c r="C13">
        <f>IF(Erhebungsbogen!$F$8='HWS Partner'!B13,1,0)</f>
        <v>0</v>
      </c>
      <c r="D13" t="s">
        <v>26235</v>
      </c>
      <c r="E13" t="s">
        <v>26236</v>
      </c>
      <c r="F13" t="s">
        <v>26237</v>
      </c>
      <c r="G13">
        <v>8854</v>
      </c>
      <c r="H13" t="s">
        <v>26238</v>
      </c>
    </row>
    <row r="14" spans="1:10">
      <c r="A14">
        <v>1</v>
      </c>
      <c r="B14" t="s">
        <v>26239</v>
      </c>
      <c r="C14">
        <f>IF(Erhebungsbogen!$F$8='HWS Partner'!B14,1,0)</f>
        <v>0</v>
      </c>
      <c r="D14" t="s">
        <v>26240</v>
      </c>
      <c r="E14" t="s">
        <v>26241</v>
      </c>
      <c r="F14" t="s">
        <v>26242</v>
      </c>
      <c r="G14">
        <v>4455</v>
      </c>
      <c r="H14" t="s">
        <v>26243</v>
      </c>
      <c r="J14" t="s">
        <v>26244</v>
      </c>
    </row>
    <row r="15" spans="1:10">
      <c r="A15">
        <v>2</v>
      </c>
      <c r="B15" t="s">
        <v>26239</v>
      </c>
      <c r="C15">
        <f>IF(Erhebungsbogen!$F$8='HWS Partner'!B15,1,0)</f>
        <v>0</v>
      </c>
      <c r="D15" t="s">
        <v>26245</v>
      </c>
      <c r="E15" t="s">
        <v>26246</v>
      </c>
      <c r="F15" t="s">
        <v>26247</v>
      </c>
      <c r="G15">
        <v>4456</v>
      </c>
      <c r="H15" t="s">
        <v>26243</v>
      </c>
    </row>
    <row r="16" spans="1:10">
      <c r="A16">
        <v>3</v>
      </c>
      <c r="B16" t="s">
        <v>26239</v>
      </c>
      <c r="C16">
        <f>IF(Erhebungsbogen!$F$8='HWS Partner'!B16,1,0)</f>
        <v>0</v>
      </c>
      <c r="D16" t="s">
        <v>26248</v>
      </c>
      <c r="E16" t="s">
        <v>26249</v>
      </c>
      <c r="F16" t="s">
        <v>26247</v>
      </c>
      <c r="G16">
        <v>4456</v>
      </c>
      <c r="H16" t="s">
        <v>26243</v>
      </c>
    </row>
    <row r="17" spans="1:10">
      <c r="A17">
        <v>4</v>
      </c>
      <c r="B17" t="s">
        <v>26239</v>
      </c>
      <c r="C17">
        <f>IF(Erhebungsbogen!$F$8='HWS Partner'!B17,1,0)</f>
        <v>0</v>
      </c>
      <c r="D17" t="s">
        <v>26250</v>
      </c>
      <c r="E17" t="s">
        <v>26251</v>
      </c>
      <c r="F17" t="s">
        <v>26247</v>
      </c>
      <c r="G17">
        <v>4456</v>
      </c>
      <c r="H17" t="s">
        <v>26243</v>
      </c>
    </row>
    <row r="18" spans="1:10">
      <c r="A18">
        <v>5</v>
      </c>
      <c r="B18" t="s">
        <v>26252</v>
      </c>
      <c r="C18">
        <f>IF(Erhebungsbogen!$F$8='HWS Partner'!B18,1,0)</f>
        <v>0</v>
      </c>
      <c r="D18" t="s">
        <v>26253</v>
      </c>
      <c r="E18" t="s">
        <v>26254</v>
      </c>
      <c r="F18" t="s">
        <v>26255</v>
      </c>
      <c r="G18">
        <v>8252</v>
      </c>
      <c r="H18" t="s">
        <v>26256</v>
      </c>
    </row>
    <row r="19" spans="1:10">
      <c r="A19">
        <v>6</v>
      </c>
      <c r="B19" t="s">
        <v>26257</v>
      </c>
      <c r="C19">
        <f>IF(Erhebungsbogen!$F$8='HWS Partner'!B19,1,0)</f>
        <v>0</v>
      </c>
      <c r="D19" t="s">
        <v>26258</v>
      </c>
      <c r="E19" t="s">
        <v>26259</v>
      </c>
      <c r="F19" t="s">
        <v>26260</v>
      </c>
      <c r="G19">
        <v>8942</v>
      </c>
      <c r="H19" t="s">
        <v>26261</v>
      </c>
    </row>
    <row r="20" spans="1:10">
      <c r="A20">
        <v>7</v>
      </c>
      <c r="B20" t="s">
        <v>26257</v>
      </c>
      <c r="C20">
        <f>IF(Erhebungsbogen!$F$8='HWS Partner'!B20,1,0)</f>
        <v>0</v>
      </c>
      <c r="D20" t="s">
        <v>26262</v>
      </c>
      <c r="E20" t="s">
        <v>26263</v>
      </c>
      <c r="F20" t="s">
        <v>26260</v>
      </c>
      <c r="G20">
        <v>8942</v>
      </c>
      <c r="H20" t="s">
        <v>26261</v>
      </c>
    </row>
    <row r="21" spans="1:10">
      <c r="A21">
        <v>8</v>
      </c>
      <c r="B21" t="s">
        <v>26264</v>
      </c>
      <c r="C21">
        <f>IF(Erhebungsbogen!$F$8='HWS Partner'!B21,1,0)</f>
        <v>0</v>
      </c>
      <c r="D21" t="s">
        <v>26222</v>
      </c>
      <c r="E21" t="s">
        <v>26265</v>
      </c>
      <c r="F21" t="s">
        <v>26266</v>
      </c>
      <c r="G21">
        <v>5732</v>
      </c>
      <c r="H21" t="s">
        <v>26267</v>
      </c>
    </row>
    <row r="22" spans="1:10">
      <c r="A22">
        <v>9</v>
      </c>
      <c r="B22" t="s">
        <v>26268</v>
      </c>
      <c r="C22">
        <f>IF(Erhebungsbogen!$F$8='HWS Partner'!B22,1,0)</f>
        <v>0</v>
      </c>
      <c r="D22" t="s">
        <v>26269</v>
      </c>
      <c r="E22" t="s">
        <v>26270</v>
      </c>
      <c r="F22" t="s">
        <v>26271</v>
      </c>
      <c r="G22">
        <v>4805</v>
      </c>
      <c r="H22" t="s">
        <v>26272</v>
      </c>
    </row>
    <row r="23" spans="1:10">
      <c r="A23">
        <v>10</v>
      </c>
      <c r="B23" t="s">
        <v>26268</v>
      </c>
      <c r="C23">
        <f>IF(Erhebungsbogen!$F$8='HWS Partner'!B23,1,0)</f>
        <v>0</v>
      </c>
      <c r="D23" t="s">
        <v>26273</v>
      </c>
      <c r="E23" t="s">
        <v>26274</v>
      </c>
      <c r="F23" t="s">
        <v>26271</v>
      </c>
      <c r="G23">
        <v>4805</v>
      </c>
      <c r="H23" t="s">
        <v>26272</v>
      </c>
    </row>
    <row r="24" spans="1:10">
      <c r="A24">
        <v>1</v>
      </c>
      <c r="B24" t="s">
        <v>26275</v>
      </c>
      <c r="C24">
        <f>IF(Erhebungsbogen!$F$8='HWS Partner'!B24,1,0)</f>
        <v>0</v>
      </c>
      <c r="D24" t="s">
        <v>26241</v>
      </c>
      <c r="E24" t="s">
        <v>26276</v>
      </c>
      <c r="F24" t="s">
        <v>26277</v>
      </c>
      <c r="G24">
        <v>3264</v>
      </c>
      <c r="H24" t="s">
        <v>26278</v>
      </c>
      <c r="J24" t="s">
        <v>26279</v>
      </c>
    </row>
    <row r="25" spans="1:10">
      <c r="A25">
        <v>2</v>
      </c>
      <c r="B25" t="s">
        <v>26275</v>
      </c>
      <c r="C25">
        <f>IF(Erhebungsbogen!$F$8='HWS Partner'!B25,1,0)</f>
        <v>0</v>
      </c>
      <c r="D25" t="s">
        <v>26280</v>
      </c>
      <c r="E25" t="s">
        <v>26276</v>
      </c>
      <c r="F25" t="s">
        <v>26277</v>
      </c>
      <c r="G25">
        <v>3264</v>
      </c>
      <c r="H25" t="s">
        <v>26278</v>
      </c>
    </row>
    <row r="26" spans="1:10">
      <c r="A26">
        <v>3</v>
      </c>
      <c r="B26" t="s">
        <v>26281</v>
      </c>
      <c r="C26">
        <f>IF(Erhebungsbogen!$F$8='HWS Partner'!B26,1,0)</f>
        <v>0</v>
      </c>
      <c r="D26" t="s">
        <v>26282</v>
      </c>
      <c r="E26" t="s">
        <v>26283</v>
      </c>
      <c r="F26" t="s">
        <v>26284</v>
      </c>
      <c r="G26">
        <v>3715</v>
      </c>
      <c r="H26" t="s">
        <v>26285</v>
      </c>
    </row>
    <row r="27" spans="1:10">
      <c r="A27">
        <v>4</v>
      </c>
      <c r="B27" t="s">
        <v>26281</v>
      </c>
      <c r="C27">
        <f>IF(Erhebungsbogen!$F$8='HWS Partner'!B27,1,0)</f>
        <v>0</v>
      </c>
      <c r="D27" t="s">
        <v>26286</v>
      </c>
      <c r="E27" t="s">
        <v>26287</v>
      </c>
      <c r="F27" t="s">
        <v>26284</v>
      </c>
      <c r="G27">
        <v>3715</v>
      </c>
      <c r="H27" t="s">
        <v>26285</v>
      </c>
    </row>
    <row r="28" spans="1:10">
      <c r="A28">
        <v>5</v>
      </c>
      <c r="B28" t="s">
        <v>26288</v>
      </c>
      <c r="C28">
        <f>IF(Erhebungsbogen!$F$8='HWS Partner'!B28,1,0)</f>
        <v>0</v>
      </c>
      <c r="D28" t="s">
        <v>26289</v>
      </c>
      <c r="E28" t="s">
        <v>26290</v>
      </c>
      <c r="F28" t="s">
        <v>26291</v>
      </c>
      <c r="G28">
        <v>8307</v>
      </c>
      <c r="H28" t="s">
        <v>26292</v>
      </c>
    </row>
    <row r="29" spans="1:10">
      <c r="A29">
        <v>1</v>
      </c>
      <c r="B29" t="s">
        <v>26293</v>
      </c>
      <c r="C29">
        <f>IF(Erhebungsbogen!$F$8='HWS Partner'!B29,1,0)</f>
        <v>0</v>
      </c>
      <c r="D29" t="s">
        <v>26294</v>
      </c>
      <c r="E29" t="s">
        <v>26295</v>
      </c>
      <c r="F29" t="s">
        <v>26296</v>
      </c>
      <c r="G29">
        <v>4562</v>
      </c>
      <c r="H29" t="s">
        <v>26297</v>
      </c>
      <c r="J29" t="s">
        <v>26298</v>
      </c>
    </row>
    <row r="30" spans="1:10">
      <c r="A30">
        <v>2</v>
      </c>
      <c r="B30" t="s">
        <v>26299</v>
      </c>
      <c r="C30">
        <f>IF(Erhebungsbogen!$F$8='HWS Partner'!B30,1,0)</f>
        <v>0</v>
      </c>
      <c r="D30" t="s">
        <v>26300</v>
      </c>
      <c r="E30" t="s">
        <v>26301</v>
      </c>
      <c r="F30" t="s">
        <v>26302</v>
      </c>
      <c r="G30">
        <v>3775</v>
      </c>
      <c r="H30" t="s">
        <v>26303</v>
      </c>
    </row>
    <row r="31" spans="1:10">
      <c r="A31">
        <v>3</v>
      </c>
      <c r="B31" t="s">
        <v>26299</v>
      </c>
      <c r="C31">
        <f>IF(Erhebungsbogen!$F$8='HWS Partner'!B31,1,0)</f>
        <v>0</v>
      </c>
      <c r="D31" t="s">
        <v>26304</v>
      </c>
      <c r="E31" t="s">
        <v>26301</v>
      </c>
      <c r="F31" t="s">
        <v>26302</v>
      </c>
      <c r="G31">
        <v>3775</v>
      </c>
      <c r="H31" t="s">
        <v>26303</v>
      </c>
    </row>
    <row r="32" spans="1:10">
      <c r="A32">
        <v>4</v>
      </c>
      <c r="B32" t="s">
        <v>26305</v>
      </c>
      <c r="C32">
        <f>IF(Erhebungsbogen!$F$8='HWS Partner'!B32,1,0)</f>
        <v>0</v>
      </c>
      <c r="D32" t="s">
        <v>26241</v>
      </c>
      <c r="E32" t="s">
        <v>26306</v>
      </c>
      <c r="F32" t="s">
        <v>26307</v>
      </c>
      <c r="G32">
        <v>8486</v>
      </c>
      <c r="H32" t="s">
        <v>26308</v>
      </c>
    </row>
    <row r="33" spans="1:10">
      <c r="A33">
        <v>5</v>
      </c>
      <c r="B33" t="s">
        <v>26309</v>
      </c>
      <c r="C33">
        <f>IF(Erhebungsbogen!$F$8='HWS Partner'!B33,1,0)</f>
        <v>0</v>
      </c>
      <c r="D33" t="s">
        <v>26310</v>
      </c>
      <c r="E33" t="s">
        <v>26311</v>
      </c>
      <c r="F33" t="s">
        <v>26312</v>
      </c>
      <c r="G33">
        <v>6018</v>
      </c>
      <c r="H33" t="s">
        <v>26313</v>
      </c>
    </row>
    <row r="34" spans="1:10">
      <c r="A34">
        <v>3</v>
      </c>
      <c r="B34" t="s">
        <v>26314</v>
      </c>
      <c r="C34">
        <f>IF(Erhebungsbogen!$F$8='HWS Partner'!B34,1,0)</f>
        <v>0</v>
      </c>
      <c r="D34" t="s">
        <v>26315</v>
      </c>
      <c r="E34" t="s">
        <v>26316</v>
      </c>
      <c r="F34" t="s">
        <v>26317</v>
      </c>
      <c r="G34">
        <v>8132</v>
      </c>
      <c r="H34" t="s">
        <v>26318</v>
      </c>
      <c r="J34" t="s">
        <v>26319</v>
      </c>
    </row>
    <row r="35" spans="1:10">
      <c r="A35">
        <v>5</v>
      </c>
      <c r="B35" t="s">
        <v>26320</v>
      </c>
      <c r="C35">
        <f>IF(Erhebungsbogen!$F$8='HWS Partner'!B35,1,0)</f>
        <v>0</v>
      </c>
      <c r="D35" t="s">
        <v>26321</v>
      </c>
      <c r="E35" t="s">
        <v>26322</v>
      </c>
      <c r="F35" t="s">
        <v>26323</v>
      </c>
      <c r="G35">
        <v>9473</v>
      </c>
      <c r="H35" t="s">
        <v>26324</v>
      </c>
    </row>
    <row r="36" spans="1:10">
      <c r="A36">
        <v>6</v>
      </c>
      <c r="B36" t="s">
        <v>26325</v>
      </c>
      <c r="C36">
        <f>IF(Erhebungsbogen!$F$8='HWS Partner'!B36,1,0)</f>
        <v>0</v>
      </c>
      <c r="D36" t="s">
        <v>26326</v>
      </c>
      <c r="E36" t="s">
        <v>26327</v>
      </c>
      <c r="F36" t="s">
        <v>26328</v>
      </c>
      <c r="G36">
        <v>3812</v>
      </c>
      <c r="H36" t="s">
        <v>26329</v>
      </c>
    </row>
    <row r="37" spans="1:10">
      <c r="A37">
        <v>7</v>
      </c>
      <c r="B37" t="s">
        <v>26330</v>
      </c>
      <c r="C37">
        <f>IF(Erhebungsbogen!$F$8='HWS Partner'!B37,1,0)</f>
        <v>0</v>
      </c>
      <c r="D37" t="s">
        <v>26280</v>
      </c>
      <c r="E37" t="s">
        <v>26331</v>
      </c>
      <c r="F37" t="s">
        <v>26332</v>
      </c>
      <c r="G37">
        <v>8226</v>
      </c>
      <c r="H37" t="s">
        <v>26333</v>
      </c>
    </row>
    <row r="38" spans="1:10">
      <c r="A38">
        <v>8</v>
      </c>
      <c r="B38" t="s">
        <v>26330</v>
      </c>
      <c r="C38">
        <f>IF(Erhebungsbogen!$F$8='HWS Partner'!B38,1,0)</f>
        <v>0</v>
      </c>
      <c r="D38" t="s">
        <v>26334</v>
      </c>
      <c r="E38" t="s">
        <v>26335</v>
      </c>
      <c r="F38" t="s">
        <v>26332</v>
      </c>
      <c r="G38">
        <v>8226</v>
      </c>
      <c r="H38" t="s">
        <v>26333</v>
      </c>
    </row>
    <row r="39" spans="1:10">
      <c r="A39">
        <v>9</v>
      </c>
      <c r="B39" t="s">
        <v>26336</v>
      </c>
      <c r="C39">
        <f>IF(Erhebungsbogen!$F$8='HWS Partner'!B39,1,0)</f>
        <v>0</v>
      </c>
      <c r="D39" t="s">
        <v>26337</v>
      </c>
      <c r="E39" t="s">
        <v>26338</v>
      </c>
      <c r="F39" t="s">
        <v>26339</v>
      </c>
      <c r="G39">
        <v>9463</v>
      </c>
      <c r="H39" t="s">
        <v>26340</v>
      </c>
    </row>
    <row r="40" spans="1:10">
      <c r="A40">
        <v>2</v>
      </c>
      <c r="B40" t="s">
        <v>26341</v>
      </c>
      <c r="C40">
        <f>IF(Erhebungsbogen!$F$8='HWS Partner'!B40,1,0)</f>
        <v>0</v>
      </c>
      <c r="D40" t="s">
        <v>26210</v>
      </c>
      <c r="E40" t="s">
        <v>26342</v>
      </c>
      <c r="F40" t="s">
        <v>26343</v>
      </c>
      <c r="G40">
        <v>8370</v>
      </c>
      <c r="H40" t="s">
        <v>26344</v>
      </c>
      <c r="J40" t="s">
        <v>26345</v>
      </c>
    </row>
    <row r="41" spans="1:10">
      <c r="A41">
        <v>3</v>
      </c>
      <c r="B41" t="s">
        <v>26346</v>
      </c>
      <c r="C41">
        <f>IF(Erhebungsbogen!$F$8='HWS Partner'!B41,1,0)</f>
        <v>0</v>
      </c>
      <c r="D41" t="s">
        <v>26248</v>
      </c>
      <c r="E41" t="s">
        <v>26347</v>
      </c>
      <c r="F41" t="s">
        <v>26343</v>
      </c>
      <c r="G41">
        <v>8370</v>
      </c>
      <c r="H41" t="s">
        <v>26344</v>
      </c>
    </row>
    <row r="42" spans="1:10">
      <c r="A42">
        <v>5</v>
      </c>
      <c r="B42" t="s">
        <v>26348</v>
      </c>
      <c r="C42">
        <f>IF(Erhebungsbogen!$F$8='HWS Partner'!B42,1,0)</f>
        <v>0</v>
      </c>
      <c r="D42" t="s">
        <v>26349</v>
      </c>
      <c r="E42" t="s">
        <v>26350</v>
      </c>
      <c r="F42" t="s">
        <v>26343</v>
      </c>
      <c r="G42">
        <v>8370</v>
      </c>
      <c r="H42" t="s">
        <v>26344</v>
      </c>
    </row>
    <row r="43" spans="1:10">
      <c r="A43">
        <v>1</v>
      </c>
      <c r="B43" t="s">
        <v>26351</v>
      </c>
      <c r="C43">
        <f>IF(Erhebungsbogen!$F$8='HWS Partner'!B43,1,0)</f>
        <v>0</v>
      </c>
      <c r="D43" t="s">
        <v>26352</v>
      </c>
      <c r="E43" t="s">
        <v>26353</v>
      </c>
      <c r="F43" t="s">
        <v>26354</v>
      </c>
      <c r="G43">
        <v>4654</v>
      </c>
      <c r="H43" t="s">
        <v>26355</v>
      </c>
      <c r="J43" t="s">
        <v>26356</v>
      </c>
    </row>
    <row r="44" spans="1:10">
      <c r="A44">
        <v>2</v>
      </c>
      <c r="B44" t="s">
        <v>26357</v>
      </c>
      <c r="C44">
        <f>IF(Erhebungsbogen!$F$8='HWS Partner'!B44,1,0)</f>
        <v>0</v>
      </c>
      <c r="D44" t="s">
        <v>26300</v>
      </c>
      <c r="E44" t="s">
        <v>26358</v>
      </c>
      <c r="F44" t="s">
        <v>26359</v>
      </c>
      <c r="G44">
        <v>4402</v>
      </c>
      <c r="H44" t="s">
        <v>26360</v>
      </c>
    </row>
    <row r="45" spans="1:10">
      <c r="A45">
        <v>3</v>
      </c>
      <c r="B45" t="s">
        <v>26357</v>
      </c>
      <c r="C45">
        <f>IF(Erhebungsbogen!$F$8='HWS Partner'!B45,1,0)</f>
        <v>0</v>
      </c>
      <c r="D45" t="s">
        <v>26361</v>
      </c>
      <c r="E45" t="s">
        <v>26362</v>
      </c>
      <c r="F45" t="s">
        <v>26359</v>
      </c>
      <c r="G45">
        <v>4402</v>
      </c>
      <c r="H45" t="s">
        <v>26360</v>
      </c>
    </row>
    <row r="46" spans="1:10">
      <c r="A46">
        <v>4</v>
      </c>
      <c r="B46" t="s">
        <v>26357</v>
      </c>
      <c r="C46">
        <f>IF(Erhebungsbogen!$F$8='HWS Partner'!B46,1,0)</f>
        <v>0</v>
      </c>
      <c r="D46" t="s">
        <v>26363</v>
      </c>
      <c r="E46" t="s">
        <v>26364</v>
      </c>
      <c r="F46" t="s">
        <v>26359</v>
      </c>
      <c r="G46">
        <v>4402</v>
      </c>
      <c r="H46" t="s">
        <v>26360</v>
      </c>
    </row>
    <row r="47" spans="1:10">
      <c r="A47">
        <v>6</v>
      </c>
      <c r="B47" t="s">
        <v>26365</v>
      </c>
      <c r="C47">
        <f>IF(Erhebungsbogen!$F$8='HWS Partner'!B47,1,0)</f>
        <v>0</v>
      </c>
      <c r="D47" t="s">
        <v>26352</v>
      </c>
      <c r="E47" t="s">
        <v>26366</v>
      </c>
      <c r="F47" t="s">
        <v>26367</v>
      </c>
      <c r="G47">
        <v>6206</v>
      </c>
      <c r="H47" t="s">
        <v>26368</v>
      </c>
    </row>
    <row r="48" spans="1:10">
      <c r="A48">
        <v>7</v>
      </c>
      <c r="B48" t="s">
        <v>26365</v>
      </c>
      <c r="C48">
        <f>IF(Erhebungsbogen!$F$8='HWS Partner'!B48,1,0)</f>
        <v>0</v>
      </c>
      <c r="E48" t="s">
        <v>26366</v>
      </c>
      <c r="F48" t="s">
        <v>26367</v>
      </c>
      <c r="G48">
        <v>6206</v>
      </c>
      <c r="H48" t="s">
        <v>26368</v>
      </c>
    </row>
    <row r="49" spans="1:10">
      <c r="A49">
        <v>8</v>
      </c>
      <c r="B49" t="s">
        <v>26365</v>
      </c>
      <c r="C49">
        <f>IF(Erhebungsbogen!$F$8='HWS Partner'!B49,1,0)</f>
        <v>0</v>
      </c>
      <c r="D49" t="s">
        <v>26235</v>
      </c>
      <c r="E49" t="s">
        <v>26369</v>
      </c>
      <c r="F49" t="s">
        <v>26367</v>
      </c>
      <c r="G49">
        <v>6206</v>
      </c>
      <c r="H49" t="s">
        <v>26368</v>
      </c>
    </row>
    <row r="50" spans="1:10">
      <c r="A50">
        <v>9</v>
      </c>
      <c r="B50" t="s">
        <v>26365</v>
      </c>
      <c r="C50">
        <f>IF(Erhebungsbogen!$F$8='HWS Partner'!B50,1,0)</f>
        <v>0</v>
      </c>
      <c r="D50" t="s">
        <v>26370</v>
      </c>
      <c r="E50" t="s">
        <v>26366</v>
      </c>
      <c r="F50" t="s">
        <v>26367</v>
      </c>
      <c r="G50">
        <v>6206</v>
      </c>
      <c r="H50" t="s">
        <v>26368</v>
      </c>
    </row>
    <row r="51" spans="1:10">
      <c r="A51" t="s">
        <v>26371</v>
      </c>
      <c r="B51" t="s">
        <v>26372</v>
      </c>
      <c r="C51">
        <f>IF(Erhebungsbogen!$F$8='HWS Partner'!B51,1,0)</f>
        <v>0</v>
      </c>
      <c r="D51" t="s">
        <v>26373</v>
      </c>
      <c r="E51" t="s">
        <v>26374</v>
      </c>
      <c r="F51" t="s">
        <v>26375</v>
      </c>
      <c r="G51">
        <v>6402</v>
      </c>
      <c r="H51" t="s">
        <v>26376</v>
      </c>
    </row>
    <row r="52" spans="1:10">
      <c r="A52">
        <v>10</v>
      </c>
      <c r="B52" t="s">
        <v>26377</v>
      </c>
      <c r="C52">
        <f>IF(Erhebungsbogen!$F$8='HWS Partner'!B52,1,0)</f>
        <v>0</v>
      </c>
      <c r="D52" t="s">
        <v>26373</v>
      </c>
      <c r="E52" t="s">
        <v>26374</v>
      </c>
      <c r="F52" t="s">
        <v>26378</v>
      </c>
      <c r="G52">
        <v>6403</v>
      </c>
      <c r="H52" t="s">
        <v>26376</v>
      </c>
    </row>
    <row r="53" spans="1:10">
      <c r="A53">
        <v>1</v>
      </c>
      <c r="B53" t="s">
        <v>26379</v>
      </c>
      <c r="C53">
        <f>IF(Erhebungsbogen!$F$8='HWS Partner'!B53,1,0)</f>
        <v>0</v>
      </c>
      <c r="D53" t="s">
        <v>26380</v>
      </c>
      <c r="E53" t="s">
        <v>26381</v>
      </c>
      <c r="F53" t="s">
        <v>26382</v>
      </c>
      <c r="G53">
        <v>8840</v>
      </c>
      <c r="H53" t="s">
        <v>26383</v>
      </c>
      <c r="J53" t="s">
        <v>26384</v>
      </c>
    </row>
    <row r="54" spans="1:10">
      <c r="A54">
        <v>2</v>
      </c>
      <c r="B54" t="s">
        <v>26385</v>
      </c>
      <c r="C54">
        <f>IF(Erhebungsbogen!$F$8='HWS Partner'!B54,1,0)</f>
        <v>0</v>
      </c>
      <c r="D54" t="s">
        <v>26386</v>
      </c>
      <c r="E54" t="s">
        <v>26387</v>
      </c>
      <c r="F54" t="s">
        <v>26388</v>
      </c>
      <c r="G54">
        <v>5014</v>
      </c>
      <c r="H54" t="s">
        <v>26389</v>
      </c>
    </row>
    <row r="55" spans="1:10">
      <c r="A55">
        <v>3</v>
      </c>
      <c r="B55" t="s">
        <v>26390</v>
      </c>
      <c r="C55">
        <f>IF(Erhebungsbogen!$F$8='HWS Partner'!B55,1,0)</f>
        <v>0</v>
      </c>
      <c r="D55" t="s">
        <v>26210</v>
      </c>
      <c r="E55" t="s">
        <v>26391</v>
      </c>
      <c r="F55" t="s">
        <v>26392</v>
      </c>
      <c r="G55">
        <v>8867</v>
      </c>
      <c r="H55" t="s">
        <v>26393</v>
      </c>
    </row>
    <row r="56" spans="1:10">
      <c r="A56">
        <v>4</v>
      </c>
      <c r="B56" t="s">
        <v>26394</v>
      </c>
      <c r="C56">
        <f>IF(Erhebungsbogen!$F$8='HWS Partner'!B56,1,0)</f>
        <v>0</v>
      </c>
      <c r="D56" t="s">
        <v>26395</v>
      </c>
      <c r="E56" t="s">
        <v>26391</v>
      </c>
      <c r="F56" t="s">
        <v>26392</v>
      </c>
      <c r="G56">
        <v>8867</v>
      </c>
      <c r="H56" t="s">
        <v>26393</v>
      </c>
    </row>
    <row r="57" spans="1:10">
      <c r="A57">
        <v>1</v>
      </c>
      <c r="B57" t="s">
        <v>26396</v>
      </c>
      <c r="C57">
        <f>IF(Erhebungsbogen!$F$8='HWS Partner'!B57,1,0)</f>
        <v>0</v>
      </c>
      <c r="D57" t="s">
        <v>26397</v>
      </c>
      <c r="E57" t="s">
        <v>26398</v>
      </c>
      <c r="F57" t="s">
        <v>26399</v>
      </c>
      <c r="G57">
        <v>6454</v>
      </c>
      <c r="H57" t="s">
        <v>26400</v>
      </c>
      <c r="J57" t="s">
        <v>26401</v>
      </c>
    </row>
    <row r="58" spans="1:10">
      <c r="A58">
        <v>2</v>
      </c>
      <c r="B58" t="s">
        <v>26396</v>
      </c>
      <c r="C58">
        <f>IF(Erhebungsbogen!$F$8='HWS Partner'!B58,1,0)</f>
        <v>0</v>
      </c>
      <c r="D58" t="s">
        <v>26402</v>
      </c>
      <c r="E58" t="s">
        <v>26403</v>
      </c>
      <c r="F58" t="s">
        <v>26399</v>
      </c>
      <c r="G58">
        <v>6454</v>
      </c>
      <c r="H58" t="s">
        <v>26400</v>
      </c>
    </row>
    <row r="59" spans="1:10">
      <c r="A59">
        <v>3</v>
      </c>
      <c r="B59" t="s">
        <v>26404</v>
      </c>
      <c r="C59">
        <f>IF(Erhebungsbogen!$F$8='HWS Partner'!B59,1,0)</f>
        <v>0</v>
      </c>
      <c r="D59" t="s">
        <v>26405</v>
      </c>
      <c r="E59" t="s">
        <v>26406</v>
      </c>
      <c r="F59" t="s">
        <v>26407</v>
      </c>
      <c r="G59">
        <v>4900</v>
      </c>
      <c r="H59" t="s">
        <v>26408</v>
      </c>
    </row>
    <row r="60" spans="1:10">
      <c r="A60">
        <v>4</v>
      </c>
      <c r="B60" t="s">
        <v>26409</v>
      </c>
      <c r="C60">
        <f>IF(Erhebungsbogen!$F$8='HWS Partner'!B60,1,0)</f>
        <v>0</v>
      </c>
      <c r="D60" t="s">
        <v>26410</v>
      </c>
      <c r="E60" t="s">
        <v>26411</v>
      </c>
      <c r="F60" t="s">
        <v>26412</v>
      </c>
      <c r="G60">
        <v>4435</v>
      </c>
      <c r="H60" t="s">
        <v>26413</v>
      </c>
    </row>
    <row r="61" spans="1:10">
      <c r="A61">
        <v>5</v>
      </c>
      <c r="B61" t="s">
        <v>26414</v>
      </c>
      <c r="C61">
        <f>IF(Erhebungsbogen!$F$8='HWS Partner'!B61,1,0)</f>
        <v>0</v>
      </c>
      <c r="D61" t="s">
        <v>26415</v>
      </c>
      <c r="E61" t="s">
        <v>26369</v>
      </c>
      <c r="F61" t="s">
        <v>26412</v>
      </c>
      <c r="G61">
        <v>4435</v>
      </c>
      <c r="H61" t="s">
        <v>26413</v>
      </c>
    </row>
    <row r="62" spans="1:10">
      <c r="A62">
        <v>6</v>
      </c>
      <c r="B62" t="s">
        <v>26416</v>
      </c>
      <c r="C62">
        <f>IF(Erhebungsbogen!$F$8='HWS Partner'!B62,1,0)</f>
        <v>0</v>
      </c>
      <c r="D62" t="s">
        <v>26218</v>
      </c>
      <c r="E62" t="s">
        <v>26417</v>
      </c>
      <c r="F62" t="s">
        <v>26418</v>
      </c>
      <c r="G62">
        <v>3953</v>
      </c>
      <c r="H62" t="s">
        <v>26419</v>
      </c>
    </row>
    <row r="63" spans="1:10">
      <c r="A63">
        <v>7</v>
      </c>
      <c r="B63" t="s">
        <v>26416</v>
      </c>
      <c r="C63">
        <f>IF(Erhebungsbogen!$F$8='HWS Partner'!B63,1,0)</f>
        <v>0</v>
      </c>
      <c r="D63" t="s">
        <v>26420</v>
      </c>
      <c r="E63" t="s">
        <v>26421</v>
      </c>
      <c r="F63" t="s">
        <v>26418</v>
      </c>
      <c r="G63">
        <v>3953</v>
      </c>
      <c r="H63" t="s">
        <v>26419</v>
      </c>
    </row>
    <row r="64" spans="1:10">
      <c r="A64">
        <v>1</v>
      </c>
      <c r="B64" t="s">
        <v>26422</v>
      </c>
      <c r="C64">
        <f>IF(Erhebungsbogen!$F$8='HWS Partner'!B64,1,0)</f>
        <v>0</v>
      </c>
      <c r="D64" t="s">
        <v>26423</v>
      </c>
      <c r="E64" t="s">
        <v>26424</v>
      </c>
      <c r="F64" t="s">
        <v>26425</v>
      </c>
      <c r="G64">
        <v>9014</v>
      </c>
      <c r="H64" t="s">
        <v>26426</v>
      </c>
      <c r="J64" t="s">
        <v>26427</v>
      </c>
    </row>
    <row r="65" spans="1:8">
      <c r="A65">
        <v>2</v>
      </c>
      <c r="B65" t="s">
        <v>26428</v>
      </c>
      <c r="C65">
        <f>IF(Erhebungsbogen!$F$8='HWS Partner'!B65,1,0)</f>
        <v>0</v>
      </c>
      <c r="D65" t="s">
        <v>26210</v>
      </c>
      <c r="E65" t="s">
        <v>26429</v>
      </c>
      <c r="F65" t="s">
        <v>26425</v>
      </c>
      <c r="G65">
        <v>9014</v>
      </c>
      <c r="H65" t="s">
        <v>26426</v>
      </c>
    </row>
    <row r="66" spans="1:8">
      <c r="A66">
        <v>3</v>
      </c>
      <c r="B66" t="s">
        <v>26430</v>
      </c>
      <c r="C66">
        <f>IF(Erhebungsbogen!$F$8='HWS Partner'!B66,1,0)</f>
        <v>0</v>
      </c>
      <c r="D66" t="s">
        <v>26415</v>
      </c>
      <c r="E66" t="s">
        <v>26431</v>
      </c>
      <c r="F66" t="s">
        <v>26432</v>
      </c>
      <c r="G66">
        <v>3432</v>
      </c>
      <c r="H66" t="s">
        <v>26433</v>
      </c>
    </row>
    <row r="67" spans="1:8">
      <c r="A67">
        <v>4</v>
      </c>
      <c r="B67" t="s">
        <v>26434</v>
      </c>
      <c r="C67">
        <f>IF(Erhebungsbogen!$F$8='HWS Partner'!B67,1,0)</f>
        <v>0</v>
      </c>
      <c r="D67" t="s">
        <v>26435</v>
      </c>
      <c r="E67" t="s">
        <v>26436</v>
      </c>
      <c r="F67" t="s">
        <v>26432</v>
      </c>
      <c r="G67">
        <v>3432</v>
      </c>
      <c r="H67" t="s">
        <v>26433</v>
      </c>
    </row>
    <row r="68" spans="1:8">
      <c r="A68">
        <v>5</v>
      </c>
      <c r="B68" t="s">
        <v>26437</v>
      </c>
      <c r="C68">
        <f>IF(Erhebungsbogen!$F$8='HWS Partner'!B68,1,0)</f>
        <v>0</v>
      </c>
      <c r="D68" t="s">
        <v>26241</v>
      </c>
      <c r="E68" t="s">
        <v>26438</v>
      </c>
      <c r="F68" t="s">
        <v>26439</v>
      </c>
      <c r="G68">
        <v>4147</v>
      </c>
      <c r="H68" t="s">
        <v>26440</v>
      </c>
    </row>
    <row r="69" spans="1:8">
      <c r="A69">
        <v>6</v>
      </c>
      <c r="B69" t="s">
        <v>26441</v>
      </c>
      <c r="C69">
        <f>IF(Erhebungsbogen!$F$8='HWS Partner'!B69,1,0)</f>
        <v>0</v>
      </c>
      <c r="D69" t="s">
        <v>26442</v>
      </c>
      <c r="E69" t="s">
        <v>26443</v>
      </c>
      <c r="F69" t="s">
        <v>26439</v>
      </c>
      <c r="G69">
        <v>4147</v>
      </c>
      <c r="H69" t="s">
        <v>26440</v>
      </c>
    </row>
    <row r="70" spans="1:8">
      <c r="A70">
        <v>9</v>
      </c>
      <c r="B70" t="s">
        <v>26444</v>
      </c>
      <c r="C70">
        <f>IF(Erhebungsbogen!$F$8='HWS Partner'!B70,1,0)</f>
        <v>0</v>
      </c>
      <c r="D70" t="s">
        <v>26445</v>
      </c>
      <c r="E70" t="s">
        <v>26446</v>
      </c>
      <c r="F70" t="s">
        <v>26447</v>
      </c>
      <c r="G70">
        <v>3984</v>
      </c>
      <c r="H70" t="s">
        <v>26448</v>
      </c>
    </row>
    <row r="79" spans="1:8">
      <c r="C79">
        <f>SUM(C5:C78)</f>
        <v>0</v>
      </c>
    </row>
  </sheetData>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175E7-A751-4BD3-9FF5-CB8C3C719733}">
  <sheetPr codeName="Tabelle10"/>
  <dimension ref="A1:R584"/>
  <sheetViews>
    <sheetView workbookViewId="0"/>
  </sheetViews>
  <sheetFormatPr baseColWidth="10" defaultColWidth="11.42578125" defaultRowHeight="12.75"/>
  <cols>
    <col min="1" max="1" width="4.28515625" style="152" customWidth="1"/>
    <col min="2" max="2" width="43.7109375" style="152" customWidth="1"/>
    <col min="3" max="3" width="20.7109375" style="152" customWidth="1"/>
    <col min="4" max="8" width="15.7109375" style="152" customWidth="1"/>
    <col min="9" max="9" width="6" style="152" customWidth="1"/>
    <col min="10" max="10" width="8.7109375" style="152" bestFit="1" customWidth="1"/>
    <col min="11" max="16384" width="11.42578125" style="152"/>
  </cols>
  <sheetData>
    <row r="1" spans="1:18" ht="42" customHeight="1">
      <c r="A1" s="148"/>
      <c r="B1" s="546"/>
      <c r="C1" s="546"/>
      <c r="D1" s="150"/>
      <c r="E1" s="151"/>
      <c r="F1" s="150"/>
      <c r="G1" s="150"/>
      <c r="H1" s="150"/>
      <c r="I1" s="150"/>
    </row>
    <row r="2" spans="1:18" ht="16.5" customHeight="1">
      <c r="A2" s="148"/>
      <c r="B2" s="149"/>
      <c r="C2" s="149"/>
      <c r="D2" s="150"/>
      <c r="E2" s="151"/>
      <c r="F2" s="153" t="s">
        <v>22309</v>
      </c>
      <c r="G2" s="154"/>
      <c r="H2" s="153" t="s">
        <v>22310</v>
      </c>
      <c r="I2" s="154" t="s">
        <v>22311</v>
      </c>
    </row>
    <row r="3" spans="1:18" ht="16.5" customHeight="1">
      <c r="A3" s="148"/>
      <c r="B3" s="155"/>
      <c r="C3" s="148"/>
      <c r="D3" s="150"/>
      <c r="E3" s="151"/>
      <c r="F3" s="156" t="s">
        <v>3225</v>
      </c>
      <c r="G3" s="157">
        <v>44894</v>
      </c>
      <c r="H3" s="156" t="s">
        <v>22312</v>
      </c>
      <c r="I3" s="158" t="s">
        <v>22313</v>
      </c>
      <c r="N3" s="159" t="s">
        <v>22314</v>
      </c>
      <c r="O3" s="159" t="s">
        <v>22315</v>
      </c>
    </row>
    <row r="4" spans="1:18" ht="16.5" customHeight="1">
      <c r="A4" s="148"/>
      <c r="B4" s="160" t="s">
        <v>22316</v>
      </c>
      <c r="C4" s="547" t="s">
        <v>22289</v>
      </c>
      <c r="D4" s="547"/>
      <c r="E4" s="548"/>
      <c r="F4" s="150"/>
      <c r="G4" s="150"/>
      <c r="H4" s="151"/>
      <c r="I4" s="148"/>
      <c r="N4" s="161" t="s">
        <v>22317</v>
      </c>
      <c r="O4" s="161" t="s">
        <v>22317</v>
      </c>
      <c r="Q4" s="162" t="s">
        <v>22314</v>
      </c>
      <c r="R4" s="163" t="s">
        <v>22318</v>
      </c>
    </row>
    <row r="5" spans="1:18" ht="16.5" customHeight="1">
      <c r="A5" s="148"/>
      <c r="B5" s="164" t="s">
        <v>22319</v>
      </c>
      <c r="C5" s="549" t="s">
        <v>22320</v>
      </c>
      <c r="D5" s="549"/>
      <c r="E5" s="550"/>
      <c r="F5" s="150"/>
      <c r="G5" s="150"/>
      <c r="H5" s="151"/>
      <c r="I5" s="148"/>
      <c r="L5" s="165" t="s">
        <v>22321</v>
      </c>
      <c r="M5" s="166" t="s">
        <v>22322</v>
      </c>
      <c r="N5" s="167">
        <v>15</v>
      </c>
      <c r="O5" s="167">
        <v>16</v>
      </c>
      <c r="Q5" s="162" t="s">
        <v>22315</v>
      </c>
      <c r="R5" s="163" t="s">
        <v>22323</v>
      </c>
    </row>
    <row r="6" spans="1:18" ht="16.5" customHeight="1">
      <c r="A6" s="148"/>
      <c r="B6" s="148"/>
      <c r="C6" s="148"/>
      <c r="D6" s="168"/>
      <c r="E6" s="168"/>
      <c r="F6" s="148"/>
      <c r="G6" s="148"/>
      <c r="H6" s="148"/>
      <c r="I6" s="148"/>
      <c r="L6" s="165" t="s">
        <v>22324</v>
      </c>
      <c r="M6" s="166" t="s">
        <v>22325</v>
      </c>
      <c r="N6" s="167">
        <v>20</v>
      </c>
      <c r="O6" s="167">
        <v>21</v>
      </c>
    </row>
    <row r="7" spans="1:18" ht="16.5" customHeight="1">
      <c r="A7" s="148"/>
      <c r="B7" s="169" t="s">
        <v>22326</v>
      </c>
      <c r="C7" s="148"/>
      <c r="D7" s="168"/>
      <c r="E7" s="168"/>
      <c r="F7" s="148"/>
      <c r="G7" s="148"/>
      <c r="H7" s="148"/>
      <c r="I7" s="148"/>
      <c r="L7" s="165" t="s">
        <v>22593</v>
      </c>
      <c r="M7" s="166" t="s">
        <v>22594</v>
      </c>
      <c r="N7" s="167">
        <v>20</v>
      </c>
      <c r="O7" s="167">
        <v>21</v>
      </c>
    </row>
    <row r="8" spans="1:18" ht="16.5" customHeight="1">
      <c r="A8" s="148"/>
      <c r="B8" s="170"/>
      <c r="C8" s="148"/>
      <c r="D8" s="168"/>
      <c r="E8" s="168"/>
      <c r="F8" s="148"/>
      <c r="G8" s="148"/>
      <c r="H8" s="148"/>
      <c r="I8" s="148"/>
      <c r="L8" s="165" t="s">
        <v>22614</v>
      </c>
      <c r="M8" s="166" t="s">
        <v>22615</v>
      </c>
      <c r="N8" s="167">
        <v>20.2</v>
      </c>
      <c r="O8" s="167">
        <v>22.9</v>
      </c>
    </row>
    <row r="9" spans="1:18" ht="14.25" customHeight="1">
      <c r="A9" s="148"/>
      <c r="B9" s="148"/>
      <c r="C9" s="148"/>
      <c r="D9" s="168"/>
      <c r="E9" s="168"/>
      <c r="F9" s="148"/>
      <c r="G9" s="148"/>
      <c r="H9" s="148"/>
      <c r="I9" s="148"/>
    </row>
    <row r="10" spans="1:18" ht="14.25" customHeight="1">
      <c r="A10" s="171" t="s">
        <v>22327</v>
      </c>
      <c r="B10" s="172" t="s">
        <v>22328</v>
      </c>
      <c r="C10" s="148"/>
      <c r="D10" s="168"/>
      <c r="E10" s="168"/>
      <c r="F10" s="148"/>
      <c r="G10" s="148"/>
      <c r="H10" s="148"/>
      <c r="I10" s="148"/>
    </row>
    <row r="11" spans="1:18" ht="14.25" customHeight="1">
      <c r="A11" s="148"/>
      <c r="B11" s="173"/>
      <c r="C11" s="174" t="s">
        <v>22329</v>
      </c>
      <c r="D11" s="168"/>
      <c r="E11" s="168"/>
      <c r="F11" s="148"/>
      <c r="G11" s="148"/>
      <c r="H11" s="148"/>
      <c r="I11" s="148"/>
    </row>
    <row r="12" spans="1:18" ht="14.25" customHeight="1">
      <c r="A12" s="148"/>
      <c r="B12" s="175" t="s">
        <v>22330</v>
      </c>
      <c r="C12" s="176">
        <f>Haftungsausschluß!L31/100</f>
        <v>10</v>
      </c>
      <c r="D12" s="168" t="s">
        <v>19775</v>
      </c>
      <c r="E12" s="163" t="s">
        <v>22331</v>
      </c>
      <c r="F12" s="177"/>
      <c r="G12" s="148"/>
      <c r="H12" s="148"/>
      <c r="I12" s="148"/>
    </row>
    <row r="13" spans="1:18" ht="14.25" customHeight="1">
      <c r="A13" s="148"/>
      <c r="B13" s="175" t="s">
        <v>22332</v>
      </c>
      <c r="C13" s="176">
        <f>Haftungsausschluß!L32</f>
        <v>4</v>
      </c>
      <c r="D13" s="168" t="s">
        <v>19893</v>
      </c>
      <c r="E13" s="163" t="s">
        <v>22333</v>
      </c>
      <c r="F13" s="177"/>
      <c r="G13" s="148"/>
      <c r="H13" s="148"/>
      <c r="I13" s="148"/>
    </row>
    <row r="14" spans="1:18" ht="14.25" customHeight="1">
      <c r="A14" s="148"/>
      <c r="B14" s="175" t="s">
        <v>22334</v>
      </c>
      <c r="C14" s="176">
        <f>Haftungsausschluß!L33</f>
        <v>0.4</v>
      </c>
      <c r="D14" s="168" t="s">
        <v>20987</v>
      </c>
      <c r="E14" s="163" t="s">
        <v>22335</v>
      </c>
      <c r="F14" s="177"/>
      <c r="G14" s="148"/>
      <c r="H14" s="148"/>
      <c r="I14" s="148"/>
    </row>
    <row r="15" spans="1:18" ht="14.25" customHeight="1">
      <c r="A15" s="148"/>
      <c r="B15" s="175" t="s">
        <v>22336</v>
      </c>
      <c r="C15" s="176">
        <f>Kalk1!H32</f>
        <v>0</v>
      </c>
      <c r="D15" s="168" t="s">
        <v>22337</v>
      </c>
      <c r="E15" s="163" t="s">
        <v>22338</v>
      </c>
      <c r="F15" s="177"/>
      <c r="G15" s="148"/>
      <c r="H15" s="148"/>
      <c r="I15" s="148"/>
    </row>
    <row r="16" spans="1:18" ht="5.0999999999999996" customHeight="1">
      <c r="F16" s="178"/>
      <c r="H16" s="148"/>
      <c r="I16" s="148"/>
    </row>
    <row r="17" spans="1:11" ht="14.25" customHeight="1">
      <c r="A17" s="179" t="s">
        <v>22339</v>
      </c>
      <c r="B17" s="180" t="s">
        <v>22340</v>
      </c>
      <c r="F17" s="178"/>
      <c r="G17" s="181"/>
      <c r="H17" s="148" t="s">
        <v>22347</v>
      </c>
      <c r="I17" s="148"/>
    </row>
    <row r="18" spans="1:11" ht="14.25" customHeight="1">
      <c r="A18" s="148"/>
      <c r="B18" s="182" t="s">
        <v>22341</v>
      </c>
      <c r="C18" s="176">
        <f>Kalk1!H29/1000</f>
        <v>0</v>
      </c>
      <c r="D18" s="168" t="s">
        <v>6945</v>
      </c>
      <c r="E18" s="183" t="s">
        <v>22342</v>
      </c>
      <c r="F18" s="177"/>
      <c r="G18" s="148"/>
      <c r="H18" s="148" t="s">
        <v>22602</v>
      </c>
      <c r="I18" s="148"/>
      <c r="K18" s="152" t="str">
        <f>IF(AND(OR(Kalk1!AA19=2,Kalk1!AA19=3),Kalk1!AA20=1),H17,IF(AND(Kalk1!AA19=4,Kalk1!AA20=1),H18,IF(AND(Kalk1!AA19=4,Kalk1!AA20=2),H19,H17)))</f>
        <v>System 50</v>
      </c>
    </row>
    <row r="19" spans="1:11" ht="14.25" customHeight="1">
      <c r="B19" s="182" t="s">
        <v>22343</v>
      </c>
      <c r="C19" s="176">
        <f>Kalk1!AH38/1000</f>
        <v>0</v>
      </c>
      <c r="D19" s="168" t="s">
        <v>6945</v>
      </c>
      <c r="E19" s="163" t="s">
        <v>22344</v>
      </c>
      <c r="H19" s="152" t="s">
        <v>22595</v>
      </c>
    </row>
    <row r="20" spans="1:11" ht="14.25" customHeight="1">
      <c r="B20" s="175" t="s">
        <v>22345</v>
      </c>
      <c r="C20" s="176">
        <f>Kalk1!H31/1000</f>
        <v>0</v>
      </c>
      <c r="D20" s="168" t="s">
        <v>6945</v>
      </c>
      <c r="E20" s="183" t="s">
        <v>21854</v>
      </c>
    </row>
    <row r="21" spans="1:11" ht="14.25" customHeight="1">
      <c r="B21" s="175" t="s">
        <v>22346</v>
      </c>
      <c r="C21" s="261" t="str">
        <f>K18</f>
        <v>System 50</v>
      </c>
      <c r="D21" s="168"/>
      <c r="E21" s="183"/>
      <c r="H21" s="152" t="s">
        <v>21827</v>
      </c>
    </row>
    <row r="22" spans="1:11" ht="14.25" customHeight="1">
      <c r="B22" s="175" t="s">
        <v>18752</v>
      </c>
      <c r="C22" s="261" t="str">
        <f>K23</f>
        <v>50/200</v>
      </c>
      <c r="D22" s="168"/>
      <c r="E22" s="183"/>
      <c r="H22" s="152" t="s">
        <v>21828</v>
      </c>
    </row>
    <row r="23" spans="1:11" ht="14.25" customHeight="1">
      <c r="B23" s="175" t="s">
        <v>22348</v>
      </c>
      <c r="C23" s="184" t="s">
        <v>22349</v>
      </c>
      <c r="D23" s="168"/>
      <c r="E23" s="183" t="s">
        <v>22350</v>
      </c>
      <c r="H23" s="152" t="s">
        <v>21829</v>
      </c>
      <c r="K23" s="152" t="str">
        <f>IF(Kalk1!AA19=1,H21,IF(Kalk1!AA19=2,H22,IF(Kalk1!AA19=3,H23,IF(Kalk1!AA19=4,H24,0))))</f>
        <v>50/200</v>
      </c>
    </row>
    <row r="24" spans="1:11" ht="14.25" customHeight="1">
      <c r="B24" s="175" t="s">
        <v>22351</v>
      </c>
      <c r="C24" s="185">
        <f>IF(C22="50/150",'Kalk1_DB_50-150'!C16,IF(C22="50/200",'Kalk1_DB_50-200'!C16,IF(C22="80/200",'Kalk1_DB_50-200'!C16,IF(C22="25/200",'Kalk1_DB_25-200'!C16))))</f>
        <v>2.5000000000000001E-2</v>
      </c>
      <c r="D24" s="168" t="s">
        <v>6945</v>
      </c>
      <c r="E24" s="183" t="s">
        <v>22352</v>
      </c>
      <c r="H24" s="152" t="s">
        <v>21830</v>
      </c>
    </row>
    <row r="25" spans="1:11" ht="5.0999999999999996" customHeight="1">
      <c r="D25" s="168"/>
    </row>
    <row r="26" spans="1:11" ht="14.25" customHeight="1">
      <c r="A26" s="171" t="s">
        <v>22353</v>
      </c>
      <c r="B26" s="172" t="s">
        <v>22354</v>
      </c>
      <c r="D26" s="168"/>
    </row>
    <row r="27" spans="1:11" ht="14.25" customHeight="1">
      <c r="A27" s="179" t="s">
        <v>22355</v>
      </c>
      <c r="B27" s="180" t="s">
        <v>22356</v>
      </c>
      <c r="D27" s="168"/>
    </row>
    <row r="28" spans="1:11" ht="14.25" customHeight="1">
      <c r="B28" s="165" t="s">
        <v>22357</v>
      </c>
      <c r="C28" s="185">
        <f>C18*C12</f>
        <v>0</v>
      </c>
      <c r="D28" s="168" t="s">
        <v>22358</v>
      </c>
      <c r="E28" s="163" t="s">
        <v>22359</v>
      </c>
    </row>
    <row r="29" spans="1:11" ht="14.25" customHeight="1">
      <c r="B29" s="165" t="s">
        <v>22360</v>
      </c>
      <c r="C29" s="185">
        <f>C24*C12</f>
        <v>0.25</v>
      </c>
      <c r="D29" s="168" t="s">
        <v>22358</v>
      </c>
      <c r="E29" s="163" t="s">
        <v>22361</v>
      </c>
    </row>
    <row r="30" spans="1:11" ht="5.0999999999999996" customHeight="1">
      <c r="B30" s="165"/>
      <c r="C30" s="185"/>
      <c r="D30" s="168"/>
      <c r="E30" s="163"/>
    </row>
    <row r="31" spans="1:11" ht="14.25" customHeight="1">
      <c r="A31" s="179" t="s">
        <v>22362</v>
      </c>
      <c r="B31" s="180" t="s">
        <v>22363</v>
      </c>
      <c r="D31" s="168"/>
      <c r="E31" s="163"/>
      <c r="H31" s="186"/>
    </row>
    <row r="32" spans="1:11" ht="14.25" customHeight="1">
      <c r="B32" s="165" t="s">
        <v>22364</v>
      </c>
      <c r="C32" s="185">
        <f>C12*100*(C13*SIN(RADIANS(C15)))^2/1000</f>
        <v>0</v>
      </c>
      <c r="D32" s="168" t="s">
        <v>22358</v>
      </c>
      <c r="E32" s="163" t="s">
        <v>22365</v>
      </c>
      <c r="H32" s="186"/>
    </row>
    <row r="33" spans="1:8" ht="5.0999999999999996" customHeight="1">
      <c r="B33" s="165"/>
      <c r="C33" s="185"/>
      <c r="D33" s="168"/>
      <c r="E33" s="163"/>
    </row>
    <row r="34" spans="1:8" ht="14.25" customHeight="1">
      <c r="A34" s="179" t="s">
        <v>22366</v>
      </c>
      <c r="B34" s="180" t="s">
        <v>22367</v>
      </c>
      <c r="C34" s="185"/>
      <c r="D34" s="168"/>
      <c r="E34" s="163"/>
      <c r="H34" s="186"/>
    </row>
    <row r="35" spans="1:8" ht="14.25" customHeight="1">
      <c r="B35" s="165" t="s">
        <v>22368</v>
      </c>
      <c r="C35" s="185" t="e">
        <f>1/(((C18*100)^3/(3*Kalk1_Sys_50!C18*Kalk1_Eingabe!C38)/2)+(Kalk1_Eingabe!C19*100)^3/(48*Kalk1_Sys_50!C18*Kalk1_Eingabe!C36))</f>
        <v>#DIV/0!</v>
      </c>
      <c r="D35" s="168" t="s">
        <v>22369</v>
      </c>
      <c r="E35" s="163" t="s">
        <v>22370</v>
      </c>
    </row>
    <row r="36" spans="1:8" ht="14.25" customHeight="1">
      <c r="B36" s="165" t="s">
        <v>22371</v>
      </c>
      <c r="C36" s="185">
        <f>IF(C22="50/150",'Kalk1_DB_50-150'!C12,IF(Kalk1_Eingabe!C22="50/200",'Kalk1_DB_50-200'!C12,IF(Kalk1_Eingabe!C22="80/200",'Kalk1_DB_80-200'!C12,IF(Kalk1_Eingabe!C22="25/200",'Kalk1_DB_25-200'!C12))))</f>
        <v>62.14</v>
      </c>
      <c r="D36" s="151" t="s">
        <v>22372</v>
      </c>
      <c r="E36" s="163" t="s">
        <v>22373</v>
      </c>
    </row>
    <row r="37" spans="1:8" ht="14.25" customHeight="1">
      <c r="B37" s="165" t="s">
        <v>22374</v>
      </c>
      <c r="C37" s="185" t="e">
        <f>3*Kalk1_Sys_50!C18*Kalk1_Eingabe!C38/(Kalk1_Eingabe!C18*100)^3</f>
        <v>#DIV/0!</v>
      </c>
      <c r="D37" s="168" t="s">
        <v>22369</v>
      </c>
      <c r="E37" s="163" t="s">
        <v>22375</v>
      </c>
    </row>
    <row r="38" spans="1:8" ht="14.25" customHeight="1">
      <c r="B38" s="165" t="s">
        <v>22376</v>
      </c>
      <c r="C38" s="185">
        <f>IF(C21="System 50",Kalk1_Sys_50!C13,IF(C21="System 80 (Klein)",Kalk1_Sys_80k!C13,IF(Kalk1_Eingabe!C21="System 80 (Gross)",Kalk1_Sys_80g!C13)))</f>
        <v>723.81</v>
      </c>
      <c r="D38" s="151" t="s">
        <v>22372</v>
      </c>
      <c r="E38" s="163" t="s">
        <v>22377</v>
      </c>
    </row>
    <row r="39" spans="1:8" ht="14.25" customHeight="1">
      <c r="B39" s="165" t="s">
        <v>22378</v>
      </c>
      <c r="C39" s="185" t="e">
        <f>C13*SIN(RADIANS(C15))*(C14*C35*100)^0.5</f>
        <v>#DIV/0!</v>
      </c>
      <c r="D39" s="168" t="s">
        <v>22379</v>
      </c>
      <c r="E39" s="163" t="s">
        <v>22380</v>
      </c>
      <c r="H39" s="185"/>
    </row>
    <row r="40" spans="1:8" ht="14.25" customHeight="1">
      <c r="B40" s="165" t="s">
        <v>22381</v>
      </c>
      <c r="C40" s="185" t="e">
        <f>C13*SIN(RADIANS(C15))*(C14*(C37*100))^0.5</f>
        <v>#DIV/0!</v>
      </c>
      <c r="D40" s="168" t="s">
        <v>22379</v>
      </c>
      <c r="E40" s="163" t="s">
        <v>22382</v>
      </c>
    </row>
    <row r="41" spans="1:8" ht="14.25" customHeight="1">
      <c r="B41" s="165" t="s">
        <v>22383</v>
      </c>
      <c r="C41" s="152">
        <f>Kalk1_Lastfallkombi!P99</f>
        <v>0</v>
      </c>
      <c r="E41" s="163" t="s">
        <v>22384</v>
      </c>
    </row>
    <row r="42" spans="1:8" ht="5.0999999999999996" customHeight="1">
      <c r="B42" s="165"/>
      <c r="C42" s="185"/>
      <c r="D42" s="168"/>
      <c r="E42" s="163"/>
    </row>
    <row r="43" spans="1:8" ht="14.25" customHeight="1">
      <c r="A43" s="179" t="s">
        <v>22385</v>
      </c>
      <c r="B43" s="180" t="s">
        <v>22386</v>
      </c>
      <c r="C43" s="185"/>
      <c r="D43" s="168"/>
      <c r="E43" s="163"/>
    </row>
    <row r="44" spans="1:8" ht="14.25" customHeight="1">
      <c r="B44" s="165" t="s">
        <v>22387</v>
      </c>
      <c r="C44" s="185">
        <f>1/((((C24-0.25)*100)^3/(3*Kalk1_Sys_50!C18*Kalk1_Eingabe!C38)/2)+(Kalk1_Eingabe!C19*100)^3/(48*Kalk1_Sys_50!C18*Kalk1_Eingabe!C36))</f>
        <v>-2668.8632098765429</v>
      </c>
      <c r="D44" s="168" t="s">
        <v>22369</v>
      </c>
      <c r="E44" s="163" t="s">
        <v>22370</v>
      </c>
    </row>
    <row r="45" spans="1:8" ht="14.25" customHeight="1">
      <c r="B45" s="165" t="s">
        <v>22388</v>
      </c>
      <c r="C45" s="185">
        <f>3*Kalk1_Sys_50!C18*Kalk1_Eingabe!C38/((Kalk1_Eingabe!C24-0.25)*100)^3</f>
        <v>-1334.4316049382714</v>
      </c>
      <c r="D45" s="168" t="s">
        <v>22369</v>
      </c>
      <c r="E45" s="163" t="s">
        <v>22375</v>
      </c>
    </row>
    <row r="46" spans="1:8" ht="14.25" customHeight="1">
      <c r="B46" s="165" t="s">
        <v>22378</v>
      </c>
      <c r="C46" s="185" t="e">
        <f>C13*SIN(RADIANS(C15))*(C14*C44*100)^0.5</f>
        <v>#NUM!</v>
      </c>
      <c r="D46" s="168" t="s">
        <v>22379</v>
      </c>
      <c r="E46" s="163" t="s">
        <v>22380</v>
      </c>
    </row>
    <row r="47" spans="1:8" ht="14.25" customHeight="1">
      <c r="B47" s="165" t="s">
        <v>22381</v>
      </c>
      <c r="C47" s="185" t="e">
        <f>C13*SIN(RADIANS(C15))*(C14*(C45*100))^0.5</f>
        <v>#NUM!</v>
      </c>
      <c r="D47" s="168" t="s">
        <v>22379</v>
      </c>
      <c r="E47" s="163" t="s">
        <v>22382</v>
      </c>
    </row>
    <row r="48" spans="1:8" ht="14.25" customHeight="1">
      <c r="B48" s="165" t="s">
        <v>22389</v>
      </c>
      <c r="C48" s="152">
        <f>ROUNDUP(50/Kalk1_Lastfallkombi!C14,0)</f>
        <v>3</v>
      </c>
      <c r="E48" s="163" t="s">
        <v>22384</v>
      </c>
    </row>
    <row r="49" spans="7:11" ht="14.25" customHeight="1"/>
    <row r="50" spans="7:11" ht="14.25" customHeight="1"/>
    <row r="51" spans="7:11" ht="14.25" customHeight="1"/>
    <row r="52" spans="7:11" ht="14.25" customHeight="1"/>
    <row r="53" spans="7:11" ht="14.25" customHeight="1">
      <c r="G53" s="545" t="s">
        <v>22591</v>
      </c>
      <c r="H53" s="545"/>
      <c r="I53" s="545"/>
      <c r="J53" s="545"/>
    </row>
    <row r="54" spans="7:11" ht="14.25" customHeight="1">
      <c r="G54" s="545" t="s">
        <v>21042</v>
      </c>
      <c r="H54" s="545"/>
      <c r="I54" s="443" t="e">
        <f>IF(C22=H24,MAX('Kalk1_DB_80-200'!C33,'Kalk1_DB_80-200'!C41),IF(C22=H23,MAX('Kalk1_DB_50-200'!C33,'Kalk1_DB_50-200'!C41),IF(C22=H22,MAX('Kalk1_DB_50-150'!C33,'Kalk1_DB_50-150'!C41),IF(C22=H21,MAX('Kalk1_DB_25-200'!C33,'Kalk1_DB_25-200'!C41),0))))</f>
        <v>#DIV/0!</v>
      </c>
      <c r="J54" s="443"/>
    </row>
    <row r="55" spans="7:11" ht="14.25" customHeight="1">
      <c r="G55" s="545" t="s">
        <v>19090</v>
      </c>
      <c r="H55" s="545"/>
      <c r="I55" s="260" t="s">
        <v>22590</v>
      </c>
      <c r="J55" s="252">
        <f>IF(C22=H24,Haftungsausschluß!L34/'Kalk1_DB_80-200'!C48,IF(C22=H23,Haftungsausschluß!L34/'Kalk1_DB_50-200'!C48,IF(C22=H22,Haftungsausschluß!L34/'Kalk1_DB_50-150'!C48,IF(C22=H21,Haftungsausschluß!L34/'Kalk1_DB_25-200'!C48,0))))</f>
        <v>176753777.77777779</v>
      </c>
      <c r="K55" s="259"/>
    </row>
    <row r="56" spans="7:11" ht="14.25" customHeight="1">
      <c r="G56" s="545" t="s">
        <v>19950</v>
      </c>
      <c r="H56" s="545"/>
      <c r="I56" s="443" t="e">
        <f>IF(C22=H24,'Kalk1_DB_80-200'!C57,IF(C22=H23,'Kalk1_DB_50-200'!C57,IF(C22=H22,'Kalk1_DB_50-150'!C57,IF(C22=H21,'Kalk1_DB_25-200'!C57,0))))</f>
        <v>#DIV/0!</v>
      </c>
      <c r="J56" s="443"/>
    </row>
    <row r="57" spans="7:11" ht="14.25" customHeight="1">
      <c r="H57" s="165"/>
      <c r="I57" s="257"/>
      <c r="J57" s="258"/>
    </row>
    <row r="58" spans="7:11" ht="14.25" customHeight="1">
      <c r="G58" s="545" t="s">
        <v>22589</v>
      </c>
      <c r="H58" s="545"/>
      <c r="I58" s="545"/>
      <c r="J58" s="545"/>
    </row>
    <row r="59" spans="7:11" ht="14.25" customHeight="1">
      <c r="G59" s="545" t="s">
        <v>21042</v>
      </c>
      <c r="H59" s="545"/>
      <c r="I59" s="443" t="e">
        <f>IF(C21=H18,MAX(Kalk1_Sys_80k!C42,Kalk1_Sys_80k!C51),IF(C21=H19,MAX(Kalk1_Sys_80g!C42,Kalk1_Sys_80g!C51),IF(C21=H17,MAX(Kalk1_Sys_50!C42,Kalk1_Sys_50!C51),0)))</f>
        <v>#NUM!</v>
      </c>
      <c r="J59" s="443"/>
    </row>
    <row r="60" spans="7:11" ht="14.25" customHeight="1">
      <c r="G60" s="545" t="s">
        <v>19090</v>
      </c>
      <c r="H60" s="545"/>
      <c r="I60" s="260" t="s">
        <v>22590</v>
      </c>
      <c r="J60" s="252" t="e">
        <f>IF(C21=H18,Haftungsausschluß!L34/Kalk1_Sys_80k!C70,IF(C21=H19,Haftungsausschluß!L34/Kalk1_Sys_80g!C70,IF(C21=H17,Haftungsausschluß!L34/Kalk1_Sys_50!C70,0)))</f>
        <v>#DIV/0!</v>
      </c>
      <c r="K60" s="259"/>
    </row>
    <row r="61" spans="7:11" ht="14.25" customHeight="1">
      <c r="G61" s="545" t="s">
        <v>19950</v>
      </c>
      <c r="H61" s="545"/>
      <c r="I61" s="443" t="e">
        <f>IF(C21=H18,MAX(Kalk1_Sys_80k!C41,Kalk1_Sys_80k!C50),IF(C21=H19,MAX(Kalk1_Sys_80g!C41,Kalk1_Sys_80g!C50),IF(C21=H17,MAX(Kalk1_Sys_50!C41,Kalk1_Sys_50!C50),0)))</f>
        <v>#NUM!</v>
      </c>
      <c r="J61" s="443"/>
    </row>
    <row r="62" spans="7:11" ht="14.25" customHeight="1"/>
    <row r="63" spans="7:11" ht="14.25" customHeight="1"/>
    <row r="64" spans="7: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sheetData>
  <mergeCells count="15">
    <mergeCell ref="I61:J61"/>
    <mergeCell ref="G61:H61"/>
    <mergeCell ref="G60:H60"/>
    <mergeCell ref="G59:H59"/>
    <mergeCell ref="B1:C1"/>
    <mergeCell ref="C4:E4"/>
    <mergeCell ref="C5:E5"/>
    <mergeCell ref="G53:J53"/>
    <mergeCell ref="I59:J59"/>
    <mergeCell ref="G58:J58"/>
    <mergeCell ref="I56:J56"/>
    <mergeCell ref="I54:J54"/>
    <mergeCell ref="G54:H54"/>
    <mergeCell ref="G56:H56"/>
    <mergeCell ref="G55:H55"/>
  </mergeCells>
  <dataValidations disablePrompts="1" count="1">
    <dataValidation type="list" allowBlank="1" showInputMessage="1" showErrorMessage="1" sqref="C23" xr:uid="{7A120398-C8F4-4786-80FA-4300A8FBA5FD}">
      <formula1>"1/150,1/300"</formula1>
    </dataValidation>
  </dataValidations>
  <pageMargins left="0.7" right="0.7" top="0.78740157499999996" bottom="0.78740157499999996"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60A97-C844-4767-802D-56B838ADB503}">
  <sheetPr codeName="Tabelle11"/>
  <dimension ref="A1:R590"/>
  <sheetViews>
    <sheetView workbookViewId="0">
      <selection activeCell="M18" sqref="M18"/>
    </sheetView>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44894</v>
      </c>
      <c r="H3" s="156" t="s">
        <v>22312</v>
      </c>
      <c r="I3" s="158" t="s">
        <v>22313</v>
      </c>
    </row>
    <row r="4" spans="1:9" ht="16.5" customHeight="1">
      <c r="A4" s="148"/>
      <c r="B4" s="160" t="s">
        <v>22316</v>
      </c>
      <c r="C4" s="547" t="str">
        <f>Kalk1_Eingabe!C4</f>
        <v>PREFA</v>
      </c>
      <c r="D4" s="547"/>
      <c r="E4" s="548"/>
      <c r="F4" s="150"/>
      <c r="G4" s="150"/>
      <c r="H4" s="151"/>
      <c r="I4" s="148"/>
    </row>
    <row r="5" spans="1:9" ht="16.5" customHeight="1">
      <c r="A5" s="148"/>
      <c r="B5" s="164" t="s">
        <v>22319</v>
      </c>
      <c r="C5" s="549" t="str">
        <f>Kalk1_Eingabe!C5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22390</v>
      </c>
      <c r="C7" s="148"/>
      <c r="D7" s="168"/>
      <c r="E7" s="168"/>
      <c r="F7" s="148"/>
      <c r="G7" s="148"/>
      <c r="H7" s="148"/>
      <c r="I7" s="148"/>
    </row>
    <row r="8" spans="1:9" ht="16.5" customHeight="1">
      <c r="A8" s="148"/>
      <c r="B8" s="170" t="s">
        <v>22391</v>
      </c>
      <c r="C8" s="148"/>
      <c r="D8" s="168"/>
      <c r="E8" s="168"/>
      <c r="F8" s="148"/>
      <c r="G8" s="148"/>
      <c r="H8" s="148"/>
      <c r="I8" s="148"/>
    </row>
    <row r="9" spans="1:9" ht="14.25" customHeight="1">
      <c r="A9" s="148"/>
      <c r="B9" s="148"/>
      <c r="C9" s="148"/>
      <c r="D9" s="168"/>
      <c r="E9" s="168"/>
      <c r="F9" s="148"/>
      <c r="G9" s="148"/>
      <c r="H9" s="148"/>
      <c r="I9" s="148"/>
    </row>
    <row r="10" spans="1:9" ht="14.25" customHeight="1">
      <c r="A10" s="171" t="s">
        <v>22327</v>
      </c>
      <c r="B10" s="172" t="s">
        <v>22392</v>
      </c>
      <c r="C10" s="148"/>
      <c r="D10" s="168"/>
      <c r="E10" s="168"/>
      <c r="F10" s="148"/>
      <c r="G10" s="148"/>
      <c r="H10" s="148"/>
      <c r="I10" s="148"/>
    </row>
    <row r="11" spans="1:9" ht="14.25" customHeight="1">
      <c r="A11" s="148"/>
      <c r="B11" s="175" t="s">
        <v>22393</v>
      </c>
      <c r="C11" s="187">
        <v>38.46</v>
      </c>
      <c r="D11" s="168" t="s">
        <v>22394</v>
      </c>
      <c r="E11" s="163" t="s">
        <v>22395</v>
      </c>
      <c r="F11" s="177"/>
      <c r="G11" s="148"/>
      <c r="H11" s="148"/>
      <c r="I11" s="148"/>
    </row>
    <row r="12" spans="1:9" ht="14.25" customHeight="1">
      <c r="A12" s="148"/>
      <c r="B12" s="175" t="s">
        <v>22396</v>
      </c>
      <c r="C12" s="187">
        <v>7.13</v>
      </c>
      <c r="D12" s="151" t="s">
        <v>22394</v>
      </c>
      <c r="E12" s="163" t="s">
        <v>22397</v>
      </c>
      <c r="F12" s="177"/>
      <c r="G12" s="148"/>
      <c r="H12" s="148"/>
      <c r="I12" s="148"/>
    </row>
    <row r="13" spans="1:9" ht="14.25" customHeight="1">
      <c r="A13" s="179"/>
      <c r="B13" s="175" t="s">
        <v>22398</v>
      </c>
      <c r="C13" s="187">
        <v>723.81</v>
      </c>
      <c r="D13" s="151" t="s">
        <v>22372</v>
      </c>
      <c r="E13" s="163" t="s">
        <v>22399</v>
      </c>
      <c r="F13" s="178"/>
      <c r="G13" s="181"/>
      <c r="H13" s="148"/>
      <c r="I13" s="148"/>
    </row>
    <row r="14" spans="1:9" ht="14.25" customHeight="1">
      <c r="A14" s="148"/>
      <c r="B14" s="162" t="s">
        <v>22400</v>
      </c>
      <c r="C14" s="187">
        <v>101.99</v>
      </c>
      <c r="D14" s="168" t="s">
        <v>22401</v>
      </c>
      <c r="E14" s="183" t="s">
        <v>22402</v>
      </c>
      <c r="F14" s="177"/>
      <c r="G14" s="148"/>
      <c r="H14" s="148"/>
      <c r="I14" s="148"/>
    </row>
    <row r="15" spans="1:9" ht="14.25" customHeight="1">
      <c r="B15" s="162" t="s">
        <v>22403</v>
      </c>
      <c r="C15" s="187">
        <v>150.66999999999999</v>
      </c>
      <c r="D15" s="168" t="s">
        <v>22401</v>
      </c>
      <c r="E15" s="183" t="s">
        <v>22404</v>
      </c>
    </row>
    <row r="16" spans="1:9"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20</v>
      </c>
      <c r="D19" s="168" t="s">
        <v>22408</v>
      </c>
      <c r="E19" s="183"/>
    </row>
    <row r="20" spans="1:18" ht="14.25" customHeight="1">
      <c r="B20" s="165" t="s">
        <v>22410</v>
      </c>
      <c r="C20" s="185">
        <v>24.5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Kalk1_Lastfallkombi!C31*Kalk1_Eingabe!C18/2*Kalk1_Eingabe!C19</f>
        <v>0</v>
      </c>
      <c r="D27" s="191">
        <f>Kalk1_Lastfallkombi!C19*Kalk1_Eingabe!C24/2*Kalk1_Eingabe!C19</f>
        <v>0</v>
      </c>
      <c r="E27" s="168" t="s">
        <v>22379</v>
      </c>
      <c r="F27" s="183" t="s">
        <v>22425</v>
      </c>
      <c r="O27" s="188" t="s">
        <v>22414</v>
      </c>
      <c r="P27" s="189"/>
      <c r="Q27" s="189"/>
      <c r="R27" s="190"/>
    </row>
    <row r="28" spans="1:18" ht="14.25" customHeight="1">
      <c r="B28" s="178" t="s">
        <v>22427</v>
      </c>
      <c r="C28" s="191">
        <f>Kalk1_Lastfallkombi!C31*Kalk1_Eingabe!C18/2*(Kalk1_Eingabe!C18/3+Kalk1_Sys_50!C25/100)*Kalk1_Eingabe!C19</f>
        <v>0</v>
      </c>
      <c r="D28" s="191">
        <f>Kalk1_Lastfallkombi!C19*Kalk1_Eingabe!C24/2*(Kalk1_Eingabe!C24/3+Kalk1_Sys_50!C25/100)*Kalk1_Eingabe!C19</f>
        <v>0</v>
      </c>
      <c r="E28" s="168" t="s">
        <v>22428</v>
      </c>
      <c r="F28" s="183" t="s">
        <v>22429</v>
      </c>
      <c r="O28" s="178" t="s">
        <v>22418</v>
      </c>
      <c r="P28" s="191">
        <f>(Kalk1_Lastfallkombi!C31*Kalk1_Eingabe!C18/2*(Kalk1_Eingabe!C18/3+Kalk1_Sys_50!C25/100)*Kalk1_Eingabe!C19)/(P26/100)</f>
        <v>0</v>
      </c>
      <c r="Q28" s="189"/>
      <c r="R28" s="168" t="s">
        <v>22379</v>
      </c>
    </row>
    <row r="29" spans="1:18" ht="14.25" customHeight="1">
      <c r="B29" s="178" t="s">
        <v>22431</v>
      </c>
      <c r="C29" s="191">
        <f>Kalk1_Lastfallkombi!C32*Kalk1_Eingabe!C18*Kalk1_Eingabe!C19</f>
        <v>0</v>
      </c>
      <c r="D29" s="191">
        <f>Kalk1_Lastfallkombi!C20*Kalk1_Eingabe!C24*Kalk1_Eingabe!C19</f>
        <v>0</v>
      </c>
      <c r="E29" s="168" t="s">
        <v>22379</v>
      </c>
      <c r="F29" s="183" t="s">
        <v>22432</v>
      </c>
      <c r="O29" s="178" t="s">
        <v>22421</v>
      </c>
      <c r="P29" s="191">
        <f>P28+C27</f>
        <v>0</v>
      </c>
      <c r="Q29" s="189"/>
      <c r="R29" s="168" t="s">
        <v>22379</v>
      </c>
    </row>
    <row r="30" spans="1:18" ht="14.25" customHeight="1">
      <c r="B30" s="178" t="s">
        <v>22434</v>
      </c>
      <c r="C30" s="191">
        <f>Kalk1_Lastfallkombi!C32*Kalk1_Eingabe!C18*(Kalk1_Eingabe!C18/2+C25/100)*Kalk1_Eingabe!C19</f>
        <v>0</v>
      </c>
      <c r="D30" s="191">
        <f>Kalk1_Lastfallkombi!C20*Kalk1_Eingabe!C24*(Kalk1_Eingabe!C24/2+C25/100)*Kalk1_Eingabe!C19</f>
        <v>0</v>
      </c>
      <c r="E30" s="168" t="s">
        <v>22428</v>
      </c>
      <c r="F30" s="183" t="s">
        <v>22435</v>
      </c>
      <c r="O30" s="178" t="s">
        <v>22423</v>
      </c>
      <c r="P30" s="191">
        <f>Kalk1_Lastfallkombi!C32*Kalk1_Eingabe!C18*Kalk1_Eingabe!C19/(P26/100)</f>
        <v>0</v>
      </c>
      <c r="Q30" s="189"/>
      <c r="R30" s="168" t="s">
        <v>22379</v>
      </c>
    </row>
    <row r="31" spans="1:18" ht="14.25" customHeight="1">
      <c r="B31" s="178" t="s">
        <v>22436</v>
      </c>
      <c r="C31" s="191" t="e">
        <f>Kalk1_Lastfallkombi!C40</f>
        <v>#DIV/0!</v>
      </c>
      <c r="D31" s="191" t="e">
        <f>Kalk1_Lastfallkombi!C28</f>
        <v>#NUM!</v>
      </c>
      <c r="E31" s="168" t="s">
        <v>22379</v>
      </c>
      <c r="F31" s="183" t="s">
        <v>22437</v>
      </c>
      <c r="O31" s="178" t="s">
        <v>22426</v>
      </c>
      <c r="P31" s="191">
        <f>P30+C29</f>
        <v>0</v>
      </c>
      <c r="Q31" s="189"/>
      <c r="R31" s="168" t="s">
        <v>22379</v>
      </c>
    </row>
    <row r="32" spans="1:18" ht="14.25" customHeight="1" thickBot="1">
      <c r="B32" s="178" t="s">
        <v>22438</v>
      </c>
      <c r="C32" s="191" t="e">
        <f>C31*(Kalk1_Eingabe!C18+C25/100)</f>
        <v>#DIV/0!</v>
      </c>
      <c r="D32" s="191" t="e">
        <f>D31*(Kalk1_Eingabe!C24-0.25+C25/100)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74.845589442218753</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1.4773016962447298</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19.990039999999997</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Kalk1_Lastfallkombi!D31*Kalk1_Eingabe!C19</f>
        <v>0</v>
      </c>
      <c r="D55" s="185">
        <f>Kalk1_Lastfallkombi!D19*Kalk1_Eingabe!C19</f>
        <v>0</v>
      </c>
      <c r="E55" s="168" t="s">
        <v>22469</v>
      </c>
    </row>
    <row r="56" spans="1:7" ht="14.25" customHeight="1">
      <c r="B56" s="178" t="s">
        <v>22470</v>
      </c>
      <c r="C56" s="185">
        <f>C55/100*(Kalk1_Eingabe!C18*100)^4/(30*Kalk1_Sys_50!C13*Kalk1_Sys_50!C18)</f>
        <v>0</v>
      </c>
      <c r="D56" s="185">
        <f>D55/100*(Kalk1_Eingabe!C24*100)^4/(30*Kalk1_Sys_50!C13*Kalk1_Sys_50!C18)</f>
        <v>0</v>
      </c>
      <c r="E56" s="168" t="s">
        <v>22416</v>
      </c>
    </row>
    <row r="57" spans="1:7" ht="14.25" customHeight="1">
      <c r="B57" s="178" t="s">
        <v>22471</v>
      </c>
      <c r="C57" s="185">
        <f>Kalk1_Lastfallkombi!D32*Kalk1_Eingabe!C19</f>
        <v>0</v>
      </c>
      <c r="D57" s="185">
        <f>Kalk1_Lastfallkombi!D20*Kalk1_Eingabe!C19</f>
        <v>0</v>
      </c>
      <c r="E57" s="168" t="s">
        <v>22469</v>
      </c>
    </row>
    <row r="58" spans="1:7" ht="14.25" customHeight="1">
      <c r="B58" s="178" t="s">
        <v>22472</v>
      </c>
      <c r="C58" s="185">
        <f>C57/100*(Kalk1_Eingabe!C18*100)^4/(8*Kalk1_Sys_50!C13*Kalk1_Sys_50!C18)</f>
        <v>0</v>
      </c>
      <c r="D58" s="185">
        <f>D57/100*(Kalk1_Eingabe!C24*100)^4/(8*Kalk1_Sys_50!C13*Kalk1_Sys_50!C18)</f>
        <v>0</v>
      </c>
      <c r="E58" s="168" t="s">
        <v>22416</v>
      </c>
      <c r="G58" s="185"/>
    </row>
    <row r="59" spans="1:7" ht="14.25" customHeight="1" thickBot="1">
      <c r="B59" s="178" t="s">
        <v>22473</v>
      </c>
      <c r="C59" s="185">
        <f>IF(Kalk1_Eingabe!C23="1/150",Kalk1_Eingabe!C18*100/150,IF(Kalk1_Eingabe!C23="1/300",Kalk1_Eingabe!C18*100/300))</f>
        <v>0</v>
      </c>
      <c r="D59" s="185">
        <f>IF(Kalk1_Eingabe!C23="1/150",Kalk1_Eingabe!C24*100/150,IF(Kalk1_Eingabe!C23="1/300",Kalk1_Eingabe!C24*100/300))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Kalk1_Lastfallkombi!D31*Kalk1_Eingabe!C19</f>
        <v>0</v>
      </c>
      <c r="D62" s="185">
        <f>Kalk1_Lastfallkombi!D19*Kalk1_Eingabe!C19</f>
        <v>0</v>
      </c>
      <c r="E62" s="168" t="s">
        <v>22469</v>
      </c>
    </row>
    <row r="63" spans="1:7" ht="14.25" customHeight="1">
      <c r="B63" s="178" t="s">
        <v>22470</v>
      </c>
      <c r="C63" s="185">
        <f>C62/100*(Kalk1_Eingabe!C18*100)^4/(30*Kalk1_Sys_50!C13*Kalk1_Sys_50!C18)</f>
        <v>0</v>
      </c>
      <c r="D63" s="185">
        <f>D62/100*(Kalk1_Eingabe!C24*100)^4/(30*Kalk1_Sys_50!C13*Kalk1_Sys_50!C18)</f>
        <v>0</v>
      </c>
      <c r="E63" s="168" t="s">
        <v>22416</v>
      </c>
    </row>
    <row r="64" spans="1:7" ht="14.25" customHeight="1">
      <c r="B64" s="178" t="s">
        <v>22471</v>
      </c>
      <c r="C64" s="185">
        <f>Kalk1_Lastfallkombi!D32*Kalk1_Eingabe!C19</f>
        <v>0</v>
      </c>
      <c r="D64" s="185">
        <f>Kalk1_Lastfallkombi!D20*Kalk1_Eingabe!C19</f>
        <v>0</v>
      </c>
      <c r="E64" s="168" t="s">
        <v>22469</v>
      </c>
    </row>
    <row r="65" spans="2:5" ht="14.25" customHeight="1">
      <c r="B65" s="178" t="s">
        <v>22472</v>
      </c>
      <c r="C65" s="185">
        <f>C64/100*(Kalk1_Eingabe!C18*100)^4/(8*Kalk1_Sys_50!C13*Kalk1_Sys_50!C18)</f>
        <v>0</v>
      </c>
      <c r="D65" s="185">
        <f>D64/100*(Kalk1_Eingabe!C24*100)^4/(8*Kalk1_Sys_50!C13*Kalk1_Sys_50!C18)</f>
        <v>0</v>
      </c>
      <c r="E65" s="168" t="s">
        <v>22416</v>
      </c>
    </row>
    <row r="66" spans="2:5" ht="14.25" customHeight="1">
      <c r="B66" s="165" t="s">
        <v>22476</v>
      </c>
      <c r="C66" s="185" t="e">
        <f>Kalk1_Lastfallkombi!D40</f>
        <v>#DIV/0!</v>
      </c>
      <c r="D66" s="185" t="e">
        <f>Kalk1_Lastfallkombi!D28</f>
        <v>#NUM!</v>
      </c>
      <c r="E66" s="168" t="s">
        <v>22379</v>
      </c>
    </row>
    <row r="67" spans="2:5" ht="14.25" customHeight="1">
      <c r="B67" s="165" t="s">
        <v>22477</v>
      </c>
      <c r="C67" s="185" t="e">
        <f>C66*(Kalk1_Eingabe!C18*100)^3/(3*Kalk1_Sys_50!C18*Kalk1_Sys_50!C13)</f>
        <v>#DIV/0!</v>
      </c>
      <c r="D67" s="185" t="e">
        <f>D66*((Kalk1_Eingabe!C24-0.25)*100)^3/(3*Kalk1_Sys_50!C18*Kalk1_Sys_50!C13)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Kalk1_Eingabe!C18*100/150</f>
        <v>0</v>
      </c>
      <c r="D69" s="185">
        <f>Kalk1_Eingabe!C24*100/150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139" priority="10" operator="greaterThan">
      <formula>1</formula>
    </cfRule>
    <cfRule type="dataBar" priority="11">
      <dataBar>
        <cfvo type="num" val="0"/>
        <cfvo type="num" val="0.99"/>
        <color rgb="FF638EC6"/>
      </dataBar>
      <extLst>
        <ext xmlns:x14="http://schemas.microsoft.com/office/spreadsheetml/2009/9/main" uri="{B025F937-C7B1-47D3-B67F-A62EFF666E3E}">
          <x14:id>{B3F390B3-EE91-4FC3-9B4C-1FD5573DBDE5}</x14:id>
        </ext>
      </extLst>
    </cfRule>
    <cfRule type="dataBar" priority="12">
      <dataBar>
        <cfvo type="num" val="0"/>
        <cfvo type="num" val="1"/>
        <color rgb="FF638EC6"/>
      </dataBar>
      <extLst>
        <ext xmlns:x14="http://schemas.microsoft.com/office/spreadsheetml/2009/9/main" uri="{B025F937-C7B1-47D3-B67F-A62EFF666E3E}">
          <x14:id>{0E99FCF6-A21A-49B1-BAEF-43C8D27BB678}</x14:id>
        </ext>
      </extLst>
    </cfRule>
  </conditionalFormatting>
  <conditionalFormatting sqref="C50:C51">
    <cfRule type="cellIs" dxfId="138" priority="7" operator="greaterThan">
      <formula>1</formula>
    </cfRule>
    <cfRule type="dataBar" priority="8">
      <dataBar>
        <cfvo type="num" val="0"/>
        <cfvo type="num" val="0.99"/>
        <color rgb="FF638EC6"/>
      </dataBar>
      <extLst>
        <ext xmlns:x14="http://schemas.microsoft.com/office/spreadsheetml/2009/9/main" uri="{B025F937-C7B1-47D3-B67F-A62EFF666E3E}">
          <x14:id>{6A1E09E0-AE8E-4642-B779-10B9824FC4E7}</x14:id>
        </ext>
      </extLst>
    </cfRule>
    <cfRule type="dataBar" priority="9">
      <dataBar>
        <cfvo type="num" val="0"/>
        <cfvo type="num" val="1"/>
        <color rgb="FF638EC6"/>
      </dataBar>
      <extLst>
        <ext xmlns:x14="http://schemas.microsoft.com/office/spreadsheetml/2009/9/main" uri="{B025F937-C7B1-47D3-B67F-A62EFF666E3E}">
          <x14:id>{33F274DD-85AC-4FB0-BA92-8F0ACF196399}</x14:id>
        </ext>
      </extLst>
    </cfRule>
  </conditionalFormatting>
  <conditionalFormatting sqref="C60">
    <cfRule type="cellIs" dxfId="137" priority="4" operator="greaterThan">
      <formula>1</formula>
    </cfRule>
    <cfRule type="dataBar" priority="5">
      <dataBar>
        <cfvo type="num" val="0"/>
        <cfvo type="num" val="0.99"/>
        <color rgb="FF638EC6"/>
      </dataBar>
      <extLst>
        <ext xmlns:x14="http://schemas.microsoft.com/office/spreadsheetml/2009/9/main" uri="{B025F937-C7B1-47D3-B67F-A62EFF666E3E}">
          <x14:id>{83D3F71B-B502-4F42-B491-9C9631628FEE}</x14:id>
        </ext>
      </extLst>
    </cfRule>
    <cfRule type="dataBar" priority="6">
      <dataBar>
        <cfvo type="num" val="0"/>
        <cfvo type="num" val="1"/>
        <color rgb="FF638EC6"/>
      </dataBar>
      <extLst>
        <ext xmlns:x14="http://schemas.microsoft.com/office/spreadsheetml/2009/9/main" uri="{B025F937-C7B1-47D3-B67F-A62EFF666E3E}">
          <x14:id>{DBCE6240-2B5C-484C-952E-1A2CF737D35C}</x14:id>
        </ext>
      </extLst>
    </cfRule>
  </conditionalFormatting>
  <conditionalFormatting sqref="C70">
    <cfRule type="cellIs" dxfId="136" priority="1" operator="greaterThan">
      <formula>1</formula>
    </cfRule>
    <cfRule type="dataBar" priority="2">
      <dataBar>
        <cfvo type="num" val="0"/>
        <cfvo type="num" val="0.99"/>
        <color rgb="FF638EC6"/>
      </dataBar>
      <extLst>
        <ext xmlns:x14="http://schemas.microsoft.com/office/spreadsheetml/2009/9/main" uri="{B025F937-C7B1-47D3-B67F-A62EFF666E3E}">
          <x14:id>{A5D2C0C2-CDAE-44ED-8CB5-46EDA7C459AB}</x14:id>
        </ext>
      </extLst>
    </cfRule>
    <cfRule type="dataBar" priority="3">
      <dataBar>
        <cfvo type="num" val="0"/>
        <cfvo type="num" val="1"/>
        <color rgb="FF638EC6"/>
      </dataBar>
      <extLst>
        <ext xmlns:x14="http://schemas.microsoft.com/office/spreadsheetml/2009/9/main" uri="{B025F937-C7B1-47D3-B67F-A62EFF666E3E}">
          <x14:id>{684976DF-8416-4F7D-A12E-41E575CEEF50}</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B3F390B3-EE91-4FC3-9B4C-1FD5573DBDE5}">
            <x14:dataBar minLength="0" maxLength="100">
              <x14:cfvo type="num">
                <xm:f>0</xm:f>
              </x14:cfvo>
              <x14:cfvo type="num">
                <xm:f>0.99</xm:f>
              </x14:cfvo>
              <x14:negativeFillColor rgb="FFFF0000"/>
              <x14:axisColor rgb="FF000000"/>
            </x14:dataBar>
          </x14:cfRule>
          <x14:cfRule type="dataBar" id="{0E99FCF6-A21A-49B1-BAEF-43C8D27BB678}">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6A1E09E0-AE8E-4642-B779-10B9824FC4E7}">
            <x14:dataBar minLength="0" maxLength="100">
              <x14:cfvo type="num">
                <xm:f>0</xm:f>
              </x14:cfvo>
              <x14:cfvo type="num">
                <xm:f>0.99</xm:f>
              </x14:cfvo>
              <x14:negativeFillColor rgb="FFFF0000"/>
              <x14:axisColor rgb="FF000000"/>
            </x14:dataBar>
          </x14:cfRule>
          <x14:cfRule type="dataBar" id="{33F274DD-85AC-4FB0-BA92-8F0ACF196399}">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83D3F71B-B502-4F42-B491-9C9631628FEE}">
            <x14:dataBar minLength="0" maxLength="100">
              <x14:cfvo type="num">
                <xm:f>0</xm:f>
              </x14:cfvo>
              <x14:cfvo type="num">
                <xm:f>0.99</xm:f>
              </x14:cfvo>
              <x14:negativeFillColor rgb="FFFF0000"/>
              <x14:axisColor rgb="FF000000"/>
            </x14:dataBar>
          </x14:cfRule>
          <x14:cfRule type="dataBar" id="{DBCE6240-2B5C-484C-952E-1A2CF737D35C}">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A5D2C0C2-CDAE-44ED-8CB5-46EDA7C459AB}">
            <x14:dataBar minLength="0" maxLength="100">
              <x14:cfvo type="num">
                <xm:f>0</xm:f>
              </x14:cfvo>
              <x14:cfvo type="num">
                <xm:f>0.99</xm:f>
              </x14:cfvo>
              <x14:negativeFillColor rgb="FFFF0000"/>
              <x14:axisColor rgb="FF000000"/>
            </x14:dataBar>
          </x14:cfRule>
          <x14:cfRule type="dataBar" id="{684976DF-8416-4F7D-A12E-41E575CEEF50}">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4FF3E-11C9-4AA4-AEE9-0CE20CA2DE24}">
  <sheetPr codeName="Tabelle12"/>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44894</v>
      </c>
      <c r="H3" s="156" t="s">
        <v>22312</v>
      </c>
      <c r="I3" s="158" t="s">
        <v>22313</v>
      </c>
    </row>
    <row r="4" spans="1:9" ht="16.5" customHeight="1">
      <c r="A4" s="148"/>
      <c r="B4" s="160" t="s">
        <v>22316</v>
      </c>
      <c r="C4" s="547" t="str">
        <f>Kalk1_Eingabe!C4</f>
        <v>PREFA</v>
      </c>
      <c r="D4" s="547"/>
      <c r="E4" s="548"/>
      <c r="F4" s="150"/>
      <c r="G4" s="150"/>
      <c r="H4" s="151"/>
      <c r="I4" s="148"/>
    </row>
    <row r="5" spans="1:9" ht="16.5" customHeight="1">
      <c r="A5" s="148"/>
      <c r="B5" s="164" t="s">
        <v>22319</v>
      </c>
      <c r="C5" s="549" t="str">
        <f>Kalk1_Eingabe!C5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22596</v>
      </c>
      <c r="C7" s="148"/>
      <c r="D7" s="168"/>
      <c r="E7" s="168"/>
      <c r="F7" s="148"/>
      <c r="G7" s="148"/>
      <c r="H7" s="148"/>
      <c r="I7" s="148"/>
    </row>
    <row r="8" spans="1:9" ht="16.5" customHeight="1">
      <c r="A8" s="148"/>
      <c r="B8" s="170" t="s">
        <v>22391</v>
      </c>
      <c r="C8" s="148"/>
      <c r="D8" s="168"/>
      <c r="E8" s="168"/>
      <c r="F8" s="148"/>
      <c r="G8" s="148"/>
      <c r="H8" s="148"/>
      <c r="I8" s="148"/>
    </row>
    <row r="9" spans="1:9" ht="14.25" customHeight="1">
      <c r="A9" s="148"/>
      <c r="B9" s="148"/>
      <c r="C9" s="148"/>
      <c r="D9" s="168"/>
      <c r="E9" s="168"/>
      <c r="F9" s="148"/>
      <c r="G9" s="148"/>
      <c r="H9" s="148"/>
      <c r="I9" s="148"/>
    </row>
    <row r="10" spans="1:9" ht="14.25" customHeight="1">
      <c r="A10" s="171" t="s">
        <v>22327</v>
      </c>
      <c r="B10" s="172" t="s">
        <v>22392</v>
      </c>
      <c r="C10" s="148"/>
      <c r="D10" s="168"/>
      <c r="E10" s="168"/>
      <c r="F10" s="148"/>
      <c r="G10" s="148"/>
      <c r="H10" s="148"/>
      <c r="I10" s="148"/>
    </row>
    <row r="11" spans="1:9" ht="14.25" customHeight="1">
      <c r="A11" s="148"/>
      <c r="B11" s="175" t="s">
        <v>22393</v>
      </c>
      <c r="C11" s="187">
        <v>38.74</v>
      </c>
      <c r="D11" s="168" t="s">
        <v>22394</v>
      </c>
      <c r="E11" s="163" t="s">
        <v>22395</v>
      </c>
      <c r="F11" s="177"/>
      <c r="G11" s="148"/>
      <c r="H11" s="148"/>
      <c r="I11" s="148"/>
    </row>
    <row r="12" spans="1:9" ht="14.25" customHeight="1">
      <c r="A12" s="148"/>
      <c r="B12" s="175" t="s">
        <v>22396</v>
      </c>
      <c r="C12" s="187">
        <v>7.58</v>
      </c>
      <c r="D12" s="151" t="s">
        <v>22394</v>
      </c>
      <c r="E12" s="163" t="s">
        <v>22397</v>
      </c>
      <c r="F12" s="177"/>
      <c r="G12" s="148"/>
      <c r="H12" s="148"/>
      <c r="I12" s="148"/>
    </row>
    <row r="13" spans="1:9" ht="14.25" customHeight="1">
      <c r="A13" s="179"/>
      <c r="B13" s="175" t="s">
        <v>22398</v>
      </c>
      <c r="C13" s="187">
        <v>1047.58</v>
      </c>
      <c r="D13" s="151" t="s">
        <v>22372</v>
      </c>
      <c r="E13" s="163" t="s">
        <v>22399</v>
      </c>
      <c r="F13" s="178"/>
      <c r="G13" s="181"/>
      <c r="H13" s="148"/>
      <c r="I13" s="148"/>
    </row>
    <row r="14" spans="1:9" ht="14.25" customHeight="1">
      <c r="A14" s="148"/>
      <c r="B14" s="162" t="s">
        <v>22400</v>
      </c>
      <c r="C14" s="187">
        <v>147.32</v>
      </c>
      <c r="D14" s="168" t="s">
        <v>22401</v>
      </c>
      <c r="E14" s="183" t="s">
        <v>22402</v>
      </c>
      <c r="F14" s="177"/>
      <c r="G14" s="148"/>
      <c r="H14" s="148"/>
      <c r="I14" s="148"/>
    </row>
    <row r="15" spans="1:9" ht="14.25" customHeight="1">
      <c r="B15" s="162" t="s">
        <v>22403</v>
      </c>
      <c r="C15" s="187">
        <v>192.51</v>
      </c>
      <c r="D15" s="168" t="s">
        <v>22401</v>
      </c>
      <c r="E15" s="183" t="s">
        <v>22404</v>
      </c>
    </row>
    <row r="16" spans="1:9"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18</v>
      </c>
      <c r="D19" s="168" t="s">
        <v>22408</v>
      </c>
      <c r="E19" s="183"/>
    </row>
    <row r="20" spans="1:18" ht="14.25" customHeight="1">
      <c r="B20" s="165" t="s">
        <v>22410</v>
      </c>
      <c r="C20" s="185">
        <v>22.5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Kalk1_Lastfallkombi!C31*Kalk1_Eingabe!C18/2*Kalk1_Eingabe!C19</f>
        <v>0</v>
      </c>
      <c r="D27" s="191">
        <f>Kalk1_Lastfallkombi!C19*Kalk1_Eingabe!C24/2*Kalk1_Eingabe!C19</f>
        <v>0</v>
      </c>
      <c r="E27" s="168" t="s">
        <v>22379</v>
      </c>
      <c r="F27" s="183" t="s">
        <v>22425</v>
      </c>
      <c r="O27" s="188" t="s">
        <v>22414</v>
      </c>
      <c r="P27" s="189"/>
      <c r="Q27" s="189"/>
      <c r="R27" s="190"/>
    </row>
    <row r="28" spans="1:18" ht="14.25" customHeight="1">
      <c r="B28" s="178" t="s">
        <v>22427</v>
      </c>
      <c r="C28" s="191">
        <f>Kalk1_Lastfallkombi!C31*Kalk1_Eingabe!C18/2*(Kalk1_Eingabe!C18/3+Kalk1_Sys_80k!C25/100)*Kalk1_Eingabe!C19</f>
        <v>0</v>
      </c>
      <c r="D28" s="191">
        <f>Kalk1_Lastfallkombi!C19*Kalk1_Eingabe!C24/2*(Kalk1_Eingabe!C24/3+Kalk1_Sys_80k!C25/100)*Kalk1_Eingabe!C19</f>
        <v>0</v>
      </c>
      <c r="E28" s="168" t="s">
        <v>22428</v>
      </c>
      <c r="F28" s="183" t="s">
        <v>22429</v>
      </c>
      <c r="O28" s="178" t="s">
        <v>22418</v>
      </c>
      <c r="P28" s="191">
        <f>(Kalk1_Lastfallkombi!C31*Kalk1_Eingabe!C18/2*(Kalk1_Eingabe!C18/3+Kalk1_Sys_80k!C25/100)*Kalk1_Eingabe!C19)/(P26/100)</f>
        <v>0</v>
      </c>
      <c r="Q28" s="189"/>
      <c r="R28" s="168" t="s">
        <v>22379</v>
      </c>
    </row>
    <row r="29" spans="1:18" ht="14.25" customHeight="1">
      <c r="B29" s="178" t="s">
        <v>22431</v>
      </c>
      <c r="C29" s="191">
        <f>Kalk1_Lastfallkombi!C32*Kalk1_Eingabe!C18*Kalk1_Eingabe!C19</f>
        <v>0</v>
      </c>
      <c r="D29" s="191">
        <f>Kalk1_Lastfallkombi!C20*Kalk1_Eingabe!C24*Kalk1_Eingabe!C19</f>
        <v>0</v>
      </c>
      <c r="E29" s="168" t="s">
        <v>22379</v>
      </c>
      <c r="F29" s="183" t="s">
        <v>22432</v>
      </c>
      <c r="O29" s="178" t="s">
        <v>22421</v>
      </c>
      <c r="P29" s="191">
        <f>P28+C27</f>
        <v>0</v>
      </c>
      <c r="Q29" s="189"/>
      <c r="R29" s="168" t="s">
        <v>22379</v>
      </c>
    </row>
    <row r="30" spans="1:18" ht="14.25" customHeight="1">
      <c r="B30" s="178" t="s">
        <v>22434</v>
      </c>
      <c r="C30" s="191">
        <f>Kalk1_Lastfallkombi!C32*Kalk1_Eingabe!C18*(Kalk1_Eingabe!C18/2+C25/100)*Kalk1_Eingabe!C19</f>
        <v>0</v>
      </c>
      <c r="D30" s="191">
        <f>Kalk1_Lastfallkombi!C20*Kalk1_Eingabe!C24*(Kalk1_Eingabe!C24/2+C25/100)*Kalk1_Eingabe!C19</f>
        <v>0</v>
      </c>
      <c r="E30" s="168" t="s">
        <v>22428</v>
      </c>
      <c r="F30" s="183" t="s">
        <v>22435</v>
      </c>
      <c r="O30" s="178" t="s">
        <v>22423</v>
      </c>
      <c r="P30" s="191">
        <f>Kalk1_Lastfallkombi!C32*Kalk1_Eingabe!C18*Kalk1_Eingabe!C19/(P26/100)</f>
        <v>0</v>
      </c>
      <c r="Q30" s="189"/>
      <c r="R30" s="168" t="s">
        <v>22379</v>
      </c>
    </row>
    <row r="31" spans="1:18" ht="14.25" customHeight="1">
      <c r="B31" s="178" t="s">
        <v>22436</v>
      </c>
      <c r="C31" s="191" t="e">
        <f>Kalk1_Lastfallkombi!C40</f>
        <v>#DIV/0!</v>
      </c>
      <c r="D31" s="191" t="e">
        <f>Kalk1_Lastfallkombi!C28</f>
        <v>#NUM!</v>
      </c>
      <c r="E31" s="168" t="s">
        <v>22379</v>
      </c>
      <c r="F31" s="183" t="s">
        <v>22437</v>
      </c>
      <c r="O31" s="178" t="s">
        <v>22426</v>
      </c>
      <c r="P31" s="191">
        <f>P30+C29</f>
        <v>0</v>
      </c>
      <c r="Q31" s="189"/>
      <c r="R31" s="168" t="s">
        <v>22379</v>
      </c>
    </row>
    <row r="32" spans="1:18" ht="14.25" customHeight="1" thickBot="1">
      <c r="B32" s="178" t="s">
        <v>22438</v>
      </c>
      <c r="C32" s="191" t="e">
        <f>C31*(Kalk1_Eingabe!C18+C25/100)</f>
        <v>#DIV/0!</v>
      </c>
      <c r="D32" s="191" t="e">
        <f>D31*(Kalk1_Eingabe!C24-0.25+C25/100)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71.612427934756852</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1.3067472169427097</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26.517599999999998</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Kalk1_Lastfallkombi!D31*Kalk1_Eingabe!C19</f>
        <v>0</v>
      </c>
      <c r="D55" s="185">
        <f>Kalk1_Lastfallkombi!D19*Kalk1_Eingabe!C19</f>
        <v>0</v>
      </c>
      <c r="E55" s="168" t="s">
        <v>22469</v>
      </c>
    </row>
    <row r="56" spans="1:7" ht="14.25" customHeight="1">
      <c r="B56" s="178" t="s">
        <v>22470</v>
      </c>
      <c r="C56" s="185">
        <f>C55/100*(Kalk1_Eingabe!C18*100)^4/(30*Kalk1_Sys_80k!C13*Kalk1_Sys_80k!C18)</f>
        <v>0</v>
      </c>
      <c r="D56" s="185">
        <f>D55/100*(Kalk1_Eingabe!C24*100)^4/(30*Kalk1_Sys_80k!C13*Kalk1_Sys_80k!C18)</f>
        <v>0</v>
      </c>
      <c r="E56" s="168" t="s">
        <v>22416</v>
      </c>
    </row>
    <row r="57" spans="1:7" ht="14.25" customHeight="1">
      <c r="B57" s="178" t="s">
        <v>22471</v>
      </c>
      <c r="C57" s="185">
        <f>Kalk1_Lastfallkombi!D32*Kalk1_Eingabe!C19</f>
        <v>0</v>
      </c>
      <c r="D57" s="185">
        <f>Kalk1_Lastfallkombi!D20*Kalk1_Eingabe!C19</f>
        <v>0</v>
      </c>
      <c r="E57" s="168" t="s">
        <v>22469</v>
      </c>
    </row>
    <row r="58" spans="1:7" ht="14.25" customHeight="1">
      <c r="B58" s="178" t="s">
        <v>22472</v>
      </c>
      <c r="C58" s="185">
        <f>C57/100*(Kalk1_Eingabe!C18*100)^4/(8*Kalk1_Sys_80k!C13*Kalk1_Sys_80k!C18)</f>
        <v>0</v>
      </c>
      <c r="D58" s="185">
        <f>D57/100*(Kalk1_Eingabe!C24*100)^4/(8*Kalk1_Sys_80k!C13*Kalk1_Sys_80k!C18)</f>
        <v>0</v>
      </c>
      <c r="E58" s="168" t="s">
        <v>22416</v>
      </c>
      <c r="G58" s="185"/>
    </row>
    <row r="59" spans="1:7" ht="14.25" customHeight="1" thickBot="1">
      <c r="B59" s="178" t="s">
        <v>22473</v>
      </c>
      <c r="C59" s="185">
        <f>IF(Kalk1_Eingabe!C23="1/150",Kalk1_Eingabe!C18*100/150,IF(Kalk1_Eingabe!C23="1/300",Kalk1_Eingabe!C18*100/300))</f>
        <v>0</v>
      </c>
      <c r="D59" s="185">
        <f>IF(Kalk1_Eingabe!C23="1/150",Kalk1_Eingabe!C24*100/150,IF(Kalk1_Eingabe!C23="1/300",Kalk1_Eingabe!C24*100/300))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Kalk1_Lastfallkombi!D31*Kalk1_Eingabe!C19</f>
        <v>0</v>
      </c>
      <c r="D62" s="185">
        <f>Kalk1_Lastfallkombi!D19*Kalk1_Eingabe!C19</f>
        <v>0</v>
      </c>
      <c r="E62" s="168" t="s">
        <v>22469</v>
      </c>
    </row>
    <row r="63" spans="1:7" ht="14.25" customHeight="1">
      <c r="B63" s="178" t="s">
        <v>22470</v>
      </c>
      <c r="C63" s="185">
        <f>C62/100*(Kalk1_Eingabe!C18*100)^4/(30*Kalk1_Sys_80k!C13*Kalk1_Sys_80k!C18)</f>
        <v>0</v>
      </c>
      <c r="D63" s="185">
        <f>D62/100*(Kalk1_Eingabe!C24*100)^4/(30*Kalk1_Sys_80k!C13*Kalk1_Sys_80k!C18)</f>
        <v>0</v>
      </c>
      <c r="E63" s="168" t="s">
        <v>22416</v>
      </c>
    </row>
    <row r="64" spans="1:7" ht="14.25" customHeight="1">
      <c r="B64" s="178" t="s">
        <v>22471</v>
      </c>
      <c r="C64" s="185">
        <f>Kalk1_Lastfallkombi!D32*Kalk1_Eingabe!C19</f>
        <v>0</v>
      </c>
      <c r="D64" s="185">
        <f>Kalk1_Lastfallkombi!D20*Kalk1_Eingabe!C19</f>
        <v>0</v>
      </c>
      <c r="E64" s="168" t="s">
        <v>22469</v>
      </c>
    </row>
    <row r="65" spans="2:5" ht="14.25" customHeight="1">
      <c r="B65" s="178" t="s">
        <v>22472</v>
      </c>
      <c r="C65" s="185">
        <f>C64/100*(Kalk1_Eingabe!C18*100)^4/(8*Kalk1_Sys_80k!C13*Kalk1_Sys_80k!C18)</f>
        <v>0</v>
      </c>
      <c r="D65" s="185">
        <f>D64/100*(Kalk1_Eingabe!C24*100)^4/(8*Kalk1_Sys_80k!C13*Kalk1_Sys_80k!C18)</f>
        <v>0</v>
      </c>
      <c r="E65" s="168" t="s">
        <v>22416</v>
      </c>
    </row>
    <row r="66" spans="2:5" ht="14.25" customHeight="1">
      <c r="B66" s="165" t="s">
        <v>22476</v>
      </c>
      <c r="C66" s="185" t="e">
        <f>Kalk1_Lastfallkombi!D40</f>
        <v>#DIV/0!</v>
      </c>
      <c r="D66" s="185" t="e">
        <f>Kalk1_Lastfallkombi!D28</f>
        <v>#NUM!</v>
      </c>
      <c r="E66" s="168" t="s">
        <v>22379</v>
      </c>
    </row>
    <row r="67" spans="2:5" ht="14.25" customHeight="1">
      <c r="B67" s="165" t="s">
        <v>22477</v>
      </c>
      <c r="C67" s="185" t="e">
        <f>C66*(Kalk1_Eingabe!C18*100)^3/(3*Kalk1_Sys_80k!C18*Kalk1_Sys_80k!C13)</f>
        <v>#DIV/0!</v>
      </c>
      <c r="D67" s="185" t="e">
        <f>D66*((Kalk1_Eingabe!C24-0.25)*100)^3/(3*Kalk1_Sys_80k!C18*Kalk1_Sys_80k!C13)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Kalk1_Eingabe!C18*100/150</f>
        <v>0</v>
      </c>
      <c r="D69" s="185">
        <f>Kalk1_Eingabe!C24*100/150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135" priority="10" operator="greaterThan">
      <formula>1</formula>
    </cfRule>
    <cfRule type="dataBar" priority="11">
      <dataBar>
        <cfvo type="num" val="0"/>
        <cfvo type="num" val="0.99"/>
        <color rgb="FF638EC6"/>
      </dataBar>
      <extLst>
        <ext xmlns:x14="http://schemas.microsoft.com/office/spreadsheetml/2009/9/main" uri="{B025F937-C7B1-47D3-B67F-A62EFF666E3E}">
          <x14:id>{6457413E-0195-4293-B26E-33154710E492}</x14:id>
        </ext>
      </extLst>
    </cfRule>
    <cfRule type="dataBar" priority="12">
      <dataBar>
        <cfvo type="num" val="0"/>
        <cfvo type="num" val="1"/>
        <color rgb="FF638EC6"/>
      </dataBar>
      <extLst>
        <ext xmlns:x14="http://schemas.microsoft.com/office/spreadsheetml/2009/9/main" uri="{B025F937-C7B1-47D3-B67F-A62EFF666E3E}">
          <x14:id>{1ED5774F-9D90-42A6-B526-CB53E7A83685}</x14:id>
        </ext>
      </extLst>
    </cfRule>
  </conditionalFormatting>
  <conditionalFormatting sqref="C50:C51">
    <cfRule type="cellIs" dxfId="134" priority="7" operator="greaterThan">
      <formula>1</formula>
    </cfRule>
    <cfRule type="dataBar" priority="8">
      <dataBar>
        <cfvo type="num" val="0"/>
        <cfvo type="num" val="0.99"/>
        <color rgb="FF638EC6"/>
      </dataBar>
      <extLst>
        <ext xmlns:x14="http://schemas.microsoft.com/office/spreadsheetml/2009/9/main" uri="{B025F937-C7B1-47D3-B67F-A62EFF666E3E}">
          <x14:id>{AFE5586B-5683-4E74-81B7-11B24A7586CE}</x14:id>
        </ext>
      </extLst>
    </cfRule>
    <cfRule type="dataBar" priority="9">
      <dataBar>
        <cfvo type="num" val="0"/>
        <cfvo type="num" val="1"/>
        <color rgb="FF638EC6"/>
      </dataBar>
      <extLst>
        <ext xmlns:x14="http://schemas.microsoft.com/office/spreadsheetml/2009/9/main" uri="{B025F937-C7B1-47D3-B67F-A62EFF666E3E}">
          <x14:id>{882AF836-6763-4D73-811A-52C3A54B31D7}</x14:id>
        </ext>
      </extLst>
    </cfRule>
  </conditionalFormatting>
  <conditionalFormatting sqref="C60">
    <cfRule type="cellIs" dxfId="133" priority="4" operator="greaterThan">
      <formula>1</formula>
    </cfRule>
    <cfRule type="dataBar" priority="5">
      <dataBar>
        <cfvo type="num" val="0"/>
        <cfvo type="num" val="0.99"/>
        <color rgb="FF638EC6"/>
      </dataBar>
      <extLst>
        <ext xmlns:x14="http://schemas.microsoft.com/office/spreadsheetml/2009/9/main" uri="{B025F937-C7B1-47D3-B67F-A62EFF666E3E}">
          <x14:id>{B38E090F-6D7B-4F2C-840D-1E107E66D5BF}</x14:id>
        </ext>
      </extLst>
    </cfRule>
    <cfRule type="dataBar" priority="6">
      <dataBar>
        <cfvo type="num" val="0"/>
        <cfvo type="num" val="1"/>
        <color rgb="FF638EC6"/>
      </dataBar>
      <extLst>
        <ext xmlns:x14="http://schemas.microsoft.com/office/spreadsheetml/2009/9/main" uri="{B025F937-C7B1-47D3-B67F-A62EFF666E3E}">
          <x14:id>{294B14D6-FCB6-4FBF-A0FE-AEB643D8C081}</x14:id>
        </ext>
      </extLst>
    </cfRule>
  </conditionalFormatting>
  <conditionalFormatting sqref="C70">
    <cfRule type="cellIs" dxfId="132" priority="1" operator="greaterThan">
      <formula>1</formula>
    </cfRule>
    <cfRule type="dataBar" priority="2">
      <dataBar>
        <cfvo type="num" val="0"/>
        <cfvo type="num" val="0.99"/>
        <color rgb="FF638EC6"/>
      </dataBar>
      <extLst>
        <ext xmlns:x14="http://schemas.microsoft.com/office/spreadsheetml/2009/9/main" uri="{B025F937-C7B1-47D3-B67F-A62EFF666E3E}">
          <x14:id>{A63134F3-ACC9-4874-A924-534D6321FA89}</x14:id>
        </ext>
      </extLst>
    </cfRule>
    <cfRule type="dataBar" priority="3">
      <dataBar>
        <cfvo type="num" val="0"/>
        <cfvo type="num" val="1"/>
        <color rgb="FF638EC6"/>
      </dataBar>
      <extLst>
        <ext xmlns:x14="http://schemas.microsoft.com/office/spreadsheetml/2009/9/main" uri="{B025F937-C7B1-47D3-B67F-A62EFF666E3E}">
          <x14:id>{1A61832B-6AD1-4DB5-BF9B-6B185C84F597}</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6457413E-0195-4293-B26E-33154710E492}">
            <x14:dataBar minLength="0" maxLength="100">
              <x14:cfvo type="num">
                <xm:f>0</xm:f>
              </x14:cfvo>
              <x14:cfvo type="num">
                <xm:f>0.99</xm:f>
              </x14:cfvo>
              <x14:negativeFillColor rgb="FFFF0000"/>
              <x14:axisColor rgb="FF000000"/>
            </x14:dataBar>
          </x14:cfRule>
          <x14:cfRule type="dataBar" id="{1ED5774F-9D90-42A6-B526-CB53E7A83685}">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AFE5586B-5683-4E74-81B7-11B24A7586CE}">
            <x14:dataBar minLength="0" maxLength="100">
              <x14:cfvo type="num">
                <xm:f>0</xm:f>
              </x14:cfvo>
              <x14:cfvo type="num">
                <xm:f>0.99</xm:f>
              </x14:cfvo>
              <x14:negativeFillColor rgb="FFFF0000"/>
              <x14:axisColor rgb="FF000000"/>
            </x14:dataBar>
          </x14:cfRule>
          <x14:cfRule type="dataBar" id="{882AF836-6763-4D73-811A-52C3A54B31D7}">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B38E090F-6D7B-4F2C-840D-1E107E66D5BF}">
            <x14:dataBar minLength="0" maxLength="100">
              <x14:cfvo type="num">
                <xm:f>0</xm:f>
              </x14:cfvo>
              <x14:cfvo type="num">
                <xm:f>0.99</xm:f>
              </x14:cfvo>
              <x14:negativeFillColor rgb="FFFF0000"/>
              <x14:axisColor rgb="FF000000"/>
            </x14:dataBar>
          </x14:cfRule>
          <x14:cfRule type="dataBar" id="{294B14D6-FCB6-4FBF-A0FE-AEB643D8C081}">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A63134F3-ACC9-4874-A924-534D6321FA89}">
            <x14:dataBar minLength="0" maxLength="100">
              <x14:cfvo type="num">
                <xm:f>0</xm:f>
              </x14:cfvo>
              <x14:cfvo type="num">
                <xm:f>0.99</xm:f>
              </x14:cfvo>
              <x14:negativeFillColor rgb="FFFF0000"/>
              <x14:axisColor rgb="FF000000"/>
            </x14:dataBar>
          </x14:cfRule>
          <x14:cfRule type="dataBar" id="{1A61832B-6AD1-4DB5-BF9B-6B185C84F597}">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D48E4-959C-4C28-A181-FCFD6BDE9494}">
  <sheetPr codeName="Tabelle13"/>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14" ht="42" customHeight="1">
      <c r="A1" s="148"/>
      <c r="B1" s="546"/>
      <c r="C1" s="546"/>
      <c r="D1" s="150"/>
      <c r="E1" s="151"/>
      <c r="F1" s="150"/>
      <c r="G1" s="150"/>
      <c r="H1" s="150"/>
      <c r="I1" s="150"/>
    </row>
    <row r="2" spans="1:14" ht="16.5" customHeight="1">
      <c r="A2" s="148"/>
      <c r="B2" s="149"/>
      <c r="C2" s="149"/>
      <c r="D2" s="150"/>
      <c r="E2" s="151"/>
      <c r="F2" s="153" t="s">
        <v>22309</v>
      </c>
      <c r="G2" s="154"/>
      <c r="H2" s="153" t="s">
        <v>22310</v>
      </c>
      <c r="I2" s="154" t="s">
        <v>22311</v>
      </c>
    </row>
    <row r="3" spans="1:14" ht="16.5" customHeight="1">
      <c r="A3" s="148"/>
      <c r="B3" s="155"/>
      <c r="C3" s="148"/>
      <c r="D3" s="150"/>
      <c r="E3" s="151"/>
      <c r="F3" s="156" t="s">
        <v>3225</v>
      </c>
      <c r="G3" s="157">
        <v>44894</v>
      </c>
      <c r="H3" s="156" t="s">
        <v>22312</v>
      </c>
      <c r="I3" s="158" t="s">
        <v>22313</v>
      </c>
    </row>
    <row r="4" spans="1:14" ht="16.5" customHeight="1">
      <c r="A4" s="148"/>
      <c r="B4" s="160" t="s">
        <v>22316</v>
      </c>
      <c r="C4" s="547" t="str">
        <f>Kalk1_Eingabe!C4</f>
        <v>PREFA</v>
      </c>
      <c r="D4" s="547"/>
      <c r="E4" s="548"/>
      <c r="F4" s="150"/>
      <c r="G4" s="150"/>
      <c r="H4" s="151"/>
      <c r="I4" s="148"/>
    </row>
    <row r="5" spans="1:14" ht="16.5" customHeight="1">
      <c r="A5" s="148"/>
      <c r="B5" s="164" t="s">
        <v>22319</v>
      </c>
      <c r="C5" s="549" t="str">
        <f>Kalk1_Eingabe!C5</f>
        <v>Dammblaken 50/150 - H = 1,50 m</v>
      </c>
      <c r="D5" s="549"/>
      <c r="E5" s="550"/>
      <c r="F5" s="150"/>
      <c r="G5" s="150"/>
      <c r="H5" s="151"/>
      <c r="I5" s="148"/>
    </row>
    <row r="6" spans="1:14" ht="16.5" customHeight="1">
      <c r="A6" s="148"/>
      <c r="B6" s="148"/>
      <c r="C6" s="148"/>
      <c r="D6" s="168"/>
      <c r="E6" s="168"/>
      <c r="F6" s="148"/>
      <c r="G6" s="148"/>
      <c r="H6" s="148"/>
      <c r="I6" s="148"/>
    </row>
    <row r="7" spans="1:14" ht="16.5" customHeight="1">
      <c r="A7" s="148"/>
      <c r="B7" s="169" t="s">
        <v>22597</v>
      </c>
      <c r="C7" s="148"/>
      <c r="D7" s="168"/>
      <c r="E7" s="168"/>
      <c r="F7" s="148"/>
      <c r="G7" s="148"/>
      <c r="H7" s="148"/>
      <c r="I7" s="148"/>
    </row>
    <row r="8" spans="1:14" ht="16.5" customHeight="1">
      <c r="A8" s="148"/>
      <c r="B8" s="170" t="s">
        <v>22391</v>
      </c>
      <c r="C8" s="148"/>
      <c r="D8" s="168"/>
      <c r="E8" s="168"/>
      <c r="F8" s="148"/>
      <c r="G8" s="148"/>
      <c r="H8" s="148"/>
      <c r="I8" s="148"/>
    </row>
    <row r="9" spans="1:14" ht="14.25" customHeight="1">
      <c r="A9" s="148"/>
      <c r="B9" s="148"/>
      <c r="C9" s="148"/>
      <c r="D9" s="168"/>
      <c r="E9" s="168"/>
      <c r="F9" s="148"/>
      <c r="G9" s="148"/>
      <c r="H9" s="148"/>
      <c r="I9" s="148"/>
      <c r="N9" s="152">
        <f>1786/86.29</f>
        <v>20.697647467841001</v>
      </c>
    </row>
    <row r="10" spans="1:14" ht="14.25" customHeight="1">
      <c r="A10" s="171" t="s">
        <v>22327</v>
      </c>
      <c r="B10" s="172" t="s">
        <v>22392</v>
      </c>
      <c r="C10" s="148"/>
      <c r="D10" s="168"/>
      <c r="E10" s="168"/>
      <c r="F10" s="148"/>
      <c r="G10" s="148"/>
      <c r="H10" s="148"/>
      <c r="I10" s="148"/>
    </row>
    <row r="11" spans="1:14" ht="14.25" customHeight="1">
      <c r="A11" s="148"/>
      <c r="B11" s="175" t="s">
        <v>22393</v>
      </c>
      <c r="C11" s="187">
        <v>51.41</v>
      </c>
      <c r="D11" s="168" t="s">
        <v>22394</v>
      </c>
      <c r="E11" s="163" t="s">
        <v>22395</v>
      </c>
      <c r="F11" s="177"/>
      <c r="G11" s="148"/>
      <c r="H11" s="148"/>
      <c r="I11" s="148"/>
      <c r="N11" s="152">
        <f>1534.43/86.29</f>
        <v>17.782245914937999</v>
      </c>
    </row>
    <row r="12" spans="1:14" ht="14.25" customHeight="1">
      <c r="A12" s="148"/>
      <c r="B12" s="175" t="s">
        <v>22396</v>
      </c>
      <c r="C12" s="187">
        <v>7.77</v>
      </c>
      <c r="D12" s="151" t="s">
        <v>22394</v>
      </c>
      <c r="E12" s="163" t="s">
        <v>22397</v>
      </c>
      <c r="F12" s="177"/>
      <c r="G12" s="148"/>
      <c r="H12" s="148"/>
      <c r="I12" s="148"/>
    </row>
    <row r="13" spans="1:14" ht="14.25" customHeight="1">
      <c r="A13" s="179"/>
      <c r="B13" s="175" t="s">
        <v>22398</v>
      </c>
      <c r="C13" s="187">
        <v>2073.15</v>
      </c>
      <c r="D13" s="151" t="s">
        <v>22372</v>
      </c>
      <c r="E13" s="163" t="s">
        <v>22399</v>
      </c>
      <c r="F13" s="178"/>
      <c r="G13" s="181"/>
      <c r="H13" s="148"/>
      <c r="I13" s="148"/>
    </row>
    <row r="14" spans="1:14" ht="14.25" customHeight="1">
      <c r="A14" s="148"/>
      <c r="B14" s="162" t="s">
        <v>22400</v>
      </c>
      <c r="C14" s="187">
        <v>223.56</v>
      </c>
      <c r="D14" s="168" t="s">
        <v>22401</v>
      </c>
      <c r="E14" s="183" t="s">
        <v>22402</v>
      </c>
      <c r="F14" s="177"/>
      <c r="G14" s="148"/>
      <c r="H14" s="148"/>
      <c r="I14" s="148"/>
    </row>
    <row r="15" spans="1:14" ht="14.25" customHeight="1">
      <c r="B15" s="162" t="s">
        <v>22403</v>
      </c>
      <c r="C15" s="187">
        <v>309.02</v>
      </c>
      <c r="D15" s="168" t="s">
        <v>22401</v>
      </c>
      <c r="E15" s="183" t="s">
        <v>22404</v>
      </c>
    </row>
    <row r="16" spans="1:14"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20</v>
      </c>
      <c r="D19" s="168" t="s">
        <v>22408</v>
      </c>
      <c r="E19" s="183"/>
    </row>
    <row r="20" spans="1:18" ht="14.25" customHeight="1">
      <c r="B20" s="165" t="s">
        <v>22410</v>
      </c>
      <c r="C20" s="185">
        <v>24.5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Kalk1_Lastfallkombi!C31*Kalk1_Eingabe!C18/2*Kalk1_Eingabe!C19</f>
        <v>0</v>
      </c>
      <c r="D27" s="191">
        <f>Kalk1_Lastfallkombi!C19*Kalk1_Eingabe!C24/2*Kalk1_Eingabe!C19</f>
        <v>0</v>
      </c>
      <c r="E27" s="168" t="s">
        <v>22379</v>
      </c>
      <c r="F27" s="183" t="s">
        <v>22425</v>
      </c>
      <c r="O27" s="188" t="s">
        <v>22414</v>
      </c>
      <c r="P27" s="189"/>
      <c r="Q27" s="189"/>
      <c r="R27" s="190"/>
    </row>
    <row r="28" spans="1:18" ht="14.25" customHeight="1">
      <c r="B28" s="178" t="s">
        <v>22427</v>
      </c>
      <c r="C28" s="191">
        <f>Kalk1_Lastfallkombi!C31*Kalk1_Eingabe!C18/2*(Kalk1_Eingabe!C18/3+Kalk1_Sys_80g!C25/100)*Kalk1_Eingabe!C19</f>
        <v>0</v>
      </c>
      <c r="D28" s="191">
        <f>Kalk1_Lastfallkombi!C19*Kalk1_Eingabe!C24/2*(Kalk1_Eingabe!C24/3+Kalk1_Sys_80g!C25/100)*Kalk1_Eingabe!C19</f>
        <v>0</v>
      </c>
      <c r="E28" s="168" t="s">
        <v>22428</v>
      </c>
      <c r="F28" s="183" t="s">
        <v>22429</v>
      </c>
      <c r="O28" s="178" t="s">
        <v>22418</v>
      </c>
      <c r="P28" s="191">
        <f>(Kalk1_Lastfallkombi!C31*Kalk1_Eingabe!C18/2*(Kalk1_Eingabe!C18/3+Kalk1_Sys_80g!C25/100)*Kalk1_Eingabe!C19)/(P26/100)</f>
        <v>0</v>
      </c>
      <c r="Q28" s="189"/>
      <c r="R28" s="168" t="s">
        <v>22379</v>
      </c>
    </row>
    <row r="29" spans="1:18" ht="14.25" customHeight="1">
      <c r="B29" s="178" t="s">
        <v>22431</v>
      </c>
      <c r="C29" s="191">
        <f>Kalk1_Lastfallkombi!C32*Kalk1_Eingabe!C18*Kalk1_Eingabe!C19</f>
        <v>0</v>
      </c>
      <c r="D29" s="191">
        <f>Kalk1_Lastfallkombi!C20*Kalk1_Eingabe!C24*Kalk1_Eingabe!C19</f>
        <v>0</v>
      </c>
      <c r="E29" s="168" t="s">
        <v>22379</v>
      </c>
      <c r="F29" s="183" t="s">
        <v>22432</v>
      </c>
      <c r="O29" s="178" t="s">
        <v>22421</v>
      </c>
      <c r="P29" s="191">
        <f>P28+C27</f>
        <v>0</v>
      </c>
      <c r="Q29" s="189"/>
      <c r="R29" s="168" t="s">
        <v>22379</v>
      </c>
    </row>
    <row r="30" spans="1:18" ht="14.25" customHeight="1">
      <c r="B30" s="178" t="s">
        <v>22434</v>
      </c>
      <c r="C30" s="191">
        <f>Kalk1_Lastfallkombi!C32*Kalk1_Eingabe!C18*(Kalk1_Eingabe!C18/2+C25/100)*Kalk1_Eingabe!C19</f>
        <v>0</v>
      </c>
      <c r="D30" s="191">
        <f>Kalk1_Lastfallkombi!C20*Kalk1_Eingabe!C24*(Kalk1_Eingabe!C24/2+C25/100)*Kalk1_Eingabe!C19</f>
        <v>0</v>
      </c>
      <c r="E30" s="168" t="s">
        <v>22428</v>
      </c>
      <c r="F30" s="183" t="s">
        <v>22435</v>
      </c>
      <c r="O30" s="178" t="s">
        <v>22423</v>
      </c>
      <c r="P30" s="191">
        <f>Kalk1_Lastfallkombi!C32*Kalk1_Eingabe!C18*Kalk1_Eingabe!C19/(P26/100)</f>
        <v>0</v>
      </c>
      <c r="Q30" s="189"/>
      <c r="R30" s="168" t="s">
        <v>22379</v>
      </c>
    </row>
    <row r="31" spans="1:18" ht="14.25" customHeight="1">
      <c r="B31" s="178" t="s">
        <v>22436</v>
      </c>
      <c r="C31" s="191" t="e">
        <f>Kalk1_Lastfallkombi!C40</f>
        <v>#DIV/0!</v>
      </c>
      <c r="D31" s="191" t="e">
        <f>Kalk1_Lastfallkombi!C28</f>
        <v>#NUM!</v>
      </c>
      <c r="E31" s="168" t="s">
        <v>22379</v>
      </c>
      <c r="F31" s="183" t="s">
        <v>22437</v>
      </c>
      <c r="O31" s="178" t="s">
        <v>22426</v>
      </c>
      <c r="P31" s="191">
        <f>P30+C29</f>
        <v>0</v>
      </c>
      <c r="Q31" s="189"/>
      <c r="R31" s="168" t="s">
        <v>22379</v>
      </c>
    </row>
    <row r="32" spans="1:18" ht="14.25" customHeight="1" thickBot="1">
      <c r="B32" s="178" t="s">
        <v>22438</v>
      </c>
      <c r="C32" s="191" t="e">
        <f>C31*(Kalk1_Eingabe!C18+C25/100)</f>
        <v>#DIV/0!</v>
      </c>
      <c r="D32" s="191" t="e">
        <f>D31*(Kalk1_Eingabe!C24-0.25+C25/100)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81.563847120061666</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1.3822687421721238</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43.81776</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Kalk1_Lastfallkombi!D31*Kalk1_Eingabe!C19</f>
        <v>0</v>
      </c>
      <c r="D55" s="185">
        <f>Kalk1_Lastfallkombi!D19*Kalk1_Eingabe!C19</f>
        <v>0</v>
      </c>
      <c r="E55" s="168" t="s">
        <v>22469</v>
      </c>
    </row>
    <row r="56" spans="1:7" ht="14.25" customHeight="1">
      <c r="B56" s="178" t="s">
        <v>22470</v>
      </c>
      <c r="C56" s="185">
        <f>C55/100*(Kalk1_Eingabe!C18*100)^4/(30*Kalk1_Sys_80g!C13*Kalk1_Sys_80g!C18)</f>
        <v>0</v>
      </c>
      <c r="D56" s="185">
        <f>D55/100*(Kalk1_Eingabe!C24*100)^4/(30*Kalk1_Sys_80g!C13*Kalk1_Sys_80g!C18)</f>
        <v>0</v>
      </c>
      <c r="E56" s="168" t="s">
        <v>22416</v>
      </c>
    </row>
    <row r="57" spans="1:7" ht="14.25" customHeight="1">
      <c r="B57" s="178" t="s">
        <v>22471</v>
      </c>
      <c r="C57" s="185">
        <f>Kalk1_Lastfallkombi!D32*Kalk1_Eingabe!C19</f>
        <v>0</v>
      </c>
      <c r="D57" s="185">
        <f>Kalk1_Lastfallkombi!D20*Kalk1_Eingabe!C19</f>
        <v>0</v>
      </c>
      <c r="E57" s="168" t="s">
        <v>22469</v>
      </c>
    </row>
    <row r="58" spans="1:7" ht="14.25" customHeight="1">
      <c r="B58" s="178" t="s">
        <v>22472</v>
      </c>
      <c r="C58" s="185">
        <f>C57/100*(Kalk1_Eingabe!C18*100)^4/(8*Kalk1_Sys_80g!C13*Kalk1_Sys_80g!C18)</f>
        <v>0</v>
      </c>
      <c r="D58" s="185">
        <f>D57/100*(Kalk1_Eingabe!C24*100)^4/(8*Kalk1_Sys_80g!C13*Kalk1_Sys_80g!C18)</f>
        <v>0</v>
      </c>
      <c r="E58" s="168" t="s">
        <v>22416</v>
      </c>
      <c r="G58" s="185"/>
    </row>
    <row r="59" spans="1:7" ht="14.25" customHeight="1" thickBot="1">
      <c r="B59" s="178" t="s">
        <v>22473</v>
      </c>
      <c r="C59" s="185">
        <f>IF(Kalk1_Eingabe!C23="1/150",Kalk1_Eingabe!C18*100/150,IF(Kalk1_Eingabe!C23="1/300",Kalk1_Eingabe!C18*100/300))</f>
        <v>0</v>
      </c>
      <c r="D59" s="185">
        <f>IF(Kalk1_Eingabe!C23="1/150",Kalk1_Eingabe!C24*100/150,IF(Kalk1_Eingabe!C23="1/300",Kalk1_Eingabe!C24*100/300))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Kalk1_Lastfallkombi!D31*Kalk1_Eingabe!C19</f>
        <v>0</v>
      </c>
      <c r="D62" s="185">
        <f>Kalk1_Lastfallkombi!D19*Kalk1_Eingabe!C19</f>
        <v>0</v>
      </c>
      <c r="E62" s="168" t="s">
        <v>22469</v>
      </c>
    </row>
    <row r="63" spans="1:7" ht="14.25" customHeight="1">
      <c r="B63" s="178" t="s">
        <v>22470</v>
      </c>
      <c r="C63" s="185">
        <f>C62/100*(Kalk1_Eingabe!C18*100)^4/(30*Kalk1_Sys_80g!C13*Kalk1_Sys_80g!C18)</f>
        <v>0</v>
      </c>
      <c r="D63" s="185">
        <f>D62/100*(Kalk1_Eingabe!C24*100)^4/(30*Kalk1_Sys_80g!C13*Kalk1_Sys_80g!C18)</f>
        <v>0</v>
      </c>
      <c r="E63" s="168" t="s">
        <v>22416</v>
      </c>
    </row>
    <row r="64" spans="1:7" ht="14.25" customHeight="1">
      <c r="B64" s="178" t="s">
        <v>22471</v>
      </c>
      <c r="C64" s="185">
        <f>Kalk1_Lastfallkombi!D32*Kalk1_Eingabe!C19</f>
        <v>0</v>
      </c>
      <c r="D64" s="185">
        <f>Kalk1_Lastfallkombi!D20*Kalk1_Eingabe!C19</f>
        <v>0</v>
      </c>
      <c r="E64" s="168" t="s">
        <v>22469</v>
      </c>
    </row>
    <row r="65" spans="2:5" ht="14.25" customHeight="1">
      <c r="B65" s="178" t="s">
        <v>22472</v>
      </c>
      <c r="C65" s="185">
        <f>C64/100*(Kalk1_Eingabe!C18*100)^4/(8*Kalk1_Sys_80g!C13*Kalk1_Sys_80g!C18)</f>
        <v>0</v>
      </c>
      <c r="D65" s="185">
        <f>D64/100*(Kalk1_Eingabe!C24*100)^4/(8*Kalk1_Sys_80g!C13*Kalk1_Sys_80g!C18)</f>
        <v>0</v>
      </c>
      <c r="E65" s="168" t="s">
        <v>22416</v>
      </c>
    </row>
    <row r="66" spans="2:5" ht="14.25" customHeight="1">
      <c r="B66" s="165" t="s">
        <v>22476</v>
      </c>
      <c r="C66" s="185" t="e">
        <f>Kalk1_Lastfallkombi!D40</f>
        <v>#DIV/0!</v>
      </c>
      <c r="D66" s="185" t="e">
        <f>Kalk1_Lastfallkombi!D28</f>
        <v>#NUM!</v>
      </c>
      <c r="E66" s="168" t="s">
        <v>22379</v>
      </c>
    </row>
    <row r="67" spans="2:5" ht="14.25" customHeight="1">
      <c r="B67" s="165" t="s">
        <v>22477</v>
      </c>
      <c r="C67" s="185" t="e">
        <f>C66*(Kalk1_Eingabe!C18*100)^3/(3*Kalk1_Sys_80g!C18*Kalk1_Sys_80g!C13)</f>
        <v>#DIV/0!</v>
      </c>
      <c r="D67" s="185" t="e">
        <f>D66*((Kalk1_Eingabe!C24-0.25)*100)^3/(3*Kalk1_Sys_80g!C18*Kalk1_Sys_80g!C13)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Kalk1_Eingabe!C18*100/150</f>
        <v>0</v>
      </c>
      <c r="D69" s="185">
        <f>Kalk1_Eingabe!C24*100/150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131" priority="10" operator="greaterThan">
      <formula>1</formula>
    </cfRule>
    <cfRule type="dataBar" priority="11">
      <dataBar>
        <cfvo type="num" val="0"/>
        <cfvo type="num" val="0.99"/>
        <color rgb="FF638EC6"/>
      </dataBar>
      <extLst>
        <ext xmlns:x14="http://schemas.microsoft.com/office/spreadsheetml/2009/9/main" uri="{B025F937-C7B1-47D3-B67F-A62EFF666E3E}">
          <x14:id>{4A660CF2-FBE9-4F2D-8515-777872FD15D0}</x14:id>
        </ext>
      </extLst>
    </cfRule>
    <cfRule type="dataBar" priority="12">
      <dataBar>
        <cfvo type="num" val="0"/>
        <cfvo type="num" val="1"/>
        <color rgb="FF638EC6"/>
      </dataBar>
      <extLst>
        <ext xmlns:x14="http://schemas.microsoft.com/office/spreadsheetml/2009/9/main" uri="{B025F937-C7B1-47D3-B67F-A62EFF666E3E}">
          <x14:id>{5E9F6AB4-0FBE-4A64-B7AE-F0FFD87DE5C5}</x14:id>
        </ext>
      </extLst>
    </cfRule>
  </conditionalFormatting>
  <conditionalFormatting sqref="C50:C51">
    <cfRule type="cellIs" dxfId="130" priority="7" operator="greaterThan">
      <formula>1</formula>
    </cfRule>
    <cfRule type="dataBar" priority="8">
      <dataBar>
        <cfvo type="num" val="0"/>
        <cfvo type="num" val="0.99"/>
        <color rgb="FF638EC6"/>
      </dataBar>
      <extLst>
        <ext xmlns:x14="http://schemas.microsoft.com/office/spreadsheetml/2009/9/main" uri="{B025F937-C7B1-47D3-B67F-A62EFF666E3E}">
          <x14:id>{9F1E8A15-49CD-4974-B0A7-CFBD8C3E0BED}</x14:id>
        </ext>
      </extLst>
    </cfRule>
    <cfRule type="dataBar" priority="9">
      <dataBar>
        <cfvo type="num" val="0"/>
        <cfvo type="num" val="1"/>
        <color rgb="FF638EC6"/>
      </dataBar>
      <extLst>
        <ext xmlns:x14="http://schemas.microsoft.com/office/spreadsheetml/2009/9/main" uri="{B025F937-C7B1-47D3-B67F-A62EFF666E3E}">
          <x14:id>{B0267907-1AF9-4019-A457-97546FD6FCC7}</x14:id>
        </ext>
      </extLst>
    </cfRule>
  </conditionalFormatting>
  <conditionalFormatting sqref="C60">
    <cfRule type="cellIs" dxfId="129" priority="4" operator="greaterThan">
      <formula>1</formula>
    </cfRule>
    <cfRule type="dataBar" priority="5">
      <dataBar>
        <cfvo type="num" val="0"/>
        <cfvo type="num" val="0.99"/>
        <color rgb="FF638EC6"/>
      </dataBar>
      <extLst>
        <ext xmlns:x14="http://schemas.microsoft.com/office/spreadsheetml/2009/9/main" uri="{B025F937-C7B1-47D3-B67F-A62EFF666E3E}">
          <x14:id>{3FDD1139-AF20-489F-9F81-49FBF2B6512B}</x14:id>
        </ext>
      </extLst>
    </cfRule>
    <cfRule type="dataBar" priority="6">
      <dataBar>
        <cfvo type="num" val="0"/>
        <cfvo type="num" val="1"/>
        <color rgb="FF638EC6"/>
      </dataBar>
      <extLst>
        <ext xmlns:x14="http://schemas.microsoft.com/office/spreadsheetml/2009/9/main" uri="{B025F937-C7B1-47D3-B67F-A62EFF666E3E}">
          <x14:id>{FCC44D67-9D51-4938-9862-1E75FE57A6FB}</x14:id>
        </ext>
      </extLst>
    </cfRule>
  </conditionalFormatting>
  <conditionalFormatting sqref="C70">
    <cfRule type="cellIs" dxfId="128" priority="1" operator="greaterThan">
      <formula>1</formula>
    </cfRule>
    <cfRule type="dataBar" priority="2">
      <dataBar>
        <cfvo type="num" val="0"/>
        <cfvo type="num" val="0.99"/>
        <color rgb="FF638EC6"/>
      </dataBar>
      <extLst>
        <ext xmlns:x14="http://schemas.microsoft.com/office/spreadsheetml/2009/9/main" uri="{B025F937-C7B1-47D3-B67F-A62EFF666E3E}">
          <x14:id>{DD7EBD30-29EA-4F21-A080-86286FEFAA50}</x14:id>
        </ext>
      </extLst>
    </cfRule>
    <cfRule type="dataBar" priority="3">
      <dataBar>
        <cfvo type="num" val="0"/>
        <cfvo type="num" val="1"/>
        <color rgb="FF638EC6"/>
      </dataBar>
      <extLst>
        <ext xmlns:x14="http://schemas.microsoft.com/office/spreadsheetml/2009/9/main" uri="{B025F937-C7B1-47D3-B67F-A62EFF666E3E}">
          <x14:id>{9899C6BB-0FE1-49EA-9319-8CCF7838E269}</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4A660CF2-FBE9-4F2D-8515-777872FD15D0}">
            <x14:dataBar minLength="0" maxLength="100">
              <x14:cfvo type="num">
                <xm:f>0</xm:f>
              </x14:cfvo>
              <x14:cfvo type="num">
                <xm:f>0.99</xm:f>
              </x14:cfvo>
              <x14:negativeFillColor rgb="FFFF0000"/>
              <x14:axisColor rgb="FF000000"/>
            </x14:dataBar>
          </x14:cfRule>
          <x14:cfRule type="dataBar" id="{5E9F6AB4-0FBE-4A64-B7AE-F0FFD87DE5C5}">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9F1E8A15-49CD-4974-B0A7-CFBD8C3E0BED}">
            <x14:dataBar minLength="0" maxLength="100">
              <x14:cfvo type="num">
                <xm:f>0</xm:f>
              </x14:cfvo>
              <x14:cfvo type="num">
                <xm:f>0.99</xm:f>
              </x14:cfvo>
              <x14:negativeFillColor rgb="FFFF0000"/>
              <x14:axisColor rgb="FF000000"/>
            </x14:dataBar>
          </x14:cfRule>
          <x14:cfRule type="dataBar" id="{B0267907-1AF9-4019-A457-97546FD6FCC7}">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3FDD1139-AF20-489F-9F81-49FBF2B6512B}">
            <x14:dataBar minLength="0" maxLength="100">
              <x14:cfvo type="num">
                <xm:f>0</xm:f>
              </x14:cfvo>
              <x14:cfvo type="num">
                <xm:f>0.99</xm:f>
              </x14:cfvo>
              <x14:negativeFillColor rgb="FFFF0000"/>
              <x14:axisColor rgb="FF000000"/>
            </x14:dataBar>
          </x14:cfRule>
          <x14:cfRule type="dataBar" id="{FCC44D67-9D51-4938-9862-1E75FE57A6FB}">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DD7EBD30-29EA-4F21-A080-86286FEFAA50}">
            <x14:dataBar minLength="0" maxLength="100">
              <x14:cfvo type="num">
                <xm:f>0</xm:f>
              </x14:cfvo>
              <x14:cfvo type="num">
                <xm:f>0.99</xm:f>
              </x14:cfvo>
              <x14:negativeFillColor rgb="FFFF0000"/>
              <x14:axisColor rgb="FF000000"/>
            </x14:dataBar>
          </x14:cfRule>
          <x14:cfRule type="dataBar" id="{9899C6BB-0FE1-49EA-9319-8CCF7838E269}">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88FC4-AFFB-426A-BF6B-484EE2F11853}">
  <sheetPr codeName="Tabelle17">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Kalk1_Eingabe!C4</f>
        <v>PREFA</v>
      </c>
      <c r="D4" s="547"/>
      <c r="E4" s="548"/>
      <c r="F4" s="150"/>
      <c r="G4" s="150"/>
      <c r="H4" s="151"/>
      <c r="I4" s="148"/>
    </row>
    <row r="5" spans="1:11" ht="16.5" customHeight="1">
      <c r="A5" s="148"/>
      <c r="B5" s="164" t="s">
        <v>22319</v>
      </c>
      <c r="C5" s="549" t="str">
        <f>Kalk1_Eingabe!C5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22606</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0.79</v>
      </c>
      <c r="D11" s="151" t="s">
        <v>22394</v>
      </c>
      <c r="E11" s="163" t="s">
        <v>22397</v>
      </c>
      <c r="F11" s="177"/>
      <c r="G11" s="148"/>
      <c r="H11" s="148"/>
      <c r="I11" s="148"/>
    </row>
    <row r="12" spans="1:11" ht="14.25" customHeight="1">
      <c r="A12" s="179"/>
      <c r="B12" s="175" t="s">
        <v>22398</v>
      </c>
      <c r="C12" s="187">
        <v>11.84</v>
      </c>
      <c r="D12" s="151" t="s">
        <v>22372</v>
      </c>
      <c r="E12" s="163" t="s">
        <v>22399</v>
      </c>
      <c r="F12" s="178"/>
      <c r="G12" s="181"/>
      <c r="H12" s="148"/>
      <c r="I12" s="148"/>
    </row>
    <row r="13" spans="1:11" ht="14.25" customHeight="1">
      <c r="A13" s="148"/>
      <c r="B13" s="162" t="s">
        <v>22400</v>
      </c>
      <c r="C13" s="187">
        <v>9.89</v>
      </c>
      <c r="D13" s="168" t="s">
        <v>22401</v>
      </c>
      <c r="E13" s="183" t="s">
        <v>22402</v>
      </c>
      <c r="F13" s="177"/>
      <c r="G13" s="148"/>
      <c r="H13" s="148"/>
      <c r="I13" s="148"/>
    </row>
    <row r="14" spans="1:11" ht="14.25" customHeight="1">
      <c r="B14" s="162" t="s">
        <v>22502</v>
      </c>
      <c r="C14" s="187">
        <v>8.1199999999999992</v>
      </c>
      <c r="D14" s="168" t="s">
        <v>22401</v>
      </c>
      <c r="E14" s="183" t="s">
        <v>22503</v>
      </c>
      <c r="H14" s="152" t="s">
        <v>24944</v>
      </c>
      <c r="I14" s="185"/>
    </row>
    <row r="15" spans="1:11" ht="14.25" customHeight="1">
      <c r="B15" s="165" t="s">
        <v>22504</v>
      </c>
      <c r="C15" s="185">
        <f>ROUNDUP((Kalk1_Eingabe!C18+Kalk1_Eingabe!C20)/0.202,0)</f>
        <v>0</v>
      </c>
      <c r="D15" s="168" t="s">
        <v>20892</v>
      </c>
      <c r="E15" s="183" t="s">
        <v>22484</v>
      </c>
      <c r="H15" s="165" t="s">
        <v>22504</v>
      </c>
      <c r="I15" s="185">
        <f>ROUNDUP((Kalk1_Eingabe!C18+Kalk1_Eingabe!C20)/0.202,0)</f>
        <v>0</v>
      </c>
      <c r="J15" s="168" t="s">
        <v>20892</v>
      </c>
      <c r="K15" s="183" t="s">
        <v>22484</v>
      </c>
    </row>
    <row r="16" spans="1:11" ht="14.25" customHeight="1">
      <c r="B16" s="165" t="s">
        <v>22607</v>
      </c>
      <c r="C16" s="185">
        <f>(17+Kalk1!H29+10)/1000</f>
        <v>2.7E-2</v>
      </c>
      <c r="D16" s="168" t="s">
        <v>6945</v>
      </c>
      <c r="E16" s="183" t="s">
        <v>22352</v>
      </c>
      <c r="H16" s="165" t="s">
        <v>22607</v>
      </c>
      <c r="I16" s="185">
        <f>(17+C15*202+10)/1000</f>
        <v>2.7E-2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22608</v>
      </c>
    </row>
    <row r="27" spans="1:8" ht="14.25" customHeight="1" thickBot="1">
      <c r="B27" s="193" t="s">
        <v>22486</v>
      </c>
      <c r="C27" s="194" t="e">
        <f>MAX(Kalk1_Lastfallkombi!C50,Kalk1_Lastfallkombi!C60,Kalk1_Lastfallkombi!C65,Kalk1_Lastfallkombi!C69)</f>
        <v>#DIV/0!</v>
      </c>
      <c r="D27" s="190" t="s">
        <v>22379</v>
      </c>
      <c r="E27" s="183" t="s">
        <v>22487</v>
      </c>
    </row>
    <row r="28" spans="1:8" ht="14.25" customHeight="1" thickBot="1">
      <c r="B28" s="193" t="s">
        <v>22488</v>
      </c>
      <c r="C28" s="194" t="e">
        <f>MAX(Kalk1_Lastfallkombi!C51,Kalk1_Lastfallkombi!C61,Kalk1_Lastfallkombi!C66,Kalk1_Lastfallkombi!C70)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8.2928493210873526</v>
      </c>
      <c r="D32" s="168" t="s">
        <v>22379</v>
      </c>
    </row>
    <row r="33" spans="1:6" ht="14.25" customHeight="1" thickBot="1">
      <c r="B33" s="195" t="s">
        <v>22455</v>
      </c>
      <c r="C33" s="196" t="e">
        <f>C27/C32</f>
        <v>#DIV/0!</v>
      </c>
      <c r="D33" s="168"/>
    </row>
    <row r="34" spans="1:6" ht="5.0999999999999996" customHeight="1">
      <c r="B34" s="195"/>
      <c r="C34" s="197"/>
      <c r="D34" s="168"/>
    </row>
    <row r="35" spans="1:6" ht="14.25" customHeight="1">
      <c r="A35" s="179" t="s">
        <v>22457</v>
      </c>
      <c r="B35" s="180" t="s">
        <v>22458</v>
      </c>
      <c r="C35" s="185"/>
      <c r="D35" s="168"/>
    </row>
    <row r="36" spans="1:6" ht="14.25" customHeight="1">
      <c r="B36" s="198" t="s">
        <v>22459</v>
      </c>
      <c r="C36" s="185">
        <f>C14/C13</f>
        <v>0.82103134479271977</v>
      </c>
    </row>
    <row r="37" spans="1:6" ht="14.25" customHeight="1">
      <c r="B37" s="198" t="s">
        <v>22460</v>
      </c>
      <c r="C37" s="185" t="e">
        <f>C20*(1-(2*C27/C32-1)^2)</f>
        <v>#DIV/0!</v>
      </c>
      <c r="D37" s="168" t="s">
        <v>22408</v>
      </c>
    </row>
    <row r="38" spans="1:6" ht="14.25" customHeight="1">
      <c r="B38" s="178" t="s">
        <v>22461</v>
      </c>
      <c r="C38" s="185" t="e">
        <f>IF(C33&gt;0.5,C36*C13*C37/C22/100,C36*C13*C20/C22/100)</f>
        <v>#DIV/0!</v>
      </c>
      <c r="D38" s="168" t="s">
        <v>22428</v>
      </c>
    </row>
    <row r="39" spans="1:6" ht="14.25" customHeight="1">
      <c r="B39" s="178" t="s">
        <v>22462</v>
      </c>
      <c r="C39" s="185">
        <f>C14*C21/C23/100</f>
        <v>1.5915199999999998</v>
      </c>
      <c r="D39" s="168" t="s">
        <v>22428</v>
      </c>
    </row>
    <row r="40" spans="1:6" ht="14.25" customHeight="1" thickBot="1">
      <c r="B40" s="178" t="s">
        <v>22463</v>
      </c>
      <c r="C40" s="185" t="e">
        <f>MIN(C38,C39)</f>
        <v>#DIV/0!</v>
      </c>
      <c r="D40" s="168" t="s">
        <v>22428</v>
      </c>
    </row>
    <row r="41" spans="1:6" ht="14.25" customHeight="1" thickBot="1">
      <c r="B41" s="195" t="s">
        <v>22465</v>
      </c>
      <c r="C41" s="196" t="e">
        <f>C28/C40</f>
        <v>#DIV/0!</v>
      </c>
    </row>
    <row r="42" spans="1:6" ht="5.0999999999999996" customHeight="1">
      <c r="B42" s="178"/>
    </row>
    <row r="43" spans="1:6" ht="14.25" customHeight="1">
      <c r="A43" s="171" t="s">
        <v>22466</v>
      </c>
      <c r="B43" s="172" t="s">
        <v>22467</v>
      </c>
    </row>
    <row r="44" spans="1:6" ht="14.25" customHeight="1">
      <c r="A44" s="171"/>
      <c r="B44" s="200" t="s">
        <v>22490</v>
      </c>
    </row>
    <row r="45" spans="1:6" ht="14.25" customHeight="1">
      <c r="B45" s="178" t="s">
        <v>22491</v>
      </c>
      <c r="C45" s="185">
        <f>Kalk1_Lastfallkombi!D24*Kalk1_Lastfallkombi!C15/100</f>
        <v>-0.1512</v>
      </c>
      <c r="D45" s="168" t="s">
        <v>22469</v>
      </c>
    </row>
    <row r="46" spans="1:6" ht="14.25" customHeight="1">
      <c r="B46" s="178" t="s">
        <v>22492</v>
      </c>
      <c r="C46" s="185">
        <f>5*C45/100*(Kalk1_Eingabe!C19*100-5)^4/(384*'Kalk1_DB_25-200'!C19*'Kalk1_DB_25-200'!C12)</f>
        <v>-1.4846389358108107E-7</v>
      </c>
      <c r="D46" s="168" t="s">
        <v>22416</v>
      </c>
    </row>
    <row r="47" spans="1:6" ht="14.25" customHeight="1" thickBot="1">
      <c r="B47" s="178" t="s">
        <v>22473</v>
      </c>
      <c r="C47" s="185">
        <f>(Kalk1_Eingabe!C19*100-5)/Haftungsausschluß!L34</f>
        <v>-3.3333333333333333E-2</v>
      </c>
      <c r="D47" s="168" t="s">
        <v>22416</v>
      </c>
      <c r="F47" s="152">
        <f>IF(Kalk1_Eingabe!C23="1/150",(Kalk1_Eingabe!C19*100-5)/150,IF(Kalk1_Eingabe!C23="1/300",(Kalk1_Eingabe!C19*100-5)/300))</f>
        <v>-3.3333333333333333E-2</v>
      </c>
    </row>
    <row r="48" spans="1:6" ht="14.25" customHeight="1" thickBot="1">
      <c r="B48" s="193" t="s">
        <v>22474</v>
      </c>
      <c r="C48" s="196">
        <f>C46/C47</f>
        <v>4.4539168074324327E-6</v>
      </c>
    </row>
    <row r="49" spans="2:5" ht="14.25" customHeight="1">
      <c r="B49" s="200" t="s">
        <v>22493</v>
      </c>
      <c r="C49" s="199" t="s">
        <v>22422</v>
      </c>
      <c r="D49" s="199" t="s">
        <v>21191</v>
      </c>
    </row>
    <row r="50" spans="2:5" ht="14.25" customHeight="1">
      <c r="B50" s="178" t="s">
        <v>22494</v>
      </c>
      <c r="C50" s="185" t="e">
        <f>Kalk1_Lastfallkombi!D38*Kalk1_Lastfallkombi!C14/100</f>
        <v>#DIV/0!</v>
      </c>
      <c r="D50" s="185">
        <f>Kalk1_Lastfallkombi!D26*Kalk1_Lastfallkombi!C14/100</f>
        <v>-0.14399999999999999</v>
      </c>
      <c r="E50" s="168" t="s">
        <v>22469</v>
      </c>
    </row>
    <row r="51" spans="2:5" ht="14.25" customHeight="1">
      <c r="B51" s="178" t="s">
        <v>22495</v>
      </c>
      <c r="C51" s="185" t="e">
        <f>5*C50/100*(Kalk1_Eingabe!C19*100-5)^4/(384*'Kalk1_DB_25-200'!C19*'Kalk1_DB_25-200'!C12)</f>
        <v>#DIV/0!</v>
      </c>
      <c r="D51" s="185">
        <f>5*D50/100*(Kalk1_Eingabe!C19*100-5)^4/(384*'Kalk1_DB_25-200'!C19*'Kalk1_DB_25-200'!C12)</f>
        <v>-1.4139418436293436E-7</v>
      </c>
      <c r="E51" s="168" t="s">
        <v>22416</v>
      </c>
    </row>
    <row r="52" spans="2:5" ht="14.25" customHeight="1">
      <c r="B52" s="165" t="s">
        <v>22496</v>
      </c>
      <c r="C52" s="185" t="e">
        <f>Kalk1_Lastfallkombi!D44</f>
        <v>#DIV/0!</v>
      </c>
      <c r="D52" s="185" t="e">
        <f>Kalk1_Lastfallkombi!D54</f>
        <v>#NUM!</v>
      </c>
      <c r="E52" s="168" t="s">
        <v>22469</v>
      </c>
    </row>
    <row r="53" spans="2:5" ht="14.25" customHeight="1">
      <c r="B53" s="165" t="s">
        <v>22497</v>
      </c>
      <c r="C53" s="185">
        <f>(Kalk1_Eingabe!C19-0.5-0.05)/2</f>
        <v>-0.27500000000000002</v>
      </c>
      <c r="D53" s="185">
        <f>C53</f>
        <v>-0.27500000000000002</v>
      </c>
      <c r="E53" s="168" t="s">
        <v>6945</v>
      </c>
    </row>
    <row r="54" spans="2:5" ht="14.25" customHeight="1">
      <c r="B54" s="165" t="s">
        <v>22498</v>
      </c>
      <c r="C54" s="185" t="e">
        <f>C52/100*(Kalk1_Eingabe!C19*100-5)^4/(384*'Kalk1_DB_25-200'!C19*'Kalk1_DB_25-200'!C12)*(5-24*('Kalk1_DB_25-200'!C53*100)^2/(Kalk1_Eingabe!C19*100-5)^2+16*('Kalk1_DB_25-200'!C53*100)^4/(Kalk1_Eingabe!C19*100-5)^4)</f>
        <v>#DIV/0!</v>
      </c>
      <c r="D54" s="185" t="e">
        <f>D52/100*(Kalk1_Eingabe!C19*100-5)^4/(384*'Kalk1_DB_25-200'!C19*'Kalk1_DB_25-200'!C12)*(5-24*('Kalk1_DB_25-200'!C53*100)^2/(Kalk1_Eingabe!C19*100-5)^2+16*('Kalk1_DB_25-200'!C53*100)^4/(Kalk1_Eingabe!C19*100-5)^4)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(Kalk1_Eingabe!C19*100-5)/150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127" priority="10" operator="greaterThan">
      <formula>1</formula>
    </cfRule>
    <cfRule type="dataBar" priority="11">
      <dataBar>
        <cfvo type="num" val="0"/>
        <cfvo type="num" val="0.99"/>
        <color rgb="FF638EC6"/>
      </dataBar>
      <extLst>
        <ext xmlns:x14="http://schemas.microsoft.com/office/spreadsheetml/2009/9/main" uri="{B025F937-C7B1-47D3-B67F-A62EFF666E3E}">
          <x14:id>{EC8437C2-4FD5-4E51-A25A-2775E31E7036}</x14:id>
        </ext>
      </extLst>
    </cfRule>
    <cfRule type="dataBar" priority="12">
      <dataBar>
        <cfvo type="num" val="0"/>
        <cfvo type="num" val="1"/>
        <color rgb="FF638EC6"/>
      </dataBar>
      <extLst>
        <ext xmlns:x14="http://schemas.microsoft.com/office/spreadsheetml/2009/9/main" uri="{B025F937-C7B1-47D3-B67F-A62EFF666E3E}">
          <x14:id>{D59DD861-E8CA-4531-8400-F1F9737C2DCA}</x14:id>
        </ext>
      </extLst>
    </cfRule>
  </conditionalFormatting>
  <conditionalFormatting sqref="C41">
    <cfRule type="cellIs" dxfId="126" priority="7" operator="greaterThan">
      <formula>1</formula>
    </cfRule>
    <cfRule type="dataBar" priority="8">
      <dataBar>
        <cfvo type="num" val="0"/>
        <cfvo type="num" val="0.99"/>
        <color rgb="FF638EC6"/>
      </dataBar>
      <extLst>
        <ext xmlns:x14="http://schemas.microsoft.com/office/spreadsheetml/2009/9/main" uri="{B025F937-C7B1-47D3-B67F-A62EFF666E3E}">
          <x14:id>{36CE6D48-CD36-4A80-9374-7F68601E1E2D}</x14:id>
        </ext>
      </extLst>
    </cfRule>
    <cfRule type="dataBar" priority="9">
      <dataBar>
        <cfvo type="num" val="0"/>
        <cfvo type="num" val="1"/>
        <color rgb="FF638EC6"/>
      </dataBar>
      <extLst>
        <ext xmlns:x14="http://schemas.microsoft.com/office/spreadsheetml/2009/9/main" uri="{B025F937-C7B1-47D3-B67F-A62EFF666E3E}">
          <x14:id>{07249FC6-1979-4F09-90B3-1B95A456A718}</x14:id>
        </ext>
      </extLst>
    </cfRule>
  </conditionalFormatting>
  <conditionalFormatting sqref="C48">
    <cfRule type="cellIs" dxfId="125" priority="4" operator="greaterThan">
      <formula>1</formula>
    </cfRule>
    <cfRule type="dataBar" priority="5">
      <dataBar>
        <cfvo type="num" val="0"/>
        <cfvo type="num" val="0.99"/>
        <color rgb="FF638EC6"/>
      </dataBar>
      <extLst>
        <ext xmlns:x14="http://schemas.microsoft.com/office/spreadsheetml/2009/9/main" uri="{B025F937-C7B1-47D3-B67F-A62EFF666E3E}">
          <x14:id>{3424A94C-561E-454D-943F-B937F279CF06}</x14:id>
        </ext>
      </extLst>
    </cfRule>
    <cfRule type="dataBar" priority="6">
      <dataBar>
        <cfvo type="num" val="0"/>
        <cfvo type="num" val="1"/>
        <color rgb="FF638EC6"/>
      </dataBar>
      <extLst>
        <ext xmlns:x14="http://schemas.microsoft.com/office/spreadsheetml/2009/9/main" uri="{B025F937-C7B1-47D3-B67F-A62EFF666E3E}">
          <x14:id>{B661A701-D0E0-4EAD-9D82-F1AC178F197B}</x14:id>
        </ext>
      </extLst>
    </cfRule>
  </conditionalFormatting>
  <conditionalFormatting sqref="C57">
    <cfRule type="cellIs" dxfId="124" priority="1" operator="greaterThan">
      <formula>1</formula>
    </cfRule>
    <cfRule type="dataBar" priority="2">
      <dataBar>
        <cfvo type="num" val="0"/>
        <cfvo type="num" val="0.99"/>
        <color rgb="FF638EC6"/>
      </dataBar>
      <extLst>
        <ext xmlns:x14="http://schemas.microsoft.com/office/spreadsheetml/2009/9/main" uri="{B025F937-C7B1-47D3-B67F-A62EFF666E3E}">
          <x14:id>{C2511DE7-7957-48AD-8013-4FEC400EFA38}</x14:id>
        </ext>
      </extLst>
    </cfRule>
    <cfRule type="dataBar" priority="3">
      <dataBar>
        <cfvo type="num" val="0"/>
        <cfvo type="num" val="1"/>
        <color rgb="FF638EC6"/>
      </dataBar>
      <extLst>
        <ext xmlns:x14="http://schemas.microsoft.com/office/spreadsheetml/2009/9/main" uri="{B025F937-C7B1-47D3-B67F-A62EFF666E3E}">
          <x14:id>{7A1C6C10-5D5E-4CD1-B5E5-D50772663FB9}</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EC8437C2-4FD5-4E51-A25A-2775E31E7036}">
            <x14:dataBar minLength="0" maxLength="100">
              <x14:cfvo type="num">
                <xm:f>0</xm:f>
              </x14:cfvo>
              <x14:cfvo type="num">
                <xm:f>0.99</xm:f>
              </x14:cfvo>
              <x14:negativeFillColor rgb="FFFF0000"/>
              <x14:axisColor rgb="FF000000"/>
            </x14:dataBar>
          </x14:cfRule>
          <x14:cfRule type="dataBar" id="{D59DD861-E8CA-4531-8400-F1F9737C2DCA}">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36CE6D48-CD36-4A80-9374-7F68601E1E2D}">
            <x14:dataBar minLength="0" maxLength="100">
              <x14:cfvo type="num">
                <xm:f>0</xm:f>
              </x14:cfvo>
              <x14:cfvo type="num">
                <xm:f>0.99</xm:f>
              </x14:cfvo>
              <x14:negativeFillColor rgb="FFFF0000"/>
              <x14:axisColor rgb="FF000000"/>
            </x14:dataBar>
          </x14:cfRule>
          <x14:cfRule type="dataBar" id="{07249FC6-1979-4F09-90B3-1B95A456A718}">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3424A94C-561E-454D-943F-B937F279CF06}">
            <x14:dataBar minLength="0" maxLength="100">
              <x14:cfvo type="num">
                <xm:f>0</xm:f>
              </x14:cfvo>
              <x14:cfvo type="num">
                <xm:f>0.99</xm:f>
              </x14:cfvo>
              <x14:negativeFillColor rgb="FFFF0000"/>
              <x14:axisColor rgb="FF000000"/>
            </x14:dataBar>
          </x14:cfRule>
          <x14:cfRule type="dataBar" id="{B661A701-D0E0-4EAD-9D82-F1AC178F197B}">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C2511DE7-7957-48AD-8013-4FEC400EFA38}">
            <x14:dataBar minLength="0" maxLength="100">
              <x14:cfvo type="num">
                <xm:f>0</xm:f>
              </x14:cfvo>
              <x14:cfvo type="num">
                <xm:f>0.99</xm:f>
              </x14:cfvo>
              <x14:negativeFillColor rgb="FFFF0000"/>
              <x14:axisColor rgb="FF000000"/>
            </x14:dataBar>
          </x14:cfRule>
          <x14:cfRule type="dataBar" id="{7A1C6C10-5D5E-4CD1-B5E5-D50772663FB9}">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D3EED-1ED7-457D-A702-6FC87EF1D904}">
  <sheetPr codeName="Tabelle18">
    <pageSetUpPr fitToPage="1"/>
  </sheetPr>
  <dimension ref="A1:K57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Kalk1_Eingabe!C4</f>
        <v>PREFA</v>
      </c>
      <c r="D4" s="547"/>
      <c r="E4" s="548"/>
      <c r="F4" s="150"/>
      <c r="G4" s="150"/>
      <c r="H4" s="151"/>
      <c r="I4" s="148"/>
    </row>
    <row r="5" spans="1:11" ht="16.5" customHeight="1">
      <c r="A5" s="148"/>
      <c r="B5" s="164" t="s">
        <v>22319</v>
      </c>
      <c r="C5" s="549" t="str">
        <f>Kalk1_Eingabe!C5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22481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3.13</v>
      </c>
      <c r="D11" s="151" t="s">
        <v>22394</v>
      </c>
      <c r="E11" s="163" t="s">
        <v>22397</v>
      </c>
      <c r="F11" s="177"/>
      <c r="G11" s="148"/>
      <c r="H11" s="148"/>
      <c r="I11" s="148"/>
    </row>
    <row r="12" spans="1:11" ht="14.25" customHeight="1">
      <c r="A12" s="179"/>
      <c r="B12" s="175" t="s">
        <v>22398</v>
      </c>
      <c r="C12" s="187">
        <v>82.62</v>
      </c>
      <c r="D12" s="151" t="s">
        <v>22372</v>
      </c>
      <c r="E12" s="163" t="s">
        <v>22399</v>
      </c>
      <c r="F12" s="178"/>
      <c r="G12" s="181"/>
      <c r="H12" s="148"/>
      <c r="I12" s="148"/>
    </row>
    <row r="13" spans="1:11" ht="14.25" customHeight="1">
      <c r="A13" s="148"/>
      <c r="B13" s="162" t="s">
        <v>22400</v>
      </c>
      <c r="C13" s="187">
        <v>33.049999999999997</v>
      </c>
      <c r="D13" s="168" t="s">
        <v>22401</v>
      </c>
      <c r="E13" s="183" t="s">
        <v>22402</v>
      </c>
      <c r="F13" s="177"/>
      <c r="G13" s="148"/>
      <c r="H13" s="148"/>
      <c r="I13" s="148"/>
    </row>
    <row r="14" spans="1:11" ht="14.25" customHeight="1">
      <c r="B14" s="162" t="s">
        <v>22403</v>
      </c>
      <c r="C14" s="187">
        <v>39.35</v>
      </c>
      <c r="D14" s="168" t="s">
        <v>22401</v>
      </c>
      <c r="E14" s="183" t="s">
        <v>22404</v>
      </c>
      <c r="H14" s="152" t="s">
        <v>24944</v>
      </c>
    </row>
    <row r="15" spans="1:11" ht="14.25" customHeight="1">
      <c r="B15" s="165" t="s">
        <v>22483</v>
      </c>
      <c r="C15" s="185">
        <f>ROUNDUP((Kalk1_Eingabe!C18+Kalk1_Eingabe!C20)/0.15,0)</f>
        <v>0</v>
      </c>
      <c r="D15" s="168" t="s">
        <v>20892</v>
      </c>
      <c r="E15" s="183" t="s">
        <v>22484</v>
      </c>
      <c r="H15" s="165" t="s">
        <v>22504</v>
      </c>
      <c r="I15" s="185">
        <f>ROUNDUP((Kalk1_Eingabe!C18+Kalk1_Eingabe!C20)/0.15,0)</f>
        <v>0</v>
      </c>
      <c r="J15" s="168" t="s">
        <v>20892</v>
      </c>
      <c r="K15" s="183" t="s">
        <v>22484</v>
      </c>
    </row>
    <row r="16" spans="1:11" ht="14.25" customHeight="1">
      <c r="B16" s="165" t="s">
        <v>22598</v>
      </c>
      <c r="C16" s="185">
        <f>(17+Kalk1!H29+10)/1000</f>
        <v>2.7E-2</v>
      </c>
      <c r="D16" s="168" t="s">
        <v>6945</v>
      </c>
      <c r="E16" s="183" t="s">
        <v>22352</v>
      </c>
      <c r="H16" s="165" t="s">
        <v>22607</v>
      </c>
      <c r="I16" s="185">
        <f>(15+C15*150+10)/1000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MAX(Kalk1_Lastfallkombi!C50,Kalk1_Lastfallkombi!C60,Kalk1_Lastfallkombi!C65,Kalk1_Lastfallkombi!C69)</f>
        <v>#DIV/0!</v>
      </c>
      <c r="D27" s="190" t="s">
        <v>22379</v>
      </c>
      <c r="E27" s="183" t="s">
        <v>22487</v>
      </c>
    </row>
    <row r="28" spans="1:8" ht="14.25" customHeight="1" thickBot="1">
      <c r="B28" s="193" t="s">
        <v>22488</v>
      </c>
      <c r="C28" s="194" t="e">
        <f>MAX(Kalk1_Lastfallkombi!C51,Kalk1_Lastfallkombi!C61,Kalk1_Lastfallkombi!C66,Kalk1_Lastfallkombi!C70)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32.856478955700517</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1.1906202723146748</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7.7126000000000001</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Kalk1_Lastfallkombi!D24*Kalk1_Lastfallkombi!C15/100</f>
        <v>-0.1512</v>
      </c>
      <c r="D45" s="168" t="s">
        <v>22469</v>
      </c>
    </row>
    <row r="46" spans="1:4" ht="14.25" customHeight="1">
      <c r="B46" s="178" t="s">
        <v>22492</v>
      </c>
      <c r="C46" s="185">
        <f>5*C45/100*(Kalk1_Eingabe!C19*100-5)^4/(384*'Kalk1_DB_50-150'!C19*'Kalk1_DB_50-150'!C12)</f>
        <v>-2.1275871459694988E-8</v>
      </c>
      <c r="D46" s="168" t="s">
        <v>22416</v>
      </c>
    </row>
    <row r="47" spans="1:4" ht="14.25" customHeight="1" thickBot="1">
      <c r="B47" s="178" t="s">
        <v>22473</v>
      </c>
      <c r="C47" s="185">
        <f>(Kalk1_Eingabe!C19*100-5)/Haftungsausschluß!L34</f>
        <v>-3.3333333333333333E-2</v>
      </c>
      <c r="D47" s="168" t="s">
        <v>22416</v>
      </c>
    </row>
    <row r="48" spans="1:4" ht="14.25" customHeight="1" thickBot="1">
      <c r="B48" s="193" t="s">
        <v>22474</v>
      </c>
      <c r="C48" s="196">
        <f>C46/C47</f>
        <v>6.3827614379084963E-7</v>
      </c>
    </row>
    <row r="49" spans="2:5" ht="14.25" customHeight="1">
      <c r="B49" s="200" t="s">
        <v>22493</v>
      </c>
      <c r="C49" s="199" t="s">
        <v>22422</v>
      </c>
      <c r="D49" s="199" t="s">
        <v>21191</v>
      </c>
    </row>
    <row r="50" spans="2:5" ht="14.25" customHeight="1">
      <c r="B50" s="178" t="s">
        <v>22494</v>
      </c>
      <c r="C50" s="185" t="e">
        <f>Kalk1_Lastfallkombi!D38*Kalk1_Lastfallkombi!C14/100</f>
        <v>#DIV/0!</v>
      </c>
      <c r="D50" s="185">
        <f>Kalk1_Lastfallkombi!D26*Kalk1_Lastfallkombi!C14/100</f>
        <v>-0.14399999999999999</v>
      </c>
      <c r="E50" s="168" t="s">
        <v>22469</v>
      </c>
    </row>
    <row r="51" spans="2:5" ht="14.25" customHeight="1">
      <c r="B51" s="178" t="s">
        <v>22495</v>
      </c>
      <c r="C51" s="185" t="e">
        <f>5*C50/100*(Kalk1_Eingabe!C19*100-5)^4/(384*'Kalk1_DB_50-150'!C19*'Kalk1_DB_50-150'!C12)</f>
        <v>#DIV/0!</v>
      </c>
      <c r="D51" s="185">
        <f>5*D50/100*(Kalk1_Eingabe!C19*100-5)^4/(384*'Kalk1_DB_50-150'!C19*'Kalk1_DB_50-150'!C12)</f>
        <v>-2.0262734723519038E-8</v>
      </c>
      <c r="E51" s="168" t="s">
        <v>22416</v>
      </c>
    </row>
    <row r="52" spans="2:5" ht="14.25" customHeight="1">
      <c r="B52" s="165" t="s">
        <v>22496</v>
      </c>
      <c r="C52" s="185" t="e">
        <f>Kalk1_Lastfallkombi!D44</f>
        <v>#DIV/0!</v>
      </c>
      <c r="D52" s="185" t="e">
        <f>Kalk1_Lastfallkombi!D54</f>
        <v>#NUM!</v>
      </c>
      <c r="E52" s="168" t="s">
        <v>22469</v>
      </c>
    </row>
    <row r="53" spans="2:5" ht="14.25" customHeight="1">
      <c r="B53" s="165" t="s">
        <v>22497</v>
      </c>
      <c r="C53" s="185">
        <f>(Kalk1_Eingabe!C19-0.5-0.05)/2</f>
        <v>-0.27500000000000002</v>
      </c>
      <c r="D53" s="185">
        <f>C53</f>
        <v>-0.27500000000000002</v>
      </c>
      <c r="E53" s="168" t="s">
        <v>6945</v>
      </c>
    </row>
    <row r="54" spans="2:5" ht="14.25" customHeight="1">
      <c r="B54" s="165" t="s">
        <v>22498</v>
      </c>
      <c r="C54" s="185" t="e">
        <f>C52/100*(Kalk1_Eingabe!C19*100-5)^4/(384*'Kalk1_DB_50-150'!C19*'Kalk1_DB_50-150'!C12)*(5-24*('Kalk1_DB_50-150'!C53*100)^2/(Kalk1_Eingabe!C19*100-5)^2+16*('Kalk1_DB_50-150'!C53*100)^4/(Kalk1_Eingabe!C19*100-5)^4)</f>
        <v>#DIV/0!</v>
      </c>
      <c r="D54" s="185" t="e">
        <f>D52/100*(Kalk1_Eingabe!C19*100-5)^4/(384*'Kalk1_DB_50-150'!C19*'Kalk1_DB_50-150'!C12)*(5-24*('Kalk1_DB_50-150'!C53*100)^2/(Kalk1_Eingabe!C19*100-5)^2+16*('Kalk1_DB_50-150'!C53*100)^4/(Kalk1_Eingabe!C19*100-5)^4)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(Kalk1_Eingabe!C19*100-5)/150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sheetData>
  <mergeCells count="3">
    <mergeCell ref="B1:C1"/>
    <mergeCell ref="C4:E4"/>
    <mergeCell ref="C5:E5"/>
  </mergeCells>
  <conditionalFormatting sqref="C33:C34">
    <cfRule type="cellIs" dxfId="123" priority="10" operator="greaterThan">
      <formula>1</formula>
    </cfRule>
    <cfRule type="dataBar" priority="11">
      <dataBar>
        <cfvo type="num" val="0"/>
        <cfvo type="num" val="0.99"/>
        <color rgb="FF638EC6"/>
      </dataBar>
      <extLst>
        <ext xmlns:x14="http://schemas.microsoft.com/office/spreadsheetml/2009/9/main" uri="{B025F937-C7B1-47D3-B67F-A62EFF666E3E}">
          <x14:id>{344F9BE2-E900-4292-ABB1-E3BB2DFBD80B}</x14:id>
        </ext>
      </extLst>
    </cfRule>
    <cfRule type="dataBar" priority="12">
      <dataBar>
        <cfvo type="num" val="0"/>
        <cfvo type="num" val="1"/>
        <color rgb="FF638EC6"/>
      </dataBar>
      <extLst>
        <ext xmlns:x14="http://schemas.microsoft.com/office/spreadsheetml/2009/9/main" uri="{B025F937-C7B1-47D3-B67F-A62EFF666E3E}">
          <x14:id>{62D18CCB-515B-4A6B-A74C-50E1F7893C4C}</x14:id>
        </ext>
      </extLst>
    </cfRule>
  </conditionalFormatting>
  <conditionalFormatting sqref="C41">
    <cfRule type="cellIs" dxfId="122" priority="7" operator="greaterThan">
      <formula>1</formula>
    </cfRule>
    <cfRule type="dataBar" priority="8">
      <dataBar>
        <cfvo type="num" val="0"/>
        <cfvo type="num" val="0.99"/>
        <color rgb="FF638EC6"/>
      </dataBar>
      <extLst>
        <ext xmlns:x14="http://schemas.microsoft.com/office/spreadsheetml/2009/9/main" uri="{B025F937-C7B1-47D3-B67F-A62EFF666E3E}">
          <x14:id>{0CFF8225-C8D1-4E70-B250-B95047EF88E4}</x14:id>
        </ext>
      </extLst>
    </cfRule>
    <cfRule type="dataBar" priority="9">
      <dataBar>
        <cfvo type="num" val="0"/>
        <cfvo type="num" val="1"/>
        <color rgb="FF638EC6"/>
      </dataBar>
      <extLst>
        <ext xmlns:x14="http://schemas.microsoft.com/office/spreadsheetml/2009/9/main" uri="{B025F937-C7B1-47D3-B67F-A62EFF666E3E}">
          <x14:id>{CC9BCFAC-DE04-425D-B29D-35AD2EE9F03B}</x14:id>
        </ext>
      </extLst>
    </cfRule>
  </conditionalFormatting>
  <conditionalFormatting sqref="C48">
    <cfRule type="cellIs" dxfId="121" priority="4" operator="greaterThan">
      <formula>1</formula>
    </cfRule>
    <cfRule type="dataBar" priority="5">
      <dataBar>
        <cfvo type="num" val="0"/>
        <cfvo type="num" val="0.99"/>
        <color rgb="FF638EC6"/>
      </dataBar>
      <extLst>
        <ext xmlns:x14="http://schemas.microsoft.com/office/spreadsheetml/2009/9/main" uri="{B025F937-C7B1-47D3-B67F-A62EFF666E3E}">
          <x14:id>{3E368098-8CC8-4C51-A984-9C91F3F42B52}</x14:id>
        </ext>
      </extLst>
    </cfRule>
    <cfRule type="dataBar" priority="6">
      <dataBar>
        <cfvo type="num" val="0"/>
        <cfvo type="num" val="1"/>
        <color rgb="FF638EC6"/>
      </dataBar>
      <extLst>
        <ext xmlns:x14="http://schemas.microsoft.com/office/spreadsheetml/2009/9/main" uri="{B025F937-C7B1-47D3-B67F-A62EFF666E3E}">
          <x14:id>{15C93AD8-545D-4AEA-B1D5-33E8CA8339F3}</x14:id>
        </ext>
      </extLst>
    </cfRule>
  </conditionalFormatting>
  <conditionalFormatting sqref="C57">
    <cfRule type="cellIs" dxfId="120" priority="1" operator="greaterThan">
      <formula>1</formula>
    </cfRule>
    <cfRule type="dataBar" priority="2">
      <dataBar>
        <cfvo type="num" val="0"/>
        <cfvo type="num" val="0.99"/>
        <color rgb="FF638EC6"/>
      </dataBar>
      <extLst>
        <ext xmlns:x14="http://schemas.microsoft.com/office/spreadsheetml/2009/9/main" uri="{B025F937-C7B1-47D3-B67F-A62EFF666E3E}">
          <x14:id>{AE14440E-5EB4-4EF0-90A1-685D9DF9EEF1}</x14:id>
        </ext>
      </extLst>
    </cfRule>
    <cfRule type="dataBar" priority="3">
      <dataBar>
        <cfvo type="num" val="0"/>
        <cfvo type="num" val="1"/>
        <color rgb="FF638EC6"/>
      </dataBar>
      <extLst>
        <ext xmlns:x14="http://schemas.microsoft.com/office/spreadsheetml/2009/9/main" uri="{B025F937-C7B1-47D3-B67F-A62EFF666E3E}">
          <x14:id>{0E4537DB-A8F1-469F-BFD3-16DC51627B4F}</x14:id>
        </ext>
      </extLst>
    </cfRule>
  </conditionalFormatting>
  <pageMargins left="0.39370078740157483" right="0.39370078740157483" top="0.39370078740157483" bottom="0.39370078740157483" header="0.31496062992125984" footer="0.31496062992125984"/>
  <pageSetup paperSize="9" scale="79"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344F9BE2-E900-4292-ABB1-E3BB2DFBD80B}">
            <x14:dataBar minLength="0" maxLength="100">
              <x14:cfvo type="num">
                <xm:f>0</xm:f>
              </x14:cfvo>
              <x14:cfvo type="num">
                <xm:f>0.99</xm:f>
              </x14:cfvo>
              <x14:negativeFillColor rgb="FFFF0000"/>
              <x14:axisColor rgb="FF000000"/>
            </x14:dataBar>
          </x14:cfRule>
          <x14:cfRule type="dataBar" id="{62D18CCB-515B-4A6B-A74C-50E1F7893C4C}">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0CFF8225-C8D1-4E70-B250-B95047EF88E4}">
            <x14:dataBar minLength="0" maxLength="100">
              <x14:cfvo type="num">
                <xm:f>0</xm:f>
              </x14:cfvo>
              <x14:cfvo type="num">
                <xm:f>0.99</xm:f>
              </x14:cfvo>
              <x14:negativeFillColor rgb="FFFF0000"/>
              <x14:axisColor rgb="FF000000"/>
            </x14:dataBar>
          </x14:cfRule>
          <x14:cfRule type="dataBar" id="{CC9BCFAC-DE04-425D-B29D-35AD2EE9F03B}">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3E368098-8CC8-4C51-A984-9C91F3F42B52}">
            <x14:dataBar minLength="0" maxLength="100">
              <x14:cfvo type="num">
                <xm:f>0</xm:f>
              </x14:cfvo>
              <x14:cfvo type="num">
                <xm:f>0.99</xm:f>
              </x14:cfvo>
              <x14:negativeFillColor rgb="FFFF0000"/>
              <x14:axisColor rgb="FF000000"/>
            </x14:dataBar>
          </x14:cfRule>
          <x14:cfRule type="dataBar" id="{15C93AD8-545D-4AEA-B1D5-33E8CA8339F3}">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AE14440E-5EB4-4EF0-90A1-685D9DF9EEF1}">
            <x14:dataBar minLength="0" maxLength="100">
              <x14:cfvo type="num">
                <xm:f>0</xm:f>
              </x14:cfvo>
              <x14:cfvo type="num">
                <xm:f>0.99</xm:f>
              </x14:cfvo>
              <x14:negativeFillColor rgb="FFFF0000"/>
              <x14:axisColor rgb="FF000000"/>
            </x14:dataBar>
          </x14:cfRule>
          <x14:cfRule type="dataBar" id="{0E4537DB-A8F1-469F-BFD3-16DC51627B4F}">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71E0F-B38A-47A9-8340-EA04E218F342}">
  <sheetPr codeName="Tabelle8"/>
  <dimension ref="A1:DZ102"/>
  <sheetViews>
    <sheetView showGridLines="0" topLeftCell="AG22" zoomScale="235" zoomScaleNormal="235" workbookViewId="0"/>
  </sheetViews>
  <sheetFormatPr baseColWidth="10" defaultRowHeight="15" customHeight="1"/>
  <cols>
    <col min="1" max="1" width="13.5703125" customWidth="1"/>
    <col min="2" max="2" width="156.140625" customWidth="1"/>
    <col min="4" max="4" width="11.85546875" bestFit="1" customWidth="1"/>
    <col min="5" max="13" width="11.42578125" customWidth="1"/>
    <col min="14" max="14" width="20.7109375" customWidth="1"/>
    <col min="15" max="19" width="11.42578125" customWidth="1"/>
    <col min="35" max="36" width="6.28515625" style="21" customWidth="1"/>
    <col min="37" max="37" width="5" style="21" bestFit="1" customWidth="1"/>
    <col min="38" max="38" width="2.85546875" style="21" customWidth="1"/>
    <col min="39" max="39" width="32.28515625" style="21" customWidth="1"/>
    <col min="40" max="40" width="11.42578125" style="21"/>
    <col min="41" max="42" width="107" style="21" bestFit="1" customWidth="1"/>
  </cols>
  <sheetData>
    <row r="1" spans="3:35"/>
    <row r="2" spans="3:35"/>
    <row r="3" spans="3:35"/>
    <row r="4" spans="3:35"/>
    <row r="5" spans="3:35"/>
    <row r="6" spans="3:35"/>
    <row r="7" spans="3:35"/>
    <row r="8" spans="3:35"/>
    <row r="9" spans="3:35">
      <c r="AI9" s="49"/>
    </row>
    <row r="10" spans="3:35">
      <c r="AI10" s="49"/>
    </row>
    <row r="11" spans="3:35">
      <c r="C11">
        <v>1</v>
      </c>
      <c r="D11">
        <v>0</v>
      </c>
      <c r="E11">
        <f>C11+D11</f>
        <v>1</v>
      </c>
      <c r="AI11" s="49"/>
    </row>
    <row r="12" spans="3:35">
      <c r="C12">
        <v>4</v>
      </c>
      <c r="D12">
        <v>0</v>
      </c>
      <c r="E12">
        <f t="shared" ref="E12:E13" si="0">C12+D12</f>
        <v>4</v>
      </c>
    </row>
    <row r="13" spans="3:35">
      <c r="C13">
        <v>7</v>
      </c>
      <c r="D13">
        <v>0</v>
      </c>
      <c r="E13">
        <f t="shared" si="0"/>
        <v>7</v>
      </c>
      <c r="AI13" s="49"/>
    </row>
    <row r="14" spans="3:35">
      <c r="AI14" s="49"/>
    </row>
    <row r="15" spans="3:35">
      <c r="C15">
        <v>1</v>
      </c>
      <c r="D15">
        <v>9</v>
      </c>
      <c r="E15">
        <f>C15+D15</f>
        <v>10</v>
      </c>
      <c r="AI15" s="49"/>
    </row>
    <row r="16" spans="3:35">
      <c r="C16">
        <v>4</v>
      </c>
      <c r="D16">
        <v>9</v>
      </c>
      <c r="E16">
        <f t="shared" ref="E16:E17" si="1">C16+D16</f>
        <v>13</v>
      </c>
      <c r="AI16" s="49"/>
    </row>
    <row r="17" spans="3:42">
      <c r="C17">
        <v>7</v>
      </c>
      <c r="D17">
        <v>9</v>
      </c>
      <c r="E17">
        <f t="shared" si="1"/>
        <v>16</v>
      </c>
      <c r="AI17" s="68"/>
    </row>
    <row r="18" spans="3:42">
      <c r="AI18" s="49"/>
    </row>
    <row r="19" spans="3:42">
      <c r="C19">
        <v>1</v>
      </c>
      <c r="D19">
        <v>18</v>
      </c>
      <c r="E19">
        <f>C19+D19</f>
        <v>19</v>
      </c>
    </row>
    <row r="20" spans="3:42">
      <c r="C20">
        <v>4</v>
      </c>
      <c r="D20">
        <v>18</v>
      </c>
      <c r="E20">
        <f t="shared" ref="E20:E21" si="2">C20+D20</f>
        <v>22</v>
      </c>
    </row>
    <row r="21" spans="3:42">
      <c r="C21">
        <v>7</v>
      </c>
      <c r="D21">
        <v>18</v>
      </c>
      <c r="E21">
        <f t="shared" si="2"/>
        <v>25</v>
      </c>
    </row>
    <row r="22" spans="3:42">
      <c r="AH22" t="s">
        <v>22300</v>
      </c>
      <c r="AI22" s="21">
        <f>IF(Kalk5!AA$7=0,20,26+Kalk5!AA$7)</f>
        <v>27</v>
      </c>
      <c r="AJ22" s="21">
        <f>IF(Kalk5!AA$9=0,20,26+Kalk5!AA$9)</f>
        <v>27</v>
      </c>
      <c r="AL22" s="21">
        <f>IF(Kalk5!AA$19=1,1,IF(OR(Kalk5!AA$19=2,Kalk5!AA$19=3),27,IF(Kalk5!AA$19=4,IF(Kalk5!AA$20=1,27,IF(Kalk5!AA$20=2,28,1)))))</f>
        <v>27</v>
      </c>
      <c r="AM22" s="49"/>
      <c r="AO22" s="49"/>
      <c r="AP22" s="49"/>
    </row>
    <row r="23" spans="3:42">
      <c r="AH23" t="s">
        <v>22301</v>
      </c>
      <c r="AI23" s="21">
        <f>IF(Kalk4!AA$7=0,20,26+Kalk4!AA$7)</f>
        <v>27</v>
      </c>
      <c r="AJ23" s="21">
        <f>IF(Kalk4!AA$9=0,20,26+Kalk4!AA$9)</f>
        <v>27</v>
      </c>
      <c r="AL23" s="21">
        <f>IF(Kalk4!AA$19=1,1,IF(OR(Kalk4!AA$19=2,Kalk4!AA$19=3),27,IF(Kalk4!AA$19=4,IF(Kalk4!AA$20=1,27,IF(Kalk4!AA$20=2,28,1)))))</f>
        <v>27</v>
      </c>
      <c r="AM23" s="49"/>
      <c r="AO23" s="49"/>
      <c r="AP23" s="49"/>
    </row>
    <row r="24" spans="3:42">
      <c r="AH24" t="s">
        <v>22302</v>
      </c>
      <c r="AI24" s="21">
        <f>IF(Kalk3!AA$7=0,20,26+Kalk3!AA$7)</f>
        <v>27</v>
      </c>
      <c r="AJ24" s="21">
        <f>IF(Kalk3!AA$9=0,20,26+Kalk3!AA$9)</f>
        <v>27</v>
      </c>
      <c r="AL24" s="21">
        <f>IF(Kalk3!AA$19=1,1,IF(OR(Kalk3!AA$19=2,Kalk3!AA$19=3),27,IF(Kalk3!AA$19=4,IF(Kalk3!AA$20=1,27,IF(Kalk3!AA$20=2,28,1)))))</f>
        <v>27</v>
      </c>
      <c r="AM24" s="49"/>
      <c r="AO24" s="49"/>
      <c r="AP24" s="49"/>
    </row>
    <row r="25" spans="3:42">
      <c r="D25" t="s">
        <v>22581</v>
      </c>
      <c r="E25" t="s">
        <v>22582</v>
      </c>
      <c r="F25" t="s">
        <v>22081</v>
      </c>
      <c r="G25" t="s">
        <v>22583</v>
      </c>
      <c r="AH25" t="s">
        <v>22303</v>
      </c>
      <c r="AI25" s="21">
        <f>IF(Kalk2!AA$7=0,20,26+Kalk2!AA$7)</f>
        <v>27</v>
      </c>
      <c r="AJ25" s="21">
        <f>IF(Kalk2!AA$9=0,20,26+Kalk2!AA$9)</f>
        <v>27</v>
      </c>
      <c r="AL25" s="21">
        <f>IF(Kalk2!AA$19=1,1,IF(OR(Kalk2!AA$19=2,Kalk2!AA$19=3),27,IF(Kalk2!AA$19=4,IF(Kalk2!AA$20=1,27,IF(Kalk2!AA$20=2,28,1)))))</f>
        <v>27</v>
      </c>
      <c r="AM25" s="49"/>
      <c r="AO25" s="49"/>
      <c r="AP25" s="49"/>
    </row>
    <row r="26" spans="3:42">
      <c r="C26" t="s">
        <v>22304</v>
      </c>
      <c r="D26">
        <f>IF(Kalk1!AA7=1,1,IF(Kalk1!AA7=2,4,IF(Kalk1!AA7=3,7,0)))</f>
        <v>1</v>
      </c>
      <c r="E26">
        <f>IF(Kalk1!AA9=1,0,IF(Kalk1!AA9=2,9,IF(Kalk1!AA9=3,18,0)))</f>
        <v>0</v>
      </c>
      <c r="F26">
        <f>IF(Kalk1!H35=1,0,IF(Kalk1!H35=2,1,IF(Kalk1!H35&gt;2,2,0)))</f>
        <v>0</v>
      </c>
      <c r="G26" s="241">
        <f>D26+E26+F26+35</f>
        <v>36</v>
      </c>
      <c r="AH26" t="s">
        <v>22299</v>
      </c>
      <c r="AI26" s="21">
        <f>IF(Kalk1!AA$7=0,20,26+Kalk1!AA$7)</f>
        <v>27</v>
      </c>
      <c r="AJ26" s="21">
        <f>IF(Kalk1!AA$9=0,20,26+Kalk1!AA$9)</f>
        <v>27</v>
      </c>
      <c r="AL26" s="21">
        <f>IF(Kalk1!AA$19=1,1,IF(OR(Kalk1!AA$19=2,Kalk1!AA$19=3),27,IF(Kalk1!AA$19=4,IF(Kalk1!AA$20=1,27,IF(Kalk1!AA$20=2,28,1)))))</f>
        <v>27</v>
      </c>
      <c r="AM26" s="49"/>
      <c r="AO26" s="49"/>
      <c r="AP26" s="49"/>
    </row>
    <row r="27" spans="3:42">
      <c r="C27" t="s">
        <v>22305</v>
      </c>
      <c r="D27">
        <f>IF(Kalk2!AA7=1,1,IF(Kalk2!AA7=2,4,IF(Kalk2!AA7=3,7,0)))</f>
        <v>1</v>
      </c>
      <c r="E27">
        <f>IF(Kalk2!AA9=1,0,IF(Kalk2!AA9=2,9,IF(Kalk2!AA9=3,18,0)))</f>
        <v>0</v>
      </c>
      <c r="F27">
        <f>IF(Kalk2!H35=1,0,IF(Kalk2!H35=2,1,IF(Kalk2!H35&gt;2,2,0)))</f>
        <v>0</v>
      </c>
      <c r="G27" s="241">
        <f t="shared" ref="G27:G30" si="3">D27+E27+F27+35</f>
        <v>36</v>
      </c>
      <c r="AO27" s="50"/>
      <c r="AP27" s="50"/>
    </row>
    <row r="28" spans="3:42">
      <c r="C28" t="s">
        <v>22306</v>
      </c>
      <c r="D28">
        <f>IF(Kalk3!AA7=1,1,IF(Kalk3!AA7=2,4,IF(Kalk3!AA7=3,7,0)))</f>
        <v>1</v>
      </c>
      <c r="E28">
        <f>IF(Kalk3!AA9=1,0,IF(Kalk3!AA9=2,9,IF(Kalk3!AA9=3,18,0)))</f>
        <v>0</v>
      </c>
      <c r="F28">
        <f>IF(Kalk3!H35=1,0,IF(Kalk3!H35=2,1,IF(Kalk3!H35&gt;2,2,0)))</f>
        <v>0</v>
      </c>
      <c r="G28" s="241">
        <f t="shared" si="3"/>
        <v>36</v>
      </c>
      <c r="AO28" s="50"/>
      <c r="AP28" s="50"/>
    </row>
    <row r="29" spans="3:42">
      <c r="C29" t="s">
        <v>22307</v>
      </c>
      <c r="D29">
        <f>IF(Kalk4!AA7=1,1,IF(Kalk4!AA7=2,4,IF(Kalk4!AA7=3,7,0)))</f>
        <v>1</v>
      </c>
      <c r="E29">
        <f>IF(Kalk4!AA9=1,0,IF(Kalk4!AA9=2,9,IF(Kalk4!AA9=3,18,0)))</f>
        <v>0</v>
      </c>
      <c r="F29">
        <f>IF(Kalk4!H35=1,0,IF(Kalk4!H35=2,1,IF(Kalk4!H35&gt;2,2,0)))</f>
        <v>0</v>
      </c>
      <c r="G29" s="241">
        <f t="shared" si="3"/>
        <v>36</v>
      </c>
      <c r="AO29" s="50"/>
      <c r="AP29" s="50"/>
    </row>
    <row r="30" spans="3:42">
      <c r="C30" t="s">
        <v>22308</v>
      </c>
      <c r="D30">
        <f>IF(Kalk5!AA7=1,1,IF(Kalk5!AA7=2,4,IF(Kalk5!AA7=3,7,0)))</f>
        <v>1</v>
      </c>
      <c r="E30">
        <f>IF(Kalk5!AA9=1,0,IF(Kalk5!AA9=2,9,IF(Kalk5!AA9=3,18,0)))</f>
        <v>0</v>
      </c>
      <c r="F30">
        <f>IF(Kalk5!H35=1,0,IF(Kalk5!H35=2,1,IF(Kalk5!H35&gt;2,2,0)))</f>
        <v>0</v>
      </c>
      <c r="G30" s="241">
        <f t="shared" si="3"/>
        <v>36</v>
      </c>
      <c r="AO30" s="50"/>
      <c r="AP30" s="50"/>
    </row>
    <row r="31" spans="3:42">
      <c r="AI31" s="27"/>
      <c r="AJ31" s="27"/>
      <c r="AK31" s="27"/>
      <c r="AO31" s="50"/>
      <c r="AP31" s="50"/>
    </row>
    <row r="32" spans="3:42">
      <c r="AI32" s="27"/>
      <c r="AJ32" s="27"/>
      <c r="AK32" s="27"/>
      <c r="AO32" s="50"/>
      <c r="AP32" s="50"/>
    </row>
    <row r="33" spans="1:42">
      <c r="B33" s="134"/>
      <c r="AI33" s="98"/>
      <c r="AJ33" s="98"/>
      <c r="AK33" s="98"/>
      <c r="AO33" s="50"/>
      <c r="AP33" s="50"/>
    </row>
    <row r="34" spans="1:42">
      <c r="AI34" s="98"/>
      <c r="AJ34" s="98">
        <f>IF(AA19=1,-17.5,-30)</f>
        <v>-30</v>
      </c>
      <c r="AK34" s="98">
        <f>IF(AA19=1,32.5,38)</f>
        <v>38</v>
      </c>
      <c r="AO34" s="50"/>
      <c r="AP34" s="50"/>
    </row>
    <row r="35" spans="1:42">
      <c r="AI35" s="98"/>
      <c r="AJ35" s="98">
        <f>IF(AA19=1,-17.5,-30)</f>
        <v>-30</v>
      </c>
      <c r="AK35" s="98">
        <f>IF(AA19=1,32.5,38)</f>
        <v>38</v>
      </c>
      <c r="AO35" s="50"/>
      <c r="AP35" s="50"/>
    </row>
    <row r="36" spans="1:42" ht="150" customHeight="1">
      <c r="A36" s="240">
        <v>1</v>
      </c>
      <c r="B36" s="337"/>
      <c r="AI36" s="98"/>
      <c r="AJ36" s="98"/>
      <c r="AK36" s="98"/>
    </row>
    <row r="37" spans="1:42" ht="150" customHeight="1">
      <c r="A37" s="240">
        <v>2</v>
      </c>
      <c r="AI37" s="98"/>
      <c r="AJ37" s="98"/>
      <c r="AK37" s="98"/>
    </row>
    <row r="38" spans="1:42" ht="150" customHeight="1">
      <c r="A38" s="240">
        <v>3</v>
      </c>
      <c r="AI38" s="98"/>
      <c r="AJ38" s="98"/>
      <c r="AK38" s="98"/>
    </row>
    <row r="39" spans="1:42" ht="150" customHeight="1">
      <c r="A39" s="240">
        <v>4</v>
      </c>
      <c r="AI39" s="98"/>
      <c r="AJ39" s="98"/>
      <c r="AK39" s="98"/>
    </row>
    <row r="40" spans="1:42" ht="150" customHeight="1">
      <c r="A40" s="240">
        <v>5</v>
      </c>
      <c r="AI40" s="98"/>
      <c r="AJ40" s="98"/>
      <c r="AK40" s="98"/>
    </row>
    <row r="41" spans="1:42" ht="150" customHeight="1">
      <c r="A41" s="240">
        <v>6</v>
      </c>
      <c r="AI41" s="98"/>
      <c r="AJ41" s="98"/>
      <c r="AK41" s="98"/>
    </row>
    <row r="42" spans="1:42" ht="150" customHeight="1">
      <c r="A42" s="240">
        <v>7</v>
      </c>
      <c r="AI42" s="98"/>
      <c r="AJ42" s="98"/>
      <c r="AK42" s="98"/>
    </row>
    <row r="43" spans="1:42" ht="150" customHeight="1">
      <c r="A43" s="240">
        <v>8</v>
      </c>
      <c r="AI43" s="98"/>
      <c r="AJ43" s="98"/>
      <c r="AK43" s="98"/>
    </row>
    <row r="44" spans="1:42" ht="150" customHeight="1">
      <c r="A44" s="240">
        <v>9</v>
      </c>
      <c r="AI44" s="98"/>
      <c r="AJ44" s="98"/>
      <c r="AK44" s="98"/>
    </row>
    <row r="45" spans="1:42" ht="150" customHeight="1">
      <c r="A45" s="240">
        <v>10</v>
      </c>
      <c r="AI45" s="98"/>
      <c r="AJ45" s="98"/>
      <c r="AK45" s="98"/>
    </row>
    <row r="46" spans="1:42" ht="150" customHeight="1">
      <c r="A46" s="240">
        <v>11</v>
      </c>
      <c r="AI46" s="27"/>
      <c r="AJ46" s="27"/>
      <c r="AK46" s="27"/>
    </row>
    <row r="47" spans="1:42" ht="150" customHeight="1">
      <c r="A47" s="240">
        <v>12</v>
      </c>
      <c r="AI47" s="27"/>
      <c r="AJ47" s="27"/>
      <c r="AK47" s="27"/>
    </row>
    <row r="48" spans="1:42" ht="150" customHeight="1">
      <c r="A48" s="240">
        <v>13</v>
      </c>
      <c r="AI48" s="27"/>
      <c r="AJ48" s="27"/>
      <c r="AK48" s="27"/>
    </row>
    <row r="49" spans="1:130" ht="150" customHeight="1">
      <c r="A49" s="240">
        <v>14</v>
      </c>
      <c r="AI49" s="98"/>
      <c r="AJ49" s="98"/>
      <c r="AK49" s="27"/>
    </row>
    <row r="50" spans="1:130" ht="150" customHeight="1">
      <c r="A50" s="240">
        <v>15</v>
      </c>
      <c r="E50" s="134"/>
      <c r="G50" s="134"/>
      <c r="I50" s="134"/>
      <c r="AI50"/>
      <c r="AJ50"/>
      <c r="AK50"/>
      <c r="AL50"/>
      <c r="AM50"/>
      <c r="AN50"/>
      <c r="AO50"/>
      <c r="AP50"/>
      <c r="DP50" s="134"/>
      <c r="DR50" s="134"/>
      <c r="DT50" s="134"/>
      <c r="DV50" s="134"/>
      <c r="DX50" s="134"/>
      <c r="DZ50" s="134"/>
    </row>
    <row r="51" spans="1:130" ht="150" customHeight="1">
      <c r="A51" s="240">
        <v>16</v>
      </c>
      <c r="E51" s="134"/>
      <c r="G51" s="134"/>
      <c r="I51" s="134"/>
      <c r="K51" s="134"/>
      <c r="M51" s="134"/>
      <c r="O51" s="134"/>
      <c r="AI51"/>
      <c r="AJ51"/>
      <c r="AK51"/>
      <c r="AL51"/>
      <c r="AM51"/>
      <c r="AN51"/>
      <c r="AO51"/>
      <c r="AP51"/>
      <c r="DP51" s="134"/>
      <c r="DR51" s="134"/>
      <c r="DT51" s="134"/>
      <c r="DV51" s="134"/>
      <c r="DX51" s="134"/>
      <c r="DZ51" s="134"/>
    </row>
    <row r="52" spans="1:130" ht="150" customHeight="1">
      <c r="A52" s="240">
        <v>17</v>
      </c>
      <c r="E52" s="134"/>
      <c r="F52" s="134"/>
      <c r="G52" s="134"/>
      <c r="H52" s="134"/>
      <c r="I52" s="134"/>
      <c r="J52" s="134"/>
      <c r="K52" s="134"/>
      <c r="L52" s="134"/>
      <c r="M52" s="134"/>
      <c r="N52" s="134"/>
      <c r="O52" s="134"/>
      <c r="AI52"/>
      <c r="AJ52"/>
      <c r="AK52"/>
      <c r="AL52"/>
      <c r="AM52"/>
      <c r="AN52"/>
      <c r="AO52"/>
      <c r="AP52"/>
      <c r="DO52" s="134"/>
      <c r="DP52" s="134"/>
      <c r="DQ52" s="134"/>
      <c r="DR52" s="134"/>
      <c r="DS52" s="134"/>
      <c r="DT52" s="134"/>
      <c r="DU52" s="134"/>
      <c r="DV52" s="134"/>
      <c r="DW52" s="134"/>
      <c r="DX52" s="134"/>
      <c r="DY52" s="134"/>
      <c r="DZ52" s="134"/>
    </row>
    <row r="53" spans="1:130" ht="150" customHeight="1">
      <c r="A53" s="240">
        <v>18</v>
      </c>
      <c r="AI53"/>
      <c r="AJ53"/>
      <c r="AK53"/>
      <c r="AL53"/>
      <c r="AM53"/>
      <c r="AN53"/>
      <c r="AO53"/>
      <c r="AP53"/>
    </row>
    <row r="54" spans="1:130" ht="150" customHeight="1">
      <c r="A54" s="240">
        <v>19</v>
      </c>
      <c r="AI54"/>
      <c r="AJ54"/>
      <c r="AK54"/>
      <c r="AL54"/>
      <c r="AM54"/>
      <c r="AN54"/>
      <c r="AO54"/>
      <c r="AP54"/>
    </row>
    <row r="55" spans="1:130" ht="150" customHeight="1">
      <c r="A55" s="240">
        <v>20</v>
      </c>
      <c r="AI55"/>
      <c r="AJ55"/>
      <c r="AK55"/>
      <c r="AL55"/>
      <c r="AM55"/>
      <c r="AN55"/>
      <c r="AO55"/>
      <c r="AP55"/>
    </row>
    <row r="56" spans="1:130" ht="150" customHeight="1">
      <c r="A56" s="240">
        <v>21</v>
      </c>
      <c r="AI56"/>
      <c r="AJ56"/>
      <c r="AK56"/>
      <c r="AL56"/>
      <c r="AM56"/>
      <c r="AN56"/>
      <c r="AO56"/>
      <c r="AP56"/>
    </row>
    <row r="57" spans="1:130" ht="150" customHeight="1">
      <c r="A57" s="240">
        <v>22</v>
      </c>
      <c r="AI57"/>
      <c r="AJ57"/>
      <c r="AK57"/>
      <c r="AL57"/>
      <c r="AM57"/>
      <c r="AN57"/>
      <c r="AO57"/>
      <c r="AP57"/>
    </row>
    <row r="58" spans="1:130" ht="150" customHeight="1">
      <c r="A58" s="240">
        <v>23</v>
      </c>
      <c r="AI58"/>
      <c r="AJ58"/>
      <c r="AK58"/>
      <c r="AL58"/>
      <c r="AM58"/>
      <c r="AN58"/>
      <c r="AO58"/>
      <c r="AP58"/>
    </row>
    <row r="59" spans="1:130" ht="150" customHeight="1">
      <c r="A59" s="240">
        <v>24</v>
      </c>
      <c r="AI59"/>
      <c r="AJ59"/>
      <c r="AK59"/>
      <c r="AL59"/>
      <c r="AM59"/>
      <c r="AN59"/>
      <c r="AO59"/>
      <c r="AP59"/>
    </row>
    <row r="60" spans="1:130" ht="150" customHeight="1">
      <c r="A60" s="240">
        <v>25</v>
      </c>
      <c r="AI60"/>
      <c r="AJ60"/>
      <c r="AK60"/>
      <c r="AL60"/>
      <c r="AM60"/>
      <c r="AN60"/>
      <c r="AO60"/>
      <c r="AP60"/>
    </row>
    <row r="61" spans="1:130" ht="150" customHeight="1">
      <c r="A61" s="240">
        <v>26</v>
      </c>
      <c r="AI61"/>
      <c r="AJ61"/>
      <c r="AK61"/>
      <c r="AL61"/>
      <c r="AM61"/>
      <c r="AN61"/>
      <c r="AO61"/>
      <c r="AP61"/>
    </row>
    <row r="62" spans="1:130" ht="150" customHeight="1">
      <c r="A62" s="240">
        <v>27</v>
      </c>
      <c r="AI62"/>
      <c r="AJ62"/>
      <c r="AK62"/>
      <c r="AL62"/>
      <c r="AM62"/>
      <c r="AN62"/>
      <c r="AO62"/>
      <c r="AP62"/>
    </row>
    <row r="63" spans="1:130" ht="150" customHeight="1">
      <c r="AI63"/>
      <c r="AJ63"/>
      <c r="AK63"/>
      <c r="AL63"/>
      <c r="AM63"/>
      <c r="AN63"/>
      <c r="AO63"/>
      <c r="AP63"/>
    </row>
    <row r="64" spans="1:130" ht="150" customHeight="1">
      <c r="AI64"/>
      <c r="AJ64"/>
      <c r="AK64"/>
      <c r="AL64"/>
      <c r="AM64"/>
      <c r="AN64"/>
      <c r="AO64"/>
      <c r="AP64"/>
    </row>
    <row r="65" spans="35:42" ht="150" customHeight="1">
      <c r="AI65"/>
      <c r="AJ65"/>
      <c r="AK65"/>
      <c r="AL65"/>
      <c r="AM65"/>
      <c r="AN65"/>
      <c r="AO65"/>
      <c r="AP65"/>
    </row>
    <row r="66" spans="35:42" ht="150" customHeight="1">
      <c r="AI66"/>
      <c r="AJ66"/>
      <c r="AK66"/>
      <c r="AL66"/>
      <c r="AM66"/>
      <c r="AN66"/>
      <c r="AO66"/>
      <c r="AP66"/>
    </row>
    <row r="67" spans="35:42" ht="150" customHeight="1">
      <c r="AI67"/>
      <c r="AJ67"/>
      <c r="AK67"/>
      <c r="AL67"/>
      <c r="AM67"/>
      <c r="AN67"/>
      <c r="AO67"/>
      <c r="AP67"/>
    </row>
    <row r="68" spans="35:42" ht="150" customHeight="1">
      <c r="AI68"/>
      <c r="AJ68"/>
      <c r="AK68"/>
      <c r="AL68"/>
      <c r="AM68"/>
      <c r="AN68"/>
      <c r="AO68"/>
      <c r="AP68"/>
    </row>
    <row r="69" spans="35:42" ht="150" customHeight="1">
      <c r="AI69"/>
      <c r="AJ69"/>
      <c r="AK69"/>
      <c r="AL69"/>
      <c r="AM69"/>
      <c r="AN69"/>
      <c r="AO69"/>
      <c r="AP69"/>
    </row>
    <row r="70" spans="35:42" ht="150" customHeight="1">
      <c r="AI70"/>
      <c r="AJ70"/>
      <c r="AK70"/>
      <c r="AL70"/>
      <c r="AM70"/>
      <c r="AN70"/>
      <c r="AO70"/>
      <c r="AP70"/>
    </row>
    <row r="71" spans="35:42" ht="150" customHeight="1">
      <c r="AI71"/>
      <c r="AJ71"/>
      <c r="AK71"/>
      <c r="AL71"/>
      <c r="AM71"/>
      <c r="AN71"/>
      <c r="AO71"/>
      <c r="AP71"/>
    </row>
    <row r="72" spans="35:42" ht="150" customHeight="1"/>
    <row r="73" spans="35:42" ht="150" customHeight="1"/>
    <row r="74" spans="35:42" ht="150" customHeight="1"/>
    <row r="75" spans="35:42" ht="150" customHeight="1"/>
    <row r="76" spans="35:42" ht="150" customHeight="1"/>
    <row r="77" spans="35:42" ht="150" customHeight="1"/>
    <row r="78" spans="35:42" ht="150" customHeight="1"/>
    <row r="79" spans="35:42" ht="150" customHeight="1"/>
    <row r="80" spans="35:42" ht="150" customHeight="1"/>
    <row r="81" ht="150" customHeight="1"/>
    <row r="82" ht="150" customHeight="1"/>
    <row r="83" ht="150" customHeight="1"/>
    <row r="84" ht="150" customHeight="1"/>
    <row r="85" ht="150" customHeight="1"/>
    <row r="86" ht="150" customHeight="1"/>
    <row r="87" ht="150" customHeight="1"/>
    <row r="88" ht="150" customHeight="1"/>
    <row r="89" ht="150" customHeight="1"/>
    <row r="90" ht="150" customHeight="1"/>
    <row r="91" ht="150" customHeight="1"/>
    <row r="92" ht="150" customHeight="1"/>
    <row r="93" ht="150" customHeight="1"/>
    <row r="94" ht="150" customHeight="1"/>
    <row r="95" ht="150" customHeight="1"/>
    <row r="96" ht="150" customHeight="1"/>
    <row r="97" ht="150" customHeight="1"/>
    <row r="98" ht="150" customHeight="1"/>
    <row r="99" ht="150" customHeight="1"/>
    <row r="100" ht="150" customHeight="1"/>
    <row r="101" ht="150" customHeight="1"/>
    <row r="102" ht="150" customHeight="1"/>
  </sheetData>
  <phoneticPr fontId="38" type="noConversion"/>
  <pageMargins left="0.7" right="0.7" top="0.78740157499999996" bottom="0.78740157499999996"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4389C-BA69-4A3D-B51B-AAEE0943707D}">
  <sheetPr codeName="Tabelle19">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Kalk1_Eingabe!C4</f>
        <v>PREFA</v>
      </c>
      <c r="D4" s="547"/>
      <c r="E4" s="548"/>
      <c r="F4" s="150"/>
      <c r="G4" s="150"/>
      <c r="H4" s="151"/>
      <c r="I4" s="148"/>
    </row>
    <row r="5" spans="1:11" ht="16.5" customHeight="1">
      <c r="A5" s="148"/>
      <c r="B5" s="164" t="s">
        <v>22319</v>
      </c>
      <c r="C5" s="549" t="str">
        <f>Kalk1_Eingabe!C5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22501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2.11</v>
      </c>
      <c r="D11" s="151" t="s">
        <v>22394</v>
      </c>
      <c r="E11" s="163" t="s">
        <v>22397</v>
      </c>
      <c r="F11" s="177"/>
      <c r="G11" s="148"/>
      <c r="H11" s="148"/>
      <c r="I11" s="148"/>
    </row>
    <row r="12" spans="1:11" ht="14.25" customHeight="1">
      <c r="A12" s="179"/>
      <c r="B12" s="175" t="s">
        <v>22398</v>
      </c>
      <c r="C12" s="187">
        <v>62.14</v>
      </c>
      <c r="D12" s="151" t="s">
        <v>22372</v>
      </c>
      <c r="E12" s="163" t="s">
        <v>22399</v>
      </c>
      <c r="F12" s="178"/>
      <c r="G12" s="181"/>
      <c r="H12" s="148"/>
      <c r="I12" s="148"/>
    </row>
    <row r="13" spans="1:11" ht="14.25" customHeight="1">
      <c r="A13" s="148"/>
      <c r="B13" s="162" t="s">
        <v>22400</v>
      </c>
      <c r="C13" s="187">
        <v>25.78</v>
      </c>
      <c r="D13" s="168" t="s">
        <v>22401</v>
      </c>
      <c r="E13" s="183" t="s">
        <v>22402</v>
      </c>
      <c r="F13" s="177"/>
      <c r="G13" s="148"/>
      <c r="H13" s="148"/>
      <c r="I13" s="148"/>
    </row>
    <row r="14" spans="1:11" ht="14.25" customHeight="1">
      <c r="B14" s="162" t="s">
        <v>22502</v>
      </c>
      <c r="C14" s="187">
        <v>21.34</v>
      </c>
      <c r="D14" s="168" t="s">
        <v>22401</v>
      </c>
      <c r="E14" s="183" t="s">
        <v>22503</v>
      </c>
      <c r="H14" s="152" t="s">
        <v>24944</v>
      </c>
    </row>
    <row r="15" spans="1:11" ht="14.25" customHeight="1">
      <c r="B15" s="165" t="s">
        <v>22504</v>
      </c>
      <c r="C15" s="185">
        <f>ROUNDUP((Kalk1_Eingabe!C18+Kalk1_Eingabe!C20)/0.2,0)</f>
        <v>0</v>
      </c>
      <c r="D15" s="168" t="s">
        <v>20892</v>
      </c>
      <c r="E15" s="183" t="s">
        <v>22484</v>
      </c>
      <c r="H15" s="165" t="s">
        <v>22504</v>
      </c>
      <c r="I15" s="185">
        <f>ROUNDUP((Kalk1_Eingabe!C18+Kalk1_Eingabe!C20)/0.2,0)</f>
        <v>0</v>
      </c>
      <c r="J15" s="168" t="s">
        <v>20892</v>
      </c>
      <c r="K15" s="183" t="s">
        <v>22484</v>
      </c>
    </row>
    <row r="16" spans="1:11" ht="14.25" customHeight="1">
      <c r="B16" s="165" t="s">
        <v>22599</v>
      </c>
      <c r="C16" s="185">
        <f>(15+Kalk1!H29+10)/1000</f>
        <v>2.5000000000000001E-2</v>
      </c>
      <c r="D16" s="168" t="s">
        <v>6945</v>
      </c>
      <c r="E16" s="183" t="s">
        <v>22352</v>
      </c>
      <c r="H16" s="165" t="s">
        <v>22599</v>
      </c>
      <c r="I16" s="185">
        <f>(15+C15*200+10)/1000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MAX(Kalk1_Lastfallkombi!C50,Kalk1_Lastfallkombi!C60,Kalk1_Lastfallkombi!C65,Kalk1_Lastfallkombi!C69)</f>
        <v>#DIV/0!</v>
      </c>
      <c r="D27" s="190" t="s">
        <v>22379</v>
      </c>
      <c r="E27" s="183" t="s">
        <v>22487</v>
      </c>
    </row>
    <row r="28" spans="1:8" ht="14.25" customHeight="1" thickBot="1">
      <c r="B28" s="193" t="s">
        <v>22488</v>
      </c>
      <c r="C28" s="194" t="e">
        <f>MAX(Kalk1_Lastfallkombi!C51,Kalk1_Lastfallkombi!C61,Kalk1_Lastfallkombi!C66,Kalk1_Lastfallkombi!C70)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22.149255781638367</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0.82777346780449956</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4.1826400000000001</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Kalk1_Lastfallkombi!D24*Kalk1_Lastfallkombi!C15/100</f>
        <v>-0.1512</v>
      </c>
      <c r="D45" s="168" t="s">
        <v>22469</v>
      </c>
    </row>
    <row r="46" spans="1:4" ht="14.25" customHeight="1">
      <c r="B46" s="178" t="s">
        <v>22492</v>
      </c>
      <c r="C46" s="185">
        <f>5*C45/100*(Kalk1_Eingabe!C19*100-5)^4/(384*'Kalk1_DB_50-200'!C19*'Kalk1_DB_50-200'!C12)</f>
        <v>-2.8287938525909236E-8</v>
      </c>
      <c r="D46" s="168" t="s">
        <v>22416</v>
      </c>
    </row>
    <row r="47" spans="1:4" ht="14.25" customHeight="1" thickBot="1">
      <c r="B47" s="178" t="s">
        <v>22473</v>
      </c>
      <c r="C47" s="185">
        <f>(Kalk1_Eingabe!C19*100-5)/Haftungsausschluß!L34</f>
        <v>-3.3333333333333333E-2</v>
      </c>
      <c r="D47" s="168" t="s">
        <v>22416</v>
      </c>
    </row>
    <row r="48" spans="1:4" ht="14.25" customHeight="1" thickBot="1">
      <c r="B48" s="193" t="s">
        <v>22474</v>
      </c>
      <c r="C48" s="196">
        <f>C46/C47</f>
        <v>8.4863815577727707E-7</v>
      </c>
    </row>
    <row r="49" spans="2:5" ht="14.25" customHeight="1">
      <c r="B49" s="200" t="s">
        <v>22493</v>
      </c>
      <c r="C49" s="199" t="s">
        <v>22422</v>
      </c>
      <c r="D49" s="199" t="s">
        <v>21191</v>
      </c>
    </row>
    <row r="50" spans="2:5" ht="14.25" customHeight="1">
      <c r="B50" s="178" t="s">
        <v>22494</v>
      </c>
      <c r="C50" s="185" t="e">
        <f>Kalk1_Lastfallkombi!D38*Kalk1_Lastfallkombi!C14/100</f>
        <v>#DIV/0!</v>
      </c>
      <c r="D50" s="185">
        <f>Kalk1_Lastfallkombi!D26*Kalk1_Lastfallkombi!C14/100</f>
        <v>-0.14399999999999999</v>
      </c>
      <c r="E50" s="168" t="s">
        <v>22469</v>
      </c>
    </row>
    <row r="51" spans="2:5" ht="14.25" customHeight="1">
      <c r="B51" s="178" t="s">
        <v>22495</v>
      </c>
      <c r="C51" s="185" t="e">
        <f>5*C50/100*(Kalk1_Eingabe!C19*100-5)^4/(384*'Kalk1_DB_50-200'!C19*'Kalk1_DB_50-200'!C12)</f>
        <v>#DIV/0!</v>
      </c>
      <c r="D51" s="185">
        <f>5*D50/100*(Kalk1_Eingabe!C19*100-5)^4/(384*'Kalk1_DB_50-200'!C19*'Kalk1_DB_50-200'!C12)</f>
        <v>-2.6940893834199275E-8</v>
      </c>
      <c r="E51" s="168" t="s">
        <v>22416</v>
      </c>
    </row>
    <row r="52" spans="2:5" ht="14.25" customHeight="1">
      <c r="B52" s="165" t="s">
        <v>22496</v>
      </c>
      <c r="C52" s="185" t="e">
        <f>Kalk1_Lastfallkombi!D44</f>
        <v>#DIV/0!</v>
      </c>
      <c r="D52" s="185" t="e">
        <f>Kalk1_Lastfallkombi!D54</f>
        <v>#NUM!</v>
      </c>
      <c r="E52" s="168" t="s">
        <v>22469</v>
      </c>
    </row>
    <row r="53" spans="2:5" ht="14.25" customHeight="1">
      <c r="B53" s="165" t="s">
        <v>22497</v>
      </c>
      <c r="C53" s="185">
        <f>(Kalk1_Eingabe!C19-0.5-0.05)/2</f>
        <v>-0.27500000000000002</v>
      </c>
      <c r="D53" s="185">
        <f>C53</f>
        <v>-0.27500000000000002</v>
      </c>
      <c r="E53" s="168" t="s">
        <v>6945</v>
      </c>
    </row>
    <row r="54" spans="2:5" ht="14.25" customHeight="1">
      <c r="B54" s="165" t="s">
        <v>22498</v>
      </c>
      <c r="C54" s="185" t="e">
        <f>C52/100*(Kalk1_Eingabe!C19*100-5)^4/(384*'Kalk1_DB_50-200'!C19*'Kalk1_DB_50-200'!C12)*(5-24*('Kalk1_DB_50-200'!C53*100)^2/(Kalk1_Eingabe!C19*100-5)^2+16*('Kalk1_DB_50-200'!C53*100)^4/(Kalk1_Eingabe!C19*100-5)^4)</f>
        <v>#DIV/0!</v>
      </c>
      <c r="D54" s="185" t="e">
        <f>D52/100*(Kalk1_Eingabe!C19*100-5)^4/(384*'Kalk1_DB_50-200'!C19*'Kalk1_DB_50-200'!C12)*(5-24*('Kalk1_DB_50-200'!C53*100)^2/(Kalk1_Eingabe!C19*100-5)^2+16*('Kalk1_DB_50-200'!C53*100)^4/(Kalk1_Eingabe!C19*100-5)^4)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(Kalk1_Eingabe!C19*100-5)/150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119" priority="10" operator="greaterThan">
      <formula>1</formula>
    </cfRule>
    <cfRule type="dataBar" priority="11">
      <dataBar>
        <cfvo type="num" val="0"/>
        <cfvo type="num" val="0.99"/>
        <color rgb="FF638EC6"/>
      </dataBar>
      <extLst>
        <ext xmlns:x14="http://schemas.microsoft.com/office/spreadsheetml/2009/9/main" uri="{B025F937-C7B1-47D3-B67F-A62EFF666E3E}">
          <x14:id>{D990A321-D00D-48E7-ADC4-08D48EF6F51A}</x14:id>
        </ext>
      </extLst>
    </cfRule>
    <cfRule type="dataBar" priority="12">
      <dataBar>
        <cfvo type="num" val="0"/>
        <cfvo type="num" val="1"/>
        <color rgb="FF638EC6"/>
      </dataBar>
      <extLst>
        <ext xmlns:x14="http://schemas.microsoft.com/office/spreadsheetml/2009/9/main" uri="{B025F937-C7B1-47D3-B67F-A62EFF666E3E}">
          <x14:id>{3760430B-E591-4111-AF7D-901FB5AEDA5E}</x14:id>
        </ext>
      </extLst>
    </cfRule>
  </conditionalFormatting>
  <conditionalFormatting sqref="C41">
    <cfRule type="cellIs" dxfId="118" priority="7" operator="greaterThan">
      <formula>1</formula>
    </cfRule>
    <cfRule type="dataBar" priority="8">
      <dataBar>
        <cfvo type="num" val="0"/>
        <cfvo type="num" val="0.99"/>
        <color rgb="FF638EC6"/>
      </dataBar>
      <extLst>
        <ext xmlns:x14="http://schemas.microsoft.com/office/spreadsheetml/2009/9/main" uri="{B025F937-C7B1-47D3-B67F-A62EFF666E3E}">
          <x14:id>{CA72119A-7062-46A5-9FEE-386E387A7D98}</x14:id>
        </ext>
      </extLst>
    </cfRule>
    <cfRule type="dataBar" priority="9">
      <dataBar>
        <cfvo type="num" val="0"/>
        <cfvo type="num" val="1"/>
        <color rgb="FF638EC6"/>
      </dataBar>
      <extLst>
        <ext xmlns:x14="http://schemas.microsoft.com/office/spreadsheetml/2009/9/main" uri="{B025F937-C7B1-47D3-B67F-A62EFF666E3E}">
          <x14:id>{2BB7FEC2-891B-40F5-BBDC-E329FBD48399}</x14:id>
        </ext>
      </extLst>
    </cfRule>
  </conditionalFormatting>
  <conditionalFormatting sqref="C48">
    <cfRule type="cellIs" dxfId="117" priority="4" operator="greaterThan">
      <formula>1</formula>
    </cfRule>
    <cfRule type="dataBar" priority="5">
      <dataBar>
        <cfvo type="num" val="0"/>
        <cfvo type="num" val="0.99"/>
        <color rgb="FF638EC6"/>
      </dataBar>
      <extLst>
        <ext xmlns:x14="http://schemas.microsoft.com/office/spreadsheetml/2009/9/main" uri="{B025F937-C7B1-47D3-B67F-A62EFF666E3E}">
          <x14:id>{375A9380-543E-4EA5-8B02-228EB43218E3}</x14:id>
        </ext>
      </extLst>
    </cfRule>
    <cfRule type="dataBar" priority="6">
      <dataBar>
        <cfvo type="num" val="0"/>
        <cfvo type="num" val="1"/>
        <color rgb="FF638EC6"/>
      </dataBar>
      <extLst>
        <ext xmlns:x14="http://schemas.microsoft.com/office/spreadsheetml/2009/9/main" uri="{B025F937-C7B1-47D3-B67F-A62EFF666E3E}">
          <x14:id>{E58999FC-0884-4698-A9CF-10F4B5A22C30}</x14:id>
        </ext>
      </extLst>
    </cfRule>
  </conditionalFormatting>
  <conditionalFormatting sqref="C57">
    <cfRule type="cellIs" dxfId="116" priority="1" operator="greaterThan">
      <formula>1</formula>
    </cfRule>
    <cfRule type="dataBar" priority="2">
      <dataBar>
        <cfvo type="num" val="0"/>
        <cfvo type="num" val="0.99"/>
        <color rgb="FF638EC6"/>
      </dataBar>
      <extLst>
        <ext xmlns:x14="http://schemas.microsoft.com/office/spreadsheetml/2009/9/main" uri="{B025F937-C7B1-47D3-B67F-A62EFF666E3E}">
          <x14:id>{C42018A7-A36B-4FEE-9199-E11D43D61C8A}</x14:id>
        </ext>
      </extLst>
    </cfRule>
    <cfRule type="dataBar" priority="3">
      <dataBar>
        <cfvo type="num" val="0"/>
        <cfvo type="num" val="1"/>
        <color rgb="FF638EC6"/>
      </dataBar>
      <extLst>
        <ext xmlns:x14="http://schemas.microsoft.com/office/spreadsheetml/2009/9/main" uri="{B025F937-C7B1-47D3-B67F-A62EFF666E3E}">
          <x14:id>{304E7C06-CCE2-4E06-898E-66606E68FD8C}</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D990A321-D00D-48E7-ADC4-08D48EF6F51A}">
            <x14:dataBar minLength="0" maxLength="100">
              <x14:cfvo type="num">
                <xm:f>0</xm:f>
              </x14:cfvo>
              <x14:cfvo type="num">
                <xm:f>0.99</xm:f>
              </x14:cfvo>
              <x14:negativeFillColor rgb="FFFF0000"/>
              <x14:axisColor rgb="FF000000"/>
            </x14:dataBar>
          </x14:cfRule>
          <x14:cfRule type="dataBar" id="{3760430B-E591-4111-AF7D-901FB5AEDA5E}">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CA72119A-7062-46A5-9FEE-386E387A7D98}">
            <x14:dataBar minLength="0" maxLength="100">
              <x14:cfvo type="num">
                <xm:f>0</xm:f>
              </x14:cfvo>
              <x14:cfvo type="num">
                <xm:f>0.99</xm:f>
              </x14:cfvo>
              <x14:negativeFillColor rgb="FFFF0000"/>
              <x14:axisColor rgb="FF000000"/>
            </x14:dataBar>
          </x14:cfRule>
          <x14:cfRule type="dataBar" id="{2BB7FEC2-891B-40F5-BBDC-E329FBD48399}">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375A9380-543E-4EA5-8B02-228EB43218E3}">
            <x14:dataBar minLength="0" maxLength="100">
              <x14:cfvo type="num">
                <xm:f>0</xm:f>
              </x14:cfvo>
              <x14:cfvo type="num">
                <xm:f>0.99</xm:f>
              </x14:cfvo>
              <x14:negativeFillColor rgb="FFFF0000"/>
              <x14:axisColor rgb="FF000000"/>
            </x14:dataBar>
          </x14:cfRule>
          <x14:cfRule type="dataBar" id="{E58999FC-0884-4698-A9CF-10F4B5A22C30}">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C42018A7-A36B-4FEE-9199-E11D43D61C8A}">
            <x14:dataBar minLength="0" maxLength="100">
              <x14:cfvo type="num">
                <xm:f>0</xm:f>
              </x14:cfvo>
              <x14:cfvo type="num">
                <xm:f>0.99</xm:f>
              </x14:cfvo>
              <x14:negativeFillColor rgb="FFFF0000"/>
              <x14:axisColor rgb="FF000000"/>
            </x14:dataBar>
          </x14:cfRule>
          <x14:cfRule type="dataBar" id="{304E7C06-CCE2-4E06-898E-66606E68FD8C}">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09142-07B5-4041-B5E7-E0E9DA7B10C7}">
  <sheetPr codeName="Tabelle20">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Kalk1_Eingabe!C4</f>
        <v>PREFA</v>
      </c>
      <c r="D4" s="547"/>
      <c r="E4" s="548"/>
      <c r="F4" s="150"/>
      <c r="G4" s="150"/>
      <c r="H4" s="151"/>
      <c r="I4" s="148"/>
    </row>
    <row r="5" spans="1:11" ht="16.5" customHeight="1">
      <c r="A5" s="148"/>
      <c r="B5" s="164" t="s">
        <v>22319</v>
      </c>
      <c r="C5" s="549" t="str">
        <f>Kalk1_Eingabe!C5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22501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5.51</v>
      </c>
      <c r="D11" s="151" t="s">
        <v>22394</v>
      </c>
      <c r="E11" s="163" t="s">
        <v>22397</v>
      </c>
      <c r="F11" s="177"/>
      <c r="G11" s="148"/>
      <c r="H11" s="148"/>
      <c r="I11" s="148"/>
    </row>
    <row r="12" spans="1:11" ht="14.25" customHeight="1">
      <c r="A12" s="179"/>
      <c r="B12" s="175" t="s">
        <v>22398</v>
      </c>
      <c r="C12" s="187">
        <v>309.92</v>
      </c>
      <c r="D12" s="151" t="s">
        <v>22372</v>
      </c>
      <c r="E12" s="163" t="s">
        <v>22399</v>
      </c>
      <c r="F12" s="178"/>
      <c r="G12" s="181"/>
      <c r="H12" s="148"/>
      <c r="I12" s="148"/>
    </row>
    <row r="13" spans="1:11" ht="14.25" customHeight="1">
      <c r="A13" s="148"/>
      <c r="B13" s="162" t="s">
        <v>22400</v>
      </c>
      <c r="C13" s="187">
        <v>77.48</v>
      </c>
      <c r="D13" s="168" t="s">
        <v>22401</v>
      </c>
      <c r="E13" s="183" t="s">
        <v>22402</v>
      </c>
      <c r="F13" s="177"/>
      <c r="G13" s="148"/>
      <c r="H13" s="148"/>
      <c r="I13" s="148"/>
    </row>
    <row r="14" spans="1:11" ht="14.25" customHeight="1">
      <c r="B14" s="162" t="s">
        <v>22403</v>
      </c>
      <c r="C14" s="187">
        <v>88.67</v>
      </c>
      <c r="D14" s="168" t="s">
        <v>22401</v>
      </c>
      <c r="E14" s="183" t="s">
        <v>22404</v>
      </c>
      <c r="H14" s="152" t="s">
        <v>24944</v>
      </c>
    </row>
    <row r="15" spans="1:11" ht="14.25" customHeight="1">
      <c r="B15" s="165" t="s">
        <v>22504</v>
      </c>
      <c r="C15" s="185">
        <f>ROUNDUP((Kalk1_Eingabe!C18+Kalk1_Eingabe!C20)/0.2,0)</f>
        <v>0</v>
      </c>
      <c r="D15" s="168" t="s">
        <v>20892</v>
      </c>
      <c r="E15" s="183" t="s">
        <v>22484</v>
      </c>
      <c r="H15" s="165" t="s">
        <v>22504</v>
      </c>
      <c r="I15" s="185">
        <f>ROUNDUP((Kalk1_Eingabe!C18+Kalk1_Eingabe!C20)/0.2,0)</f>
        <v>0</v>
      </c>
      <c r="J15" s="168" t="s">
        <v>20892</v>
      </c>
      <c r="K15" s="183" t="s">
        <v>22484</v>
      </c>
    </row>
    <row r="16" spans="1:11" ht="14.25" customHeight="1">
      <c r="B16" s="165" t="s">
        <v>22599</v>
      </c>
      <c r="C16" s="185">
        <f>(15+Kalk1!H29+10)/1000</f>
        <v>2.5000000000000001E-2</v>
      </c>
      <c r="D16" s="168" t="s">
        <v>6945</v>
      </c>
      <c r="E16" s="183" t="s">
        <v>22352</v>
      </c>
      <c r="H16" s="165" t="s">
        <v>22599</v>
      </c>
      <c r="I16" s="185">
        <f>(15+C15*200+10)/1000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MAX(Kalk1_Lastfallkombi!C50,Kalk1_Lastfallkombi!C60,Kalk1_Lastfallkombi!C65,Kalk1_Lastfallkombi!C69)</f>
        <v>#DIV/0!</v>
      </c>
      <c r="D27" s="190" t="s">
        <v>22379</v>
      </c>
      <c r="E27" s="183" t="s">
        <v>22487</v>
      </c>
    </row>
    <row r="28" spans="1:8" ht="14.25" customHeight="1" thickBot="1">
      <c r="B28" s="193" t="s">
        <v>22488</v>
      </c>
      <c r="C28" s="194" t="e">
        <f>MAX(Kalk1_Lastfallkombi!C51,Kalk1_Lastfallkombi!C61,Kalk1_Lastfallkombi!C66,Kalk1_Lastfallkombi!C70)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57.839999695178861</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22600</v>
      </c>
      <c r="C36" s="185">
        <v>1.0900000000000001</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22601</v>
      </c>
      <c r="C39" s="185">
        <f>C13*C21/C23/100</f>
        <v>15.186079999999999</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Kalk1_Lastfallkombi!D24*Kalk1_Lastfallkombi!C15/100</f>
        <v>-0.1512</v>
      </c>
      <c r="D45" s="168" t="s">
        <v>22469</v>
      </c>
    </row>
    <row r="46" spans="1:4" ht="14.25" customHeight="1">
      <c r="B46" s="178" t="s">
        <v>22492</v>
      </c>
      <c r="C46" s="185">
        <f>5*C45/100*(Kalk1_Eingabe!C19*100-5)^4/(384*'Kalk1_DB_80-200'!C19*'Kalk1_DB_80-200'!C12)</f>
        <v>-5.6718266004130092E-9</v>
      </c>
      <c r="D46" s="168" t="s">
        <v>22416</v>
      </c>
    </row>
    <row r="47" spans="1:4" ht="14.25" customHeight="1" thickBot="1">
      <c r="B47" s="178" t="s">
        <v>22473</v>
      </c>
      <c r="C47" s="185">
        <f>(Kalk1_Eingabe!C19*100-5)/Haftungsausschluß!L34</f>
        <v>-3.3333333333333333E-2</v>
      </c>
      <c r="D47" s="168" t="s">
        <v>22416</v>
      </c>
    </row>
    <row r="48" spans="1:4" ht="14.25" customHeight="1" thickBot="1">
      <c r="B48" s="193" t="s">
        <v>22474</v>
      </c>
      <c r="C48" s="196">
        <f>C46/C47</f>
        <v>1.7015479801239028E-7</v>
      </c>
    </row>
    <row r="49" spans="2:5" ht="14.25" customHeight="1">
      <c r="B49" s="200" t="s">
        <v>22493</v>
      </c>
      <c r="C49" s="199" t="s">
        <v>22422</v>
      </c>
      <c r="D49" s="199" t="s">
        <v>21191</v>
      </c>
    </row>
    <row r="50" spans="2:5" ht="14.25" customHeight="1">
      <c r="B50" s="178" t="s">
        <v>22494</v>
      </c>
      <c r="C50" s="185" t="e">
        <f>Kalk1_Lastfallkombi!D38*Kalk1_Lastfallkombi!C14/100</f>
        <v>#DIV/0!</v>
      </c>
      <c r="D50" s="185">
        <f>Kalk1_Lastfallkombi!D26*Kalk1_Lastfallkombi!C14/100</f>
        <v>-0.14399999999999999</v>
      </c>
      <c r="E50" s="168" t="s">
        <v>22469</v>
      </c>
    </row>
    <row r="51" spans="2:5" ht="14.25" customHeight="1">
      <c r="B51" s="178" t="s">
        <v>22495</v>
      </c>
      <c r="C51" s="185" t="e">
        <f>5*C50/100*(Kalk1_Eingabe!C19*100-5)^4/(384*'Kalk1_DB_80-200'!C19*'Kalk1_DB_80-200'!C12)</f>
        <v>#DIV/0!</v>
      </c>
      <c r="D51" s="185">
        <f>5*D50/100*(Kalk1_Eingabe!C19*100-5)^4/(384*'Kalk1_DB_80-200'!C19*'Kalk1_DB_80-200'!C12)</f>
        <v>-5.4017396194409619E-9</v>
      </c>
      <c r="E51" s="168" t="s">
        <v>22416</v>
      </c>
    </row>
    <row r="52" spans="2:5" ht="14.25" customHeight="1">
      <c r="B52" s="165" t="s">
        <v>22496</v>
      </c>
      <c r="C52" s="185" t="e">
        <f>Kalk1_Lastfallkombi!D44</f>
        <v>#DIV/0!</v>
      </c>
      <c r="D52" s="185" t="e">
        <f>Kalk1_Lastfallkombi!D54</f>
        <v>#NUM!</v>
      </c>
      <c r="E52" s="168" t="s">
        <v>22469</v>
      </c>
    </row>
    <row r="53" spans="2:5" ht="14.25" customHeight="1">
      <c r="B53" s="165" t="s">
        <v>22497</v>
      </c>
      <c r="C53" s="185">
        <f>(Kalk1_Eingabe!C19-0.5-0.05)/2</f>
        <v>-0.27500000000000002</v>
      </c>
      <c r="D53" s="185">
        <f>C53</f>
        <v>-0.27500000000000002</v>
      </c>
      <c r="E53" s="168" t="s">
        <v>6945</v>
      </c>
    </row>
    <row r="54" spans="2:5" ht="14.25" customHeight="1">
      <c r="B54" s="165" t="s">
        <v>22498</v>
      </c>
      <c r="C54" s="185" t="e">
        <f>C52/100*(Kalk1_Eingabe!C19*100-5)^4/(384*'Kalk1_DB_80-200'!C19*'Kalk1_DB_80-200'!C12)*(5-24*('Kalk1_DB_80-200'!C53*100)^2/(Kalk1_Eingabe!C19*100-5)^2+16*('Kalk1_DB_80-200'!C53*100)^4/(Kalk1_Eingabe!C19*100-5)^4)</f>
        <v>#DIV/0!</v>
      </c>
      <c r="D54" s="185" t="e">
        <f>D52/100*(Kalk1_Eingabe!C19*100-5)^4/(384*'Kalk1_DB_80-200'!C19*'Kalk1_DB_80-200'!C12)*(5-24*('Kalk1_DB_80-200'!C53*100)^2/(Kalk1_Eingabe!C19*100-5)^2+16*('Kalk1_DB_80-200'!C53*100)^4/(Kalk1_Eingabe!C19*100-5)^4)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(Kalk1_Eingabe!C19*100-5)/150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115" priority="10" operator="greaterThan">
      <formula>1</formula>
    </cfRule>
    <cfRule type="dataBar" priority="11">
      <dataBar>
        <cfvo type="num" val="0"/>
        <cfvo type="num" val="0.99"/>
        <color rgb="FF638EC6"/>
      </dataBar>
      <extLst>
        <ext xmlns:x14="http://schemas.microsoft.com/office/spreadsheetml/2009/9/main" uri="{B025F937-C7B1-47D3-B67F-A62EFF666E3E}">
          <x14:id>{4DDB33AC-75E3-4BCD-93B4-A38D5899BDB4}</x14:id>
        </ext>
      </extLst>
    </cfRule>
    <cfRule type="dataBar" priority="12">
      <dataBar>
        <cfvo type="num" val="0"/>
        <cfvo type="num" val="1"/>
        <color rgb="FF638EC6"/>
      </dataBar>
      <extLst>
        <ext xmlns:x14="http://schemas.microsoft.com/office/spreadsheetml/2009/9/main" uri="{B025F937-C7B1-47D3-B67F-A62EFF666E3E}">
          <x14:id>{4F237970-15EE-4E14-A303-DB7736639AA3}</x14:id>
        </ext>
      </extLst>
    </cfRule>
  </conditionalFormatting>
  <conditionalFormatting sqref="C41">
    <cfRule type="cellIs" dxfId="114" priority="7" operator="greaterThan">
      <formula>1</formula>
    </cfRule>
    <cfRule type="dataBar" priority="8">
      <dataBar>
        <cfvo type="num" val="0"/>
        <cfvo type="num" val="0.99"/>
        <color rgb="FF638EC6"/>
      </dataBar>
      <extLst>
        <ext xmlns:x14="http://schemas.microsoft.com/office/spreadsheetml/2009/9/main" uri="{B025F937-C7B1-47D3-B67F-A62EFF666E3E}">
          <x14:id>{25ECE822-8ACB-43C8-97F9-78C69F061561}</x14:id>
        </ext>
      </extLst>
    </cfRule>
    <cfRule type="dataBar" priority="9">
      <dataBar>
        <cfvo type="num" val="0"/>
        <cfvo type="num" val="1"/>
        <color rgb="FF638EC6"/>
      </dataBar>
      <extLst>
        <ext xmlns:x14="http://schemas.microsoft.com/office/spreadsheetml/2009/9/main" uri="{B025F937-C7B1-47D3-B67F-A62EFF666E3E}">
          <x14:id>{972703EA-FB3F-45FA-99CA-3BEA3EEC61B1}</x14:id>
        </ext>
      </extLst>
    </cfRule>
  </conditionalFormatting>
  <conditionalFormatting sqref="C48">
    <cfRule type="cellIs" dxfId="113" priority="4" operator="greaterThan">
      <formula>1</formula>
    </cfRule>
    <cfRule type="dataBar" priority="5">
      <dataBar>
        <cfvo type="num" val="0"/>
        <cfvo type="num" val="0.99"/>
        <color rgb="FF638EC6"/>
      </dataBar>
      <extLst>
        <ext xmlns:x14="http://schemas.microsoft.com/office/spreadsheetml/2009/9/main" uri="{B025F937-C7B1-47D3-B67F-A62EFF666E3E}">
          <x14:id>{F5212568-07A3-4EB0-893F-1997D127DB7E}</x14:id>
        </ext>
      </extLst>
    </cfRule>
    <cfRule type="dataBar" priority="6">
      <dataBar>
        <cfvo type="num" val="0"/>
        <cfvo type="num" val="1"/>
        <color rgb="FF638EC6"/>
      </dataBar>
      <extLst>
        <ext xmlns:x14="http://schemas.microsoft.com/office/spreadsheetml/2009/9/main" uri="{B025F937-C7B1-47D3-B67F-A62EFF666E3E}">
          <x14:id>{15CBBF39-0084-4E45-855D-E37475495E78}</x14:id>
        </ext>
      </extLst>
    </cfRule>
  </conditionalFormatting>
  <conditionalFormatting sqref="C57">
    <cfRule type="cellIs" dxfId="112" priority="1" operator="greaterThan">
      <formula>1</formula>
    </cfRule>
    <cfRule type="dataBar" priority="2">
      <dataBar>
        <cfvo type="num" val="0"/>
        <cfvo type="num" val="0.99"/>
        <color rgb="FF638EC6"/>
      </dataBar>
      <extLst>
        <ext xmlns:x14="http://schemas.microsoft.com/office/spreadsheetml/2009/9/main" uri="{B025F937-C7B1-47D3-B67F-A62EFF666E3E}">
          <x14:id>{235A6374-8778-4F6A-9F56-193C18A27E3B}</x14:id>
        </ext>
      </extLst>
    </cfRule>
    <cfRule type="dataBar" priority="3">
      <dataBar>
        <cfvo type="num" val="0"/>
        <cfvo type="num" val="1"/>
        <color rgb="FF638EC6"/>
      </dataBar>
      <extLst>
        <ext xmlns:x14="http://schemas.microsoft.com/office/spreadsheetml/2009/9/main" uri="{B025F937-C7B1-47D3-B67F-A62EFF666E3E}">
          <x14:id>{6D2DA162-EC0A-48E9-8699-184F7E5FD5B4}</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4DDB33AC-75E3-4BCD-93B4-A38D5899BDB4}">
            <x14:dataBar minLength="0" maxLength="100">
              <x14:cfvo type="num">
                <xm:f>0</xm:f>
              </x14:cfvo>
              <x14:cfvo type="num">
                <xm:f>0.99</xm:f>
              </x14:cfvo>
              <x14:negativeFillColor rgb="FFFF0000"/>
              <x14:axisColor rgb="FF000000"/>
            </x14:dataBar>
          </x14:cfRule>
          <x14:cfRule type="dataBar" id="{4F237970-15EE-4E14-A303-DB7736639AA3}">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25ECE822-8ACB-43C8-97F9-78C69F061561}">
            <x14:dataBar minLength="0" maxLength="100">
              <x14:cfvo type="num">
                <xm:f>0</xm:f>
              </x14:cfvo>
              <x14:cfvo type="num">
                <xm:f>0.99</xm:f>
              </x14:cfvo>
              <x14:negativeFillColor rgb="FFFF0000"/>
              <x14:axisColor rgb="FF000000"/>
            </x14:dataBar>
          </x14:cfRule>
          <x14:cfRule type="dataBar" id="{972703EA-FB3F-45FA-99CA-3BEA3EEC61B1}">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F5212568-07A3-4EB0-893F-1997D127DB7E}">
            <x14:dataBar minLength="0" maxLength="100">
              <x14:cfvo type="num">
                <xm:f>0</xm:f>
              </x14:cfvo>
              <x14:cfvo type="num">
                <xm:f>0.99</xm:f>
              </x14:cfvo>
              <x14:negativeFillColor rgb="FFFF0000"/>
              <x14:axisColor rgb="FF000000"/>
            </x14:dataBar>
          </x14:cfRule>
          <x14:cfRule type="dataBar" id="{15CBBF39-0084-4E45-855D-E37475495E78}">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235A6374-8778-4F6A-9F56-193C18A27E3B}">
            <x14:dataBar minLength="0" maxLength="100">
              <x14:cfvo type="num">
                <xm:f>0</xm:f>
              </x14:cfvo>
              <x14:cfvo type="num">
                <xm:f>0.99</xm:f>
              </x14:cfvo>
              <x14:negativeFillColor rgb="FFFF0000"/>
              <x14:axisColor rgb="FF000000"/>
            </x14:dataBar>
          </x14:cfRule>
          <x14:cfRule type="dataBar" id="{6D2DA162-EC0A-48E9-8699-184F7E5FD5B4}">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6868A-9014-4F7A-8B18-7C1779B20AA2}">
  <sheetPr codeName="Tabelle21"/>
  <dimension ref="A1:AC582"/>
  <sheetViews>
    <sheetView workbookViewId="0"/>
  </sheetViews>
  <sheetFormatPr baseColWidth="10" defaultColWidth="11.42578125" defaultRowHeight="12.75"/>
  <cols>
    <col min="1" max="1" width="4.28515625" style="152" customWidth="1"/>
    <col min="2" max="2" width="38.7109375" style="152" customWidth="1"/>
    <col min="3" max="4" width="20.7109375" style="152" customWidth="1"/>
    <col min="5"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44901</v>
      </c>
      <c r="H3" s="156" t="s">
        <v>22312</v>
      </c>
      <c r="I3" s="158" t="s">
        <v>22313</v>
      </c>
    </row>
    <row r="4" spans="1:9" ht="16.5" customHeight="1">
      <c r="A4" s="148"/>
      <c r="B4" s="160" t="s">
        <v>22316</v>
      </c>
      <c r="C4" s="547" t="str">
        <f>Kalk1_Eingabe!C4</f>
        <v>PREFA</v>
      </c>
      <c r="D4" s="547"/>
      <c r="E4" s="548"/>
      <c r="F4" s="150"/>
      <c r="G4" s="150"/>
      <c r="H4" s="151"/>
      <c r="I4" s="148"/>
    </row>
    <row r="5" spans="1:9" ht="16.5" customHeight="1">
      <c r="A5" s="148"/>
      <c r="B5" s="164" t="s">
        <v>22319</v>
      </c>
      <c r="C5" s="549" t="str">
        <f>Kalk1_Eingabe!C5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22326</v>
      </c>
      <c r="C7" s="148"/>
      <c r="D7" s="168"/>
      <c r="E7" s="168"/>
      <c r="F7" s="148"/>
      <c r="G7" s="148"/>
      <c r="H7" s="148"/>
      <c r="I7" s="148"/>
    </row>
    <row r="8" spans="1:9" ht="16.5" customHeight="1">
      <c r="A8" s="148"/>
      <c r="B8" s="170"/>
      <c r="C8" s="148"/>
      <c r="D8" s="168"/>
      <c r="E8" s="168"/>
      <c r="F8" s="148"/>
      <c r="G8" s="148"/>
      <c r="H8" s="148"/>
      <c r="I8" s="148"/>
    </row>
    <row r="9" spans="1:9" ht="14.25" customHeight="1">
      <c r="A9" s="148"/>
      <c r="B9" s="148"/>
      <c r="C9" s="148"/>
      <c r="D9" s="168"/>
      <c r="E9" s="168"/>
      <c r="F9" s="148"/>
      <c r="G9" s="148"/>
      <c r="H9" s="148"/>
      <c r="I9" s="148"/>
    </row>
    <row r="10" spans="1:9" ht="14.25" customHeight="1" thickBot="1">
      <c r="A10" s="171" t="s">
        <v>22327</v>
      </c>
      <c r="B10" s="172" t="s">
        <v>22505</v>
      </c>
      <c r="C10" s="148"/>
      <c r="D10" s="168"/>
      <c r="E10" s="168"/>
      <c r="F10" s="148"/>
      <c r="G10" s="148"/>
      <c r="H10" s="148"/>
      <c r="I10" s="148"/>
    </row>
    <row r="11" spans="1:9" ht="14.25" customHeight="1" thickBot="1">
      <c r="A11" s="148"/>
      <c r="B11" s="173"/>
      <c r="C11" s="201" t="s">
        <v>22506</v>
      </c>
      <c r="D11" s="201" t="s">
        <v>22507</v>
      </c>
      <c r="E11" s="168"/>
      <c r="F11" s="148"/>
      <c r="G11" s="148"/>
      <c r="H11" s="148"/>
      <c r="I11" s="148"/>
    </row>
    <row r="12" spans="1:9" ht="14.25" customHeight="1">
      <c r="A12" s="148"/>
      <c r="B12" s="175" t="s">
        <v>22508</v>
      </c>
      <c r="C12" s="202">
        <v>1.35</v>
      </c>
      <c r="D12" s="202">
        <v>1</v>
      </c>
      <c r="F12" s="177"/>
      <c r="G12" s="148"/>
      <c r="H12" s="148"/>
      <c r="I12" s="148"/>
    </row>
    <row r="13" spans="1:9" ht="14.25" customHeight="1">
      <c r="A13" s="148"/>
      <c r="B13" s="175" t="s">
        <v>22509</v>
      </c>
      <c r="C13" s="203">
        <v>0.9</v>
      </c>
      <c r="D13" s="203">
        <f>C13</f>
        <v>0.9</v>
      </c>
      <c r="F13" s="177"/>
      <c r="G13" s="148"/>
      <c r="H13" s="148"/>
      <c r="I13" s="148"/>
    </row>
    <row r="14" spans="1:9" ht="14.25" customHeight="1">
      <c r="A14" s="148"/>
      <c r="B14" s="175" t="s">
        <v>22314</v>
      </c>
      <c r="C14" s="203">
        <f>IF(Kalk1_Eingabe!C22="50/150",Kalk1_Eingabe!N5,IF(Kalk1_Eingabe!C22="50/200",Kalk1_Eingabe!N6,IF(Kalk1_Eingabe!C22="80/200",Kalk1_Eingabe!N7,IF(Kalk1_Eingabe!C22="25/200",Kalk1_Eingabe!N8))))</f>
        <v>20</v>
      </c>
      <c r="D14" s="204"/>
      <c r="E14" s="168" t="s">
        <v>22416</v>
      </c>
      <c r="F14" s="163" t="s">
        <v>22318</v>
      </c>
      <c r="G14" s="148"/>
      <c r="I14" s="148"/>
    </row>
    <row r="15" spans="1:9" ht="14.25" customHeight="1" thickBot="1">
      <c r="A15" s="148"/>
      <c r="B15" s="175" t="s">
        <v>22315</v>
      </c>
      <c r="C15" s="205">
        <f>IF(Kalk1_Eingabe!C22="50/150",Kalk1_Eingabe!O5,IF(Kalk1_Eingabe!C22="50/200",Kalk1_Eingabe!O6,IF(Kalk1_Eingabe!C22="80/200",Kalk1_Eingabe!O7,IF(Kalk1_Eingabe!C22="25/200",Kalk1_Eingabe!O8))))</f>
        <v>21</v>
      </c>
      <c r="D15" s="206"/>
      <c r="E15" s="168" t="s">
        <v>22416</v>
      </c>
      <c r="F15" s="163" t="s">
        <v>22323</v>
      </c>
      <c r="G15" s="148"/>
      <c r="I15" s="148"/>
    </row>
    <row r="16" spans="1:9" ht="5.0999999999999996" customHeight="1">
      <c r="A16" s="148"/>
      <c r="B16" s="175"/>
      <c r="C16" s="207"/>
      <c r="D16" s="208"/>
      <c r="E16" s="168"/>
      <c r="F16" s="163"/>
      <c r="G16" s="148"/>
      <c r="I16" s="148"/>
    </row>
    <row r="17" spans="1:9" ht="24" customHeight="1" thickBot="1">
      <c r="A17" s="171" t="s">
        <v>22353</v>
      </c>
      <c r="B17" s="172" t="s">
        <v>22510</v>
      </c>
      <c r="C17" s="209" t="s">
        <v>22511</v>
      </c>
      <c r="D17" s="210" t="s">
        <v>22512</v>
      </c>
      <c r="I17" s="148"/>
    </row>
    <row r="18" spans="1:9" ht="14.25" customHeight="1">
      <c r="A18" s="211" t="s">
        <v>22513</v>
      </c>
      <c r="B18" s="212" t="s">
        <v>21191</v>
      </c>
      <c r="C18" s="213"/>
      <c r="D18" s="213"/>
      <c r="G18" s="181"/>
      <c r="I18" s="148"/>
    </row>
    <row r="19" spans="1:9" ht="14.25" customHeight="1">
      <c r="A19" s="179"/>
      <c r="B19" s="175" t="s">
        <v>22514</v>
      </c>
      <c r="C19" s="203">
        <f>C13*C12*Kalk1_Eingabe!C29</f>
        <v>0.30375000000000002</v>
      </c>
      <c r="D19" s="203">
        <f>D13*D12*Kalk1_Eingabe!C29</f>
        <v>0.22500000000000001</v>
      </c>
      <c r="E19" s="168" t="s">
        <v>22358</v>
      </c>
      <c r="G19" s="148"/>
      <c r="I19" s="148"/>
    </row>
    <row r="20" spans="1:9" ht="14.25" customHeight="1">
      <c r="A20" s="179"/>
      <c r="B20" s="175" t="s">
        <v>22515</v>
      </c>
      <c r="C20" s="203">
        <f>C13*Kalk1_Lastfallkombi!C12*Kalk1_Eingabe!C32</f>
        <v>0</v>
      </c>
      <c r="D20" s="203">
        <f>D13*Kalk1_Lastfallkombi!D12*Kalk1_Eingabe!C32</f>
        <v>0</v>
      </c>
      <c r="E20" s="168"/>
      <c r="G20" s="148"/>
      <c r="I20" s="148"/>
    </row>
    <row r="21" spans="1:9" ht="14.25" customHeight="1">
      <c r="B21" s="214" t="s">
        <v>22516</v>
      </c>
      <c r="C21" s="215"/>
      <c r="D21" s="203"/>
      <c r="E21" s="168"/>
    </row>
    <row r="22" spans="1:9" ht="14.25" customHeight="1">
      <c r="B22" s="175" t="s">
        <v>22517</v>
      </c>
      <c r="C22" s="203">
        <f>C19</f>
        <v>0.30375000000000002</v>
      </c>
      <c r="D22" s="203">
        <f>D19</f>
        <v>0.22500000000000001</v>
      </c>
      <c r="E22" s="168" t="s">
        <v>22358</v>
      </c>
    </row>
    <row r="23" spans="1:9" ht="14.25" customHeight="1">
      <c r="A23" s="179"/>
      <c r="B23" s="175" t="s">
        <v>22518</v>
      </c>
      <c r="C23" s="203">
        <f>C19*(Kalk1_Eingabe!C24-C15/100)/Kalk1_Eingabe!C24</f>
        <v>-2.2477499999999999</v>
      </c>
      <c r="D23" s="203">
        <f>D19*(Kalk1_Eingabe!C24-C15/100)/Kalk1_Eingabe!C24</f>
        <v>-1.665</v>
      </c>
      <c r="E23" s="168" t="s">
        <v>22358</v>
      </c>
    </row>
    <row r="24" spans="1:9" ht="14.25" customHeight="1">
      <c r="B24" s="175" t="s">
        <v>22519</v>
      </c>
      <c r="C24" s="203">
        <f>(C22+C23)/2+C20</f>
        <v>-0.97199999999999998</v>
      </c>
      <c r="D24" s="203">
        <f>(D22+D23)/2+D20</f>
        <v>-0.72</v>
      </c>
      <c r="E24" s="168" t="s">
        <v>22358</v>
      </c>
      <c r="F24" s="163" t="s">
        <v>22520</v>
      </c>
    </row>
    <row r="25" spans="1:9" ht="14.25" customHeight="1">
      <c r="B25" s="214" t="s">
        <v>22521</v>
      </c>
      <c r="C25" s="215"/>
      <c r="D25" s="215"/>
      <c r="E25" s="168"/>
    </row>
    <row r="26" spans="1:9" ht="14.25" customHeight="1">
      <c r="B26" s="175" t="s">
        <v>22522</v>
      </c>
      <c r="C26" s="203">
        <f>VLOOKUP(P102+1,K47:Y94,15,FALSE)</f>
        <v>-0.97199999999999998</v>
      </c>
      <c r="D26" s="203">
        <f>VLOOKUP(P102+1,K47:AC94,19,FALSE)</f>
        <v>-0.72</v>
      </c>
      <c r="E26" s="168" t="s">
        <v>22358</v>
      </c>
      <c r="F26" s="163" t="s">
        <v>22523</v>
      </c>
    </row>
    <row r="27" spans="1:9" ht="14.25" customHeight="1">
      <c r="B27" s="165" t="s">
        <v>22524</v>
      </c>
      <c r="C27" s="203" t="e">
        <f>C12*C13*Kalk1_Eingabe!C46</f>
        <v>#NUM!</v>
      </c>
      <c r="D27" s="203" t="e">
        <f>D12*D13*Kalk1_Eingabe!C46</f>
        <v>#NUM!</v>
      </c>
      <c r="E27" s="168" t="s">
        <v>22379</v>
      </c>
      <c r="F27" s="163" t="s">
        <v>22525</v>
      </c>
    </row>
    <row r="28" spans="1:9" ht="14.25" customHeight="1">
      <c r="B28" s="165" t="s">
        <v>22526</v>
      </c>
      <c r="C28" s="203" t="e">
        <f>C12*C13*Kalk1_Eingabe!C47</f>
        <v>#NUM!</v>
      </c>
      <c r="D28" s="203" t="e">
        <f>D12*D13*Kalk1_Eingabe!C47</f>
        <v>#NUM!</v>
      </c>
      <c r="E28" s="168" t="s">
        <v>22379</v>
      </c>
      <c r="F28" s="163" t="s">
        <v>22527</v>
      </c>
    </row>
    <row r="29" spans="1:9" ht="5.0999999999999996" customHeight="1">
      <c r="B29" s="165"/>
      <c r="C29" s="203"/>
      <c r="D29" s="203"/>
      <c r="F29" s="163"/>
    </row>
    <row r="30" spans="1:9" ht="14.25" customHeight="1">
      <c r="A30" s="216" t="s">
        <v>22528</v>
      </c>
      <c r="B30" s="212" t="s">
        <v>22422</v>
      </c>
      <c r="C30" s="203"/>
      <c r="D30" s="203"/>
      <c r="F30" s="163"/>
    </row>
    <row r="31" spans="1:9" ht="14.25" customHeight="1">
      <c r="B31" s="175" t="s">
        <v>22529</v>
      </c>
      <c r="C31" s="203">
        <f>C12*Kalk1_Eingabe!C28</f>
        <v>0</v>
      </c>
      <c r="D31" s="203">
        <f>D12*Kalk1_Eingabe!C28</f>
        <v>0</v>
      </c>
      <c r="E31" s="168" t="s">
        <v>22358</v>
      </c>
      <c r="F31" s="163"/>
      <c r="G31" s="185"/>
    </row>
    <row r="32" spans="1:9" ht="14.25" customHeight="1">
      <c r="B32" s="175" t="s">
        <v>22530</v>
      </c>
      <c r="C32" s="203">
        <f>Kalk1_Lastfallkombi!C12*Kalk1_Eingabe!C32</f>
        <v>0</v>
      </c>
      <c r="D32" s="203">
        <f>Kalk1_Lastfallkombi!D12*Kalk1_Eingabe!C32</f>
        <v>0</v>
      </c>
      <c r="E32" s="168"/>
      <c r="F32" s="163"/>
    </row>
    <row r="33" spans="1:29" ht="14.25" customHeight="1">
      <c r="B33" s="214" t="s">
        <v>22516</v>
      </c>
      <c r="C33" s="215"/>
      <c r="D33" s="215"/>
      <c r="E33" s="168"/>
      <c r="F33" s="163"/>
      <c r="G33" s="185"/>
    </row>
    <row r="34" spans="1:29" ht="14.25" customHeight="1">
      <c r="B34" s="175" t="s">
        <v>22531</v>
      </c>
      <c r="C34" s="203">
        <f>C31</f>
        <v>0</v>
      </c>
      <c r="D34" s="203">
        <f>D31</f>
        <v>0</v>
      </c>
      <c r="E34" s="168" t="s">
        <v>22358</v>
      </c>
      <c r="F34" s="183"/>
      <c r="G34" s="185"/>
    </row>
    <row r="35" spans="1:29" ht="14.25" customHeight="1">
      <c r="B35" s="175" t="s">
        <v>22532</v>
      </c>
      <c r="C35" s="203" t="e">
        <f>C31*(Kalk1_Eingabe!C18-Kalk1_Lastfallkombi!C15/100)/Kalk1_Eingabe!C18</f>
        <v>#DIV/0!</v>
      </c>
      <c r="D35" s="203" t="e">
        <f>D31*(Kalk1_Eingabe!C18-Kalk1_Lastfallkombi!C15/100)/Kalk1_Eingabe!C18</f>
        <v>#DIV/0!</v>
      </c>
      <c r="E35" s="168" t="s">
        <v>22358</v>
      </c>
      <c r="F35" s="183"/>
      <c r="G35" s="185"/>
    </row>
    <row r="36" spans="1:29" ht="14.25" customHeight="1">
      <c r="B36" s="175" t="s">
        <v>22533</v>
      </c>
      <c r="C36" s="203" t="e">
        <f>(C34+C35)/2+C32</f>
        <v>#DIV/0!</v>
      </c>
      <c r="D36" s="203" t="e">
        <f>(D34+D35)/2+D32</f>
        <v>#DIV/0!</v>
      </c>
      <c r="E36" s="168" t="s">
        <v>22358</v>
      </c>
      <c r="F36" s="163" t="s">
        <v>22520</v>
      </c>
      <c r="K36" s="152" t="s">
        <v>22534</v>
      </c>
      <c r="L36" s="152">
        <f>IF(Kalk1_Eingabe!C22="50/150",'Kalk1_DB_50-150'!C15,IF(Kalk1_Eingabe!C22="50/200",'Kalk1_DB_50-200'!C15,IF(Kalk1_Eingabe!C22="80/200",'Kalk1_DB_80-200'!C15,IF(Kalk1_Eingabe!C22="25/200",'Kalk1_DB_25-200'!C15))))</f>
        <v>0</v>
      </c>
      <c r="M36" s="152" t="s">
        <v>20892</v>
      </c>
    </row>
    <row r="37" spans="1:29" ht="14.25" customHeight="1">
      <c r="B37" s="214" t="s">
        <v>22535</v>
      </c>
      <c r="C37" s="215"/>
      <c r="D37" s="215"/>
      <c r="E37" s="168"/>
      <c r="L37" s="152">
        <v>2</v>
      </c>
    </row>
    <row r="38" spans="1:29" ht="14.25" customHeight="1">
      <c r="B38" s="217" t="s">
        <v>22536</v>
      </c>
      <c r="C38" s="203" t="e">
        <f>VLOOKUP(P98+1,K47:U94,7,FALSE)</f>
        <v>#DIV/0!</v>
      </c>
      <c r="D38" s="203" t="e">
        <f>VLOOKUP(P98+1,K47:U94,11,FALSE)</f>
        <v>#DIV/0!</v>
      </c>
      <c r="E38" s="168" t="s">
        <v>22358</v>
      </c>
      <c r="F38" s="218" t="s">
        <v>22523</v>
      </c>
      <c r="K38" s="152" t="s">
        <v>22537</v>
      </c>
    </row>
    <row r="39" spans="1:29" ht="14.25" customHeight="1">
      <c r="B39" s="165" t="s">
        <v>22538</v>
      </c>
      <c r="C39" s="203" t="e">
        <f>C12*Kalk1_Eingabe!C39</f>
        <v>#DIV/0!</v>
      </c>
      <c r="D39" s="203" t="e">
        <f>D12*Kalk1_Eingabe!C39</f>
        <v>#DIV/0!</v>
      </c>
      <c r="E39" s="168" t="s">
        <v>22379</v>
      </c>
      <c r="F39" s="218" t="s">
        <v>22525</v>
      </c>
      <c r="L39" s="152" t="s">
        <v>22539</v>
      </c>
      <c r="M39" s="152" t="s">
        <v>22540</v>
      </c>
    </row>
    <row r="40" spans="1:29" ht="14.25" customHeight="1">
      <c r="B40" s="165" t="s">
        <v>22541</v>
      </c>
      <c r="C40" s="203" t="e">
        <f>C12*Kalk1_Eingabe!C40</f>
        <v>#DIV/0!</v>
      </c>
      <c r="D40" s="203" t="e">
        <f>D12*Kalk1_Eingabe!C40</f>
        <v>#DIV/0!</v>
      </c>
      <c r="E40" s="168" t="s">
        <v>22379</v>
      </c>
      <c r="F40" s="218" t="s">
        <v>22527</v>
      </c>
      <c r="K40" s="152" t="s">
        <v>22542</v>
      </c>
      <c r="L40" s="152">
        <v>0</v>
      </c>
      <c r="M40" s="152">
        <v>0</v>
      </c>
    </row>
    <row r="41" spans="1:29" ht="5.0999999999999996" customHeight="1" thickBot="1">
      <c r="C41" s="206"/>
      <c r="D41" s="206"/>
      <c r="L41" s="152">
        <f>L37+0.5</f>
        <v>2.5</v>
      </c>
      <c r="M41" s="152">
        <v>0</v>
      </c>
    </row>
    <row r="42" spans="1:29" ht="14.25" customHeight="1" thickBot="1">
      <c r="A42" s="171" t="s">
        <v>22413</v>
      </c>
      <c r="B42" s="172" t="s">
        <v>22543</v>
      </c>
      <c r="C42" s="201" t="s">
        <v>22506</v>
      </c>
      <c r="D42" s="201" t="s">
        <v>22507</v>
      </c>
      <c r="K42" s="152" t="s">
        <v>22544</v>
      </c>
      <c r="L42" s="152">
        <f>L37</f>
        <v>2</v>
      </c>
      <c r="M42" s="152">
        <v>0</v>
      </c>
    </row>
    <row r="43" spans="1:29" ht="14.25" customHeight="1">
      <c r="A43" s="219" t="s">
        <v>22528</v>
      </c>
      <c r="B43" s="192" t="s">
        <v>22545</v>
      </c>
      <c r="C43" s="213"/>
      <c r="D43" s="213"/>
      <c r="L43" s="152">
        <f>L42</f>
        <v>2</v>
      </c>
      <c r="M43" s="185">
        <f>Kalk1_Eingabe!C24</f>
        <v>2.5000000000000001E-2</v>
      </c>
    </row>
    <row r="44" spans="1:29" ht="14.25" customHeight="1">
      <c r="B44" s="165" t="s">
        <v>22496</v>
      </c>
      <c r="C44" s="203" t="e">
        <f>C39/Kalk1_Eingabe!C41/0.5</f>
        <v>#DIV/0!</v>
      </c>
      <c r="D44" s="203" t="e">
        <f>D39/Kalk1_Eingabe!C41/0.5</f>
        <v>#DIV/0!</v>
      </c>
      <c r="E44" s="168" t="s">
        <v>22469</v>
      </c>
      <c r="K44" s="152" t="s">
        <v>22422</v>
      </c>
      <c r="L44" s="152">
        <v>0</v>
      </c>
      <c r="M44" s="185">
        <f>Kalk1_Eingabe!C18</f>
        <v>0</v>
      </c>
      <c r="N44" s="551" t="s">
        <v>22546</v>
      </c>
      <c r="O44" s="552"/>
      <c r="P44" s="552"/>
      <c r="Q44" s="553"/>
      <c r="R44" s="551" t="s">
        <v>22547</v>
      </c>
      <c r="S44" s="552"/>
      <c r="T44" s="552"/>
      <c r="U44" s="553"/>
      <c r="V44" s="551" t="s">
        <v>22548</v>
      </c>
      <c r="W44" s="552"/>
      <c r="X44" s="552"/>
      <c r="Y44" s="553"/>
      <c r="Z44" s="551" t="s">
        <v>22547</v>
      </c>
      <c r="AA44" s="552"/>
      <c r="AB44" s="552"/>
      <c r="AC44" s="553"/>
    </row>
    <row r="45" spans="1:29" ht="14.25" customHeight="1">
      <c r="B45" s="165" t="s">
        <v>22549</v>
      </c>
      <c r="C45" s="203" t="e">
        <f>C44*0.5*(2*((Kalk1_Eingabe!C19-0.5)/2)+0.5)/(2*Kalk1_Eingabe!C19)</f>
        <v>#DIV/0!</v>
      </c>
      <c r="D45" s="203" t="e">
        <f>D44*0.5*(2*((Kalk1_Eingabe!C19-0.5)/2)+0.5)/(2*Kalk1_Eingabe!C19)</f>
        <v>#DIV/0!</v>
      </c>
      <c r="E45" s="168" t="s">
        <v>22379</v>
      </c>
      <c r="F45" s="163"/>
      <c r="L45" s="152">
        <f>L43</f>
        <v>2</v>
      </c>
      <c r="M45" s="185">
        <f>M44</f>
        <v>0</v>
      </c>
      <c r="N45" s="220"/>
      <c r="O45" s="221"/>
      <c r="P45" s="221"/>
      <c r="Q45" s="222"/>
      <c r="R45" s="220"/>
      <c r="S45" s="221"/>
      <c r="T45" s="221"/>
      <c r="U45" s="222"/>
      <c r="V45" s="220"/>
      <c r="W45" s="221"/>
      <c r="X45" s="221"/>
      <c r="Y45" s="222"/>
      <c r="Z45" s="220"/>
      <c r="AA45" s="221"/>
      <c r="AB45" s="221"/>
      <c r="AC45" s="222"/>
    </row>
    <row r="46" spans="1:29" ht="14.25" customHeight="1">
      <c r="B46" s="165" t="s">
        <v>22550</v>
      </c>
      <c r="C46" s="203" t="e">
        <f>IF(C44=0,0,C45*(((Kalk1_Eingabe!C19-0.5)/2)+Kalk1_Lastfallkombi!C45/(2*Kalk1_Lastfallkombi!C44)))</f>
        <v>#DIV/0!</v>
      </c>
      <c r="D46" s="203" t="e">
        <f>IF(D44=0,0,D45*(((Kalk1_Eingabe!C19-0.5)/2)+Kalk1_Lastfallkombi!D45/(2*Kalk1_Lastfallkombi!D44)))</f>
        <v>#DIV/0!</v>
      </c>
      <c r="E46" s="168" t="s">
        <v>22428</v>
      </c>
      <c r="F46" s="163"/>
      <c r="K46" s="152" t="s">
        <v>22551</v>
      </c>
      <c r="N46" s="223" t="s">
        <v>22552</v>
      </c>
      <c r="O46" s="224" t="s">
        <v>22553</v>
      </c>
      <c r="P46" s="225" t="s">
        <v>22554</v>
      </c>
      <c r="Q46" s="226" t="s">
        <v>22555</v>
      </c>
      <c r="R46" s="223" t="s">
        <v>22552</v>
      </c>
      <c r="S46" s="224" t="s">
        <v>22553</v>
      </c>
      <c r="T46" s="225" t="s">
        <v>22554</v>
      </c>
      <c r="U46" s="226" t="s">
        <v>22555</v>
      </c>
      <c r="V46" s="223" t="s">
        <v>22552</v>
      </c>
      <c r="W46" s="224" t="s">
        <v>22553</v>
      </c>
      <c r="X46" s="225" t="s">
        <v>22554</v>
      </c>
      <c r="Y46" s="226" t="s">
        <v>22555</v>
      </c>
      <c r="Z46" s="223" t="s">
        <v>22552</v>
      </c>
      <c r="AA46" s="224" t="s">
        <v>22553</v>
      </c>
      <c r="AB46" s="225" t="s">
        <v>22554</v>
      </c>
      <c r="AC46" s="226" t="s">
        <v>22555</v>
      </c>
    </row>
    <row r="47" spans="1:29" ht="14.25" customHeight="1">
      <c r="B47" s="192" t="s">
        <v>22556</v>
      </c>
      <c r="C47" s="204"/>
      <c r="D47" s="204"/>
      <c r="F47" s="163"/>
      <c r="K47" s="152">
        <v>1</v>
      </c>
      <c r="L47" s="185">
        <f>L42-0.02</f>
        <v>1.98</v>
      </c>
      <c r="M47" s="185">
        <f>C15/100</f>
        <v>0.21</v>
      </c>
      <c r="N47" s="227">
        <f>C31</f>
        <v>0</v>
      </c>
      <c r="O47" s="185">
        <f>C32</f>
        <v>0</v>
      </c>
      <c r="P47" s="185">
        <f>O47+N47</f>
        <v>0</v>
      </c>
      <c r="Q47" s="228" t="e">
        <f>Q48</f>
        <v>#DIV/0!</v>
      </c>
      <c r="R47" s="227">
        <f>D31</f>
        <v>0</v>
      </c>
      <c r="S47" s="185">
        <f>D32</f>
        <v>0</v>
      </c>
      <c r="T47" s="185">
        <f>S47+R47</f>
        <v>0</v>
      </c>
      <c r="U47" s="228" t="e">
        <f>U48</f>
        <v>#DIV/0!</v>
      </c>
      <c r="V47" s="229">
        <f>C19</f>
        <v>0.30375000000000002</v>
      </c>
      <c r="W47" s="230">
        <f>C20</f>
        <v>0</v>
      </c>
      <c r="X47" s="230">
        <f>W47+V47</f>
        <v>0.30375000000000002</v>
      </c>
      <c r="Y47" s="231">
        <f>Y48</f>
        <v>-0.97199999999999998</v>
      </c>
      <c r="Z47" s="229">
        <f>D19</f>
        <v>0.22500000000000001</v>
      </c>
      <c r="AA47" s="230">
        <f>D20</f>
        <v>0</v>
      </c>
      <c r="AB47" s="230">
        <f>AA47+Z47</f>
        <v>0.22500000000000001</v>
      </c>
      <c r="AC47" s="231">
        <f>AC48</f>
        <v>-0.72</v>
      </c>
    </row>
    <row r="48" spans="1:29" ht="14.25" customHeight="1">
      <c r="B48" s="165" t="s">
        <v>22557</v>
      </c>
      <c r="C48" s="203" t="e">
        <f>C38*C14/100*Kalk1_Eingabe!C19/2</f>
        <v>#DIV/0!</v>
      </c>
      <c r="D48" s="203" t="e">
        <f>D38*C14/100*Kalk1_Eingabe!C19/2</f>
        <v>#DIV/0!</v>
      </c>
      <c r="E48" s="168" t="s">
        <v>22379</v>
      </c>
      <c r="K48" s="152">
        <v>1</v>
      </c>
      <c r="L48" s="185">
        <f>L42+0.02</f>
        <v>2.02</v>
      </c>
      <c r="M48" s="185">
        <f>M47</f>
        <v>0.21</v>
      </c>
      <c r="N48" s="227" t="e">
        <f>$N$47/Kalk1_Eingabe!$C$18*(Kalk1_Eingabe!$C$18-Kalk1_Lastfallkombi!M48)</f>
        <v>#DIV/0!</v>
      </c>
      <c r="O48" s="185">
        <f>O47</f>
        <v>0</v>
      </c>
      <c r="P48" s="185" t="e">
        <f t="shared" ref="P48:P94" si="0">O48+N48</f>
        <v>#DIV/0!</v>
      </c>
      <c r="Q48" s="228" t="e">
        <f>AVERAGE(P48,P47)</f>
        <v>#DIV/0!</v>
      </c>
      <c r="R48" s="227" t="e">
        <f>$R$47/Kalk1_Eingabe!$C$18*(Kalk1_Eingabe!$C$18-Kalk1_Lastfallkombi!M48)</f>
        <v>#DIV/0!</v>
      </c>
      <c r="S48" s="185">
        <f>S47</f>
        <v>0</v>
      </c>
      <c r="T48" s="185" t="e">
        <f>S48+R48</f>
        <v>#DIV/0!</v>
      </c>
      <c r="U48" s="228" t="e">
        <f>AVERAGE(T48,T47)</f>
        <v>#DIV/0!</v>
      </c>
      <c r="V48" s="227">
        <f>$V$47/Kalk1_Eingabe!$C$24*(Kalk1_Eingabe!$C$24-Kalk1_Lastfallkombi!M48)</f>
        <v>-2.2477499999999999</v>
      </c>
      <c r="W48" s="185">
        <f>W47</f>
        <v>0</v>
      </c>
      <c r="X48" s="185">
        <f>W48+V48</f>
        <v>-2.2477499999999999</v>
      </c>
      <c r="Y48" s="228">
        <f>AVERAGE(X48,X47)</f>
        <v>-0.97199999999999998</v>
      </c>
      <c r="Z48" s="227">
        <f>$Z$47/Kalk1_Eingabe!$C$24*(Kalk1_Eingabe!$C$24-Kalk1_Lastfallkombi!M48)</f>
        <v>-1.665</v>
      </c>
      <c r="AA48" s="185">
        <f>AA47</f>
        <v>0</v>
      </c>
      <c r="AB48" s="185">
        <f>AA48+Z48</f>
        <v>-1.665</v>
      </c>
      <c r="AC48" s="228">
        <f>AVERAGE(AB48,AB47)</f>
        <v>-0.72</v>
      </c>
    </row>
    <row r="49" spans="1:29" ht="14.25" customHeight="1" thickBot="1">
      <c r="B49" s="165" t="s">
        <v>22558</v>
      </c>
      <c r="C49" s="203" t="e">
        <f>C38*C14/100*Kalk1_Eingabe!C19^2/8</f>
        <v>#DIV/0!</v>
      </c>
      <c r="D49" s="203" t="e">
        <f>D38*C14/100*Kalk1_Eingabe!C19^2/8</f>
        <v>#DIV/0!</v>
      </c>
      <c r="E49" s="168" t="s">
        <v>22428</v>
      </c>
      <c r="K49" s="152">
        <v>2</v>
      </c>
      <c r="L49" s="185">
        <f>L47</f>
        <v>1.98</v>
      </c>
      <c r="M49" s="185">
        <f>M47+IF(K49&lt;=$L$36,$C$14/100,0)</f>
        <v>0.21</v>
      </c>
      <c r="N49" s="227" t="e">
        <f>N48</f>
        <v>#DIV/0!</v>
      </c>
      <c r="O49" s="185" t="e">
        <f>IF(N49=0,0,O48)</f>
        <v>#DIV/0!</v>
      </c>
      <c r="P49" s="185" t="e">
        <f t="shared" si="0"/>
        <v>#DIV/0!</v>
      </c>
      <c r="Q49" s="228" t="e">
        <f>Q50</f>
        <v>#DIV/0!</v>
      </c>
      <c r="R49" s="227" t="e">
        <f>R48</f>
        <v>#DIV/0!</v>
      </c>
      <c r="S49" s="185" t="e">
        <f>IF(R49=0,0,S48)</f>
        <v>#DIV/0!</v>
      </c>
      <c r="T49" s="185" t="e">
        <f>S49+R49</f>
        <v>#DIV/0!</v>
      </c>
      <c r="U49" s="228" t="e">
        <f>U50</f>
        <v>#DIV/0!</v>
      </c>
      <c r="V49" s="227">
        <f>V48</f>
        <v>-2.2477499999999999</v>
      </c>
      <c r="W49" s="185">
        <f>IF(V49=0,0,W48)</f>
        <v>0</v>
      </c>
      <c r="X49" s="185">
        <f>W49+V49</f>
        <v>-2.2477499999999999</v>
      </c>
      <c r="Y49" s="228">
        <f>Y50</f>
        <v>-1.123875</v>
      </c>
      <c r="Z49" s="227">
        <f>Z48</f>
        <v>-1.665</v>
      </c>
      <c r="AA49" s="185">
        <f>IF(Z49=0,0,AA48)</f>
        <v>0</v>
      </c>
      <c r="AB49" s="185">
        <f>AA49+Z49</f>
        <v>-1.665</v>
      </c>
      <c r="AC49" s="228">
        <f>AC50</f>
        <v>-0.83250000000000002</v>
      </c>
    </row>
    <row r="50" spans="1:29" ht="14.25" customHeight="1" thickBot="1">
      <c r="A50" s="216" t="s">
        <v>22528</v>
      </c>
      <c r="B50" s="195" t="s">
        <v>22559</v>
      </c>
      <c r="C50" s="194" t="e">
        <f>C48+C45</f>
        <v>#DIV/0!</v>
      </c>
      <c r="D50" s="194" t="e">
        <f>D48+D45</f>
        <v>#DIV/0!</v>
      </c>
      <c r="E50" s="190" t="s">
        <v>22379</v>
      </c>
      <c r="K50" s="152">
        <v>2</v>
      </c>
      <c r="L50" s="185">
        <f>L48</f>
        <v>2.02</v>
      </c>
      <c r="M50" s="185">
        <f>M49</f>
        <v>0.21</v>
      </c>
      <c r="N50" s="227" t="e">
        <f>MAX($N$47/Kalk1_Eingabe!$C$18*(Kalk1_Eingabe!$C$18-Kalk1_Lastfallkombi!M50),0)</f>
        <v>#DIV/0!</v>
      </c>
      <c r="O50" s="185" t="e">
        <f t="shared" ref="O50:O94" si="1">O49</f>
        <v>#DIV/0!</v>
      </c>
      <c r="P50" s="185" t="e">
        <f t="shared" si="0"/>
        <v>#DIV/0!</v>
      </c>
      <c r="Q50" s="228" t="e">
        <f>AVERAGE(P50,P49)</f>
        <v>#DIV/0!</v>
      </c>
      <c r="R50" s="227" t="e">
        <f>MAX($R$47/Kalk1_Eingabe!$C$18*(Kalk1_Eingabe!$C$18-Kalk1_Lastfallkombi!M50),0)</f>
        <v>#DIV/0!</v>
      </c>
      <c r="S50" s="185" t="e">
        <f t="shared" ref="S50:S94" si="2">S49</f>
        <v>#DIV/0!</v>
      </c>
      <c r="T50" s="185" t="e">
        <f>S50+R50</f>
        <v>#DIV/0!</v>
      </c>
      <c r="U50" s="228" t="e">
        <f>AVERAGE(T50,T49)</f>
        <v>#DIV/0!</v>
      </c>
      <c r="V50" s="227">
        <f>MAX($V$47/Kalk1_Eingabe!$C$24*(Kalk1_Eingabe!$C$24-Kalk1_Lastfallkombi!M50),0)</f>
        <v>0</v>
      </c>
      <c r="W50" s="185">
        <f t="shared" ref="W50:W94" si="3">W49</f>
        <v>0</v>
      </c>
      <c r="X50" s="185">
        <f>W50+V50</f>
        <v>0</v>
      </c>
      <c r="Y50" s="228">
        <f>AVERAGE(X50,X49)</f>
        <v>-1.123875</v>
      </c>
      <c r="Z50" s="227">
        <f>MAX($Z$47/Kalk1_Eingabe!$C$24*(Kalk1_Eingabe!$C$24-Kalk1_Lastfallkombi!M50),0)</f>
        <v>0</v>
      </c>
      <c r="AA50" s="185">
        <f t="shared" ref="AA50:AA94" si="4">AA49</f>
        <v>0</v>
      </c>
      <c r="AB50" s="185">
        <f>AA50+Z50</f>
        <v>0</v>
      </c>
      <c r="AC50" s="228">
        <f>AVERAGE(AB50,AB49)</f>
        <v>-0.83250000000000002</v>
      </c>
    </row>
    <row r="51" spans="1:29" ht="14.25" customHeight="1" thickBot="1">
      <c r="B51" s="195" t="s">
        <v>22560</v>
      </c>
      <c r="C51" s="194" t="e">
        <f>C46+C49</f>
        <v>#DIV/0!</v>
      </c>
      <c r="D51" s="194" t="e">
        <f>D46+D49</f>
        <v>#DIV/0!</v>
      </c>
      <c r="E51" s="190" t="s">
        <v>22428</v>
      </c>
      <c r="K51" s="152">
        <v>3</v>
      </c>
      <c r="L51" s="185">
        <f t="shared" ref="L51:L94" si="5">L49</f>
        <v>1.98</v>
      </c>
      <c r="M51" s="185">
        <f>M49+IF(K51&lt;=$L$36,$C$14/100,0)</f>
        <v>0.21</v>
      </c>
      <c r="N51" s="227" t="e">
        <f>N50</f>
        <v>#DIV/0!</v>
      </c>
      <c r="O51" s="185" t="e">
        <f>IF(N51=0,0,O50)</f>
        <v>#DIV/0!</v>
      </c>
      <c r="P51" s="185" t="e">
        <f t="shared" si="0"/>
        <v>#DIV/0!</v>
      </c>
      <c r="Q51" s="228" t="e">
        <f>Q52</f>
        <v>#DIV/0!</v>
      </c>
      <c r="R51" s="227" t="e">
        <f>R50</f>
        <v>#DIV/0!</v>
      </c>
      <c r="S51" s="185" t="e">
        <f>IF(R51=0,0,S50)</f>
        <v>#DIV/0!</v>
      </c>
      <c r="T51" s="185" t="e">
        <f t="shared" ref="T51:T94" si="6">S51+R51</f>
        <v>#DIV/0!</v>
      </c>
      <c r="U51" s="228" t="e">
        <f>U52</f>
        <v>#DIV/0!</v>
      </c>
      <c r="V51" s="227">
        <f>V50</f>
        <v>0</v>
      </c>
      <c r="W51" s="185">
        <f>IF(V51=0,0,W50)</f>
        <v>0</v>
      </c>
      <c r="X51" s="185">
        <f t="shared" ref="X51:X94" si="7">W51+V51</f>
        <v>0</v>
      </c>
      <c r="Y51" s="228">
        <f>Y52</f>
        <v>0</v>
      </c>
      <c r="Z51" s="227">
        <f>Z50</f>
        <v>0</v>
      </c>
      <c r="AA51" s="185">
        <f>IF(Z51=0,0,AA50)</f>
        <v>0</v>
      </c>
      <c r="AB51" s="185">
        <f t="shared" ref="AB51:AB94" si="8">AA51+Z51</f>
        <v>0</v>
      </c>
      <c r="AC51" s="228">
        <f>AC52</f>
        <v>0</v>
      </c>
    </row>
    <row r="52" spans="1:29" ht="5.0999999999999996" customHeight="1">
      <c r="C52" s="204"/>
      <c r="D52" s="204"/>
      <c r="H52" s="163"/>
      <c r="K52" s="152">
        <v>3</v>
      </c>
      <c r="L52" s="185">
        <f t="shared" si="5"/>
        <v>2.02</v>
      </c>
      <c r="M52" s="185">
        <f>M51</f>
        <v>0.21</v>
      </c>
      <c r="N52" s="227" t="e">
        <f>MAX($N$47/Kalk1_Eingabe!$C$18*(Kalk1_Eingabe!$C$18-Kalk1_Lastfallkombi!M52),0)</f>
        <v>#DIV/0!</v>
      </c>
      <c r="O52" s="185" t="e">
        <f t="shared" si="1"/>
        <v>#DIV/0!</v>
      </c>
      <c r="P52" s="185" t="e">
        <f t="shared" si="0"/>
        <v>#DIV/0!</v>
      </c>
      <c r="Q52" s="228" t="e">
        <f>AVERAGE(P52,P51)</f>
        <v>#DIV/0!</v>
      </c>
      <c r="R52" s="227" t="e">
        <f>MAX($R$47/Kalk1_Eingabe!$C$18*(Kalk1_Eingabe!$C$18-Kalk1_Lastfallkombi!M52),0)</f>
        <v>#DIV/0!</v>
      </c>
      <c r="S52" s="185" t="e">
        <f t="shared" si="2"/>
        <v>#DIV/0!</v>
      </c>
      <c r="T52" s="185" t="e">
        <f t="shared" si="6"/>
        <v>#DIV/0!</v>
      </c>
      <c r="U52" s="228" t="e">
        <f>AVERAGE(T52,T51)</f>
        <v>#DIV/0!</v>
      </c>
      <c r="V52" s="227">
        <f>MAX($V$47/Kalk1_Eingabe!$C$24*(Kalk1_Eingabe!$C$24-Kalk1_Lastfallkombi!M52),0)</f>
        <v>0</v>
      </c>
      <c r="W52" s="185">
        <f t="shared" si="3"/>
        <v>0</v>
      </c>
      <c r="X52" s="185">
        <f t="shared" si="7"/>
        <v>0</v>
      </c>
      <c r="Y52" s="228">
        <f>AVERAGE(X52,X51)</f>
        <v>0</v>
      </c>
      <c r="Z52" s="227">
        <f>MAX($Z$47/Kalk1_Eingabe!$C$24*(Kalk1_Eingabe!$C$24-Kalk1_Lastfallkombi!M52),0)</f>
        <v>0</v>
      </c>
      <c r="AA52" s="185">
        <f t="shared" si="4"/>
        <v>0</v>
      </c>
      <c r="AB52" s="185">
        <f t="shared" si="8"/>
        <v>0</v>
      </c>
      <c r="AC52" s="228">
        <f>AVERAGE(AB52,AB51)</f>
        <v>0</v>
      </c>
    </row>
    <row r="53" spans="1:29" ht="14.25" customHeight="1">
      <c r="A53" s="219" t="s">
        <v>22513</v>
      </c>
      <c r="B53" s="192" t="s">
        <v>22561</v>
      </c>
      <c r="C53" s="204"/>
      <c r="D53" s="204"/>
      <c r="H53" s="163"/>
      <c r="K53" s="152">
        <v>4</v>
      </c>
      <c r="L53" s="185">
        <f t="shared" si="5"/>
        <v>1.98</v>
      </c>
      <c r="M53" s="185">
        <f>M51+IF(K53&lt;=$L$36,$C$14/100,0)</f>
        <v>0.21</v>
      </c>
      <c r="N53" s="227" t="e">
        <f>N52</f>
        <v>#DIV/0!</v>
      </c>
      <c r="O53" s="185" t="e">
        <f>IF(N53=0,0,O52)</f>
        <v>#DIV/0!</v>
      </c>
      <c r="P53" s="185" t="e">
        <f t="shared" si="0"/>
        <v>#DIV/0!</v>
      </c>
      <c r="Q53" s="228" t="e">
        <f>Q54</f>
        <v>#DIV/0!</v>
      </c>
      <c r="R53" s="227" t="e">
        <f>R52</f>
        <v>#DIV/0!</v>
      </c>
      <c r="S53" s="185" t="e">
        <f>IF(R53=0,0,S52)</f>
        <v>#DIV/0!</v>
      </c>
      <c r="T53" s="185" t="e">
        <f t="shared" si="6"/>
        <v>#DIV/0!</v>
      </c>
      <c r="U53" s="228" t="e">
        <f>U54</f>
        <v>#DIV/0!</v>
      </c>
      <c r="V53" s="227">
        <f>V52</f>
        <v>0</v>
      </c>
      <c r="W53" s="185">
        <f>IF(V53=0,0,W52)</f>
        <v>0</v>
      </c>
      <c r="X53" s="185">
        <f t="shared" si="7"/>
        <v>0</v>
      </c>
      <c r="Y53" s="228">
        <f>Y54</f>
        <v>0</v>
      </c>
      <c r="Z53" s="227">
        <f>Z52</f>
        <v>0</v>
      </c>
      <c r="AA53" s="185">
        <f>IF(Z53=0,0,AA52)</f>
        <v>0</v>
      </c>
      <c r="AB53" s="185">
        <f t="shared" si="8"/>
        <v>0</v>
      </c>
      <c r="AC53" s="228">
        <f>AC54</f>
        <v>0</v>
      </c>
    </row>
    <row r="54" spans="1:29" ht="14.25" customHeight="1">
      <c r="B54" s="165" t="s">
        <v>22562</v>
      </c>
      <c r="C54" s="203" t="e">
        <f>C27/Kalk1_Eingabe!C48/0.5</f>
        <v>#NUM!</v>
      </c>
      <c r="D54" s="203" t="e">
        <f>D27/Kalk1_Eingabe!C48/0.5</f>
        <v>#NUM!</v>
      </c>
      <c r="E54" s="168" t="s">
        <v>22469</v>
      </c>
      <c r="H54" s="163"/>
      <c r="K54" s="152">
        <v>4</v>
      </c>
      <c r="L54" s="185">
        <f t="shared" si="5"/>
        <v>2.02</v>
      </c>
      <c r="M54" s="185">
        <f>M53</f>
        <v>0.21</v>
      </c>
      <c r="N54" s="227" t="e">
        <f>MAX($N$47/Kalk1_Eingabe!$C$18*(Kalk1_Eingabe!$C$18-Kalk1_Lastfallkombi!M54),0)</f>
        <v>#DIV/0!</v>
      </c>
      <c r="O54" s="185" t="e">
        <f t="shared" si="1"/>
        <v>#DIV/0!</v>
      </c>
      <c r="P54" s="185" t="e">
        <f t="shared" si="0"/>
        <v>#DIV/0!</v>
      </c>
      <c r="Q54" s="228" t="e">
        <f>AVERAGE(P54,P53)</f>
        <v>#DIV/0!</v>
      </c>
      <c r="R54" s="227" t="e">
        <f>MAX($R$47/Kalk1_Eingabe!$C$18*(Kalk1_Eingabe!$C$18-Kalk1_Lastfallkombi!M54),0)</f>
        <v>#DIV/0!</v>
      </c>
      <c r="S54" s="185" t="e">
        <f t="shared" si="2"/>
        <v>#DIV/0!</v>
      </c>
      <c r="T54" s="185" t="e">
        <f t="shared" si="6"/>
        <v>#DIV/0!</v>
      </c>
      <c r="U54" s="228" t="e">
        <f>AVERAGE(T54,T53)</f>
        <v>#DIV/0!</v>
      </c>
      <c r="V54" s="227">
        <f>MAX($V$47/Kalk1_Eingabe!$C$24*(Kalk1_Eingabe!$C$24-Kalk1_Lastfallkombi!M54),0)</f>
        <v>0</v>
      </c>
      <c r="W54" s="185">
        <f t="shared" si="3"/>
        <v>0</v>
      </c>
      <c r="X54" s="185">
        <f t="shared" si="7"/>
        <v>0</v>
      </c>
      <c r="Y54" s="228">
        <f>AVERAGE(X54,X53)</f>
        <v>0</v>
      </c>
      <c r="Z54" s="227">
        <f>MAX($Z$47/Kalk1_Eingabe!$C$24*(Kalk1_Eingabe!$C$24-Kalk1_Lastfallkombi!M54),0)</f>
        <v>0</v>
      </c>
      <c r="AA54" s="185">
        <f t="shared" si="4"/>
        <v>0</v>
      </c>
      <c r="AB54" s="185">
        <f t="shared" si="8"/>
        <v>0</v>
      </c>
      <c r="AC54" s="228">
        <f>AVERAGE(AB54,AB53)</f>
        <v>0</v>
      </c>
    </row>
    <row r="55" spans="1:29" ht="14.25" customHeight="1">
      <c r="B55" s="165" t="s">
        <v>22549</v>
      </c>
      <c r="C55" s="203" t="e">
        <f>C54*0.5*(2*((Kalk1_Eingabe!C19-0.5)/2)+0.5)/(2*Kalk1_Eingabe!C19)</f>
        <v>#NUM!</v>
      </c>
      <c r="D55" s="203" t="e">
        <f>D54*0.5*(2*((Kalk1_Eingabe!C19-0.5)/2)+0.5)/(2*Kalk1_Eingabe!C19)</f>
        <v>#NUM!</v>
      </c>
      <c r="E55" s="168" t="s">
        <v>22379</v>
      </c>
      <c r="H55" s="163"/>
      <c r="K55" s="152">
        <v>5</v>
      </c>
      <c r="L55" s="185">
        <f t="shared" si="5"/>
        <v>1.98</v>
      </c>
      <c r="M55" s="185">
        <f>M53+IF(K55&lt;=$L$36,$C$14/100,0)</f>
        <v>0.21</v>
      </c>
      <c r="N55" s="227" t="e">
        <f>N54</f>
        <v>#DIV/0!</v>
      </c>
      <c r="O55" s="185" t="e">
        <f>IF(N55=0,0,O54)</f>
        <v>#DIV/0!</v>
      </c>
      <c r="P55" s="185" t="e">
        <f t="shared" si="0"/>
        <v>#DIV/0!</v>
      </c>
      <c r="Q55" s="228" t="e">
        <f>Q56</f>
        <v>#DIV/0!</v>
      </c>
      <c r="R55" s="227" t="e">
        <f>R54</f>
        <v>#DIV/0!</v>
      </c>
      <c r="S55" s="185" t="e">
        <f>IF(R55=0,0,S54)</f>
        <v>#DIV/0!</v>
      </c>
      <c r="T55" s="185" t="e">
        <f t="shared" si="6"/>
        <v>#DIV/0!</v>
      </c>
      <c r="U55" s="228" t="e">
        <f>U56</f>
        <v>#DIV/0!</v>
      </c>
      <c r="V55" s="227">
        <f>V54</f>
        <v>0</v>
      </c>
      <c r="W55" s="185">
        <f>IF(V55=0,0,W54)</f>
        <v>0</v>
      </c>
      <c r="X55" s="185">
        <f t="shared" si="7"/>
        <v>0</v>
      </c>
      <c r="Y55" s="228">
        <f>Y56</f>
        <v>0</v>
      </c>
      <c r="Z55" s="227">
        <f>Z54</f>
        <v>0</v>
      </c>
      <c r="AA55" s="185">
        <f>IF(Z55=0,0,AA54)</f>
        <v>0</v>
      </c>
      <c r="AB55" s="185">
        <f t="shared" si="8"/>
        <v>0</v>
      </c>
      <c r="AC55" s="228">
        <f>AC56</f>
        <v>0</v>
      </c>
    </row>
    <row r="56" spans="1:29" ht="14.25" customHeight="1">
      <c r="B56" s="165" t="s">
        <v>22550</v>
      </c>
      <c r="C56" s="203" t="e">
        <f>IF(C54=0,0,C55*(((Kalk1_Eingabe!C19-0.5)/2)+Kalk1_Lastfallkombi!C55/(2*Kalk1_Lastfallkombi!C54)))</f>
        <v>#NUM!</v>
      </c>
      <c r="D56" s="203" t="e">
        <f>IF(D54=0,0,D55*(((Kalk1_Eingabe!C19-0.5)/2)+Kalk1_Lastfallkombi!D55/(2*Kalk1_Lastfallkombi!D54)))</f>
        <v>#NUM!</v>
      </c>
      <c r="E56" s="168" t="s">
        <v>22428</v>
      </c>
      <c r="H56" s="163"/>
      <c r="K56" s="152">
        <v>5</v>
      </c>
      <c r="L56" s="185">
        <f t="shared" si="5"/>
        <v>2.02</v>
      </c>
      <c r="M56" s="185">
        <f>M55</f>
        <v>0.21</v>
      </c>
      <c r="N56" s="227" t="e">
        <f>MAX($N$47/Kalk1_Eingabe!$C$18*(Kalk1_Eingabe!$C$18-Kalk1_Lastfallkombi!M56),0)</f>
        <v>#DIV/0!</v>
      </c>
      <c r="O56" s="185" t="e">
        <f t="shared" si="1"/>
        <v>#DIV/0!</v>
      </c>
      <c r="P56" s="185" t="e">
        <f t="shared" si="0"/>
        <v>#DIV/0!</v>
      </c>
      <c r="Q56" s="228" t="e">
        <f>AVERAGE(P56,P55)</f>
        <v>#DIV/0!</v>
      </c>
      <c r="R56" s="227" t="e">
        <f>MAX($R$47/Kalk1_Eingabe!$C$18*(Kalk1_Eingabe!$C$18-Kalk1_Lastfallkombi!M56),0)</f>
        <v>#DIV/0!</v>
      </c>
      <c r="S56" s="185" t="e">
        <f t="shared" si="2"/>
        <v>#DIV/0!</v>
      </c>
      <c r="T56" s="185" t="e">
        <f t="shared" si="6"/>
        <v>#DIV/0!</v>
      </c>
      <c r="U56" s="228" t="e">
        <f>AVERAGE(T56,T55)</f>
        <v>#DIV/0!</v>
      </c>
      <c r="V56" s="227">
        <f>MAX($V$47/Kalk1_Eingabe!$C$24*(Kalk1_Eingabe!$C$24-Kalk1_Lastfallkombi!M56),0)</f>
        <v>0</v>
      </c>
      <c r="W56" s="185">
        <f t="shared" si="3"/>
        <v>0</v>
      </c>
      <c r="X56" s="185">
        <f t="shared" si="7"/>
        <v>0</v>
      </c>
      <c r="Y56" s="228">
        <f>AVERAGE(X56,X55)</f>
        <v>0</v>
      </c>
      <c r="Z56" s="227">
        <f>MAX($Z$47/Kalk1_Eingabe!$C$24*(Kalk1_Eingabe!$C$24-Kalk1_Lastfallkombi!M56),0)</f>
        <v>0</v>
      </c>
      <c r="AA56" s="185">
        <f t="shared" si="4"/>
        <v>0</v>
      </c>
      <c r="AB56" s="185">
        <f t="shared" si="8"/>
        <v>0</v>
      </c>
      <c r="AC56" s="228">
        <f>AVERAGE(AB56,AB55)</f>
        <v>0</v>
      </c>
    </row>
    <row r="57" spans="1:29" ht="14.25" customHeight="1">
      <c r="B57" s="192" t="s">
        <v>22556</v>
      </c>
      <c r="C57" s="204"/>
      <c r="D57" s="204"/>
      <c r="H57" s="163"/>
      <c r="K57" s="152">
        <v>6</v>
      </c>
      <c r="L57" s="185">
        <f t="shared" si="5"/>
        <v>1.98</v>
      </c>
      <c r="M57" s="185">
        <f>M55+IF(K57&lt;=$L$36,$C$14/100,0)</f>
        <v>0.21</v>
      </c>
      <c r="N57" s="227" t="e">
        <f>N56</f>
        <v>#DIV/0!</v>
      </c>
      <c r="O57" s="185" t="e">
        <f>IF(N57=0,0,O56)</f>
        <v>#DIV/0!</v>
      </c>
      <c r="P57" s="185" t="e">
        <f t="shared" si="0"/>
        <v>#DIV/0!</v>
      </c>
      <c r="Q57" s="228" t="e">
        <f>Q58</f>
        <v>#DIV/0!</v>
      </c>
      <c r="R57" s="227" t="e">
        <f>R56</f>
        <v>#DIV/0!</v>
      </c>
      <c r="S57" s="185" t="e">
        <f>IF(R57=0,0,S56)</f>
        <v>#DIV/0!</v>
      </c>
      <c r="T57" s="185" t="e">
        <f t="shared" si="6"/>
        <v>#DIV/0!</v>
      </c>
      <c r="U57" s="228" t="e">
        <f>U58</f>
        <v>#DIV/0!</v>
      </c>
      <c r="V57" s="227">
        <f>V56</f>
        <v>0</v>
      </c>
      <c r="W57" s="185">
        <f>IF(V57=0,0,W56)</f>
        <v>0</v>
      </c>
      <c r="X57" s="185">
        <f t="shared" si="7"/>
        <v>0</v>
      </c>
      <c r="Y57" s="228">
        <f>Y58</f>
        <v>0</v>
      </c>
      <c r="Z57" s="227">
        <f>Z56</f>
        <v>0</v>
      </c>
      <c r="AA57" s="185">
        <f>IF(Z57=0,0,AA56)</f>
        <v>0</v>
      </c>
      <c r="AB57" s="185">
        <f t="shared" si="8"/>
        <v>0</v>
      </c>
      <c r="AC57" s="228">
        <f>AC58</f>
        <v>0</v>
      </c>
    </row>
    <row r="58" spans="1:29" ht="14.25" customHeight="1">
      <c r="B58" s="165" t="s">
        <v>22563</v>
      </c>
      <c r="C58" s="203">
        <f>C26*C14/100*Kalk1_Eingabe!C19/2</f>
        <v>0</v>
      </c>
      <c r="D58" s="203">
        <f>D26*C14/100*Kalk1_Eingabe!C19/2</f>
        <v>0</v>
      </c>
      <c r="E58" s="168" t="s">
        <v>22379</v>
      </c>
      <c r="H58" s="163"/>
      <c r="K58" s="152">
        <v>6</v>
      </c>
      <c r="L58" s="185">
        <f t="shared" si="5"/>
        <v>2.02</v>
      </c>
      <c r="M58" s="185">
        <f>M57</f>
        <v>0.21</v>
      </c>
      <c r="N58" s="227" t="e">
        <f>MAX($N$47/Kalk1_Eingabe!$C$18*(Kalk1_Eingabe!$C$18-Kalk1_Lastfallkombi!M58),0)</f>
        <v>#DIV/0!</v>
      </c>
      <c r="O58" s="185" t="e">
        <f t="shared" si="1"/>
        <v>#DIV/0!</v>
      </c>
      <c r="P58" s="185" t="e">
        <f t="shared" si="0"/>
        <v>#DIV/0!</v>
      </c>
      <c r="Q58" s="228" t="e">
        <f>AVERAGE(P58,P57)</f>
        <v>#DIV/0!</v>
      </c>
      <c r="R58" s="227" t="e">
        <f>MAX($R$47/Kalk1_Eingabe!$C$18*(Kalk1_Eingabe!$C$18-Kalk1_Lastfallkombi!M58),0)</f>
        <v>#DIV/0!</v>
      </c>
      <c r="S58" s="185" t="e">
        <f t="shared" si="2"/>
        <v>#DIV/0!</v>
      </c>
      <c r="T58" s="185" t="e">
        <f t="shared" si="6"/>
        <v>#DIV/0!</v>
      </c>
      <c r="U58" s="228" t="e">
        <f>AVERAGE(T58,T57)</f>
        <v>#DIV/0!</v>
      </c>
      <c r="V58" s="227">
        <f>MAX($V$47/Kalk1_Eingabe!$C$24*(Kalk1_Eingabe!$C$24-Kalk1_Lastfallkombi!M58),0)</f>
        <v>0</v>
      </c>
      <c r="W58" s="185">
        <f t="shared" si="3"/>
        <v>0</v>
      </c>
      <c r="X58" s="185">
        <f t="shared" si="7"/>
        <v>0</v>
      </c>
      <c r="Y58" s="228">
        <f>AVERAGE(X58,X57)</f>
        <v>0</v>
      </c>
      <c r="Z58" s="227">
        <f>MAX($Z$47/Kalk1_Eingabe!$C$24*(Kalk1_Eingabe!$C$24-Kalk1_Lastfallkombi!M58),0)</f>
        <v>0</v>
      </c>
      <c r="AA58" s="185">
        <f t="shared" si="4"/>
        <v>0</v>
      </c>
      <c r="AB58" s="185">
        <f t="shared" si="8"/>
        <v>0</v>
      </c>
      <c r="AC58" s="228">
        <f>AVERAGE(AB58,AB57)</f>
        <v>0</v>
      </c>
    </row>
    <row r="59" spans="1:29" ht="14.25" customHeight="1" thickBot="1">
      <c r="B59" s="165" t="s">
        <v>22564</v>
      </c>
      <c r="C59" s="203">
        <f>C26*C14/100*Kalk1_Eingabe!C19^2/8</f>
        <v>0</v>
      </c>
      <c r="D59" s="203">
        <f>D26*C14/100*Kalk1_Eingabe!C19^2/8</f>
        <v>0</v>
      </c>
      <c r="E59" s="168" t="s">
        <v>22428</v>
      </c>
      <c r="H59" s="163"/>
      <c r="K59" s="152">
        <v>7</v>
      </c>
      <c r="L59" s="185">
        <f t="shared" si="5"/>
        <v>1.98</v>
      </c>
      <c r="M59" s="185">
        <f>M57+IF(K59&lt;=$L$36,$C$14/100,0)</f>
        <v>0.21</v>
      </c>
      <c r="N59" s="227" t="e">
        <f>N58</f>
        <v>#DIV/0!</v>
      </c>
      <c r="O59" s="185" t="e">
        <f>IF(N59=0,0,O58)</f>
        <v>#DIV/0!</v>
      </c>
      <c r="P59" s="185" t="e">
        <f t="shared" si="0"/>
        <v>#DIV/0!</v>
      </c>
      <c r="Q59" s="228" t="e">
        <f>Q60</f>
        <v>#DIV/0!</v>
      </c>
      <c r="R59" s="227" t="e">
        <f>R58</f>
        <v>#DIV/0!</v>
      </c>
      <c r="S59" s="185" t="e">
        <f>IF(R59=0,0,S58)</f>
        <v>#DIV/0!</v>
      </c>
      <c r="T59" s="185" t="e">
        <f t="shared" si="6"/>
        <v>#DIV/0!</v>
      </c>
      <c r="U59" s="228" t="e">
        <f>U60</f>
        <v>#DIV/0!</v>
      </c>
      <c r="V59" s="227">
        <f>V58</f>
        <v>0</v>
      </c>
      <c r="W59" s="185">
        <f>IF(V59=0,0,W58)</f>
        <v>0</v>
      </c>
      <c r="X59" s="185">
        <f t="shared" si="7"/>
        <v>0</v>
      </c>
      <c r="Y59" s="228">
        <f>Y60</f>
        <v>0</v>
      </c>
      <c r="Z59" s="227">
        <f>Z58</f>
        <v>0</v>
      </c>
      <c r="AA59" s="185">
        <f>IF(Z59=0,0,AA58)</f>
        <v>0</v>
      </c>
      <c r="AB59" s="185">
        <f t="shared" si="8"/>
        <v>0</v>
      </c>
      <c r="AC59" s="228">
        <f>AC60</f>
        <v>0</v>
      </c>
    </row>
    <row r="60" spans="1:29" ht="14.25" customHeight="1" thickBot="1">
      <c r="A60" s="216" t="s">
        <v>22513</v>
      </c>
      <c r="B60" s="195" t="s">
        <v>22565</v>
      </c>
      <c r="C60" s="194" t="e">
        <f>C58+C55</f>
        <v>#NUM!</v>
      </c>
      <c r="D60" s="194" t="e">
        <f>D58+D55</f>
        <v>#NUM!</v>
      </c>
      <c r="E60" s="190" t="s">
        <v>22379</v>
      </c>
      <c r="H60" s="163"/>
      <c r="K60" s="152">
        <v>7</v>
      </c>
      <c r="L60" s="185">
        <f t="shared" si="5"/>
        <v>2.02</v>
      </c>
      <c r="M60" s="185">
        <f>M59</f>
        <v>0.21</v>
      </c>
      <c r="N60" s="227" t="e">
        <f>MAX($N$47/Kalk1_Eingabe!$C$18*(Kalk1_Eingabe!$C$18-Kalk1_Lastfallkombi!M60),0)</f>
        <v>#DIV/0!</v>
      </c>
      <c r="O60" s="185" t="e">
        <f t="shared" si="1"/>
        <v>#DIV/0!</v>
      </c>
      <c r="P60" s="185" t="e">
        <f t="shared" si="0"/>
        <v>#DIV/0!</v>
      </c>
      <c r="Q60" s="228" t="e">
        <f>AVERAGE(P60,P59)</f>
        <v>#DIV/0!</v>
      </c>
      <c r="R60" s="227" t="e">
        <f>MAX($R$47/Kalk1_Eingabe!$C$18*(Kalk1_Eingabe!$C$18-Kalk1_Lastfallkombi!M60),0)</f>
        <v>#DIV/0!</v>
      </c>
      <c r="S60" s="185" t="e">
        <f t="shared" si="2"/>
        <v>#DIV/0!</v>
      </c>
      <c r="T60" s="185" t="e">
        <f t="shared" si="6"/>
        <v>#DIV/0!</v>
      </c>
      <c r="U60" s="228" t="e">
        <f>AVERAGE(T60,T59)</f>
        <v>#DIV/0!</v>
      </c>
      <c r="V60" s="227">
        <f>MAX($V$47/Kalk1_Eingabe!$C$24*(Kalk1_Eingabe!$C$24-Kalk1_Lastfallkombi!M60),0)</f>
        <v>0</v>
      </c>
      <c r="W60" s="185">
        <f t="shared" si="3"/>
        <v>0</v>
      </c>
      <c r="X60" s="185">
        <f t="shared" si="7"/>
        <v>0</v>
      </c>
      <c r="Y60" s="228">
        <f>AVERAGE(X60,X59)</f>
        <v>0</v>
      </c>
      <c r="Z60" s="227">
        <f>MAX($Z$47/Kalk1_Eingabe!$C$24*(Kalk1_Eingabe!$C$24-Kalk1_Lastfallkombi!M60),0)</f>
        <v>0</v>
      </c>
      <c r="AA60" s="185">
        <f t="shared" si="4"/>
        <v>0</v>
      </c>
      <c r="AB60" s="185">
        <f t="shared" si="8"/>
        <v>0</v>
      </c>
      <c r="AC60" s="228">
        <f>AVERAGE(AB60,AB59)</f>
        <v>0</v>
      </c>
    </row>
    <row r="61" spans="1:29" ht="14.25" customHeight="1" thickBot="1">
      <c r="B61" s="195" t="s">
        <v>22566</v>
      </c>
      <c r="C61" s="194" t="e">
        <f>C56+C59</f>
        <v>#NUM!</v>
      </c>
      <c r="D61" s="194" t="e">
        <f>D56+D59</f>
        <v>#NUM!</v>
      </c>
      <c r="E61" s="190" t="s">
        <v>22428</v>
      </c>
      <c r="H61" s="163"/>
      <c r="K61" s="152">
        <v>8</v>
      </c>
      <c r="L61" s="185">
        <f t="shared" si="5"/>
        <v>1.98</v>
      </c>
      <c r="M61" s="185">
        <f>M59+IF(K61&lt;=$L$36,$C$14/100,0)</f>
        <v>0.21</v>
      </c>
      <c r="N61" s="227" t="e">
        <f>N60</f>
        <v>#DIV/0!</v>
      </c>
      <c r="O61" s="185" t="e">
        <f>IF(N61=0,0,O60)</f>
        <v>#DIV/0!</v>
      </c>
      <c r="P61" s="185" t="e">
        <f t="shared" si="0"/>
        <v>#DIV/0!</v>
      </c>
      <c r="Q61" s="228" t="e">
        <f>Q62</f>
        <v>#DIV/0!</v>
      </c>
      <c r="R61" s="227" t="e">
        <f>R60</f>
        <v>#DIV/0!</v>
      </c>
      <c r="S61" s="185" t="e">
        <f>IF(R61=0,0,S60)</f>
        <v>#DIV/0!</v>
      </c>
      <c r="T61" s="185" t="e">
        <f t="shared" si="6"/>
        <v>#DIV/0!</v>
      </c>
      <c r="U61" s="228" t="e">
        <f>U62</f>
        <v>#DIV/0!</v>
      </c>
      <c r="V61" s="227">
        <f>V60</f>
        <v>0</v>
      </c>
      <c r="W61" s="185">
        <f>IF(V61=0,0,W60)</f>
        <v>0</v>
      </c>
      <c r="X61" s="185">
        <f t="shared" si="7"/>
        <v>0</v>
      </c>
      <c r="Y61" s="228">
        <f>Y62</f>
        <v>0</v>
      </c>
      <c r="Z61" s="227">
        <f>Z60</f>
        <v>0</v>
      </c>
      <c r="AA61" s="185">
        <f>IF(Z61=0,0,AA60)</f>
        <v>0</v>
      </c>
      <c r="AB61" s="185">
        <f t="shared" si="8"/>
        <v>0</v>
      </c>
      <c r="AC61" s="228">
        <f>AC62</f>
        <v>0</v>
      </c>
    </row>
    <row r="62" spans="1:29" ht="5.0999999999999996" customHeight="1" thickBot="1">
      <c r="H62" s="163"/>
      <c r="K62" s="152">
        <v>8</v>
      </c>
      <c r="L62" s="185">
        <f t="shared" si="5"/>
        <v>2.02</v>
      </c>
      <c r="M62" s="185">
        <f>M61</f>
        <v>0.21</v>
      </c>
      <c r="N62" s="227" t="e">
        <f>MAX($N$47/Kalk1_Eingabe!$C$18*(Kalk1_Eingabe!$C$18-Kalk1_Lastfallkombi!M62),0)</f>
        <v>#DIV/0!</v>
      </c>
      <c r="O62" s="185" t="e">
        <f t="shared" si="1"/>
        <v>#DIV/0!</v>
      </c>
      <c r="P62" s="185" t="e">
        <f t="shared" si="0"/>
        <v>#DIV/0!</v>
      </c>
      <c r="Q62" s="228" t="e">
        <f>AVERAGE(P62,P61)</f>
        <v>#DIV/0!</v>
      </c>
      <c r="R62" s="227" t="e">
        <f>MAX($R$47/Kalk1_Eingabe!$C$18*(Kalk1_Eingabe!$C$18-Kalk1_Lastfallkombi!M62),0)</f>
        <v>#DIV/0!</v>
      </c>
      <c r="S62" s="185" t="e">
        <f t="shared" si="2"/>
        <v>#DIV/0!</v>
      </c>
      <c r="T62" s="185" t="e">
        <f t="shared" si="6"/>
        <v>#DIV/0!</v>
      </c>
      <c r="U62" s="228" t="e">
        <f>AVERAGE(T62,T61)</f>
        <v>#DIV/0!</v>
      </c>
      <c r="V62" s="227">
        <f>MAX($V$47/Kalk1_Eingabe!$C$24*(Kalk1_Eingabe!$C$24-Kalk1_Lastfallkombi!M62),0)</f>
        <v>0</v>
      </c>
      <c r="W62" s="185">
        <f t="shared" si="3"/>
        <v>0</v>
      </c>
      <c r="X62" s="185">
        <f t="shared" si="7"/>
        <v>0</v>
      </c>
      <c r="Y62" s="228">
        <f>AVERAGE(X62,X61)</f>
        <v>0</v>
      </c>
      <c r="Z62" s="227">
        <f>MAX($Z$47/Kalk1_Eingabe!$C$24*(Kalk1_Eingabe!$C$24-Kalk1_Lastfallkombi!M62),0)</f>
        <v>0</v>
      </c>
      <c r="AA62" s="185">
        <f t="shared" si="4"/>
        <v>0</v>
      </c>
      <c r="AB62" s="185">
        <f t="shared" si="8"/>
        <v>0</v>
      </c>
      <c r="AC62" s="228">
        <f>AVERAGE(AB62,AB61)</f>
        <v>0</v>
      </c>
    </row>
    <row r="63" spans="1:29" ht="14.25" customHeight="1" thickBot="1">
      <c r="A63" s="171" t="s">
        <v>22448</v>
      </c>
      <c r="B63" s="172" t="s">
        <v>22567</v>
      </c>
      <c r="C63" s="201" t="s">
        <v>22506</v>
      </c>
      <c r="D63" s="201" t="s">
        <v>22507</v>
      </c>
      <c r="H63" s="163"/>
      <c r="K63" s="152">
        <v>9</v>
      </c>
      <c r="L63" s="185">
        <f t="shared" si="5"/>
        <v>1.98</v>
      </c>
      <c r="M63" s="185">
        <f>M61+IF(K63&lt;=$L$36,$C$14/100,0)</f>
        <v>0.21</v>
      </c>
      <c r="N63" s="227" t="e">
        <f>N62</f>
        <v>#DIV/0!</v>
      </c>
      <c r="O63" s="185" t="e">
        <f>IF(N63=0,0,O62)</f>
        <v>#DIV/0!</v>
      </c>
      <c r="P63" s="185" t="e">
        <f t="shared" si="0"/>
        <v>#DIV/0!</v>
      </c>
      <c r="Q63" s="228" t="e">
        <f>Q64</f>
        <v>#DIV/0!</v>
      </c>
      <c r="R63" s="227" t="e">
        <f>R62</f>
        <v>#DIV/0!</v>
      </c>
      <c r="S63" s="185" t="e">
        <f>IF(R63=0,0,S62)</f>
        <v>#DIV/0!</v>
      </c>
      <c r="T63" s="185" t="e">
        <f t="shared" si="6"/>
        <v>#DIV/0!</v>
      </c>
      <c r="U63" s="228" t="e">
        <f>U64</f>
        <v>#DIV/0!</v>
      </c>
      <c r="V63" s="227">
        <f>V62</f>
        <v>0</v>
      </c>
      <c r="W63" s="185">
        <f>IF(V63=0,0,W62)</f>
        <v>0</v>
      </c>
      <c r="X63" s="185">
        <f t="shared" si="7"/>
        <v>0</v>
      </c>
      <c r="Y63" s="228">
        <f>Y64</f>
        <v>0</v>
      </c>
      <c r="Z63" s="227">
        <f>Z62</f>
        <v>0</v>
      </c>
      <c r="AA63" s="185">
        <f>IF(Z63=0,0,AA62)</f>
        <v>0</v>
      </c>
      <c r="AB63" s="185">
        <f t="shared" si="8"/>
        <v>0</v>
      </c>
      <c r="AC63" s="228">
        <f>AC64</f>
        <v>0</v>
      </c>
    </row>
    <row r="64" spans="1:29" ht="14.25" customHeight="1" thickBot="1">
      <c r="A64" s="219"/>
      <c r="B64" s="192" t="s">
        <v>22568</v>
      </c>
      <c r="C64" s="213"/>
      <c r="D64" s="213"/>
      <c r="H64" s="163"/>
      <c r="K64" s="152">
        <v>9</v>
      </c>
      <c r="L64" s="185">
        <f t="shared" si="5"/>
        <v>2.02</v>
      </c>
      <c r="M64" s="185">
        <f>M63</f>
        <v>0.21</v>
      </c>
      <c r="N64" s="227" t="e">
        <f>MAX($N$47/Kalk1_Eingabe!$C$18*(Kalk1_Eingabe!$C$18-Kalk1_Lastfallkombi!M64),0)</f>
        <v>#DIV/0!</v>
      </c>
      <c r="O64" s="185" t="e">
        <f t="shared" si="1"/>
        <v>#DIV/0!</v>
      </c>
      <c r="P64" s="185" t="e">
        <f t="shared" si="0"/>
        <v>#DIV/0!</v>
      </c>
      <c r="Q64" s="228" t="e">
        <f>AVERAGE(P64,P63)</f>
        <v>#DIV/0!</v>
      </c>
      <c r="R64" s="227" t="e">
        <f>MAX($R$47/Kalk1_Eingabe!$C$18*(Kalk1_Eingabe!$C$18-Kalk1_Lastfallkombi!M64),0)</f>
        <v>#DIV/0!</v>
      </c>
      <c r="S64" s="185" t="e">
        <f t="shared" si="2"/>
        <v>#DIV/0!</v>
      </c>
      <c r="T64" s="185" t="e">
        <f t="shared" si="6"/>
        <v>#DIV/0!</v>
      </c>
      <c r="U64" s="228" t="e">
        <f>AVERAGE(T64,T63)</f>
        <v>#DIV/0!</v>
      </c>
      <c r="V64" s="227">
        <f>MAX($V$47/Kalk1_Eingabe!$C$24*(Kalk1_Eingabe!$C$24-Kalk1_Lastfallkombi!M64),0)</f>
        <v>0</v>
      </c>
      <c r="W64" s="185">
        <f t="shared" si="3"/>
        <v>0</v>
      </c>
      <c r="X64" s="185">
        <f t="shared" si="7"/>
        <v>0</v>
      </c>
      <c r="Y64" s="228">
        <f>AVERAGE(X64,X63)</f>
        <v>0</v>
      </c>
      <c r="Z64" s="227">
        <f>MAX($Z$47/Kalk1_Eingabe!$C$24*(Kalk1_Eingabe!$C$24-Kalk1_Lastfallkombi!M64),0)</f>
        <v>0</v>
      </c>
      <c r="AA64" s="185">
        <f t="shared" si="4"/>
        <v>0</v>
      </c>
      <c r="AB64" s="185">
        <f t="shared" si="8"/>
        <v>0</v>
      </c>
      <c r="AC64" s="228">
        <f>AVERAGE(AB64,AB63)</f>
        <v>0</v>
      </c>
    </row>
    <row r="65" spans="1:29" ht="14.25" customHeight="1" thickBot="1">
      <c r="A65" s="216" t="s">
        <v>22528</v>
      </c>
      <c r="B65" s="195" t="s">
        <v>22569</v>
      </c>
      <c r="C65" s="194" t="e">
        <f>C36*C15/100*Kalk1_Eingabe!$C$19/2</f>
        <v>#DIV/0!</v>
      </c>
      <c r="D65" s="194" t="e">
        <f>D36*$C$15/100*Kalk1_Eingabe!$C$19/2</f>
        <v>#DIV/0!</v>
      </c>
      <c r="E65" s="190" t="s">
        <v>22379</v>
      </c>
      <c r="H65" s="163"/>
      <c r="K65" s="152">
        <v>10</v>
      </c>
      <c r="L65" s="185">
        <f t="shared" si="5"/>
        <v>1.98</v>
      </c>
      <c r="M65" s="185">
        <f>M63+IF(K65&lt;=$L$36,$C$14/100,0)</f>
        <v>0.21</v>
      </c>
      <c r="N65" s="227" t="e">
        <f>N64</f>
        <v>#DIV/0!</v>
      </c>
      <c r="O65" s="185" t="e">
        <f>IF(N65=0,0,O64)</f>
        <v>#DIV/0!</v>
      </c>
      <c r="P65" s="185" t="e">
        <f t="shared" si="0"/>
        <v>#DIV/0!</v>
      </c>
      <c r="Q65" s="228" t="e">
        <f>Q66</f>
        <v>#DIV/0!</v>
      </c>
      <c r="R65" s="227" t="e">
        <f>R64</f>
        <v>#DIV/0!</v>
      </c>
      <c r="S65" s="185" t="e">
        <f>IF(R65=0,0,S64)</f>
        <v>#DIV/0!</v>
      </c>
      <c r="T65" s="185" t="e">
        <f t="shared" si="6"/>
        <v>#DIV/0!</v>
      </c>
      <c r="U65" s="228" t="e">
        <f>U66</f>
        <v>#DIV/0!</v>
      </c>
      <c r="V65" s="227">
        <f>V64</f>
        <v>0</v>
      </c>
      <c r="W65" s="185">
        <f>IF(V65=0,0,W64)</f>
        <v>0</v>
      </c>
      <c r="X65" s="185">
        <f t="shared" si="7"/>
        <v>0</v>
      </c>
      <c r="Y65" s="228">
        <f>Y66</f>
        <v>0</v>
      </c>
      <c r="Z65" s="227">
        <f>Z64</f>
        <v>0</v>
      </c>
      <c r="AA65" s="185">
        <f>IF(Z65=0,0,AA64)</f>
        <v>0</v>
      </c>
      <c r="AB65" s="185">
        <f t="shared" si="8"/>
        <v>0</v>
      </c>
      <c r="AC65" s="228">
        <f>AC66</f>
        <v>0</v>
      </c>
    </row>
    <row r="66" spans="1:29" ht="14.25" customHeight="1" thickBot="1">
      <c r="B66" s="195" t="s">
        <v>22570</v>
      </c>
      <c r="C66" s="194" t="e">
        <f>C36*C15/100*Kalk1_Eingabe!$C$19^2/8</f>
        <v>#DIV/0!</v>
      </c>
      <c r="D66" s="194" t="e">
        <f>D36*$C$15/100*Kalk1_Eingabe!$C$19^2/8</f>
        <v>#DIV/0!</v>
      </c>
      <c r="E66" s="190" t="s">
        <v>22428</v>
      </c>
      <c r="K66" s="152">
        <v>10</v>
      </c>
      <c r="L66" s="185">
        <f t="shared" si="5"/>
        <v>2.02</v>
      </c>
      <c r="M66" s="185">
        <f>M65</f>
        <v>0.21</v>
      </c>
      <c r="N66" s="227" t="e">
        <f>MAX($N$47/Kalk1_Eingabe!$C$18*(Kalk1_Eingabe!$C$18-Kalk1_Lastfallkombi!M66),0)</f>
        <v>#DIV/0!</v>
      </c>
      <c r="O66" s="185" t="e">
        <f t="shared" si="1"/>
        <v>#DIV/0!</v>
      </c>
      <c r="P66" s="185" t="e">
        <f t="shared" si="0"/>
        <v>#DIV/0!</v>
      </c>
      <c r="Q66" s="228" t="e">
        <f>AVERAGE(P66,P65)</f>
        <v>#DIV/0!</v>
      </c>
      <c r="R66" s="227" t="e">
        <f>MAX($R$47/Kalk1_Eingabe!$C$18*(Kalk1_Eingabe!$C$18-Kalk1_Lastfallkombi!M66),0)</f>
        <v>#DIV/0!</v>
      </c>
      <c r="S66" s="185" t="e">
        <f t="shared" si="2"/>
        <v>#DIV/0!</v>
      </c>
      <c r="T66" s="185" t="e">
        <f t="shared" si="6"/>
        <v>#DIV/0!</v>
      </c>
      <c r="U66" s="228" t="e">
        <f>AVERAGE(T66,T65)</f>
        <v>#DIV/0!</v>
      </c>
      <c r="V66" s="227">
        <f>MAX($V$47/Kalk1_Eingabe!$C$24*(Kalk1_Eingabe!$C$24-Kalk1_Lastfallkombi!M66),0)</f>
        <v>0</v>
      </c>
      <c r="W66" s="185">
        <f t="shared" si="3"/>
        <v>0</v>
      </c>
      <c r="X66" s="185">
        <f t="shared" si="7"/>
        <v>0</v>
      </c>
      <c r="Y66" s="228">
        <f>AVERAGE(X66,X65)</f>
        <v>0</v>
      </c>
      <c r="Z66" s="227">
        <f>MAX($Z$47/Kalk1_Eingabe!$C$24*(Kalk1_Eingabe!$C$24-Kalk1_Lastfallkombi!M66),0)</f>
        <v>0</v>
      </c>
      <c r="AA66" s="185">
        <f t="shared" si="4"/>
        <v>0</v>
      </c>
      <c r="AB66" s="185">
        <f t="shared" si="8"/>
        <v>0</v>
      </c>
      <c r="AC66" s="228">
        <f>AVERAGE(AB66,AB65)</f>
        <v>0</v>
      </c>
    </row>
    <row r="67" spans="1:29" ht="5.0999999999999996" customHeight="1">
      <c r="E67" s="163"/>
      <c r="K67" s="152">
        <v>11</v>
      </c>
      <c r="L67" s="185">
        <f t="shared" si="5"/>
        <v>1.98</v>
      </c>
      <c r="M67" s="185">
        <f>M65+IF(K67&lt;=$L$36,$C$14/100,0)</f>
        <v>0.21</v>
      </c>
      <c r="N67" s="227" t="e">
        <f>N66</f>
        <v>#DIV/0!</v>
      </c>
      <c r="O67" s="185" t="e">
        <f>IF(N67=0,0,O66)</f>
        <v>#DIV/0!</v>
      </c>
      <c r="P67" s="185" t="e">
        <f t="shared" si="0"/>
        <v>#DIV/0!</v>
      </c>
      <c r="Q67" s="228" t="e">
        <f>Q68</f>
        <v>#DIV/0!</v>
      </c>
      <c r="R67" s="227" t="e">
        <f>R66</f>
        <v>#DIV/0!</v>
      </c>
      <c r="S67" s="185" t="e">
        <f>IF(R67=0,0,S66)</f>
        <v>#DIV/0!</v>
      </c>
      <c r="T67" s="185" t="e">
        <f t="shared" si="6"/>
        <v>#DIV/0!</v>
      </c>
      <c r="U67" s="228" t="e">
        <f>U68</f>
        <v>#DIV/0!</v>
      </c>
      <c r="V67" s="227">
        <f>V66</f>
        <v>0</v>
      </c>
      <c r="W67" s="185">
        <f>IF(V67=0,0,W66)</f>
        <v>0</v>
      </c>
      <c r="X67" s="185">
        <f t="shared" si="7"/>
        <v>0</v>
      </c>
      <c r="Y67" s="228">
        <f>Y68</f>
        <v>0</v>
      </c>
      <c r="Z67" s="227">
        <f>Z66</f>
        <v>0</v>
      </c>
      <c r="AA67" s="185">
        <f>IF(Z67=0,0,AA66)</f>
        <v>0</v>
      </c>
      <c r="AB67" s="185">
        <f t="shared" si="8"/>
        <v>0</v>
      </c>
      <c r="AC67" s="228">
        <f>AC68</f>
        <v>0</v>
      </c>
    </row>
    <row r="68" spans="1:29" ht="14.25" customHeight="1" thickBot="1">
      <c r="B68" s="192" t="s">
        <v>22571</v>
      </c>
      <c r="E68" s="163"/>
      <c r="K68" s="152">
        <v>11</v>
      </c>
      <c r="L68" s="185">
        <f t="shared" si="5"/>
        <v>2.02</v>
      </c>
      <c r="M68" s="185">
        <f>M67</f>
        <v>0.21</v>
      </c>
      <c r="N68" s="227" t="e">
        <f>MAX($N$47/Kalk1_Eingabe!$C$18*(Kalk1_Eingabe!$C$18-Kalk1_Lastfallkombi!M68),0)</f>
        <v>#DIV/0!</v>
      </c>
      <c r="O68" s="185" t="e">
        <f t="shared" si="1"/>
        <v>#DIV/0!</v>
      </c>
      <c r="P68" s="185" t="e">
        <f t="shared" si="0"/>
        <v>#DIV/0!</v>
      </c>
      <c r="Q68" s="228" t="e">
        <f>AVERAGE(P68,P67)</f>
        <v>#DIV/0!</v>
      </c>
      <c r="R68" s="227" t="e">
        <f>MAX($R$47/Kalk1_Eingabe!$C$18*(Kalk1_Eingabe!$C$18-Kalk1_Lastfallkombi!M68),0)</f>
        <v>#DIV/0!</v>
      </c>
      <c r="S68" s="185" t="e">
        <f t="shared" si="2"/>
        <v>#DIV/0!</v>
      </c>
      <c r="T68" s="185" t="e">
        <f t="shared" si="6"/>
        <v>#DIV/0!</v>
      </c>
      <c r="U68" s="228" t="e">
        <f>AVERAGE(T68,T67)</f>
        <v>#DIV/0!</v>
      </c>
      <c r="V68" s="227">
        <f>MAX($V$47/Kalk1_Eingabe!$C$24*(Kalk1_Eingabe!$C$24-Kalk1_Lastfallkombi!M68),0)</f>
        <v>0</v>
      </c>
      <c r="W68" s="185">
        <f t="shared" si="3"/>
        <v>0</v>
      </c>
      <c r="X68" s="185">
        <f t="shared" si="7"/>
        <v>0</v>
      </c>
      <c r="Y68" s="228">
        <f>AVERAGE(X68,X67)</f>
        <v>0</v>
      </c>
      <c r="Z68" s="227">
        <f>MAX($Z$47/Kalk1_Eingabe!$C$24*(Kalk1_Eingabe!$C$24-Kalk1_Lastfallkombi!M68),0)</f>
        <v>0</v>
      </c>
      <c r="AA68" s="185">
        <f t="shared" si="4"/>
        <v>0</v>
      </c>
      <c r="AB68" s="185">
        <f t="shared" si="8"/>
        <v>0</v>
      </c>
      <c r="AC68" s="228">
        <f>AVERAGE(AB68,AB67)</f>
        <v>0</v>
      </c>
    </row>
    <row r="69" spans="1:29" ht="14.25" customHeight="1" thickBot="1">
      <c r="A69" s="216" t="s">
        <v>22513</v>
      </c>
      <c r="B69" s="195" t="s">
        <v>22572</v>
      </c>
      <c r="C69" s="194">
        <f>C24*C15/100*Kalk1_Eingabe!$C$19/2</f>
        <v>0</v>
      </c>
      <c r="D69" s="194">
        <f>D24*$C$15/100*Kalk1_Eingabe!$C$19/2</f>
        <v>0</v>
      </c>
      <c r="E69" s="190" t="s">
        <v>22379</v>
      </c>
      <c r="K69" s="152">
        <v>12</v>
      </c>
      <c r="L69" s="185">
        <f t="shared" si="5"/>
        <v>1.98</v>
      </c>
      <c r="M69" s="185">
        <f>M67+IF(K69&lt;=$L$36,$C$14/100,0)</f>
        <v>0.21</v>
      </c>
      <c r="N69" s="227" t="e">
        <f>N68</f>
        <v>#DIV/0!</v>
      </c>
      <c r="O69" s="185" t="e">
        <f>IF(N69=0,0,O68)</f>
        <v>#DIV/0!</v>
      </c>
      <c r="P69" s="185" t="e">
        <f t="shared" si="0"/>
        <v>#DIV/0!</v>
      </c>
      <c r="Q69" s="228" t="e">
        <f>Q70</f>
        <v>#DIV/0!</v>
      </c>
      <c r="R69" s="227" t="e">
        <f>R68</f>
        <v>#DIV/0!</v>
      </c>
      <c r="S69" s="185" t="e">
        <f>IF(R69=0,0,S68)</f>
        <v>#DIV/0!</v>
      </c>
      <c r="T69" s="185" t="e">
        <f t="shared" si="6"/>
        <v>#DIV/0!</v>
      </c>
      <c r="U69" s="228" t="e">
        <f>U70</f>
        <v>#DIV/0!</v>
      </c>
      <c r="V69" s="227">
        <f>V68</f>
        <v>0</v>
      </c>
      <c r="W69" s="185">
        <f>IF(V69=0,0,W68)</f>
        <v>0</v>
      </c>
      <c r="X69" s="185">
        <f t="shared" si="7"/>
        <v>0</v>
      </c>
      <c r="Y69" s="228">
        <f>Y70</f>
        <v>0</v>
      </c>
      <c r="Z69" s="227">
        <f>Z68</f>
        <v>0</v>
      </c>
      <c r="AA69" s="185">
        <f>IF(Z69=0,0,AA68)</f>
        <v>0</v>
      </c>
      <c r="AB69" s="185">
        <f t="shared" si="8"/>
        <v>0</v>
      </c>
      <c r="AC69" s="228">
        <f>AC70</f>
        <v>0</v>
      </c>
    </row>
    <row r="70" spans="1:29" ht="14.25" customHeight="1" thickBot="1">
      <c r="B70" s="195" t="s">
        <v>22573</v>
      </c>
      <c r="C70" s="194">
        <f>C24*C15/100*Kalk1_Eingabe!$C$19^2/8</f>
        <v>0</v>
      </c>
      <c r="D70" s="194">
        <f>D24*$C$15/100*Kalk1_Eingabe!$C$19^2/8</f>
        <v>0</v>
      </c>
      <c r="E70" s="190" t="s">
        <v>22428</v>
      </c>
      <c r="K70" s="152">
        <v>12</v>
      </c>
      <c r="L70" s="185">
        <f t="shared" si="5"/>
        <v>2.02</v>
      </c>
      <c r="M70" s="185">
        <f>M69</f>
        <v>0.21</v>
      </c>
      <c r="N70" s="227" t="e">
        <f>MAX($N$47/Kalk1_Eingabe!$C$18*(Kalk1_Eingabe!$C$18-Kalk1_Lastfallkombi!M70),0)</f>
        <v>#DIV/0!</v>
      </c>
      <c r="O70" s="185" t="e">
        <f t="shared" si="1"/>
        <v>#DIV/0!</v>
      </c>
      <c r="P70" s="185" t="e">
        <f t="shared" si="0"/>
        <v>#DIV/0!</v>
      </c>
      <c r="Q70" s="228" t="e">
        <f>AVERAGE(P70,P69)</f>
        <v>#DIV/0!</v>
      </c>
      <c r="R70" s="227" t="e">
        <f>MAX($R$47/Kalk1_Eingabe!$C$18*(Kalk1_Eingabe!$C$18-Kalk1_Lastfallkombi!M70),0)</f>
        <v>#DIV/0!</v>
      </c>
      <c r="S70" s="185" t="e">
        <f t="shared" si="2"/>
        <v>#DIV/0!</v>
      </c>
      <c r="T70" s="185" t="e">
        <f t="shared" si="6"/>
        <v>#DIV/0!</v>
      </c>
      <c r="U70" s="228" t="e">
        <f>AVERAGE(T70,T69)</f>
        <v>#DIV/0!</v>
      </c>
      <c r="V70" s="227">
        <f>MAX($V$47/Kalk1_Eingabe!$C$24*(Kalk1_Eingabe!$C$24-Kalk1_Lastfallkombi!M70),0)</f>
        <v>0</v>
      </c>
      <c r="W70" s="185">
        <f t="shared" si="3"/>
        <v>0</v>
      </c>
      <c r="X70" s="185">
        <f t="shared" si="7"/>
        <v>0</v>
      </c>
      <c r="Y70" s="228">
        <f>AVERAGE(X70,X69)</f>
        <v>0</v>
      </c>
      <c r="Z70" s="227">
        <f>MAX($Z$47/Kalk1_Eingabe!$C$24*(Kalk1_Eingabe!$C$24-Kalk1_Lastfallkombi!M70),0)</f>
        <v>0</v>
      </c>
      <c r="AA70" s="185">
        <f t="shared" si="4"/>
        <v>0</v>
      </c>
      <c r="AB70" s="185">
        <f t="shared" si="8"/>
        <v>0</v>
      </c>
      <c r="AC70" s="228">
        <f>AVERAGE(AB70,AB69)</f>
        <v>0</v>
      </c>
    </row>
    <row r="71" spans="1:29" ht="14.25" customHeight="1">
      <c r="E71" s="163"/>
      <c r="K71" s="152">
        <v>13</v>
      </c>
      <c r="L71" s="185">
        <f t="shared" si="5"/>
        <v>1.98</v>
      </c>
      <c r="M71" s="185">
        <f>M69+IF(K71&lt;=$L$36,$C$14/100,0)</f>
        <v>0.21</v>
      </c>
      <c r="N71" s="227" t="e">
        <f>N70</f>
        <v>#DIV/0!</v>
      </c>
      <c r="O71" s="185" t="e">
        <f>IF(N71=0,0,O70)</f>
        <v>#DIV/0!</v>
      </c>
      <c r="P71" s="185" t="e">
        <f t="shared" si="0"/>
        <v>#DIV/0!</v>
      </c>
      <c r="Q71" s="228" t="e">
        <f>Q72</f>
        <v>#DIV/0!</v>
      </c>
      <c r="R71" s="227" t="e">
        <f>R70</f>
        <v>#DIV/0!</v>
      </c>
      <c r="S71" s="185" t="e">
        <f>IF(R71=0,0,S70)</f>
        <v>#DIV/0!</v>
      </c>
      <c r="T71" s="185" t="e">
        <f t="shared" si="6"/>
        <v>#DIV/0!</v>
      </c>
      <c r="U71" s="228" t="e">
        <f>U72</f>
        <v>#DIV/0!</v>
      </c>
      <c r="V71" s="227">
        <f>V70</f>
        <v>0</v>
      </c>
      <c r="W71" s="185">
        <f>IF(V71=0,0,W70)</f>
        <v>0</v>
      </c>
      <c r="X71" s="185">
        <f t="shared" si="7"/>
        <v>0</v>
      </c>
      <c r="Y71" s="228">
        <f>Y72</f>
        <v>0</v>
      </c>
      <c r="Z71" s="227">
        <f>Z70</f>
        <v>0</v>
      </c>
      <c r="AA71" s="185">
        <f>IF(Z71=0,0,AA70)</f>
        <v>0</v>
      </c>
      <c r="AB71" s="185">
        <f t="shared" si="8"/>
        <v>0</v>
      </c>
      <c r="AC71" s="228">
        <f>AC72</f>
        <v>0</v>
      </c>
    </row>
    <row r="72" spans="1:29" ht="14.25" customHeight="1">
      <c r="E72" s="163"/>
      <c r="K72" s="152">
        <v>13</v>
      </c>
      <c r="L72" s="185">
        <f t="shared" si="5"/>
        <v>2.02</v>
      </c>
      <c r="M72" s="185">
        <f>M71</f>
        <v>0.21</v>
      </c>
      <c r="N72" s="227" t="e">
        <f>MAX($N$47/Kalk1_Eingabe!$C$18*(Kalk1_Eingabe!$C$18-Kalk1_Lastfallkombi!M72),0)</f>
        <v>#DIV/0!</v>
      </c>
      <c r="O72" s="185" t="e">
        <f t="shared" si="1"/>
        <v>#DIV/0!</v>
      </c>
      <c r="P72" s="185" t="e">
        <f t="shared" si="0"/>
        <v>#DIV/0!</v>
      </c>
      <c r="Q72" s="228" t="e">
        <f>AVERAGE(P72,P71)</f>
        <v>#DIV/0!</v>
      </c>
      <c r="R72" s="227" t="e">
        <f>MAX($R$47/Kalk1_Eingabe!$C$18*(Kalk1_Eingabe!$C$18-Kalk1_Lastfallkombi!M72),0)</f>
        <v>#DIV/0!</v>
      </c>
      <c r="S72" s="185" t="e">
        <f t="shared" si="2"/>
        <v>#DIV/0!</v>
      </c>
      <c r="T72" s="185" t="e">
        <f t="shared" si="6"/>
        <v>#DIV/0!</v>
      </c>
      <c r="U72" s="228" t="e">
        <f>AVERAGE(T72,T71)</f>
        <v>#DIV/0!</v>
      </c>
      <c r="V72" s="227">
        <f>MAX($V$47/Kalk1_Eingabe!$C$24*(Kalk1_Eingabe!$C$24-Kalk1_Lastfallkombi!M72),0)</f>
        <v>0</v>
      </c>
      <c r="W72" s="185">
        <f t="shared" si="3"/>
        <v>0</v>
      </c>
      <c r="X72" s="185">
        <f t="shared" si="7"/>
        <v>0</v>
      </c>
      <c r="Y72" s="228">
        <f>AVERAGE(X72,X71)</f>
        <v>0</v>
      </c>
      <c r="Z72" s="227">
        <f>MAX($Z$47/Kalk1_Eingabe!$C$24*(Kalk1_Eingabe!$C$24-Kalk1_Lastfallkombi!M72),0)</f>
        <v>0</v>
      </c>
      <c r="AA72" s="185">
        <f t="shared" si="4"/>
        <v>0</v>
      </c>
      <c r="AB72" s="185">
        <f t="shared" si="8"/>
        <v>0</v>
      </c>
      <c r="AC72" s="228">
        <f>AVERAGE(AB72,AB71)</f>
        <v>0</v>
      </c>
    </row>
    <row r="73" spans="1:29" ht="14.25" customHeight="1">
      <c r="E73" s="163"/>
      <c r="K73" s="152">
        <v>14</v>
      </c>
      <c r="L73" s="185">
        <f t="shared" si="5"/>
        <v>1.98</v>
      </c>
      <c r="M73" s="185">
        <f>M71+IF(K73&lt;=$L$36,$C$14/100,0)</f>
        <v>0.21</v>
      </c>
      <c r="N73" s="227" t="e">
        <f>N72</f>
        <v>#DIV/0!</v>
      </c>
      <c r="O73" s="185" t="e">
        <f>IF(N73=0,0,O72)</f>
        <v>#DIV/0!</v>
      </c>
      <c r="P73" s="185" t="e">
        <f t="shared" si="0"/>
        <v>#DIV/0!</v>
      </c>
      <c r="Q73" s="228" t="e">
        <f>Q74</f>
        <v>#DIV/0!</v>
      </c>
      <c r="R73" s="227" t="e">
        <f>R72</f>
        <v>#DIV/0!</v>
      </c>
      <c r="S73" s="185" t="e">
        <f>IF(R73=0,0,S72)</f>
        <v>#DIV/0!</v>
      </c>
      <c r="T73" s="185" t="e">
        <f t="shared" si="6"/>
        <v>#DIV/0!</v>
      </c>
      <c r="U73" s="228" t="e">
        <f>U74</f>
        <v>#DIV/0!</v>
      </c>
      <c r="V73" s="227">
        <f>V72</f>
        <v>0</v>
      </c>
      <c r="W73" s="185">
        <f>IF(V73=0,0,W72)</f>
        <v>0</v>
      </c>
      <c r="X73" s="185">
        <f t="shared" si="7"/>
        <v>0</v>
      </c>
      <c r="Y73" s="228">
        <f>Y74</f>
        <v>0</v>
      </c>
      <c r="Z73" s="227">
        <f>Z72</f>
        <v>0</v>
      </c>
      <c r="AA73" s="185">
        <f>IF(Z73=0,0,AA72)</f>
        <v>0</v>
      </c>
      <c r="AB73" s="185">
        <f t="shared" si="8"/>
        <v>0</v>
      </c>
      <c r="AC73" s="228">
        <f>AC74</f>
        <v>0</v>
      </c>
    </row>
    <row r="74" spans="1:29" ht="14.25" customHeight="1">
      <c r="E74" s="163"/>
      <c r="K74" s="152">
        <v>14</v>
      </c>
      <c r="L74" s="185">
        <f t="shared" si="5"/>
        <v>2.02</v>
      </c>
      <c r="M74" s="185">
        <f>M73</f>
        <v>0.21</v>
      </c>
      <c r="N74" s="227" t="e">
        <f>MAX($N$47/Kalk1_Eingabe!$C$18*(Kalk1_Eingabe!$C$18-Kalk1_Lastfallkombi!M74),0)</f>
        <v>#DIV/0!</v>
      </c>
      <c r="O74" s="185" t="e">
        <f t="shared" si="1"/>
        <v>#DIV/0!</v>
      </c>
      <c r="P74" s="185" t="e">
        <f t="shared" si="0"/>
        <v>#DIV/0!</v>
      </c>
      <c r="Q74" s="228" t="e">
        <f>AVERAGE(P74,P73)</f>
        <v>#DIV/0!</v>
      </c>
      <c r="R74" s="227" t="e">
        <f>MAX($R$47/Kalk1_Eingabe!$C$18*(Kalk1_Eingabe!$C$18-Kalk1_Lastfallkombi!M74),0)</f>
        <v>#DIV/0!</v>
      </c>
      <c r="S74" s="185" t="e">
        <f t="shared" si="2"/>
        <v>#DIV/0!</v>
      </c>
      <c r="T74" s="185" t="e">
        <f t="shared" si="6"/>
        <v>#DIV/0!</v>
      </c>
      <c r="U74" s="228" t="e">
        <f>AVERAGE(T74,T73)</f>
        <v>#DIV/0!</v>
      </c>
      <c r="V74" s="227">
        <f>MAX($V$47/Kalk1_Eingabe!$C$24*(Kalk1_Eingabe!$C$24-Kalk1_Lastfallkombi!M74),0)</f>
        <v>0</v>
      </c>
      <c r="W74" s="185">
        <f t="shared" si="3"/>
        <v>0</v>
      </c>
      <c r="X74" s="185">
        <f t="shared" si="7"/>
        <v>0</v>
      </c>
      <c r="Y74" s="228">
        <f>AVERAGE(X74,X73)</f>
        <v>0</v>
      </c>
      <c r="Z74" s="227">
        <f>MAX($Z$47/Kalk1_Eingabe!$C$24*(Kalk1_Eingabe!$C$24-Kalk1_Lastfallkombi!M74),0)</f>
        <v>0</v>
      </c>
      <c r="AA74" s="185">
        <f t="shared" si="4"/>
        <v>0</v>
      </c>
      <c r="AB74" s="185">
        <f t="shared" si="8"/>
        <v>0</v>
      </c>
      <c r="AC74" s="228">
        <f>AVERAGE(AB74,AB73)</f>
        <v>0</v>
      </c>
    </row>
    <row r="75" spans="1:29" ht="14.25" customHeight="1">
      <c r="E75" s="163"/>
      <c r="K75" s="152">
        <v>15</v>
      </c>
      <c r="L75" s="185">
        <f t="shared" si="5"/>
        <v>1.98</v>
      </c>
      <c r="M75" s="185">
        <f>M73+IF(K75&lt;=$L$36,$C$14/100,0)</f>
        <v>0.21</v>
      </c>
      <c r="N75" s="227" t="e">
        <f>N74</f>
        <v>#DIV/0!</v>
      </c>
      <c r="O75" s="185" t="e">
        <f>IF(N75=0,0,O74)</f>
        <v>#DIV/0!</v>
      </c>
      <c r="P75" s="185" t="e">
        <f t="shared" si="0"/>
        <v>#DIV/0!</v>
      </c>
      <c r="Q75" s="228" t="e">
        <f>Q76</f>
        <v>#DIV/0!</v>
      </c>
      <c r="R75" s="227" t="e">
        <f>R74</f>
        <v>#DIV/0!</v>
      </c>
      <c r="S75" s="185" t="e">
        <f>IF(R75=0,0,S74)</f>
        <v>#DIV/0!</v>
      </c>
      <c r="T75" s="185" t="e">
        <f t="shared" si="6"/>
        <v>#DIV/0!</v>
      </c>
      <c r="U75" s="228" t="e">
        <f>U76</f>
        <v>#DIV/0!</v>
      </c>
      <c r="V75" s="227">
        <f>V74</f>
        <v>0</v>
      </c>
      <c r="W75" s="185">
        <f>IF(V75=0,0,W74)</f>
        <v>0</v>
      </c>
      <c r="X75" s="185">
        <f t="shared" si="7"/>
        <v>0</v>
      </c>
      <c r="Y75" s="228">
        <f>Y76</f>
        <v>0</v>
      </c>
      <c r="Z75" s="227">
        <f>Z74</f>
        <v>0</v>
      </c>
      <c r="AA75" s="185">
        <f>IF(Z75=0,0,AA74)</f>
        <v>0</v>
      </c>
      <c r="AB75" s="185">
        <f t="shared" si="8"/>
        <v>0</v>
      </c>
      <c r="AC75" s="228">
        <f>AC76</f>
        <v>0</v>
      </c>
    </row>
    <row r="76" spans="1:29" ht="14.25" customHeight="1">
      <c r="E76" s="163"/>
      <c r="K76" s="152">
        <v>15</v>
      </c>
      <c r="L76" s="185">
        <f t="shared" si="5"/>
        <v>2.02</v>
      </c>
      <c r="M76" s="185">
        <f>M75</f>
        <v>0.21</v>
      </c>
      <c r="N76" s="227" t="e">
        <f>MAX($N$47/Kalk1_Eingabe!$C$18*(Kalk1_Eingabe!$C$18-Kalk1_Lastfallkombi!M76),0)</f>
        <v>#DIV/0!</v>
      </c>
      <c r="O76" s="185" t="e">
        <f t="shared" si="1"/>
        <v>#DIV/0!</v>
      </c>
      <c r="P76" s="185" t="e">
        <f t="shared" si="0"/>
        <v>#DIV/0!</v>
      </c>
      <c r="Q76" s="228" t="e">
        <f>AVERAGE(P76,P75)</f>
        <v>#DIV/0!</v>
      </c>
      <c r="R76" s="227" t="e">
        <f>MAX($R$47/Kalk1_Eingabe!$C$18*(Kalk1_Eingabe!$C$18-Kalk1_Lastfallkombi!M76),0)</f>
        <v>#DIV/0!</v>
      </c>
      <c r="S76" s="185" t="e">
        <f t="shared" si="2"/>
        <v>#DIV/0!</v>
      </c>
      <c r="T76" s="185" t="e">
        <f t="shared" si="6"/>
        <v>#DIV/0!</v>
      </c>
      <c r="U76" s="228" t="e">
        <f>AVERAGE(T76,T75)</f>
        <v>#DIV/0!</v>
      </c>
      <c r="V76" s="227">
        <f>MAX($V$47/Kalk1_Eingabe!$C$24*(Kalk1_Eingabe!$C$24-Kalk1_Lastfallkombi!M76),0)</f>
        <v>0</v>
      </c>
      <c r="W76" s="185">
        <f t="shared" si="3"/>
        <v>0</v>
      </c>
      <c r="X76" s="185">
        <f t="shared" si="7"/>
        <v>0</v>
      </c>
      <c r="Y76" s="228">
        <f>AVERAGE(X76,X75)</f>
        <v>0</v>
      </c>
      <c r="Z76" s="227">
        <f>MAX($Z$47/Kalk1_Eingabe!$C$24*(Kalk1_Eingabe!$C$24-Kalk1_Lastfallkombi!M76),0)</f>
        <v>0</v>
      </c>
      <c r="AA76" s="185">
        <f t="shared" si="4"/>
        <v>0</v>
      </c>
      <c r="AB76" s="185">
        <f t="shared" si="8"/>
        <v>0</v>
      </c>
      <c r="AC76" s="228">
        <f>AVERAGE(AB76,AB75)</f>
        <v>0</v>
      </c>
    </row>
    <row r="77" spans="1:29" ht="14.25" customHeight="1">
      <c r="E77" s="163"/>
      <c r="K77" s="152">
        <v>16</v>
      </c>
      <c r="L77" s="185">
        <f t="shared" si="5"/>
        <v>1.98</v>
      </c>
      <c r="M77" s="185">
        <f>M75+IF(K77&lt;=$L$36,$C$14/100,0)</f>
        <v>0.21</v>
      </c>
      <c r="N77" s="227" t="e">
        <f>N76</f>
        <v>#DIV/0!</v>
      </c>
      <c r="O77" s="185" t="e">
        <f>IF(N77=0,0,O76)</f>
        <v>#DIV/0!</v>
      </c>
      <c r="P77" s="185" t="e">
        <f t="shared" si="0"/>
        <v>#DIV/0!</v>
      </c>
      <c r="Q77" s="228" t="e">
        <f>Q78</f>
        <v>#DIV/0!</v>
      </c>
      <c r="R77" s="227" t="e">
        <f>R76</f>
        <v>#DIV/0!</v>
      </c>
      <c r="S77" s="185" t="e">
        <f>IF(R77=0,0,S76)</f>
        <v>#DIV/0!</v>
      </c>
      <c r="T77" s="185" t="e">
        <f t="shared" si="6"/>
        <v>#DIV/0!</v>
      </c>
      <c r="U77" s="228" t="e">
        <f>U78</f>
        <v>#DIV/0!</v>
      </c>
      <c r="V77" s="227">
        <f>V76</f>
        <v>0</v>
      </c>
      <c r="W77" s="185">
        <f>IF(V77=0,0,W76)</f>
        <v>0</v>
      </c>
      <c r="X77" s="185">
        <f t="shared" si="7"/>
        <v>0</v>
      </c>
      <c r="Y77" s="228">
        <f>Y78</f>
        <v>0</v>
      </c>
      <c r="Z77" s="227">
        <f>Z76</f>
        <v>0</v>
      </c>
      <c r="AA77" s="185">
        <f>IF(Z77=0,0,AA76)</f>
        <v>0</v>
      </c>
      <c r="AB77" s="185">
        <f t="shared" si="8"/>
        <v>0</v>
      </c>
      <c r="AC77" s="228">
        <f>AC78</f>
        <v>0</v>
      </c>
    </row>
    <row r="78" spans="1:29" ht="14.25" customHeight="1">
      <c r="E78" s="163"/>
      <c r="K78" s="152">
        <v>16</v>
      </c>
      <c r="L78" s="185">
        <f t="shared" si="5"/>
        <v>2.02</v>
      </c>
      <c r="M78" s="185">
        <f>M77</f>
        <v>0.21</v>
      </c>
      <c r="N78" s="227" t="e">
        <f>MAX($N$47/Kalk1_Eingabe!$C$18*(Kalk1_Eingabe!$C$18-Kalk1_Lastfallkombi!M78),0)</f>
        <v>#DIV/0!</v>
      </c>
      <c r="O78" s="185" t="e">
        <f t="shared" si="1"/>
        <v>#DIV/0!</v>
      </c>
      <c r="P78" s="185" t="e">
        <f t="shared" si="0"/>
        <v>#DIV/0!</v>
      </c>
      <c r="Q78" s="228" t="e">
        <f>AVERAGE(P78,P77)</f>
        <v>#DIV/0!</v>
      </c>
      <c r="R78" s="227" t="e">
        <f>MAX($R$47/Kalk1_Eingabe!$C$18*(Kalk1_Eingabe!$C$18-Kalk1_Lastfallkombi!M78),0)</f>
        <v>#DIV/0!</v>
      </c>
      <c r="S78" s="185" t="e">
        <f t="shared" si="2"/>
        <v>#DIV/0!</v>
      </c>
      <c r="T78" s="185" t="e">
        <f t="shared" si="6"/>
        <v>#DIV/0!</v>
      </c>
      <c r="U78" s="228" t="e">
        <f>AVERAGE(T78,T77)</f>
        <v>#DIV/0!</v>
      </c>
      <c r="V78" s="227">
        <f>MAX($V$47/Kalk1_Eingabe!$C$24*(Kalk1_Eingabe!$C$24-Kalk1_Lastfallkombi!M78),0)</f>
        <v>0</v>
      </c>
      <c r="W78" s="185">
        <f t="shared" si="3"/>
        <v>0</v>
      </c>
      <c r="X78" s="185">
        <f t="shared" si="7"/>
        <v>0</v>
      </c>
      <c r="Y78" s="228">
        <f>AVERAGE(X78,X77)</f>
        <v>0</v>
      </c>
      <c r="Z78" s="227">
        <f>MAX($Z$47/Kalk1_Eingabe!$C$24*(Kalk1_Eingabe!$C$24-Kalk1_Lastfallkombi!M78),0)</f>
        <v>0</v>
      </c>
      <c r="AA78" s="185">
        <f t="shared" si="4"/>
        <v>0</v>
      </c>
      <c r="AB78" s="185">
        <f t="shared" si="8"/>
        <v>0</v>
      </c>
      <c r="AC78" s="228">
        <f>AVERAGE(AB78,AB77)</f>
        <v>0</v>
      </c>
    </row>
    <row r="79" spans="1:29" ht="14.25" customHeight="1">
      <c r="E79" s="163"/>
      <c r="K79" s="152">
        <v>17</v>
      </c>
      <c r="L79" s="185">
        <f t="shared" si="5"/>
        <v>1.98</v>
      </c>
      <c r="M79" s="185">
        <f>M77+IF(K79&lt;=$L$36,$C$14/100,0)</f>
        <v>0.21</v>
      </c>
      <c r="N79" s="227" t="e">
        <f>N78</f>
        <v>#DIV/0!</v>
      </c>
      <c r="O79" s="185" t="e">
        <f>IF(N79=0,0,O78)</f>
        <v>#DIV/0!</v>
      </c>
      <c r="P79" s="185" t="e">
        <f t="shared" si="0"/>
        <v>#DIV/0!</v>
      </c>
      <c r="Q79" s="228" t="e">
        <f>Q80</f>
        <v>#DIV/0!</v>
      </c>
      <c r="R79" s="227" t="e">
        <f>R78</f>
        <v>#DIV/0!</v>
      </c>
      <c r="S79" s="185" t="e">
        <f>IF(R79=0,0,S78)</f>
        <v>#DIV/0!</v>
      </c>
      <c r="T79" s="185" t="e">
        <f t="shared" si="6"/>
        <v>#DIV/0!</v>
      </c>
      <c r="U79" s="228" t="e">
        <f>U80</f>
        <v>#DIV/0!</v>
      </c>
      <c r="V79" s="227">
        <f>V78</f>
        <v>0</v>
      </c>
      <c r="W79" s="185">
        <f>IF(V79=0,0,W78)</f>
        <v>0</v>
      </c>
      <c r="X79" s="185">
        <f t="shared" si="7"/>
        <v>0</v>
      </c>
      <c r="Y79" s="228">
        <f>Y80</f>
        <v>0</v>
      </c>
      <c r="Z79" s="227">
        <f>Z78</f>
        <v>0</v>
      </c>
      <c r="AA79" s="185">
        <f>IF(Z79=0,0,AA78)</f>
        <v>0</v>
      </c>
      <c r="AB79" s="185">
        <f t="shared" si="8"/>
        <v>0</v>
      </c>
      <c r="AC79" s="228">
        <f>AC80</f>
        <v>0</v>
      </c>
    </row>
    <row r="80" spans="1:29" ht="14.25" customHeight="1">
      <c r="E80" s="163"/>
      <c r="K80" s="152">
        <v>17</v>
      </c>
      <c r="L80" s="185">
        <f t="shared" si="5"/>
        <v>2.02</v>
      </c>
      <c r="M80" s="185">
        <f>M79</f>
        <v>0.21</v>
      </c>
      <c r="N80" s="227" t="e">
        <f>MAX($N$47/Kalk1_Eingabe!$C$18*(Kalk1_Eingabe!$C$18-Kalk1_Lastfallkombi!M80),0)</f>
        <v>#DIV/0!</v>
      </c>
      <c r="O80" s="185" t="e">
        <f t="shared" si="1"/>
        <v>#DIV/0!</v>
      </c>
      <c r="P80" s="185" t="e">
        <f t="shared" si="0"/>
        <v>#DIV/0!</v>
      </c>
      <c r="Q80" s="228" t="e">
        <f>AVERAGE(P80,P79)</f>
        <v>#DIV/0!</v>
      </c>
      <c r="R80" s="227" t="e">
        <f>MAX($R$47/Kalk1_Eingabe!$C$18*(Kalk1_Eingabe!$C$18-Kalk1_Lastfallkombi!M80),0)</f>
        <v>#DIV/0!</v>
      </c>
      <c r="S80" s="185" t="e">
        <f t="shared" si="2"/>
        <v>#DIV/0!</v>
      </c>
      <c r="T80" s="185" t="e">
        <f t="shared" si="6"/>
        <v>#DIV/0!</v>
      </c>
      <c r="U80" s="228" t="e">
        <f>AVERAGE(T80,T79)</f>
        <v>#DIV/0!</v>
      </c>
      <c r="V80" s="227">
        <f>MAX($V$47/Kalk1_Eingabe!$C$24*(Kalk1_Eingabe!$C$24-Kalk1_Lastfallkombi!M80),0)</f>
        <v>0</v>
      </c>
      <c r="W80" s="185">
        <f t="shared" si="3"/>
        <v>0</v>
      </c>
      <c r="X80" s="185">
        <f t="shared" si="7"/>
        <v>0</v>
      </c>
      <c r="Y80" s="228">
        <f>AVERAGE(X80,X79)</f>
        <v>0</v>
      </c>
      <c r="Z80" s="227">
        <f>MAX($Z$47/Kalk1_Eingabe!$C$24*(Kalk1_Eingabe!$C$24-Kalk1_Lastfallkombi!M80),0)</f>
        <v>0</v>
      </c>
      <c r="AA80" s="185">
        <f t="shared" si="4"/>
        <v>0</v>
      </c>
      <c r="AB80" s="185">
        <f t="shared" si="8"/>
        <v>0</v>
      </c>
      <c r="AC80" s="228">
        <f>AVERAGE(AB80,AB79)</f>
        <v>0</v>
      </c>
    </row>
    <row r="81" spans="5:29" ht="14.25" customHeight="1">
      <c r="E81" s="163"/>
      <c r="K81" s="152">
        <v>18</v>
      </c>
      <c r="L81" s="185">
        <f t="shared" si="5"/>
        <v>1.98</v>
      </c>
      <c r="M81" s="185">
        <f>M79+IF(K81&lt;=$L$36,$C$14/100,0)</f>
        <v>0.21</v>
      </c>
      <c r="N81" s="227" t="e">
        <f>N80</f>
        <v>#DIV/0!</v>
      </c>
      <c r="O81" s="185" t="e">
        <f>IF(N81=0,0,O80)</f>
        <v>#DIV/0!</v>
      </c>
      <c r="P81" s="185" t="e">
        <f t="shared" si="0"/>
        <v>#DIV/0!</v>
      </c>
      <c r="Q81" s="228" t="e">
        <f>Q82</f>
        <v>#DIV/0!</v>
      </c>
      <c r="R81" s="227" t="e">
        <f>R80</f>
        <v>#DIV/0!</v>
      </c>
      <c r="S81" s="185" t="e">
        <f>IF(R81=0,0,S80)</f>
        <v>#DIV/0!</v>
      </c>
      <c r="T81" s="185" t="e">
        <f t="shared" si="6"/>
        <v>#DIV/0!</v>
      </c>
      <c r="U81" s="228" t="e">
        <f>U82</f>
        <v>#DIV/0!</v>
      </c>
      <c r="V81" s="227">
        <f>V80</f>
        <v>0</v>
      </c>
      <c r="W81" s="185">
        <f>IF(V81=0,0,W80)</f>
        <v>0</v>
      </c>
      <c r="X81" s="185">
        <f t="shared" si="7"/>
        <v>0</v>
      </c>
      <c r="Y81" s="228">
        <f>Y82</f>
        <v>0</v>
      </c>
      <c r="Z81" s="227">
        <f>Z80</f>
        <v>0</v>
      </c>
      <c r="AA81" s="185">
        <f>IF(Z81=0,0,AA80)</f>
        <v>0</v>
      </c>
      <c r="AB81" s="185">
        <f t="shared" si="8"/>
        <v>0</v>
      </c>
      <c r="AC81" s="228">
        <f>AC82</f>
        <v>0</v>
      </c>
    </row>
    <row r="82" spans="5:29" ht="14.25" customHeight="1">
      <c r="E82" s="163"/>
      <c r="K82" s="152">
        <v>18</v>
      </c>
      <c r="L82" s="185">
        <f t="shared" si="5"/>
        <v>2.02</v>
      </c>
      <c r="M82" s="185">
        <f>M81</f>
        <v>0.21</v>
      </c>
      <c r="N82" s="227" t="e">
        <f>MAX($N$47/Kalk1_Eingabe!$C$18*(Kalk1_Eingabe!$C$18-Kalk1_Lastfallkombi!M82),0)</f>
        <v>#DIV/0!</v>
      </c>
      <c r="O82" s="185" t="e">
        <f t="shared" si="1"/>
        <v>#DIV/0!</v>
      </c>
      <c r="P82" s="185" t="e">
        <f t="shared" si="0"/>
        <v>#DIV/0!</v>
      </c>
      <c r="Q82" s="228" t="e">
        <f>AVERAGE(P82,P81)</f>
        <v>#DIV/0!</v>
      </c>
      <c r="R82" s="227" t="e">
        <f>MAX($R$47/Kalk1_Eingabe!$C$18*(Kalk1_Eingabe!$C$18-Kalk1_Lastfallkombi!M82),0)</f>
        <v>#DIV/0!</v>
      </c>
      <c r="S82" s="185" t="e">
        <f t="shared" si="2"/>
        <v>#DIV/0!</v>
      </c>
      <c r="T82" s="185" t="e">
        <f t="shared" si="6"/>
        <v>#DIV/0!</v>
      </c>
      <c r="U82" s="228" t="e">
        <f>AVERAGE(T82,T81)</f>
        <v>#DIV/0!</v>
      </c>
      <c r="V82" s="227">
        <f>MAX($V$47/Kalk1_Eingabe!$C$24*(Kalk1_Eingabe!$C$24-Kalk1_Lastfallkombi!M82),0)</f>
        <v>0</v>
      </c>
      <c r="W82" s="185">
        <f t="shared" si="3"/>
        <v>0</v>
      </c>
      <c r="X82" s="185">
        <f t="shared" si="7"/>
        <v>0</v>
      </c>
      <c r="Y82" s="228">
        <f>AVERAGE(X82,X81)</f>
        <v>0</v>
      </c>
      <c r="Z82" s="227">
        <f>MAX($Z$47/Kalk1_Eingabe!$C$24*(Kalk1_Eingabe!$C$24-Kalk1_Lastfallkombi!M82),0)</f>
        <v>0</v>
      </c>
      <c r="AA82" s="185">
        <f t="shared" si="4"/>
        <v>0</v>
      </c>
      <c r="AB82" s="185">
        <f t="shared" si="8"/>
        <v>0</v>
      </c>
      <c r="AC82" s="228">
        <f>AVERAGE(AB82,AB81)</f>
        <v>0</v>
      </c>
    </row>
    <row r="83" spans="5:29" ht="14.25" customHeight="1">
      <c r="E83" s="163"/>
      <c r="K83" s="152">
        <v>19</v>
      </c>
      <c r="L83" s="185">
        <f t="shared" si="5"/>
        <v>1.98</v>
      </c>
      <c r="M83" s="185">
        <f>M81+IF(K83&lt;=$L$36,$C$14/100,0)</f>
        <v>0.21</v>
      </c>
      <c r="N83" s="227" t="e">
        <f>N82</f>
        <v>#DIV/0!</v>
      </c>
      <c r="O83" s="185" t="e">
        <f>IF(N83=0,0,O82)</f>
        <v>#DIV/0!</v>
      </c>
      <c r="P83" s="185" t="e">
        <f t="shared" si="0"/>
        <v>#DIV/0!</v>
      </c>
      <c r="Q83" s="228" t="e">
        <f>Q84</f>
        <v>#DIV/0!</v>
      </c>
      <c r="R83" s="227" t="e">
        <f>R82</f>
        <v>#DIV/0!</v>
      </c>
      <c r="S83" s="185" t="e">
        <f>IF(R83=0,0,S82)</f>
        <v>#DIV/0!</v>
      </c>
      <c r="T83" s="185" t="e">
        <f t="shared" si="6"/>
        <v>#DIV/0!</v>
      </c>
      <c r="U83" s="228" t="e">
        <f>U84</f>
        <v>#DIV/0!</v>
      </c>
      <c r="V83" s="227">
        <f>V82</f>
        <v>0</v>
      </c>
      <c r="W83" s="185">
        <f>IF(V83=0,0,W82)</f>
        <v>0</v>
      </c>
      <c r="X83" s="185">
        <f t="shared" si="7"/>
        <v>0</v>
      </c>
      <c r="Y83" s="228">
        <f>Y84</f>
        <v>0</v>
      </c>
      <c r="Z83" s="227">
        <f>Z82</f>
        <v>0</v>
      </c>
      <c r="AA83" s="185">
        <f>IF(Z83=0,0,AA82)</f>
        <v>0</v>
      </c>
      <c r="AB83" s="185">
        <f t="shared" si="8"/>
        <v>0</v>
      </c>
      <c r="AC83" s="228">
        <f>AC84</f>
        <v>0</v>
      </c>
    </row>
    <row r="84" spans="5:29" ht="14.25" customHeight="1">
      <c r="E84" s="163"/>
      <c r="K84" s="152">
        <v>19</v>
      </c>
      <c r="L84" s="185">
        <f t="shared" si="5"/>
        <v>2.02</v>
      </c>
      <c r="M84" s="185">
        <f>M83</f>
        <v>0.21</v>
      </c>
      <c r="N84" s="227" t="e">
        <f>MAX($N$47/Kalk1_Eingabe!$C$18*(Kalk1_Eingabe!$C$18-Kalk1_Lastfallkombi!M84),0)</f>
        <v>#DIV/0!</v>
      </c>
      <c r="O84" s="185" t="e">
        <f t="shared" si="1"/>
        <v>#DIV/0!</v>
      </c>
      <c r="P84" s="185" t="e">
        <f t="shared" si="0"/>
        <v>#DIV/0!</v>
      </c>
      <c r="Q84" s="228" t="e">
        <f>AVERAGE(P84,P83)</f>
        <v>#DIV/0!</v>
      </c>
      <c r="R84" s="227" t="e">
        <f>MAX($R$47/Kalk1_Eingabe!$C$18*(Kalk1_Eingabe!$C$18-Kalk1_Lastfallkombi!M84),0)</f>
        <v>#DIV/0!</v>
      </c>
      <c r="S84" s="185" t="e">
        <f t="shared" si="2"/>
        <v>#DIV/0!</v>
      </c>
      <c r="T84" s="185" t="e">
        <f t="shared" si="6"/>
        <v>#DIV/0!</v>
      </c>
      <c r="U84" s="228" t="e">
        <f>AVERAGE(T84,T83)</f>
        <v>#DIV/0!</v>
      </c>
      <c r="V84" s="227">
        <f>MAX($V$47/Kalk1_Eingabe!$C$24*(Kalk1_Eingabe!$C$24-Kalk1_Lastfallkombi!M84),0)</f>
        <v>0</v>
      </c>
      <c r="W84" s="185">
        <f t="shared" si="3"/>
        <v>0</v>
      </c>
      <c r="X84" s="185">
        <f t="shared" si="7"/>
        <v>0</v>
      </c>
      <c r="Y84" s="228">
        <f>AVERAGE(X84,X83)</f>
        <v>0</v>
      </c>
      <c r="Z84" s="227">
        <f>MAX($Z$47/Kalk1_Eingabe!$C$24*(Kalk1_Eingabe!$C$24-Kalk1_Lastfallkombi!M84),0)</f>
        <v>0</v>
      </c>
      <c r="AA84" s="185">
        <f t="shared" si="4"/>
        <v>0</v>
      </c>
      <c r="AB84" s="185">
        <f t="shared" si="8"/>
        <v>0</v>
      </c>
      <c r="AC84" s="228">
        <f>AVERAGE(AB84,AB83)</f>
        <v>0</v>
      </c>
    </row>
    <row r="85" spans="5:29" ht="14.25" customHeight="1">
      <c r="E85" s="163"/>
      <c r="K85" s="152">
        <v>20</v>
      </c>
      <c r="L85" s="185">
        <f t="shared" si="5"/>
        <v>1.98</v>
      </c>
      <c r="M85" s="185">
        <f>M83+IF(K85&lt;=$L$36,$C$14/100,0)</f>
        <v>0.21</v>
      </c>
      <c r="N85" s="227" t="e">
        <f>N84</f>
        <v>#DIV/0!</v>
      </c>
      <c r="O85" s="185" t="e">
        <f>IF(N85=0,0,O84)</f>
        <v>#DIV/0!</v>
      </c>
      <c r="P85" s="185" t="e">
        <f t="shared" si="0"/>
        <v>#DIV/0!</v>
      </c>
      <c r="Q85" s="228" t="e">
        <f>Q86</f>
        <v>#DIV/0!</v>
      </c>
      <c r="R85" s="227" t="e">
        <f>R84</f>
        <v>#DIV/0!</v>
      </c>
      <c r="S85" s="185" t="e">
        <f>IF(R85=0,0,S84)</f>
        <v>#DIV/0!</v>
      </c>
      <c r="T85" s="185" t="e">
        <f t="shared" si="6"/>
        <v>#DIV/0!</v>
      </c>
      <c r="U85" s="228" t="e">
        <f>U86</f>
        <v>#DIV/0!</v>
      </c>
      <c r="V85" s="227">
        <f>V84</f>
        <v>0</v>
      </c>
      <c r="W85" s="185">
        <f>IF(V85=0,0,W84)</f>
        <v>0</v>
      </c>
      <c r="X85" s="185">
        <f t="shared" si="7"/>
        <v>0</v>
      </c>
      <c r="Y85" s="228">
        <f>Y86</f>
        <v>0</v>
      </c>
      <c r="Z85" s="227">
        <f>Z84</f>
        <v>0</v>
      </c>
      <c r="AA85" s="185">
        <f>IF(Z85=0,0,AA84)</f>
        <v>0</v>
      </c>
      <c r="AB85" s="185">
        <f t="shared" si="8"/>
        <v>0</v>
      </c>
      <c r="AC85" s="228">
        <f>AC86</f>
        <v>0</v>
      </c>
    </row>
    <row r="86" spans="5:29" ht="14.25" customHeight="1">
      <c r="E86" s="163"/>
      <c r="K86" s="152">
        <v>20</v>
      </c>
      <c r="L86" s="185">
        <f t="shared" si="5"/>
        <v>2.02</v>
      </c>
      <c r="M86" s="185">
        <f>M85</f>
        <v>0.21</v>
      </c>
      <c r="N86" s="227" t="e">
        <f>MAX($N$47/Kalk1_Eingabe!$C$18*(Kalk1_Eingabe!$C$18-Kalk1_Lastfallkombi!M86),0)</f>
        <v>#DIV/0!</v>
      </c>
      <c r="O86" s="185" t="e">
        <f t="shared" si="1"/>
        <v>#DIV/0!</v>
      </c>
      <c r="P86" s="185" t="e">
        <f t="shared" si="0"/>
        <v>#DIV/0!</v>
      </c>
      <c r="Q86" s="228" t="e">
        <f>AVERAGE(P86,P85)</f>
        <v>#DIV/0!</v>
      </c>
      <c r="R86" s="227" t="e">
        <f>MAX($R$47/Kalk1_Eingabe!$C$18*(Kalk1_Eingabe!$C$18-Kalk1_Lastfallkombi!M86),0)</f>
        <v>#DIV/0!</v>
      </c>
      <c r="S86" s="185" t="e">
        <f t="shared" si="2"/>
        <v>#DIV/0!</v>
      </c>
      <c r="T86" s="185" t="e">
        <f t="shared" si="6"/>
        <v>#DIV/0!</v>
      </c>
      <c r="U86" s="228" t="e">
        <f>AVERAGE(T86,T85)</f>
        <v>#DIV/0!</v>
      </c>
      <c r="V86" s="227">
        <f>MAX($V$47/Kalk1_Eingabe!$C$24*(Kalk1_Eingabe!$C$24-Kalk1_Lastfallkombi!M86),0)</f>
        <v>0</v>
      </c>
      <c r="W86" s="185">
        <f t="shared" si="3"/>
        <v>0</v>
      </c>
      <c r="X86" s="185">
        <f t="shared" si="7"/>
        <v>0</v>
      </c>
      <c r="Y86" s="228">
        <f>AVERAGE(X86,X85)</f>
        <v>0</v>
      </c>
      <c r="Z86" s="227">
        <f>MAX($Z$47/Kalk1_Eingabe!$C$24*(Kalk1_Eingabe!$C$24-Kalk1_Lastfallkombi!M86),0)</f>
        <v>0</v>
      </c>
      <c r="AA86" s="185">
        <f t="shared" si="4"/>
        <v>0</v>
      </c>
      <c r="AB86" s="185">
        <f t="shared" si="8"/>
        <v>0</v>
      </c>
      <c r="AC86" s="228">
        <f>AVERAGE(AB86,AB85)</f>
        <v>0</v>
      </c>
    </row>
    <row r="87" spans="5:29" ht="14.25" customHeight="1">
      <c r="E87" s="163"/>
      <c r="K87" s="152">
        <v>21</v>
      </c>
      <c r="L87" s="185">
        <f t="shared" si="5"/>
        <v>1.98</v>
      </c>
      <c r="M87" s="185">
        <f>M85+IF(K87&lt;=$L$36,$C$14/100,0)</f>
        <v>0.21</v>
      </c>
      <c r="N87" s="227" t="e">
        <f>N86</f>
        <v>#DIV/0!</v>
      </c>
      <c r="O87" s="185" t="e">
        <f>IF(N87=0,0,O86)</f>
        <v>#DIV/0!</v>
      </c>
      <c r="P87" s="185" t="e">
        <f t="shared" si="0"/>
        <v>#DIV/0!</v>
      </c>
      <c r="Q87" s="228" t="e">
        <f>Q88</f>
        <v>#DIV/0!</v>
      </c>
      <c r="R87" s="227" t="e">
        <f>R86</f>
        <v>#DIV/0!</v>
      </c>
      <c r="S87" s="185" t="e">
        <f>IF(R87=0,0,S86)</f>
        <v>#DIV/0!</v>
      </c>
      <c r="T87" s="185" t="e">
        <f t="shared" si="6"/>
        <v>#DIV/0!</v>
      </c>
      <c r="U87" s="228" t="e">
        <f>U88</f>
        <v>#DIV/0!</v>
      </c>
      <c r="V87" s="227">
        <f>V86</f>
        <v>0</v>
      </c>
      <c r="W87" s="185">
        <f>IF(V87=0,0,W86)</f>
        <v>0</v>
      </c>
      <c r="X87" s="185">
        <f t="shared" si="7"/>
        <v>0</v>
      </c>
      <c r="Y87" s="228">
        <f>Y88</f>
        <v>0</v>
      </c>
      <c r="Z87" s="227">
        <f>Z86</f>
        <v>0</v>
      </c>
      <c r="AA87" s="185">
        <f>IF(Z87=0,0,AA86)</f>
        <v>0</v>
      </c>
      <c r="AB87" s="185">
        <f t="shared" si="8"/>
        <v>0</v>
      </c>
      <c r="AC87" s="228">
        <f>AC88</f>
        <v>0</v>
      </c>
    </row>
    <row r="88" spans="5:29" ht="14.25" customHeight="1">
      <c r="E88" s="163"/>
      <c r="K88" s="152">
        <v>21</v>
      </c>
      <c r="L88" s="185">
        <f t="shared" si="5"/>
        <v>2.02</v>
      </c>
      <c r="M88" s="185">
        <f>M87</f>
        <v>0.21</v>
      </c>
      <c r="N88" s="227" t="e">
        <f>MAX($N$47/Kalk1_Eingabe!$C$18*(Kalk1_Eingabe!$C$18-Kalk1_Lastfallkombi!M88),0)</f>
        <v>#DIV/0!</v>
      </c>
      <c r="O88" s="185" t="e">
        <f t="shared" si="1"/>
        <v>#DIV/0!</v>
      </c>
      <c r="P88" s="185" t="e">
        <f t="shared" si="0"/>
        <v>#DIV/0!</v>
      </c>
      <c r="Q88" s="228" t="e">
        <f t="shared" ref="Q88:Q94" si="9">AVERAGE(P88,P87)</f>
        <v>#DIV/0!</v>
      </c>
      <c r="R88" s="227" t="e">
        <f>MAX($R$47/Kalk1_Eingabe!$C$18*(Kalk1_Eingabe!$C$18-Kalk1_Lastfallkombi!M88),0)</f>
        <v>#DIV/0!</v>
      </c>
      <c r="S88" s="185" t="e">
        <f t="shared" si="2"/>
        <v>#DIV/0!</v>
      </c>
      <c r="T88" s="185" t="e">
        <f t="shared" si="6"/>
        <v>#DIV/0!</v>
      </c>
      <c r="U88" s="228" t="e">
        <f t="shared" ref="U88:U94" si="10">AVERAGE(T88,T87)</f>
        <v>#DIV/0!</v>
      </c>
      <c r="V88" s="227">
        <f>MAX($V$47/Kalk1_Eingabe!$C$24*(Kalk1_Eingabe!$C$24-Kalk1_Lastfallkombi!M88),0)</f>
        <v>0</v>
      </c>
      <c r="W88" s="185">
        <f t="shared" si="3"/>
        <v>0</v>
      </c>
      <c r="X88" s="185">
        <f t="shared" si="7"/>
        <v>0</v>
      </c>
      <c r="Y88" s="228">
        <f t="shared" ref="Y88:Y94" si="11">AVERAGE(X88,X87)</f>
        <v>0</v>
      </c>
      <c r="Z88" s="227">
        <f>MAX($Z$47/Kalk1_Eingabe!$C$24*(Kalk1_Eingabe!$C$24-Kalk1_Lastfallkombi!M88),0)</f>
        <v>0</v>
      </c>
      <c r="AA88" s="185">
        <f t="shared" si="4"/>
        <v>0</v>
      </c>
      <c r="AB88" s="185">
        <f t="shared" si="8"/>
        <v>0</v>
      </c>
      <c r="AC88" s="228">
        <f t="shared" ref="AC88:AC94" si="12">AVERAGE(AB88,AB87)</f>
        <v>0</v>
      </c>
    </row>
    <row r="89" spans="5:29" ht="14.25" customHeight="1">
      <c r="E89" s="163"/>
      <c r="K89" s="152">
        <v>22</v>
      </c>
      <c r="L89" s="185">
        <f t="shared" si="5"/>
        <v>1.98</v>
      </c>
      <c r="M89" s="185">
        <f>M87+IF(K89&lt;=$L$36,$C$14/100,0)</f>
        <v>0.21</v>
      </c>
      <c r="N89" s="227" t="e">
        <f>N88</f>
        <v>#DIV/0!</v>
      </c>
      <c r="O89" s="185" t="e">
        <f>IF(N89=0,0,O88)</f>
        <v>#DIV/0!</v>
      </c>
      <c r="P89" s="185" t="e">
        <f t="shared" si="0"/>
        <v>#DIV/0!</v>
      </c>
      <c r="Q89" s="228" t="e">
        <f>Q90</f>
        <v>#DIV/0!</v>
      </c>
      <c r="R89" s="227" t="e">
        <f>R88</f>
        <v>#DIV/0!</v>
      </c>
      <c r="S89" s="185" t="e">
        <f>IF(R89=0,0,S88)</f>
        <v>#DIV/0!</v>
      </c>
      <c r="T89" s="185" t="e">
        <f t="shared" si="6"/>
        <v>#DIV/0!</v>
      </c>
      <c r="U89" s="228" t="e">
        <f>U90</f>
        <v>#DIV/0!</v>
      </c>
      <c r="V89" s="227">
        <f>V88</f>
        <v>0</v>
      </c>
      <c r="W89" s="185">
        <f>IF(V89=0,0,W88)</f>
        <v>0</v>
      </c>
      <c r="X89" s="185">
        <f t="shared" si="7"/>
        <v>0</v>
      </c>
      <c r="Y89" s="228">
        <f>Y90</f>
        <v>0</v>
      </c>
      <c r="Z89" s="227">
        <f>Z88</f>
        <v>0</v>
      </c>
      <c r="AA89" s="185">
        <f>IF(Z89=0,0,AA88)</f>
        <v>0</v>
      </c>
      <c r="AB89" s="185">
        <f t="shared" si="8"/>
        <v>0</v>
      </c>
      <c r="AC89" s="228">
        <f>AC90</f>
        <v>0</v>
      </c>
    </row>
    <row r="90" spans="5:29" ht="14.25" customHeight="1">
      <c r="E90" s="163"/>
      <c r="K90" s="152">
        <v>22</v>
      </c>
      <c r="L90" s="185">
        <f t="shared" si="5"/>
        <v>2.02</v>
      </c>
      <c r="M90" s="185">
        <f>M89</f>
        <v>0.21</v>
      </c>
      <c r="N90" s="227" t="e">
        <f>MAX($N$47/Kalk1_Eingabe!$C$18*(Kalk1_Eingabe!$C$18-Kalk1_Lastfallkombi!M90),0)</f>
        <v>#DIV/0!</v>
      </c>
      <c r="O90" s="185" t="e">
        <f t="shared" si="1"/>
        <v>#DIV/0!</v>
      </c>
      <c r="P90" s="185" t="e">
        <f t="shared" si="0"/>
        <v>#DIV/0!</v>
      </c>
      <c r="Q90" s="228" t="e">
        <f t="shared" si="9"/>
        <v>#DIV/0!</v>
      </c>
      <c r="R90" s="227" t="e">
        <f>MAX($R$47/Kalk1_Eingabe!$C$18*(Kalk1_Eingabe!$C$18-Kalk1_Lastfallkombi!M90),0)</f>
        <v>#DIV/0!</v>
      </c>
      <c r="S90" s="185" t="e">
        <f t="shared" si="2"/>
        <v>#DIV/0!</v>
      </c>
      <c r="T90" s="185" t="e">
        <f t="shared" si="6"/>
        <v>#DIV/0!</v>
      </c>
      <c r="U90" s="228" t="e">
        <f t="shared" si="10"/>
        <v>#DIV/0!</v>
      </c>
      <c r="V90" s="227">
        <f>MAX($V$47/Kalk1_Eingabe!$C$24*(Kalk1_Eingabe!$C$24-Kalk1_Lastfallkombi!M90),0)</f>
        <v>0</v>
      </c>
      <c r="W90" s="185">
        <f t="shared" si="3"/>
        <v>0</v>
      </c>
      <c r="X90" s="185">
        <f t="shared" si="7"/>
        <v>0</v>
      </c>
      <c r="Y90" s="228">
        <f t="shared" si="11"/>
        <v>0</v>
      </c>
      <c r="Z90" s="227">
        <f>MAX($Z$47/Kalk1_Eingabe!$C$24*(Kalk1_Eingabe!$C$24-Kalk1_Lastfallkombi!M90),0)</f>
        <v>0</v>
      </c>
      <c r="AA90" s="185">
        <f t="shared" si="4"/>
        <v>0</v>
      </c>
      <c r="AB90" s="185">
        <f t="shared" si="8"/>
        <v>0</v>
      </c>
      <c r="AC90" s="228">
        <f t="shared" si="12"/>
        <v>0</v>
      </c>
    </row>
    <row r="91" spans="5:29" ht="14.25" customHeight="1">
      <c r="E91" s="163"/>
      <c r="K91" s="152">
        <v>23</v>
      </c>
      <c r="L91" s="185">
        <f t="shared" si="5"/>
        <v>1.98</v>
      </c>
      <c r="M91" s="185">
        <f>M89+IF(K91&lt;=$L$36,$C$14/100,0)</f>
        <v>0.21</v>
      </c>
      <c r="N91" s="227" t="e">
        <f>N90</f>
        <v>#DIV/0!</v>
      </c>
      <c r="O91" s="185" t="e">
        <f>IF(N91=0,0,O90)</f>
        <v>#DIV/0!</v>
      </c>
      <c r="P91" s="185" t="e">
        <f t="shared" si="0"/>
        <v>#DIV/0!</v>
      </c>
      <c r="Q91" s="228" t="e">
        <f>Q92</f>
        <v>#DIV/0!</v>
      </c>
      <c r="R91" s="227" t="e">
        <f>R90</f>
        <v>#DIV/0!</v>
      </c>
      <c r="S91" s="185" t="e">
        <f>IF(R91=0,0,S90)</f>
        <v>#DIV/0!</v>
      </c>
      <c r="T91" s="185" t="e">
        <f t="shared" si="6"/>
        <v>#DIV/0!</v>
      </c>
      <c r="U91" s="228" t="e">
        <f>U92</f>
        <v>#DIV/0!</v>
      </c>
      <c r="V91" s="227">
        <f>V90</f>
        <v>0</v>
      </c>
      <c r="W91" s="185">
        <f>IF(V91=0,0,W90)</f>
        <v>0</v>
      </c>
      <c r="X91" s="185">
        <f t="shared" si="7"/>
        <v>0</v>
      </c>
      <c r="Y91" s="228">
        <f>Y92</f>
        <v>0</v>
      </c>
      <c r="Z91" s="227">
        <f>Z90</f>
        <v>0</v>
      </c>
      <c r="AA91" s="185">
        <f>IF(Z91=0,0,AA90)</f>
        <v>0</v>
      </c>
      <c r="AB91" s="185">
        <f t="shared" si="8"/>
        <v>0</v>
      </c>
      <c r="AC91" s="228">
        <f>AC92</f>
        <v>0</v>
      </c>
    </row>
    <row r="92" spans="5:29" ht="14.25" customHeight="1">
      <c r="E92" s="163"/>
      <c r="K92" s="152">
        <v>23</v>
      </c>
      <c r="L92" s="185">
        <f t="shared" si="5"/>
        <v>2.02</v>
      </c>
      <c r="M92" s="185">
        <f>M91</f>
        <v>0.21</v>
      </c>
      <c r="N92" s="227" t="e">
        <f>MAX($N$47/Kalk1_Eingabe!$C$18*(Kalk1_Eingabe!$C$18-Kalk1_Lastfallkombi!M92),0)</f>
        <v>#DIV/0!</v>
      </c>
      <c r="O92" s="185" t="e">
        <f t="shared" si="1"/>
        <v>#DIV/0!</v>
      </c>
      <c r="P92" s="185" t="e">
        <f t="shared" si="0"/>
        <v>#DIV/0!</v>
      </c>
      <c r="Q92" s="228" t="e">
        <f t="shared" si="9"/>
        <v>#DIV/0!</v>
      </c>
      <c r="R92" s="227" t="e">
        <f>MAX($R$47/Kalk1_Eingabe!$C$18*(Kalk1_Eingabe!$C$18-Kalk1_Lastfallkombi!M92),0)</f>
        <v>#DIV/0!</v>
      </c>
      <c r="S92" s="185" t="e">
        <f t="shared" si="2"/>
        <v>#DIV/0!</v>
      </c>
      <c r="T92" s="185" t="e">
        <f t="shared" si="6"/>
        <v>#DIV/0!</v>
      </c>
      <c r="U92" s="228" t="e">
        <f t="shared" si="10"/>
        <v>#DIV/0!</v>
      </c>
      <c r="V92" s="227">
        <f>MAX($V$47/Kalk1_Eingabe!$C$24*(Kalk1_Eingabe!$C$24-Kalk1_Lastfallkombi!M92),0)</f>
        <v>0</v>
      </c>
      <c r="W92" s="185">
        <f t="shared" si="3"/>
        <v>0</v>
      </c>
      <c r="X92" s="185">
        <f t="shared" si="7"/>
        <v>0</v>
      </c>
      <c r="Y92" s="228">
        <f t="shared" si="11"/>
        <v>0</v>
      </c>
      <c r="Z92" s="227">
        <f>MAX($Z$47/Kalk1_Eingabe!$C$24*(Kalk1_Eingabe!$C$24-Kalk1_Lastfallkombi!M92),0)</f>
        <v>0</v>
      </c>
      <c r="AA92" s="185">
        <f t="shared" si="4"/>
        <v>0</v>
      </c>
      <c r="AB92" s="185">
        <f t="shared" si="8"/>
        <v>0</v>
      </c>
      <c r="AC92" s="228">
        <f t="shared" si="12"/>
        <v>0</v>
      </c>
    </row>
    <row r="93" spans="5:29" ht="14.25" customHeight="1">
      <c r="E93" s="163"/>
      <c r="K93" s="152">
        <v>24</v>
      </c>
      <c r="L93" s="185">
        <f t="shared" si="5"/>
        <v>1.98</v>
      </c>
      <c r="M93" s="185">
        <f>M91+IF(K93&lt;=$L$36,$C$14/100,0)</f>
        <v>0.21</v>
      </c>
      <c r="N93" s="227" t="e">
        <f>N92</f>
        <v>#DIV/0!</v>
      </c>
      <c r="O93" s="185" t="e">
        <f>IF(N93=0,0,O92)</f>
        <v>#DIV/0!</v>
      </c>
      <c r="P93" s="185" t="e">
        <f t="shared" si="0"/>
        <v>#DIV/0!</v>
      </c>
      <c r="Q93" s="228" t="e">
        <f>Q94</f>
        <v>#DIV/0!</v>
      </c>
      <c r="R93" s="227" t="e">
        <f>R92</f>
        <v>#DIV/0!</v>
      </c>
      <c r="S93" s="185" t="e">
        <f>IF(R93=0,0,S92)</f>
        <v>#DIV/0!</v>
      </c>
      <c r="T93" s="185" t="e">
        <f t="shared" si="6"/>
        <v>#DIV/0!</v>
      </c>
      <c r="U93" s="228" t="e">
        <f>U94</f>
        <v>#DIV/0!</v>
      </c>
      <c r="V93" s="227">
        <f>V92</f>
        <v>0</v>
      </c>
      <c r="W93" s="185">
        <f>IF(V93=0,0,W92)</f>
        <v>0</v>
      </c>
      <c r="X93" s="185">
        <f t="shared" si="7"/>
        <v>0</v>
      </c>
      <c r="Y93" s="228">
        <f>Y94</f>
        <v>0</v>
      </c>
      <c r="Z93" s="227">
        <f>Z92</f>
        <v>0</v>
      </c>
      <c r="AA93" s="185">
        <f>IF(Z93=0,0,AA92)</f>
        <v>0</v>
      </c>
      <c r="AB93" s="185">
        <f t="shared" si="8"/>
        <v>0</v>
      </c>
      <c r="AC93" s="228">
        <f>AC94</f>
        <v>0</v>
      </c>
    </row>
    <row r="94" spans="5:29" ht="14.25" customHeight="1">
      <c r="E94" s="163"/>
      <c r="K94" s="152">
        <v>24</v>
      </c>
      <c r="L94" s="185">
        <f t="shared" si="5"/>
        <v>2.02</v>
      </c>
      <c r="M94" s="185">
        <f>M93</f>
        <v>0.21</v>
      </c>
      <c r="N94" s="232" t="e">
        <f>MAX($N$47/Kalk1_Eingabe!$C$18*(Kalk1_Eingabe!$C$18-Kalk1_Lastfallkombi!M94),0)</f>
        <v>#DIV/0!</v>
      </c>
      <c r="O94" s="233" t="e">
        <f t="shared" si="1"/>
        <v>#DIV/0!</v>
      </c>
      <c r="P94" s="233" t="e">
        <f t="shared" si="0"/>
        <v>#DIV/0!</v>
      </c>
      <c r="Q94" s="234" t="e">
        <f t="shared" si="9"/>
        <v>#DIV/0!</v>
      </c>
      <c r="R94" s="232" t="e">
        <f>MAX($R$47/Kalk1_Eingabe!$C$18*(Kalk1_Eingabe!$C$18-Kalk1_Lastfallkombi!M94),0)</f>
        <v>#DIV/0!</v>
      </c>
      <c r="S94" s="233" t="e">
        <f t="shared" si="2"/>
        <v>#DIV/0!</v>
      </c>
      <c r="T94" s="233" t="e">
        <f t="shared" si="6"/>
        <v>#DIV/0!</v>
      </c>
      <c r="U94" s="234" t="e">
        <f t="shared" si="10"/>
        <v>#DIV/0!</v>
      </c>
      <c r="V94" s="232">
        <f>MAX($V$47/Kalk1_Eingabe!$C$24*(Kalk1_Eingabe!$C$24-Kalk1_Lastfallkombi!M94),0)</f>
        <v>0</v>
      </c>
      <c r="W94" s="233">
        <f t="shared" si="3"/>
        <v>0</v>
      </c>
      <c r="X94" s="233">
        <f t="shared" si="7"/>
        <v>0</v>
      </c>
      <c r="Y94" s="234">
        <f t="shared" si="11"/>
        <v>0</v>
      </c>
      <c r="Z94" s="232">
        <f>MAX($Z$47/Kalk1_Eingabe!$C$24*(Kalk1_Eingabe!$C$24-Kalk1_Lastfallkombi!M94),0)</f>
        <v>0</v>
      </c>
      <c r="AA94" s="233">
        <f t="shared" si="4"/>
        <v>0</v>
      </c>
      <c r="AB94" s="233">
        <f t="shared" si="8"/>
        <v>0</v>
      </c>
      <c r="AC94" s="234">
        <f t="shared" si="12"/>
        <v>0</v>
      </c>
    </row>
    <row r="95" spans="5:29" ht="14.25" customHeight="1">
      <c r="E95" s="163"/>
    </row>
    <row r="96" spans="5:29" ht="14.25" customHeight="1">
      <c r="E96" s="163"/>
      <c r="O96" s="152" t="s">
        <v>22574</v>
      </c>
      <c r="P96" s="185"/>
    </row>
    <row r="97" spans="5:18" ht="14.25" customHeight="1">
      <c r="E97" s="163"/>
      <c r="K97" s="152" t="s">
        <v>22575</v>
      </c>
      <c r="L97" s="185"/>
      <c r="M97" s="185"/>
      <c r="O97" s="185">
        <f>(M44+0.25-C15/100)/(C14/100)+1</f>
        <v>1.2</v>
      </c>
      <c r="P97" s="185">
        <f>IF(O97&gt;Kalk1_Lastfallkombi!L36,Kalk1_Lastfallkombi!L36,ROUNDUP(O97,0))</f>
        <v>0</v>
      </c>
      <c r="Q97" s="185">
        <f>C15/100+(P97-1)*C14/100</f>
        <v>9.9999999999999811E-3</v>
      </c>
      <c r="R97" s="185">
        <f>IF(Q97&gt;Kalk1_Eingabe!C24,Kalk1_Eingabe!C24,Q97)</f>
        <v>9.9999999999999811E-3</v>
      </c>
    </row>
    <row r="98" spans="5:18" ht="14.25" customHeight="1">
      <c r="E98" s="163"/>
      <c r="L98" s="185">
        <f>L42-0.2</f>
        <v>1.8</v>
      </c>
      <c r="M98" s="185">
        <f>M42</f>
        <v>0</v>
      </c>
      <c r="O98" s="185">
        <f>IF((M44-0.25-C15/100)/(C14/100)+1&lt;0,0,(M44-0.25-C15/100)/(C14/100)+1)</f>
        <v>0</v>
      </c>
      <c r="P98" s="185">
        <f>ROUNDDOWN(O98,0)</f>
        <v>0</v>
      </c>
      <c r="Q98" s="185"/>
      <c r="R98" s="185"/>
    </row>
    <row r="99" spans="5:18" ht="14.25" customHeight="1">
      <c r="E99" s="163"/>
      <c r="L99" s="185">
        <f>L98</f>
        <v>1.8</v>
      </c>
      <c r="M99" s="185">
        <f>M100</f>
        <v>0</v>
      </c>
      <c r="P99" s="152">
        <f>P97-P98</f>
        <v>0</v>
      </c>
      <c r="Q99" s="152" t="s">
        <v>20892</v>
      </c>
    </row>
    <row r="100" spans="5:18" ht="14.25" customHeight="1">
      <c r="E100" s="163"/>
      <c r="L100" s="185">
        <f>L98-C32/100</f>
        <v>1.8</v>
      </c>
      <c r="M100" s="185">
        <f>M44</f>
        <v>0</v>
      </c>
      <c r="O100" s="152" t="s">
        <v>22576</v>
      </c>
      <c r="P100" s="185"/>
    </row>
    <row r="101" spans="5:18" ht="14.25" customHeight="1">
      <c r="E101" s="163"/>
      <c r="L101" s="185">
        <f>L100-(C31/100+C32/100)</f>
        <v>1.8</v>
      </c>
      <c r="M101" s="185">
        <f>M98</f>
        <v>0</v>
      </c>
      <c r="O101" s="185">
        <f>Kalk1_Lastfallkombi!L36</f>
        <v>0</v>
      </c>
      <c r="P101" s="185">
        <f>O101</f>
        <v>0</v>
      </c>
      <c r="Q101" s="185"/>
      <c r="R101" s="185"/>
    </row>
    <row r="102" spans="5:18" ht="14.25" customHeight="1">
      <c r="E102" s="163"/>
      <c r="K102" s="152" t="s">
        <v>22577</v>
      </c>
      <c r="O102" s="185">
        <f>IF(O101-Kalk1_Eingabe!C48&lt;0,0,O101-Kalk1_Eingabe!C48)</f>
        <v>0</v>
      </c>
      <c r="P102" s="185">
        <f>ROUNDDOWN(O102,0)</f>
        <v>0</v>
      </c>
      <c r="Q102" s="185"/>
      <c r="R102" s="185"/>
    </row>
    <row r="103" spans="5:18" ht="14.25" customHeight="1">
      <c r="E103" s="163"/>
      <c r="L103" s="185">
        <f>L101-0.1</f>
        <v>1.7</v>
      </c>
      <c r="M103" s="152">
        <v>0</v>
      </c>
      <c r="P103" s="152">
        <f>P101-P102</f>
        <v>0</v>
      </c>
      <c r="Q103" s="152" t="s">
        <v>20892</v>
      </c>
    </row>
    <row r="104" spans="5:18" ht="14.25" customHeight="1">
      <c r="E104" s="163"/>
      <c r="L104" s="185">
        <f>L103</f>
        <v>1.7</v>
      </c>
      <c r="M104" s="185">
        <f>M44+0.25</f>
        <v>0.25</v>
      </c>
    </row>
    <row r="105" spans="5:18" ht="14.25" customHeight="1">
      <c r="E105" s="163"/>
      <c r="L105" s="185">
        <f>L104-0.05</f>
        <v>1.65</v>
      </c>
      <c r="M105" s="185">
        <f>M104</f>
        <v>0.25</v>
      </c>
    </row>
    <row r="106" spans="5:18" ht="14.25" customHeight="1">
      <c r="E106" s="163"/>
      <c r="L106" s="185">
        <f>L105</f>
        <v>1.65</v>
      </c>
      <c r="M106" s="185">
        <f>M104-0.5</f>
        <v>-0.25</v>
      </c>
      <c r="N106" s="152">
        <f>(M106-C15/100)/(C14/100)</f>
        <v>-2.2999999999999998</v>
      </c>
    </row>
    <row r="107" spans="5:18" ht="14.25" customHeight="1">
      <c r="E107" s="163"/>
      <c r="L107" s="185">
        <f>L104</f>
        <v>1.7</v>
      </c>
      <c r="M107" s="185">
        <f>M106</f>
        <v>-0.25</v>
      </c>
    </row>
    <row r="108" spans="5:18" ht="14.25" customHeight="1">
      <c r="E108" s="163"/>
      <c r="K108" s="152" t="s">
        <v>21191</v>
      </c>
      <c r="L108" s="152">
        <v>0</v>
      </c>
      <c r="M108" s="185">
        <f>Kalk1_Eingabe!C24</f>
        <v>2.5000000000000001E-2</v>
      </c>
    </row>
    <row r="109" spans="5:18" ht="14.25" customHeight="1">
      <c r="E109" s="163"/>
      <c r="L109" s="152">
        <f>L45</f>
        <v>2</v>
      </c>
      <c r="M109" s="185">
        <f>M108</f>
        <v>2.5000000000000001E-2</v>
      </c>
    </row>
    <row r="110" spans="5:18" ht="14.25" customHeight="1">
      <c r="E110" s="163"/>
      <c r="K110" s="152" t="s">
        <v>22578</v>
      </c>
      <c r="L110" s="185"/>
      <c r="M110" s="185"/>
    </row>
    <row r="111" spans="5:18" ht="14.25" customHeight="1">
      <c r="E111" s="163"/>
      <c r="L111" s="185">
        <f>L103-0.4</f>
        <v>1.2999999999999998</v>
      </c>
      <c r="M111" s="185">
        <v>0</v>
      </c>
    </row>
    <row r="112" spans="5:18" ht="14.25" customHeight="1">
      <c r="E112" s="163"/>
      <c r="L112" s="185">
        <f>L111</f>
        <v>1.2999999999999998</v>
      </c>
      <c r="M112" s="185">
        <f>Kalk1_Eingabe!C24</f>
        <v>2.5000000000000001E-2</v>
      </c>
    </row>
    <row r="113" spans="5:13" ht="14.25" customHeight="1">
      <c r="E113" s="163"/>
      <c r="L113" s="185">
        <f>L111-C20/100</f>
        <v>1.2999999999999998</v>
      </c>
      <c r="M113" s="185">
        <f>M112</f>
        <v>2.5000000000000001E-2</v>
      </c>
    </row>
    <row r="114" spans="5:13" ht="14.25" customHeight="1">
      <c r="E114" s="163"/>
      <c r="L114" s="185">
        <f>L113-(C19/100+C20/100)</f>
        <v>1.2969624999999998</v>
      </c>
      <c r="M114" s="185">
        <f>M111</f>
        <v>0</v>
      </c>
    </row>
    <row r="115" spans="5:13" ht="14.25" customHeight="1">
      <c r="E115" s="163"/>
      <c r="K115" s="152" t="s">
        <v>22579</v>
      </c>
    </row>
    <row r="116" spans="5:13" ht="14.25" customHeight="1">
      <c r="L116" s="185">
        <f>L114-0.1</f>
        <v>1.1969624999999997</v>
      </c>
      <c r="M116" s="152">
        <v>0</v>
      </c>
    </row>
    <row r="117" spans="5:13" ht="14.25" customHeight="1">
      <c r="L117" s="185">
        <f>L116</f>
        <v>1.1969624999999997</v>
      </c>
      <c r="M117" s="185">
        <f>Kalk1_Eingabe!C24</f>
        <v>2.5000000000000001E-2</v>
      </c>
    </row>
    <row r="118" spans="5:13" ht="14.25" customHeight="1">
      <c r="L118" s="185">
        <f>L117-0.05</f>
        <v>1.1469624999999997</v>
      </c>
      <c r="M118" s="185">
        <f>M117</f>
        <v>2.5000000000000001E-2</v>
      </c>
    </row>
    <row r="119" spans="5:13" ht="14.25" customHeight="1">
      <c r="L119" s="185">
        <f>L118</f>
        <v>1.1469624999999997</v>
      </c>
      <c r="M119" s="185">
        <f>M117-0.5</f>
        <v>-0.47499999999999998</v>
      </c>
    </row>
    <row r="120" spans="5:13" ht="14.25" customHeight="1">
      <c r="L120" s="185">
        <f>L117</f>
        <v>1.1969624999999997</v>
      </c>
      <c r="M120" s="185">
        <f>M119</f>
        <v>-0.47499999999999998</v>
      </c>
    </row>
    <row r="121" spans="5:13" ht="14.25" customHeight="1"/>
    <row r="122" spans="5:13" ht="14.25" customHeight="1"/>
    <row r="123" spans="5:13" ht="14.25" customHeight="1"/>
    <row r="124" spans="5:13" ht="14.25" customHeight="1"/>
    <row r="125" spans="5:13" ht="14.25" customHeight="1"/>
    <row r="126" spans="5:13" ht="14.25" customHeight="1"/>
    <row r="127" spans="5:13" ht="14.25" customHeight="1"/>
    <row r="128" spans="5:13"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sheetData>
  <mergeCells count="7">
    <mergeCell ref="Z44:AC44"/>
    <mergeCell ref="B1:C1"/>
    <mergeCell ref="C4:E4"/>
    <mergeCell ref="C5:E5"/>
    <mergeCell ref="N44:Q44"/>
    <mergeCell ref="R44:U44"/>
    <mergeCell ref="V44:Y44"/>
  </mergeCells>
  <pageMargins left="0.39370078740157483" right="0.39370078740157483" top="0.39370078740157483" bottom="0.39370078740157483"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EF2C2-334C-4644-99B5-D260D5929456}">
  <sheetPr codeName="Tabelle25"/>
  <dimension ref="A1:R584"/>
  <sheetViews>
    <sheetView workbookViewId="0"/>
  </sheetViews>
  <sheetFormatPr baseColWidth="10" defaultColWidth="11.42578125" defaultRowHeight="12.75"/>
  <cols>
    <col min="1" max="1" width="4.28515625" style="152" customWidth="1"/>
    <col min="2" max="2" width="43.7109375" style="152" customWidth="1"/>
    <col min="3" max="3" width="20.7109375" style="152" customWidth="1"/>
    <col min="4" max="8" width="15.7109375" style="152" customWidth="1"/>
    <col min="9" max="9" width="6" style="152" customWidth="1"/>
    <col min="10" max="10" width="8.7109375" style="152" bestFit="1" customWidth="1"/>
    <col min="11" max="16384" width="11.42578125" style="152"/>
  </cols>
  <sheetData>
    <row r="1" spans="1:18" ht="42" customHeight="1">
      <c r="A1" s="148"/>
      <c r="B1" s="546"/>
      <c r="C1" s="546"/>
      <c r="D1" s="150"/>
      <c r="E1" s="151"/>
      <c r="F1" s="150"/>
      <c r="G1" s="150"/>
      <c r="H1" s="150"/>
      <c r="I1" s="150"/>
    </row>
    <row r="2" spans="1:18" ht="16.5" customHeight="1">
      <c r="A2" s="148"/>
      <c r="B2" s="149"/>
      <c r="C2" s="149"/>
      <c r="D2" s="150"/>
      <c r="E2" s="151"/>
      <c r="F2" s="153" t="s">
        <v>22309</v>
      </c>
      <c r="G2" s="154"/>
      <c r="H2" s="153" t="s">
        <v>22310</v>
      </c>
      <c r="I2" s="154" t="s">
        <v>22311</v>
      </c>
    </row>
    <row r="3" spans="1:18" ht="16.5" customHeight="1">
      <c r="A3" s="148"/>
      <c r="B3" s="155"/>
      <c r="C3" s="148"/>
      <c r="D3" s="150"/>
      <c r="E3" s="151"/>
      <c r="F3" s="156" t="s">
        <v>3225</v>
      </c>
      <c r="G3" s="157">
        <v>44894</v>
      </c>
      <c r="H3" s="156" t="s">
        <v>22312</v>
      </c>
      <c r="I3" s="158" t="s">
        <v>22313</v>
      </c>
      <c r="N3" s="159" t="s">
        <v>22314</v>
      </c>
      <c r="O3" s="159" t="s">
        <v>22315</v>
      </c>
    </row>
    <row r="4" spans="1:18" ht="16.5" customHeight="1">
      <c r="A4" s="148"/>
      <c r="B4" s="160" t="s">
        <v>22316</v>
      </c>
      <c r="C4" s="547" t="s">
        <v>22289</v>
      </c>
      <c r="D4" s="547"/>
      <c r="E4" s="548"/>
      <c r="F4" s="150"/>
      <c r="G4" s="150"/>
      <c r="H4" s="151"/>
      <c r="I4" s="148"/>
      <c r="N4" s="161" t="s">
        <v>22317</v>
      </c>
      <c r="O4" s="161" t="s">
        <v>22317</v>
      </c>
      <c r="Q4" s="162" t="s">
        <v>22314</v>
      </c>
      <c r="R4" s="163" t="s">
        <v>22318</v>
      </c>
    </row>
    <row r="5" spans="1:18" ht="16.5" customHeight="1">
      <c r="A5" s="148"/>
      <c r="B5" s="164" t="s">
        <v>22319</v>
      </c>
      <c r="C5" s="549" t="s">
        <v>22320</v>
      </c>
      <c r="D5" s="549"/>
      <c r="E5" s="550"/>
      <c r="F5" s="150"/>
      <c r="G5" s="150"/>
      <c r="H5" s="151"/>
      <c r="I5" s="148"/>
      <c r="L5" s="165" t="s">
        <v>22321</v>
      </c>
      <c r="M5" s="166" t="s">
        <v>22322</v>
      </c>
      <c r="N5" s="167">
        <v>15</v>
      </c>
      <c r="O5" s="167">
        <v>16</v>
      </c>
      <c r="Q5" s="162" t="s">
        <v>22315</v>
      </c>
      <c r="R5" s="163" t="s">
        <v>22323</v>
      </c>
    </row>
    <row r="6" spans="1:18" ht="16.5" customHeight="1">
      <c r="A6" s="148"/>
      <c r="B6" s="148"/>
      <c r="C6" s="148"/>
      <c r="D6" s="168"/>
      <c r="E6" s="168"/>
      <c r="F6" s="148"/>
      <c r="G6" s="148"/>
      <c r="H6" s="148"/>
      <c r="I6" s="148"/>
      <c r="L6" s="165" t="s">
        <v>22324</v>
      </c>
      <c r="M6" s="166" t="s">
        <v>22325</v>
      </c>
      <c r="N6" s="167">
        <v>20</v>
      </c>
      <c r="O6" s="167">
        <v>21</v>
      </c>
    </row>
    <row r="7" spans="1:18" ht="16.5" customHeight="1">
      <c r="A7" s="148"/>
      <c r="B7" s="169" t="s">
        <v>22326</v>
      </c>
      <c r="C7" s="148"/>
      <c r="D7" s="168"/>
      <c r="E7" s="168"/>
      <c r="F7" s="148"/>
      <c r="G7" s="148"/>
      <c r="H7" s="148"/>
      <c r="I7" s="148"/>
      <c r="L7" s="165" t="s">
        <v>22593</v>
      </c>
      <c r="M7" s="166" t="s">
        <v>22594</v>
      </c>
      <c r="N7" s="167">
        <v>20</v>
      </c>
      <c r="O7" s="167">
        <v>21</v>
      </c>
    </row>
    <row r="8" spans="1:18" ht="16.5" customHeight="1">
      <c r="A8" s="148"/>
      <c r="B8" s="170"/>
      <c r="C8" s="148"/>
      <c r="D8" s="168"/>
      <c r="E8" s="168"/>
      <c r="F8" s="148"/>
      <c r="G8" s="148"/>
      <c r="H8" s="148"/>
      <c r="I8" s="148"/>
      <c r="L8" s="165" t="s">
        <v>22614</v>
      </c>
      <c r="M8" s="166" t="s">
        <v>22615</v>
      </c>
      <c r="N8" s="167">
        <v>20.2</v>
      </c>
      <c r="O8" s="167">
        <v>22.9</v>
      </c>
    </row>
    <row r="9" spans="1:18" ht="14.25" customHeight="1">
      <c r="A9" s="148"/>
      <c r="B9" s="148"/>
      <c r="C9" s="148"/>
      <c r="D9" s="168"/>
      <c r="E9" s="168"/>
      <c r="F9" s="148"/>
      <c r="G9" s="148"/>
      <c r="H9" s="148"/>
      <c r="I9" s="148"/>
    </row>
    <row r="10" spans="1:18" ht="14.25" customHeight="1">
      <c r="A10" s="171" t="s">
        <v>22327</v>
      </c>
      <c r="B10" s="172" t="s">
        <v>22328</v>
      </c>
      <c r="C10" s="148"/>
      <c r="D10" s="168"/>
      <c r="E10" s="168"/>
      <c r="F10" s="148"/>
      <c r="G10" s="148"/>
      <c r="H10" s="148"/>
      <c r="I10" s="148"/>
    </row>
    <row r="11" spans="1:18" ht="14.25" customHeight="1">
      <c r="A11" s="148"/>
      <c r="B11" s="173"/>
      <c r="C11" s="174" t="s">
        <v>22329</v>
      </c>
      <c r="D11" s="168"/>
      <c r="E11" s="168"/>
      <c r="F11" s="148"/>
      <c r="G11" s="148"/>
      <c r="H11" s="148"/>
      <c r="I11" s="148"/>
    </row>
    <row r="12" spans="1:18" ht="14.25" customHeight="1">
      <c r="A12" s="148"/>
      <c r="B12" s="175" t="s">
        <v>22330</v>
      </c>
      <c r="C12" s="176">
        <f>Haftungsausschluß!L31/100</f>
        <v>10</v>
      </c>
      <c r="D12" s="168" t="s">
        <v>19775</v>
      </c>
      <c r="E12" s="163" t="s">
        <v>22331</v>
      </c>
      <c r="F12" s="177"/>
      <c r="G12" s="148"/>
      <c r="H12" s="148"/>
      <c r="I12" s="148"/>
    </row>
    <row r="13" spans="1:18" ht="14.25" customHeight="1">
      <c r="A13" s="148"/>
      <c r="B13" s="175" t="s">
        <v>22332</v>
      </c>
      <c r="C13" s="176">
        <f>Haftungsausschluß!L32</f>
        <v>4</v>
      </c>
      <c r="D13" s="168" t="s">
        <v>19893</v>
      </c>
      <c r="E13" s="163" t="s">
        <v>22333</v>
      </c>
      <c r="F13" s="177"/>
      <c r="G13" s="148"/>
      <c r="H13" s="148"/>
      <c r="I13" s="148"/>
    </row>
    <row r="14" spans="1:18" ht="14.25" customHeight="1">
      <c r="A14" s="148"/>
      <c r="B14" s="175" t="s">
        <v>22334</v>
      </c>
      <c r="C14" s="176">
        <f>Haftungsausschluß!L33</f>
        <v>0.4</v>
      </c>
      <c r="D14" s="168" t="s">
        <v>20987</v>
      </c>
      <c r="E14" s="163" t="s">
        <v>22335</v>
      </c>
      <c r="F14" s="177"/>
      <c r="G14" s="148"/>
      <c r="H14" s="148"/>
      <c r="I14" s="148"/>
    </row>
    <row r="15" spans="1:18" ht="14.25" customHeight="1">
      <c r="A15" s="148"/>
      <c r="B15" s="175" t="s">
        <v>22336</v>
      </c>
      <c r="C15" s="176">
        <f>Kalk2!H32</f>
        <v>0</v>
      </c>
      <c r="D15" s="168" t="s">
        <v>22337</v>
      </c>
      <c r="E15" s="163" t="s">
        <v>22338</v>
      </c>
      <c r="F15" s="177"/>
      <c r="G15" s="148"/>
      <c r="H15" s="148"/>
      <c r="I15" s="148"/>
    </row>
    <row r="16" spans="1:18" ht="5.0999999999999996" customHeight="1">
      <c r="F16" s="178"/>
      <c r="H16" s="148"/>
      <c r="I16" s="148"/>
    </row>
    <row r="17" spans="1:11" ht="14.25" customHeight="1">
      <c r="A17" s="179" t="s">
        <v>22339</v>
      </c>
      <c r="B17" s="180" t="s">
        <v>22340</v>
      </c>
      <c r="F17" s="178"/>
      <c r="G17" s="181"/>
      <c r="H17" s="148" t="s">
        <v>22347</v>
      </c>
      <c r="I17" s="148"/>
    </row>
    <row r="18" spans="1:11" ht="14.25" customHeight="1">
      <c r="A18" s="148"/>
      <c r="B18" s="182" t="s">
        <v>22341</v>
      </c>
      <c r="C18" s="176">
        <f>Kalk2!H29/1000</f>
        <v>0</v>
      </c>
      <c r="D18" s="168" t="s">
        <v>6945</v>
      </c>
      <c r="E18" s="183" t="s">
        <v>22342</v>
      </c>
      <c r="F18" s="177"/>
      <c r="G18" s="148"/>
      <c r="H18" s="148" t="s">
        <v>22602</v>
      </c>
      <c r="I18" s="148"/>
      <c r="K18" s="152" t="str">
        <f>IF(AND(OR(Kalk2!AA19=2,Kalk2!AA19=3),Kalk2!AA20=1),H17,IF(AND(Kalk2!AA19=4,Kalk2!AA20=1),H18,IF(AND(Kalk2!AA19=4,Kalk2!AA20=2),H19,H17)))</f>
        <v>System 50</v>
      </c>
    </row>
    <row r="19" spans="1:11" ht="14.25" customHeight="1">
      <c r="B19" s="182" t="s">
        <v>22343</v>
      </c>
      <c r="C19" s="176">
        <f>Kalk2!AH38/1000</f>
        <v>0</v>
      </c>
      <c r="D19" s="168" t="s">
        <v>6945</v>
      </c>
      <c r="E19" s="163" t="s">
        <v>22344</v>
      </c>
      <c r="H19" s="152" t="s">
        <v>22595</v>
      </c>
    </row>
    <row r="20" spans="1:11" ht="14.25" customHeight="1">
      <c r="B20" s="175" t="s">
        <v>22345</v>
      </c>
      <c r="C20" s="176">
        <f>Kalk2!H31/1000</f>
        <v>0</v>
      </c>
      <c r="D20" s="168" t="s">
        <v>6945</v>
      </c>
      <c r="E20" s="183" t="s">
        <v>21854</v>
      </c>
    </row>
    <row r="21" spans="1:11" ht="14.25" customHeight="1">
      <c r="B21" s="175" t="s">
        <v>22346</v>
      </c>
      <c r="C21" s="261" t="str">
        <f>K18</f>
        <v>System 50</v>
      </c>
      <c r="D21" s="168"/>
      <c r="E21" s="183"/>
      <c r="H21" s="152" t="s">
        <v>21827</v>
      </c>
    </row>
    <row r="22" spans="1:11" ht="14.25" customHeight="1">
      <c r="B22" s="175" t="s">
        <v>18752</v>
      </c>
      <c r="C22" s="261" t="str">
        <f>K23</f>
        <v>50/200</v>
      </c>
      <c r="D22" s="168"/>
      <c r="E22" s="183"/>
      <c r="H22" s="152" t="s">
        <v>21828</v>
      </c>
    </row>
    <row r="23" spans="1:11" ht="14.25" customHeight="1">
      <c r="B23" s="175" t="s">
        <v>22348</v>
      </c>
      <c r="C23" s="184" t="s">
        <v>22349</v>
      </c>
      <c r="D23" s="168"/>
      <c r="E23" s="183" t="s">
        <v>22350</v>
      </c>
      <c r="H23" s="152" t="s">
        <v>21829</v>
      </c>
      <c r="K23" s="152" t="str">
        <f>IF(Kalk2!AA19=1,H21,IF(Kalk2!AA19=2,H22,IF(Kalk2!AA19=3,H23,IF(Kalk2!AA19=4,H24,0))))</f>
        <v>50/200</v>
      </c>
    </row>
    <row r="24" spans="1:11" ht="14.25" customHeight="1">
      <c r="B24" s="175" t="s">
        <v>22351</v>
      </c>
      <c r="C24" s="185">
        <f>IF(C22="50/150",'Kalk2_DB_50-150'!C16,IF(C22="50/200",'Kalk2_DB_50-200'!C16,IF(C22="80/200",'Kalk2_DB_50-200'!C16,IF(C22="25/200",'Kalk2_DB_25-200'!C16))))</f>
        <v>2.5000000000000001E-2</v>
      </c>
      <c r="D24" s="168" t="s">
        <v>6945</v>
      </c>
      <c r="E24" s="183" t="s">
        <v>22352</v>
      </c>
      <c r="H24" s="152" t="s">
        <v>21830</v>
      </c>
    </row>
    <row r="25" spans="1:11" ht="5.0999999999999996" customHeight="1">
      <c r="D25" s="168"/>
    </row>
    <row r="26" spans="1:11" ht="14.25" customHeight="1">
      <c r="A26" s="171" t="s">
        <v>22353</v>
      </c>
      <c r="B26" s="172" t="s">
        <v>22354</v>
      </c>
      <c r="D26" s="168"/>
    </row>
    <row r="27" spans="1:11" ht="14.25" customHeight="1">
      <c r="A27" s="179" t="s">
        <v>22355</v>
      </c>
      <c r="B27" s="180" t="s">
        <v>22356</v>
      </c>
      <c r="D27" s="168"/>
    </row>
    <row r="28" spans="1:11" ht="14.25" customHeight="1">
      <c r="B28" s="165" t="s">
        <v>22357</v>
      </c>
      <c r="C28" s="185">
        <f>C18*C12</f>
        <v>0</v>
      </c>
      <c r="D28" s="168" t="s">
        <v>22358</v>
      </c>
      <c r="E28" s="163" t="s">
        <v>22359</v>
      </c>
    </row>
    <row r="29" spans="1:11" ht="14.25" customHeight="1">
      <c r="B29" s="165" t="s">
        <v>22360</v>
      </c>
      <c r="C29" s="185">
        <f>C24*C12</f>
        <v>0.25</v>
      </c>
      <c r="D29" s="168" t="s">
        <v>22358</v>
      </c>
      <c r="E29" s="163" t="s">
        <v>22361</v>
      </c>
    </row>
    <row r="30" spans="1:11" ht="5.0999999999999996" customHeight="1">
      <c r="B30" s="165"/>
      <c r="C30" s="185"/>
      <c r="D30" s="168"/>
      <c r="E30" s="163"/>
    </row>
    <row r="31" spans="1:11" ht="14.25" customHeight="1">
      <c r="A31" s="179" t="s">
        <v>22362</v>
      </c>
      <c r="B31" s="180" t="s">
        <v>22363</v>
      </c>
      <c r="D31" s="168"/>
      <c r="E31" s="163"/>
      <c r="H31" s="186"/>
    </row>
    <row r="32" spans="1:11" ht="14.25" customHeight="1">
      <c r="B32" s="165" t="s">
        <v>22364</v>
      </c>
      <c r="C32" s="185">
        <f>C12*100*(C13*SIN(RADIANS(C15)))^2/1000</f>
        <v>0</v>
      </c>
      <c r="D32" s="168" t="s">
        <v>22358</v>
      </c>
      <c r="E32" s="163" t="s">
        <v>22365</v>
      </c>
      <c r="H32" s="186"/>
    </row>
    <row r="33" spans="1:8" ht="5.0999999999999996" customHeight="1">
      <c r="B33" s="165"/>
      <c r="C33" s="185"/>
      <c r="D33" s="168"/>
      <c r="E33" s="163"/>
    </row>
    <row r="34" spans="1:8" ht="14.25" customHeight="1">
      <c r="A34" s="179" t="s">
        <v>22366</v>
      </c>
      <c r="B34" s="180" t="s">
        <v>22367</v>
      </c>
      <c r="C34" s="185"/>
      <c r="D34" s="168"/>
      <c r="E34" s="163"/>
      <c r="H34" s="186"/>
    </row>
    <row r="35" spans="1:8" ht="14.25" customHeight="1">
      <c r="B35" s="165" t="s">
        <v>22368</v>
      </c>
      <c r="C35" s="185" t="e">
        <f>1/(((C18*100)^3/(3*Kalk2_Sys_50!C18*Kalk2_Eingabe!C38)/2)+(Kalk2_Eingabe!C19*100)^3/(48*Kalk2_Sys_50!C18*Kalk2_Eingabe!C36))</f>
        <v>#DIV/0!</v>
      </c>
      <c r="D35" s="168" t="s">
        <v>22369</v>
      </c>
      <c r="E35" s="163" t="s">
        <v>22370</v>
      </c>
    </row>
    <row r="36" spans="1:8" ht="14.25" customHeight="1">
      <c r="B36" s="165" t="s">
        <v>22371</v>
      </c>
      <c r="C36" s="185">
        <f>IF(C22="50/150",'Kalk2_DB_50-150'!C12,IF(Kalk2_Eingabe!C22="50/200",'Kalk2_DB_50-200'!C12,IF(Kalk2_Eingabe!C22="80/200",'Kalk2_DB_80-200'!C12,IF(Kalk2_Eingabe!C22="25/200",'Kalk2_DB_25-200'!C12))))</f>
        <v>62.14</v>
      </c>
      <c r="D36" s="151" t="s">
        <v>22372</v>
      </c>
      <c r="E36" s="163" t="s">
        <v>22373</v>
      </c>
    </row>
    <row r="37" spans="1:8" ht="14.25" customHeight="1">
      <c r="B37" s="165" t="s">
        <v>22374</v>
      </c>
      <c r="C37" s="185" t="e">
        <f>3*Kalk2_Sys_50!C18*Kalk2_Eingabe!C38/(Kalk2_Eingabe!C18*100)^3</f>
        <v>#DIV/0!</v>
      </c>
      <c r="D37" s="168" t="s">
        <v>22369</v>
      </c>
      <c r="E37" s="163" t="s">
        <v>22375</v>
      </c>
    </row>
    <row r="38" spans="1:8" ht="14.25" customHeight="1">
      <c r="B38" s="165" t="s">
        <v>22376</v>
      </c>
      <c r="C38" s="185">
        <f>IF(C21="System 50",Kalk2_Sys_50!C13,IF(C21="System 80 (Klein)",Kalk2_Sys_80k!C13,IF(Kalk2_Eingabe!C21="System 80 (Gross)",Kalk2_Sys_80g!C13)))</f>
        <v>723.81</v>
      </c>
      <c r="D38" s="151" t="s">
        <v>22372</v>
      </c>
      <c r="E38" s="163" t="s">
        <v>22377</v>
      </c>
    </row>
    <row r="39" spans="1:8" ht="14.25" customHeight="1">
      <c r="B39" s="165" t="s">
        <v>22378</v>
      </c>
      <c r="C39" s="185" t="e">
        <f>C13*SIN(RADIANS(C15))*(C14*C35*100)^0.5</f>
        <v>#DIV/0!</v>
      </c>
      <c r="D39" s="168" t="s">
        <v>22379</v>
      </c>
      <c r="E39" s="163" t="s">
        <v>22380</v>
      </c>
      <c r="H39" s="185"/>
    </row>
    <row r="40" spans="1:8" ht="14.25" customHeight="1">
      <c r="B40" s="165" t="s">
        <v>22381</v>
      </c>
      <c r="C40" s="185" t="e">
        <f>C13*SIN(RADIANS(C15))*(C14*(C37*100))^0.5</f>
        <v>#DIV/0!</v>
      </c>
      <c r="D40" s="168" t="s">
        <v>22379</v>
      </c>
      <c r="E40" s="163" t="s">
        <v>22382</v>
      </c>
    </row>
    <row r="41" spans="1:8" ht="14.25" customHeight="1">
      <c r="B41" s="165" t="s">
        <v>22383</v>
      </c>
      <c r="C41" s="152">
        <f>Kalk2_Lastfallkombi!P99</f>
        <v>0</v>
      </c>
      <c r="E41" s="163" t="s">
        <v>22384</v>
      </c>
    </row>
    <row r="42" spans="1:8" ht="5.0999999999999996" customHeight="1">
      <c r="B42" s="165"/>
      <c r="C42" s="185"/>
      <c r="D42" s="168"/>
      <c r="E42" s="163"/>
    </row>
    <row r="43" spans="1:8" ht="14.25" customHeight="1">
      <c r="A43" s="179" t="s">
        <v>22385</v>
      </c>
      <c r="B43" s="180" t="s">
        <v>22386</v>
      </c>
      <c r="C43" s="185"/>
      <c r="D43" s="168"/>
      <c r="E43" s="163"/>
    </row>
    <row r="44" spans="1:8" ht="14.25" customHeight="1">
      <c r="B44" s="165" t="s">
        <v>22387</v>
      </c>
      <c r="C44" s="185">
        <f>1/((((C24-0.25)*100)^3/(3*Kalk2_Sys_50!C18*Kalk2_Eingabe!C38)/2)+(Kalk2_Eingabe!C19*100)^3/(48*Kalk2_Sys_50!C18*Kalk2_Eingabe!C36))</f>
        <v>-2668.8632098765429</v>
      </c>
      <c r="D44" s="168" t="s">
        <v>22369</v>
      </c>
      <c r="E44" s="163" t="s">
        <v>22370</v>
      </c>
    </row>
    <row r="45" spans="1:8" ht="14.25" customHeight="1">
      <c r="B45" s="165" t="s">
        <v>22388</v>
      </c>
      <c r="C45" s="185">
        <f>3*Kalk2_Sys_50!C18*Kalk2_Eingabe!C38/((Kalk2_Eingabe!C24-0.25)*100)^3</f>
        <v>-1334.4316049382714</v>
      </c>
      <c r="D45" s="168" t="s">
        <v>22369</v>
      </c>
      <c r="E45" s="163" t="s">
        <v>22375</v>
      </c>
    </row>
    <row r="46" spans="1:8" ht="14.25" customHeight="1">
      <c r="B46" s="165" t="s">
        <v>22378</v>
      </c>
      <c r="C46" s="185" t="e">
        <f>C13*SIN(RADIANS(C15))*(C14*C44*100)^0.5</f>
        <v>#NUM!</v>
      </c>
      <c r="D46" s="168" t="s">
        <v>22379</v>
      </c>
      <c r="E46" s="163" t="s">
        <v>22380</v>
      </c>
    </row>
    <row r="47" spans="1:8" ht="14.25" customHeight="1">
      <c r="B47" s="165" t="s">
        <v>22381</v>
      </c>
      <c r="C47" s="185" t="e">
        <f>C13*SIN(RADIANS(C15))*(C14*(C45*100))^0.5</f>
        <v>#NUM!</v>
      </c>
      <c r="D47" s="168" t="s">
        <v>22379</v>
      </c>
      <c r="E47" s="163" t="s">
        <v>22382</v>
      </c>
    </row>
    <row r="48" spans="1:8" ht="14.25" customHeight="1">
      <c r="B48" s="165" t="s">
        <v>22389</v>
      </c>
      <c r="C48" s="152">
        <f>ROUNDUP(50/Kalk2_Lastfallkombi!C14,0)</f>
        <v>3</v>
      </c>
      <c r="E48" s="163" t="s">
        <v>22384</v>
      </c>
    </row>
    <row r="49" spans="7:11" ht="14.25" customHeight="1"/>
    <row r="50" spans="7:11" ht="14.25" customHeight="1"/>
    <row r="51" spans="7:11" ht="14.25" customHeight="1"/>
    <row r="52" spans="7:11" ht="14.25" customHeight="1"/>
    <row r="53" spans="7:11" ht="14.25" customHeight="1">
      <c r="G53" s="545" t="s">
        <v>22591</v>
      </c>
      <c r="H53" s="545"/>
      <c r="I53" s="545"/>
      <c r="J53" s="545"/>
    </row>
    <row r="54" spans="7:11" ht="14.25" customHeight="1">
      <c r="G54" s="545" t="s">
        <v>21042</v>
      </c>
      <c r="H54" s="545"/>
      <c r="I54" s="443" t="e">
        <f>IF(C22=H24,MAX('Kalk2_DB_80-200'!C33,'Kalk2_DB_80-200'!C41),IF(C22=H23,MAX('Kalk2_DB_50-200'!C33,'Kalk2_DB_50-200'!C41),IF(C22=H22,MAX('Kalk2_DB_50-150'!C33,'Kalk2_DB_50-150'!C41),IF(C22=H21,MAX('Kalk2_DB_25-200'!C33,'Kalk2_DB_25-200'!C41),0))))</f>
        <v>#DIV/0!</v>
      </c>
      <c r="J54" s="443"/>
    </row>
    <row r="55" spans="7:11" ht="14.25" customHeight="1">
      <c r="G55" s="545" t="s">
        <v>19090</v>
      </c>
      <c r="H55" s="545"/>
      <c r="I55" s="260" t="s">
        <v>22590</v>
      </c>
      <c r="J55" s="252">
        <f>IF(C22=H24,Haftungsausschluß!L34/'Kalk2_DB_80-200'!C48,IF(C22=H23,Haftungsausschluß!L34/'Kalk2_DB_50-200'!C48,IF(C22=H22,Haftungsausschluß!L34/'Kalk2_DB_50-150'!C48,IF(C22=H21,Haftungsausschluß!L34/'Kalk2_DB_25-200'!C48,0))))</f>
        <v>176753777.77777779</v>
      </c>
      <c r="K55" s="259"/>
    </row>
    <row r="56" spans="7:11" ht="14.25" customHeight="1">
      <c r="G56" s="545" t="s">
        <v>19950</v>
      </c>
      <c r="H56" s="545"/>
      <c r="I56" s="443" t="e">
        <f>IF(C22=H24,'Kalk2_DB_80-200'!C57,IF(C22=H23,'Kalk2_DB_50-200'!C57,IF(C22=H22,'Kalk2_DB_50-150'!C57,IF(C22=H21,'Kalk2_DB_25-200'!C57,0))))</f>
        <v>#DIV/0!</v>
      </c>
      <c r="J56" s="443"/>
    </row>
    <row r="57" spans="7:11" ht="14.25" customHeight="1">
      <c r="H57" s="165"/>
      <c r="I57" s="257"/>
      <c r="J57" s="258"/>
    </row>
    <row r="58" spans="7:11" ht="14.25" customHeight="1">
      <c r="G58" s="545" t="s">
        <v>22589</v>
      </c>
      <c r="H58" s="545"/>
      <c r="I58" s="545"/>
      <c r="J58" s="545"/>
    </row>
    <row r="59" spans="7:11" ht="14.25" customHeight="1">
      <c r="G59" s="545" t="s">
        <v>21042</v>
      </c>
      <c r="H59" s="545"/>
      <c r="I59" s="443" t="e">
        <f>IF(C21=H18,MAX(Kalk2_Sys_80k!C42,Kalk2_Sys_80k!C51),IF(C21=H19,MAX(Kalk2_Sys_80g!C42,Kalk2_Sys_80g!C51),IF(C21=H17,MAX(Kalk2_Sys_50!C42,Kalk2_Sys_50!C51),0)))</f>
        <v>#NUM!</v>
      </c>
      <c r="J59" s="443"/>
    </row>
    <row r="60" spans="7:11" ht="14.25" customHeight="1">
      <c r="G60" s="545" t="s">
        <v>19090</v>
      </c>
      <c r="H60" s="545"/>
      <c r="I60" s="260" t="s">
        <v>22590</v>
      </c>
      <c r="J60" s="252" t="e">
        <f>IF(C21=H18,Haftungsausschluß!L34/Kalk2_Sys_80k!C70,IF(C21=H19,Haftungsausschluß!L34/Kalk2_Sys_80g!C70,IF(C21=H17,Haftungsausschluß!L34/Kalk2_Sys_50!C70,0)))</f>
        <v>#DIV/0!</v>
      </c>
      <c r="K60" s="259"/>
    </row>
    <row r="61" spans="7:11" ht="14.25" customHeight="1">
      <c r="G61" s="545" t="s">
        <v>19950</v>
      </c>
      <c r="H61" s="545"/>
      <c r="I61" s="443" t="e">
        <f>IF(C21=H18,MAX(Kalk2_Sys_80k!C41,Kalk2_Sys_80k!C50),IF(C21=H19,MAX(Kalk2_Sys_80g!C41,Kalk2_Sys_80g!C50),IF(C21=H17,MAX(Kalk2_Sys_50!C41,Kalk2_Sys_50!C50),0)))</f>
        <v>#NUM!</v>
      </c>
      <c r="J61" s="443"/>
    </row>
    <row r="62" spans="7:11" ht="14.25" customHeight="1"/>
    <row r="63" spans="7:11" ht="14.25" customHeight="1"/>
    <row r="64" spans="7: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sheetData>
  <mergeCells count="15">
    <mergeCell ref="G60:H60"/>
    <mergeCell ref="G61:H61"/>
    <mergeCell ref="I61:J61"/>
    <mergeCell ref="G55:H55"/>
    <mergeCell ref="G56:H56"/>
    <mergeCell ref="I56:J56"/>
    <mergeCell ref="G58:J58"/>
    <mergeCell ref="G59:H59"/>
    <mergeCell ref="I59:J59"/>
    <mergeCell ref="B1:C1"/>
    <mergeCell ref="C4:E4"/>
    <mergeCell ref="C5:E5"/>
    <mergeCell ref="G53:J53"/>
    <mergeCell ref="G54:H54"/>
    <mergeCell ref="I54:J54"/>
  </mergeCells>
  <dataValidations disablePrompts="1" count="1">
    <dataValidation type="list" allowBlank="1" showInputMessage="1" showErrorMessage="1" sqref="C23" xr:uid="{D16F3716-16F4-49E6-8957-9FC631C0C3BF}">
      <formula1>"1/150,1/300"</formula1>
    </dataValidation>
  </dataValidations>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3B537-168E-4262-AF0D-D18FADCC5480}">
  <sheetPr codeName="Tabelle26"/>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44894</v>
      </c>
      <c r="H3" s="156" t="s">
        <v>22312</v>
      </c>
      <c r="I3" s="158" t="s">
        <v>22313</v>
      </c>
    </row>
    <row r="4" spans="1:9" ht="16.5" customHeight="1">
      <c r="A4" s="148"/>
      <c r="B4" s="160" t="s">
        <v>22316</v>
      </c>
      <c r="C4" s="547" t="str">
        <f>Kalk2_Eingabe!C4</f>
        <v>PREFA</v>
      </c>
      <c r="D4" s="547"/>
      <c r="E4" s="548"/>
      <c r="F4" s="150"/>
      <c r="G4" s="150"/>
      <c r="H4" s="151"/>
      <c r="I4" s="148"/>
    </row>
    <row r="5" spans="1:9" ht="16.5" customHeight="1">
      <c r="A5" s="148"/>
      <c r="B5" s="164" t="s">
        <v>22319</v>
      </c>
      <c r="C5" s="549" t="str">
        <f>Kalk2_Eingabe!C5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22390</v>
      </c>
      <c r="C7" s="148"/>
      <c r="D7" s="168"/>
      <c r="E7" s="168"/>
      <c r="F7" s="148"/>
      <c r="G7" s="148"/>
      <c r="H7" s="148"/>
      <c r="I7" s="148"/>
    </row>
    <row r="8" spans="1:9" ht="16.5" customHeight="1">
      <c r="A8" s="148"/>
      <c r="B8" s="170" t="s">
        <v>22391</v>
      </c>
      <c r="C8" s="148"/>
      <c r="D8" s="168"/>
      <c r="E8" s="168"/>
      <c r="F8" s="148"/>
      <c r="G8" s="148"/>
      <c r="H8" s="148"/>
      <c r="I8" s="148"/>
    </row>
    <row r="9" spans="1:9" ht="14.25" customHeight="1">
      <c r="A9" s="148"/>
      <c r="B9" s="148"/>
      <c r="C9" s="148"/>
      <c r="D9" s="168"/>
      <c r="E9" s="168"/>
      <c r="F9" s="148"/>
      <c r="G9" s="148"/>
      <c r="H9" s="148"/>
      <c r="I9" s="148"/>
    </row>
    <row r="10" spans="1:9" ht="14.25" customHeight="1">
      <c r="A10" s="171" t="s">
        <v>22327</v>
      </c>
      <c r="B10" s="172" t="s">
        <v>22392</v>
      </c>
      <c r="C10" s="148"/>
      <c r="D10" s="168"/>
      <c r="E10" s="168"/>
      <c r="F10" s="148"/>
      <c r="G10" s="148"/>
      <c r="H10" s="148"/>
      <c r="I10" s="148"/>
    </row>
    <row r="11" spans="1:9" ht="14.25" customHeight="1">
      <c r="A11" s="148"/>
      <c r="B11" s="175" t="s">
        <v>22393</v>
      </c>
      <c r="C11" s="187">
        <v>38.46</v>
      </c>
      <c r="D11" s="168" t="s">
        <v>22394</v>
      </c>
      <c r="E11" s="163" t="s">
        <v>22395</v>
      </c>
      <c r="F11" s="177"/>
      <c r="G11" s="148"/>
      <c r="H11" s="148"/>
      <c r="I11" s="148"/>
    </row>
    <row r="12" spans="1:9" ht="14.25" customHeight="1">
      <c r="A12" s="148"/>
      <c r="B12" s="175" t="s">
        <v>22396</v>
      </c>
      <c r="C12" s="187">
        <v>7.13</v>
      </c>
      <c r="D12" s="151" t="s">
        <v>22394</v>
      </c>
      <c r="E12" s="163" t="s">
        <v>22397</v>
      </c>
      <c r="F12" s="177"/>
      <c r="G12" s="148"/>
      <c r="H12" s="148"/>
      <c r="I12" s="148"/>
    </row>
    <row r="13" spans="1:9" ht="14.25" customHeight="1">
      <c r="A13" s="179"/>
      <c r="B13" s="175" t="s">
        <v>22398</v>
      </c>
      <c r="C13" s="187">
        <v>723.81</v>
      </c>
      <c r="D13" s="151" t="s">
        <v>22372</v>
      </c>
      <c r="E13" s="163" t="s">
        <v>22399</v>
      </c>
      <c r="F13" s="178"/>
      <c r="G13" s="181"/>
      <c r="H13" s="148"/>
      <c r="I13" s="148"/>
    </row>
    <row r="14" spans="1:9" ht="14.25" customHeight="1">
      <c r="A14" s="148"/>
      <c r="B14" s="162" t="s">
        <v>22400</v>
      </c>
      <c r="C14" s="187">
        <v>101.99</v>
      </c>
      <c r="D14" s="168" t="s">
        <v>22401</v>
      </c>
      <c r="E14" s="183" t="s">
        <v>22402</v>
      </c>
      <c r="F14" s="177"/>
      <c r="G14" s="148"/>
      <c r="H14" s="148"/>
      <c r="I14" s="148"/>
    </row>
    <row r="15" spans="1:9" ht="14.25" customHeight="1">
      <c r="B15" s="162" t="s">
        <v>22403</v>
      </c>
      <c r="C15" s="187">
        <v>150.66999999999999</v>
      </c>
      <c r="D15" s="168" t="s">
        <v>22401</v>
      </c>
      <c r="E15" s="183" t="s">
        <v>22404</v>
      </c>
    </row>
    <row r="16" spans="1:9"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20</v>
      </c>
      <c r="D19" s="168" t="s">
        <v>22408</v>
      </c>
      <c r="E19" s="183"/>
    </row>
    <row r="20" spans="1:18" ht="14.25" customHeight="1">
      <c r="B20" s="165" t="s">
        <v>22410</v>
      </c>
      <c r="C20" s="185">
        <v>24.5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Kalk2_Lastfallkombi!C31*Kalk2_Eingabe!C18/2*Kalk2_Eingabe!C19</f>
        <v>0</v>
      </c>
      <c r="D27" s="191">
        <f>Kalk2_Lastfallkombi!C19*Kalk2_Eingabe!C24/2*Kalk2_Eingabe!C19</f>
        <v>0</v>
      </c>
      <c r="E27" s="168" t="s">
        <v>22379</v>
      </c>
      <c r="F27" s="183" t="s">
        <v>22425</v>
      </c>
      <c r="O27" s="188" t="s">
        <v>22414</v>
      </c>
      <c r="P27" s="189"/>
      <c r="Q27" s="189"/>
      <c r="R27" s="190"/>
    </row>
    <row r="28" spans="1:18" ht="14.25" customHeight="1">
      <c r="B28" s="178" t="s">
        <v>22427</v>
      </c>
      <c r="C28" s="191">
        <f>Kalk2_Lastfallkombi!C31*Kalk2_Eingabe!C18/2*(Kalk2_Eingabe!C18/3+Kalk2_Sys_50!C25/100)*Kalk2_Eingabe!C19</f>
        <v>0</v>
      </c>
      <c r="D28" s="191">
        <f>Kalk2_Lastfallkombi!C19*Kalk2_Eingabe!C24/2*(Kalk2_Eingabe!C24/3+Kalk2_Sys_50!C25/100)*Kalk2_Eingabe!C19</f>
        <v>0</v>
      </c>
      <c r="E28" s="168" t="s">
        <v>22428</v>
      </c>
      <c r="F28" s="183" t="s">
        <v>22429</v>
      </c>
      <c r="O28" s="178" t="s">
        <v>22418</v>
      </c>
      <c r="P28" s="191">
        <f>(Kalk2_Lastfallkombi!C31*Kalk2_Eingabe!C18/2*(Kalk2_Eingabe!C18/3+Kalk2_Sys_50!C25/100)*Kalk2_Eingabe!C19)/(P26/100)</f>
        <v>0</v>
      </c>
      <c r="Q28" s="189"/>
      <c r="R28" s="168" t="s">
        <v>22379</v>
      </c>
    </row>
    <row r="29" spans="1:18" ht="14.25" customHeight="1">
      <c r="B29" s="178" t="s">
        <v>22431</v>
      </c>
      <c r="C29" s="191">
        <f>Kalk2_Lastfallkombi!C32*Kalk2_Eingabe!C18*Kalk2_Eingabe!C19</f>
        <v>0</v>
      </c>
      <c r="D29" s="191">
        <f>Kalk2_Lastfallkombi!C20*Kalk2_Eingabe!C24*Kalk2_Eingabe!C19</f>
        <v>0</v>
      </c>
      <c r="E29" s="168" t="s">
        <v>22379</v>
      </c>
      <c r="F29" s="183" t="s">
        <v>22432</v>
      </c>
      <c r="O29" s="178" t="s">
        <v>22421</v>
      </c>
      <c r="P29" s="191">
        <f>P28+C27</f>
        <v>0</v>
      </c>
      <c r="Q29" s="189"/>
      <c r="R29" s="168" t="s">
        <v>22379</v>
      </c>
    </row>
    <row r="30" spans="1:18" ht="14.25" customHeight="1">
      <c r="B30" s="178" t="s">
        <v>22434</v>
      </c>
      <c r="C30" s="191">
        <f>Kalk2_Lastfallkombi!C32*Kalk2_Eingabe!C18*(Kalk2_Eingabe!C18/2+C25/100)*Kalk2_Eingabe!C19</f>
        <v>0</v>
      </c>
      <c r="D30" s="191">
        <f>Kalk2_Lastfallkombi!C20*Kalk2_Eingabe!C24*(Kalk2_Eingabe!C24/2+C25/100)*Kalk2_Eingabe!C19</f>
        <v>0</v>
      </c>
      <c r="E30" s="168" t="s">
        <v>22428</v>
      </c>
      <c r="F30" s="183" t="s">
        <v>22435</v>
      </c>
      <c r="O30" s="178" t="s">
        <v>22423</v>
      </c>
      <c r="P30" s="191">
        <f>Kalk2_Lastfallkombi!C32*Kalk2_Eingabe!C18*Kalk2_Eingabe!C19/(P26/100)</f>
        <v>0</v>
      </c>
      <c r="Q30" s="189"/>
      <c r="R30" s="168" t="s">
        <v>22379</v>
      </c>
    </row>
    <row r="31" spans="1:18" ht="14.25" customHeight="1">
      <c r="B31" s="178" t="s">
        <v>22436</v>
      </c>
      <c r="C31" s="191" t="e">
        <f>Kalk2_Lastfallkombi!C40</f>
        <v>#DIV/0!</v>
      </c>
      <c r="D31" s="191" t="e">
        <f>Kalk2_Lastfallkombi!C28</f>
        <v>#NUM!</v>
      </c>
      <c r="E31" s="168" t="s">
        <v>22379</v>
      </c>
      <c r="F31" s="183" t="s">
        <v>22437</v>
      </c>
      <c r="O31" s="178" t="s">
        <v>22426</v>
      </c>
      <c r="P31" s="191">
        <f>P30+C29</f>
        <v>0</v>
      </c>
      <c r="Q31" s="189"/>
      <c r="R31" s="168" t="s">
        <v>22379</v>
      </c>
    </row>
    <row r="32" spans="1:18" ht="14.25" customHeight="1" thickBot="1">
      <c r="B32" s="178" t="s">
        <v>22438</v>
      </c>
      <c r="C32" s="191" t="e">
        <f>C31*(Kalk2_Eingabe!C18+C25/100)</f>
        <v>#DIV/0!</v>
      </c>
      <c r="D32" s="191" t="e">
        <f>D31*(Kalk2_Eingabe!C24-0.25+C25/100)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74.845589442218753</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1.4773016962447298</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19.990039999999997</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Kalk2_Lastfallkombi!D31*Kalk2_Eingabe!C19</f>
        <v>0</v>
      </c>
      <c r="D55" s="185">
        <f>Kalk2_Lastfallkombi!D19*Kalk2_Eingabe!C19</f>
        <v>0</v>
      </c>
      <c r="E55" s="168" t="s">
        <v>22469</v>
      </c>
    </row>
    <row r="56" spans="1:7" ht="14.25" customHeight="1">
      <c r="B56" s="178" t="s">
        <v>22470</v>
      </c>
      <c r="C56" s="185">
        <f>C55/100*(Kalk2_Eingabe!C18*100)^4/(30*Kalk2_Sys_50!C13*Kalk2_Sys_50!C18)</f>
        <v>0</v>
      </c>
      <c r="D56" s="185">
        <f>D55/100*(Kalk2_Eingabe!C24*100)^4/(30*Kalk2_Sys_50!C13*Kalk2_Sys_50!C18)</f>
        <v>0</v>
      </c>
      <c r="E56" s="168" t="s">
        <v>22416</v>
      </c>
    </row>
    <row r="57" spans="1:7" ht="14.25" customHeight="1">
      <c r="B57" s="178" t="s">
        <v>22471</v>
      </c>
      <c r="C57" s="185">
        <f>Kalk2_Lastfallkombi!D32*Kalk2_Eingabe!C19</f>
        <v>0</v>
      </c>
      <c r="D57" s="185">
        <f>Kalk2_Lastfallkombi!D20*Kalk2_Eingabe!C19</f>
        <v>0</v>
      </c>
      <c r="E57" s="168" t="s">
        <v>22469</v>
      </c>
    </row>
    <row r="58" spans="1:7" ht="14.25" customHeight="1">
      <c r="B58" s="178" t="s">
        <v>22472</v>
      </c>
      <c r="C58" s="185">
        <f>C57/100*(Kalk2_Eingabe!C18*100)^4/(8*Kalk2_Sys_50!C13*Kalk2_Sys_50!C18)</f>
        <v>0</v>
      </c>
      <c r="D58" s="185">
        <f>D57/100*(Kalk2_Eingabe!C24*100)^4/(8*Kalk2_Sys_50!C13*Kalk2_Sys_50!C18)</f>
        <v>0</v>
      </c>
      <c r="E58" s="168" t="s">
        <v>22416</v>
      </c>
      <c r="G58" s="185"/>
    </row>
    <row r="59" spans="1:7" ht="14.25" customHeight="1" thickBot="1">
      <c r="B59" s="178" t="s">
        <v>22473</v>
      </c>
      <c r="C59" s="185">
        <f>IF(Kalk2_Eingabe!C23="1/150",Kalk2_Eingabe!C18*100/150,IF(Kalk2_Eingabe!C23="1/300",Kalk2_Eingabe!C18*100/300))</f>
        <v>0</v>
      </c>
      <c r="D59" s="185">
        <f>IF(Kalk2_Eingabe!C23="1/150",Kalk2_Eingabe!C24*100/150,IF(Kalk2_Eingabe!C23="1/300",Kalk2_Eingabe!C24*100/300))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Kalk2_Lastfallkombi!D31*Kalk2_Eingabe!C19</f>
        <v>0</v>
      </c>
      <c r="D62" s="185">
        <f>Kalk2_Lastfallkombi!D19*Kalk2_Eingabe!C19</f>
        <v>0</v>
      </c>
      <c r="E62" s="168" t="s">
        <v>22469</v>
      </c>
    </row>
    <row r="63" spans="1:7" ht="14.25" customHeight="1">
      <c r="B63" s="178" t="s">
        <v>22470</v>
      </c>
      <c r="C63" s="185">
        <f>C62/100*(Kalk2_Eingabe!C18*100)^4/(30*Kalk2_Sys_50!C13*Kalk2_Sys_50!C18)</f>
        <v>0</v>
      </c>
      <c r="D63" s="185">
        <f>D62/100*(Kalk2_Eingabe!C24*100)^4/(30*Kalk2_Sys_50!C13*Kalk2_Sys_50!C18)</f>
        <v>0</v>
      </c>
      <c r="E63" s="168" t="s">
        <v>22416</v>
      </c>
    </row>
    <row r="64" spans="1:7" ht="14.25" customHeight="1">
      <c r="B64" s="178" t="s">
        <v>22471</v>
      </c>
      <c r="C64" s="185">
        <f>Kalk2_Lastfallkombi!D32*Kalk2_Eingabe!C19</f>
        <v>0</v>
      </c>
      <c r="D64" s="185">
        <f>Kalk2_Lastfallkombi!D20*Kalk2_Eingabe!C19</f>
        <v>0</v>
      </c>
      <c r="E64" s="168" t="s">
        <v>22469</v>
      </c>
    </row>
    <row r="65" spans="2:5" ht="14.25" customHeight="1">
      <c r="B65" s="178" t="s">
        <v>22472</v>
      </c>
      <c r="C65" s="185">
        <f>C64/100*(Kalk2_Eingabe!C18*100)^4/(8*Kalk2_Sys_50!C13*Kalk2_Sys_50!C18)</f>
        <v>0</v>
      </c>
      <c r="D65" s="185">
        <f>D64/100*(Kalk2_Eingabe!C24*100)^4/(8*Kalk2_Sys_50!C13*Kalk2_Sys_50!C18)</f>
        <v>0</v>
      </c>
      <c r="E65" s="168" t="s">
        <v>22416</v>
      </c>
    </row>
    <row r="66" spans="2:5" ht="14.25" customHeight="1">
      <c r="B66" s="165" t="s">
        <v>22476</v>
      </c>
      <c r="C66" s="185" t="e">
        <f>Kalk2_Lastfallkombi!D40</f>
        <v>#DIV/0!</v>
      </c>
      <c r="D66" s="185" t="e">
        <f>Kalk2_Lastfallkombi!D28</f>
        <v>#NUM!</v>
      </c>
      <c r="E66" s="168" t="s">
        <v>22379</v>
      </c>
    </row>
    <row r="67" spans="2:5" ht="14.25" customHeight="1">
      <c r="B67" s="165" t="s">
        <v>22477</v>
      </c>
      <c r="C67" s="185" t="e">
        <f>C66*(Kalk2_Eingabe!C18*100)^3/(3*Kalk2_Sys_50!C18*Kalk2_Sys_50!C13)</f>
        <v>#DIV/0!</v>
      </c>
      <c r="D67" s="185" t="e">
        <f>D66*((Kalk2_Eingabe!C24-0.25)*100)^3/(3*Kalk2_Sys_50!C18*Kalk2_Sys_50!C13)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Kalk2_Eingabe!C18*100/150</f>
        <v>0</v>
      </c>
      <c r="D69" s="185">
        <f>Kalk2_Eingabe!C24*100/150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111" priority="10" operator="greaterThan">
      <formula>1</formula>
    </cfRule>
    <cfRule type="dataBar" priority="11">
      <dataBar>
        <cfvo type="num" val="0"/>
        <cfvo type="num" val="0.99"/>
        <color rgb="FF638EC6"/>
      </dataBar>
      <extLst>
        <ext xmlns:x14="http://schemas.microsoft.com/office/spreadsheetml/2009/9/main" uri="{B025F937-C7B1-47D3-B67F-A62EFF666E3E}">
          <x14:id>{34AB0F86-F4D4-461E-B70B-88DF6B3DBE48}</x14:id>
        </ext>
      </extLst>
    </cfRule>
    <cfRule type="dataBar" priority="12">
      <dataBar>
        <cfvo type="num" val="0"/>
        <cfvo type="num" val="1"/>
        <color rgb="FF638EC6"/>
      </dataBar>
      <extLst>
        <ext xmlns:x14="http://schemas.microsoft.com/office/spreadsheetml/2009/9/main" uri="{B025F937-C7B1-47D3-B67F-A62EFF666E3E}">
          <x14:id>{1F83AF89-51C1-46E2-BF36-BD349F5B68A0}</x14:id>
        </ext>
      </extLst>
    </cfRule>
  </conditionalFormatting>
  <conditionalFormatting sqref="C50:C51">
    <cfRule type="cellIs" dxfId="110" priority="7" operator="greaterThan">
      <formula>1</formula>
    </cfRule>
    <cfRule type="dataBar" priority="8">
      <dataBar>
        <cfvo type="num" val="0"/>
        <cfvo type="num" val="0.99"/>
        <color rgb="FF638EC6"/>
      </dataBar>
      <extLst>
        <ext xmlns:x14="http://schemas.microsoft.com/office/spreadsheetml/2009/9/main" uri="{B025F937-C7B1-47D3-B67F-A62EFF666E3E}">
          <x14:id>{C26AE6D8-8434-4BE6-AB76-20B709FCF01F}</x14:id>
        </ext>
      </extLst>
    </cfRule>
    <cfRule type="dataBar" priority="9">
      <dataBar>
        <cfvo type="num" val="0"/>
        <cfvo type="num" val="1"/>
        <color rgb="FF638EC6"/>
      </dataBar>
      <extLst>
        <ext xmlns:x14="http://schemas.microsoft.com/office/spreadsheetml/2009/9/main" uri="{B025F937-C7B1-47D3-B67F-A62EFF666E3E}">
          <x14:id>{EFCC90DC-813F-41FF-B39C-719AF123EA87}</x14:id>
        </ext>
      </extLst>
    </cfRule>
  </conditionalFormatting>
  <conditionalFormatting sqref="C60">
    <cfRule type="cellIs" dxfId="109" priority="4" operator="greaterThan">
      <formula>1</formula>
    </cfRule>
    <cfRule type="dataBar" priority="5">
      <dataBar>
        <cfvo type="num" val="0"/>
        <cfvo type="num" val="0.99"/>
        <color rgb="FF638EC6"/>
      </dataBar>
      <extLst>
        <ext xmlns:x14="http://schemas.microsoft.com/office/spreadsheetml/2009/9/main" uri="{B025F937-C7B1-47D3-B67F-A62EFF666E3E}">
          <x14:id>{DE097D3C-2A48-4A4D-A3DA-DB7480083BF5}</x14:id>
        </ext>
      </extLst>
    </cfRule>
    <cfRule type="dataBar" priority="6">
      <dataBar>
        <cfvo type="num" val="0"/>
        <cfvo type="num" val="1"/>
        <color rgb="FF638EC6"/>
      </dataBar>
      <extLst>
        <ext xmlns:x14="http://schemas.microsoft.com/office/spreadsheetml/2009/9/main" uri="{B025F937-C7B1-47D3-B67F-A62EFF666E3E}">
          <x14:id>{75FD4B3D-79F8-409C-BB2D-5B1176450CAD}</x14:id>
        </ext>
      </extLst>
    </cfRule>
  </conditionalFormatting>
  <conditionalFormatting sqref="C70">
    <cfRule type="cellIs" dxfId="108" priority="1" operator="greaterThan">
      <formula>1</formula>
    </cfRule>
    <cfRule type="dataBar" priority="2">
      <dataBar>
        <cfvo type="num" val="0"/>
        <cfvo type="num" val="0.99"/>
        <color rgb="FF638EC6"/>
      </dataBar>
      <extLst>
        <ext xmlns:x14="http://schemas.microsoft.com/office/spreadsheetml/2009/9/main" uri="{B025F937-C7B1-47D3-B67F-A62EFF666E3E}">
          <x14:id>{9E2D57B9-C66A-44BF-B73D-BAD7D3E40B8D}</x14:id>
        </ext>
      </extLst>
    </cfRule>
    <cfRule type="dataBar" priority="3">
      <dataBar>
        <cfvo type="num" val="0"/>
        <cfvo type="num" val="1"/>
        <color rgb="FF638EC6"/>
      </dataBar>
      <extLst>
        <ext xmlns:x14="http://schemas.microsoft.com/office/spreadsheetml/2009/9/main" uri="{B025F937-C7B1-47D3-B67F-A62EFF666E3E}">
          <x14:id>{4B4706FA-A682-4193-91D0-03070C928BF1}</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34AB0F86-F4D4-461E-B70B-88DF6B3DBE48}">
            <x14:dataBar minLength="0" maxLength="100">
              <x14:cfvo type="num">
                <xm:f>0</xm:f>
              </x14:cfvo>
              <x14:cfvo type="num">
                <xm:f>0.99</xm:f>
              </x14:cfvo>
              <x14:negativeFillColor rgb="FFFF0000"/>
              <x14:axisColor rgb="FF000000"/>
            </x14:dataBar>
          </x14:cfRule>
          <x14:cfRule type="dataBar" id="{1F83AF89-51C1-46E2-BF36-BD349F5B68A0}">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C26AE6D8-8434-4BE6-AB76-20B709FCF01F}">
            <x14:dataBar minLength="0" maxLength="100">
              <x14:cfvo type="num">
                <xm:f>0</xm:f>
              </x14:cfvo>
              <x14:cfvo type="num">
                <xm:f>0.99</xm:f>
              </x14:cfvo>
              <x14:negativeFillColor rgb="FFFF0000"/>
              <x14:axisColor rgb="FF000000"/>
            </x14:dataBar>
          </x14:cfRule>
          <x14:cfRule type="dataBar" id="{EFCC90DC-813F-41FF-B39C-719AF123EA87}">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DE097D3C-2A48-4A4D-A3DA-DB7480083BF5}">
            <x14:dataBar minLength="0" maxLength="100">
              <x14:cfvo type="num">
                <xm:f>0</xm:f>
              </x14:cfvo>
              <x14:cfvo type="num">
                <xm:f>0.99</xm:f>
              </x14:cfvo>
              <x14:negativeFillColor rgb="FFFF0000"/>
              <x14:axisColor rgb="FF000000"/>
            </x14:dataBar>
          </x14:cfRule>
          <x14:cfRule type="dataBar" id="{75FD4B3D-79F8-409C-BB2D-5B1176450CAD}">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9E2D57B9-C66A-44BF-B73D-BAD7D3E40B8D}">
            <x14:dataBar minLength="0" maxLength="100">
              <x14:cfvo type="num">
                <xm:f>0</xm:f>
              </x14:cfvo>
              <x14:cfvo type="num">
                <xm:f>0.99</xm:f>
              </x14:cfvo>
              <x14:negativeFillColor rgb="FFFF0000"/>
              <x14:axisColor rgb="FF000000"/>
            </x14:dataBar>
          </x14:cfRule>
          <x14:cfRule type="dataBar" id="{4B4706FA-A682-4193-91D0-03070C928BF1}">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8B3B3-A1ED-4C4D-9FCA-452BD9BE37D1}">
  <sheetPr codeName="Tabelle27"/>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44894</v>
      </c>
      <c r="H3" s="156" t="s">
        <v>22312</v>
      </c>
      <c r="I3" s="158" t="s">
        <v>22313</v>
      </c>
    </row>
    <row r="4" spans="1:9" ht="16.5" customHeight="1">
      <c r="A4" s="148"/>
      <c r="B4" s="160" t="s">
        <v>22316</v>
      </c>
      <c r="C4" s="547" t="str">
        <f>Kalk2_Eingabe!C4</f>
        <v>PREFA</v>
      </c>
      <c r="D4" s="547"/>
      <c r="E4" s="548"/>
      <c r="F4" s="150"/>
      <c r="G4" s="150"/>
      <c r="H4" s="151"/>
      <c r="I4" s="148"/>
    </row>
    <row r="5" spans="1:9" ht="16.5" customHeight="1">
      <c r="A5" s="148"/>
      <c r="B5" s="164" t="s">
        <v>22319</v>
      </c>
      <c r="C5" s="549" t="str">
        <f>Kalk2_Eingabe!C5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22596</v>
      </c>
      <c r="C7" s="148"/>
      <c r="D7" s="168"/>
      <c r="E7" s="168"/>
      <c r="F7" s="148"/>
      <c r="G7" s="148"/>
      <c r="H7" s="148"/>
      <c r="I7" s="148"/>
    </row>
    <row r="8" spans="1:9" ht="16.5" customHeight="1">
      <c r="A8" s="148"/>
      <c r="B8" s="170" t="s">
        <v>22391</v>
      </c>
      <c r="C8" s="148"/>
      <c r="D8" s="168"/>
      <c r="E8" s="168"/>
      <c r="F8" s="148"/>
      <c r="G8" s="148"/>
      <c r="H8" s="148"/>
      <c r="I8" s="148"/>
    </row>
    <row r="9" spans="1:9" ht="14.25" customHeight="1">
      <c r="A9" s="148"/>
      <c r="B9" s="148"/>
      <c r="C9" s="148"/>
      <c r="D9" s="168"/>
      <c r="E9" s="168"/>
      <c r="F9" s="148"/>
      <c r="G9" s="148"/>
      <c r="H9" s="148"/>
      <c r="I9" s="148"/>
    </row>
    <row r="10" spans="1:9" ht="14.25" customHeight="1">
      <c r="A10" s="171" t="s">
        <v>22327</v>
      </c>
      <c r="B10" s="172" t="s">
        <v>22392</v>
      </c>
      <c r="C10" s="148"/>
      <c r="D10" s="168"/>
      <c r="E10" s="168"/>
      <c r="F10" s="148"/>
      <c r="G10" s="148"/>
      <c r="H10" s="148"/>
      <c r="I10" s="148"/>
    </row>
    <row r="11" spans="1:9" ht="14.25" customHeight="1">
      <c r="A11" s="148"/>
      <c r="B11" s="175" t="s">
        <v>22393</v>
      </c>
      <c r="C11" s="187">
        <v>38.74</v>
      </c>
      <c r="D11" s="168" t="s">
        <v>22394</v>
      </c>
      <c r="E11" s="163" t="s">
        <v>22395</v>
      </c>
      <c r="F11" s="177"/>
      <c r="G11" s="148"/>
      <c r="H11" s="148"/>
      <c r="I11" s="148"/>
    </row>
    <row r="12" spans="1:9" ht="14.25" customHeight="1">
      <c r="A12" s="148"/>
      <c r="B12" s="175" t="s">
        <v>22396</v>
      </c>
      <c r="C12" s="187">
        <v>7.58</v>
      </c>
      <c r="D12" s="151" t="s">
        <v>22394</v>
      </c>
      <c r="E12" s="163" t="s">
        <v>22397</v>
      </c>
      <c r="F12" s="177"/>
      <c r="G12" s="148"/>
      <c r="H12" s="148"/>
      <c r="I12" s="148"/>
    </row>
    <row r="13" spans="1:9" ht="14.25" customHeight="1">
      <c r="A13" s="179"/>
      <c r="B13" s="175" t="s">
        <v>22398</v>
      </c>
      <c r="C13" s="187">
        <v>1047.58</v>
      </c>
      <c r="D13" s="151" t="s">
        <v>22372</v>
      </c>
      <c r="E13" s="163" t="s">
        <v>22399</v>
      </c>
      <c r="F13" s="178"/>
      <c r="G13" s="181"/>
      <c r="H13" s="148"/>
      <c r="I13" s="148"/>
    </row>
    <row r="14" spans="1:9" ht="14.25" customHeight="1">
      <c r="A14" s="148"/>
      <c r="B14" s="162" t="s">
        <v>22400</v>
      </c>
      <c r="C14" s="187">
        <v>147.32</v>
      </c>
      <c r="D14" s="168" t="s">
        <v>22401</v>
      </c>
      <c r="E14" s="183" t="s">
        <v>22402</v>
      </c>
      <c r="F14" s="177"/>
      <c r="G14" s="148"/>
      <c r="H14" s="148"/>
      <c r="I14" s="148"/>
    </row>
    <row r="15" spans="1:9" ht="14.25" customHeight="1">
      <c r="B15" s="162" t="s">
        <v>22403</v>
      </c>
      <c r="C15" s="187">
        <v>192.51</v>
      </c>
      <c r="D15" s="168" t="s">
        <v>22401</v>
      </c>
      <c r="E15" s="183" t="s">
        <v>22404</v>
      </c>
    </row>
    <row r="16" spans="1:9"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18</v>
      </c>
      <c r="D19" s="168" t="s">
        <v>22408</v>
      </c>
      <c r="E19" s="183"/>
    </row>
    <row r="20" spans="1:18" ht="14.25" customHeight="1">
      <c r="B20" s="165" t="s">
        <v>22410</v>
      </c>
      <c r="C20" s="185">
        <v>22.5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Kalk2_Lastfallkombi!C31*Kalk2_Eingabe!C18/2*Kalk2_Eingabe!C19</f>
        <v>0</v>
      </c>
      <c r="D27" s="191">
        <f>Kalk2_Lastfallkombi!C19*Kalk2_Eingabe!C24/2*Kalk2_Eingabe!C19</f>
        <v>0</v>
      </c>
      <c r="E27" s="168" t="s">
        <v>22379</v>
      </c>
      <c r="F27" s="183" t="s">
        <v>22425</v>
      </c>
      <c r="O27" s="188" t="s">
        <v>22414</v>
      </c>
      <c r="P27" s="189"/>
      <c r="Q27" s="189"/>
      <c r="R27" s="190"/>
    </row>
    <row r="28" spans="1:18" ht="14.25" customHeight="1">
      <c r="B28" s="178" t="s">
        <v>22427</v>
      </c>
      <c r="C28" s="191">
        <f>Kalk2_Lastfallkombi!C31*Kalk2_Eingabe!C18/2*(Kalk2_Eingabe!C18/3+Kalk2_Sys_80k!C25/100)*Kalk2_Eingabe!C19</f>
        <v>0</v>
      </c>
      <c r="D28" s="191">
        <f>Kalk2_Lastfallkombi!C19*Kalk2_Eingabe!C24/2*(Kalk2_Eingabe!C24/3+Kalk2_Sys_80k!C25/100)*Kalk2_Eingabe!C19</f>
        <v>0</v>
      </c>
      <c r="E28" s="168" t="s">
        <v>22428</v>
      </c>
      <c r="F28" s="183" t="s">
        <v>22429</v>
      </c>
      <c r="O28" s="178" t="s">
        <v>22418</v>
      </c>
      <c r="P28" s="191">
        <f>(Kalk2_Lastfallkombi!C31*Kalk2_Eingabe!C18/2*(Kalk2_Eingabe!C18/3+Kalk2_Sys_80k!C25/100)*Kalk2_Eingabe!C19)/(P26/100)</f>
        <v>0</v>
      </c>
      <c r="Q28" s="189"/>
      <c r="R28" s="168" t="s">
        <v>22379</v>
      </c>
    </row>
    <row r="29" spans="1:18" ht="14.25" customHeight="1">
      <c r="B29" s="178" t="s">
        <v>22431</v>
      </c>
      <c r="C29" s="191">
        <f>Kalk2_Lastfallkombi!C32*Kalk2_Eingabe!C18*Kalk2_Eingabe!C19</f>
        <v>0</v>
      </c>
      <c r="D29" s="191">
        <f>Kalk2_Lastfallkombi!C20*Kalk2_Eingabe!C24*Kalk2_Eingabe!C19</f>
        <v>0</v>
      </c>
      <c r="E29" s="168" t="s">
        <v>22379</v>
      </c>
      <c r="F29" s="183" t="s">
        <v>22432</v>
      </c>
      <c r="O29" s="178" t="s">
        <v>22421</v>
      </c>
      <c r="P29" s="191">
        <f>P28+C27</f>
        <v>0</v>
      </c>
      <c r="Q29" s="189"/>
      <c r="R29" s="168" t="s">
        <v>22379</v>
      </c>
    </row>
    <row r="30" spans="1:18" ht="14.25" customHeight="1">
      <c r="B30" s="178" t="s">
        <v>22434</v>
      </c>
      <c r="C30" s="191">
        <f>Kalk2_Lastfallkombi!C32*Kalk2_Eingabe!C18*(Kalk2_Eingabe!C18/2+C25/100)*Kalk2_Eingabe!C19</f>
        <v>0</v>
      </c>
      <c r="D30" s="191">
        <f>Kalk2_Lastfallkombi!C20*Kalk2_Eingabe!C24*(Kalk2_Eingabe!C24/2+C25/100)*Kalk2_Eingabe!C19</f>
        <v>0</v>
      </c>
      <c r="E30" s="168" t="s">
        <v>22428</v>
      </c>
      <c r="F30" s="183" t="s">
        <v>22435</v>
      </c>
      <c r="O30" s="178" t="s">
        <v>22423</v>
      </c>
      <c r="P30" s="191">
        <f>Kalk2_Lastfallkombi!C32*Kalk2_Eingabe!C18*Kalk2_Eingabe!C19/(P26/100)</f>
        <v>0</v>
      </c>
      <c r="Q30" s="189"/>
      <c r="R30" s="168" t="s">
        <v>22379</v>
      </c>
    </row>
    <row r="31" spans="1:18" ht="14.25" customHeight="1">
      <c r="B31" s="178" t="s">
        <v>22436</v>
      </c>
      <c r="C31" s="191" t="e">
        <f>Kalk2_Lastfallkombi!C40</f>
        <v>#DIV/0!</v>
      </c>
      <c r="D31" s="191" t="e">
        <f>Kalk2_Lastfallkombi!C28</f>
        <v>#NUM!</v>
      </c>
      <c r="E31" s="168" t="s">
        <v>22379</v>
      </c>
      <c r="F31" s="183" t="s">
        <v>22437</v>
      </c>
      <c r="O31" s="178" t="s">
        <v>22426</v>
      </c>
      <c r="P31" s="191">
        <f>P30+C29</f>
        <v>0</v>
      </c>
      <c r="Q31" s="189"/>
      <c r="R31" s="168" t="s">
        <v>22379</v>
      </c>
    </row>
    <row r="32" spans="1:18" ht="14.25" customHeight="1" thickBot="1">
      <c r="B32" s="178" t="s">
        <v>22438</v>
      </c>
      <c r="C32" s="191" t="e">
        <f>C31*(Kalk2_Eingabe!C18+C25/100)</f>
        <v>#DIV/0!</v>
      </c>
      <c r="D32" s="191" t="e">
        <f>D31*(Kalk2_Eingabe!C24-0.25+C25/100)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71.612427934756852</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1.3067472169427097</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26.517599999999998</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Kalk2_Lastfallkombi!D31*Kalk2_Eingabe!C19</f>
        <v>0</v>
      </c>
      <c r="D55" s="185">
        <f>Kalk2_Lastfallkombi!D19*Kalk2_Eingabe!C19</f>
        <v>0</v>
      </c>
      <c r="E55" s="168" t="s">
        <v>22469</v>
      </c>
    </row>
    <row r="56" spans="1:7" ht="14.25" customHeight="1">
      <c r="B56" s="178" t="s">
        <v>22470</v>
      </c>
      <c r="C56" s="185">
        <f>C55/100*(Kalk2_Eingabe!C18*100)^4/(30*Kalk2_Sys_80k!C13*Kalk2_Sys_80k!C18)</f>
        <v>0</v>
      </c>
      <c r="D56" s="185">
        <f>D55/100*(Kalk2_Eingabe!C24*100)^4/(30*Kalk2_Sys_80k!C13*Kalk2_Sys_80k!C18)</f>
        <v>0</v>
      </c>
      <c r="E56" s="168" t="s">
        <v>22416</v>
      </c>
    </row>
    <row r="57" spans="1:7" ht="14.25" customHeight="1">
      <c r="B57" s="178" t="s">
        <v>22471</v>
      </c>
      <c r="C57" s="185">
        <f>Kalk2_Lastfallkombi!D32*Kalk2_Eingabe!C19</f>
        <v>0</v>
      </c>
      <c r="D57" s="185">
        <f>Kalk2_Lastfallkombi!D20*Kalk2_Eingabe!C19</f>
        <v>0</v>
      </c>
      <c r="E57" s="168" t="s">
        <v>22469</v>
      </c>
    </row>
    <row r="58" spans="1:7" ht="14.25" customHeight="1">
      <c r="B58" s="178" t="s">
        <v>22472</v>
      </c>
      <c r="C58" s="185">
        <f>C57/100*(Kalk2_Eingabe!C18*100)^4/(8*Kalk2_Sys_80k!C13*Kalk2_Sys_80k!C18)</f>
        <v>0</v>
      </c>
      <c r="D58" s="185">
        <f>D57/100*(Kalk2_Eingabe!C24*100)^4/(8*Kalk2_Sys_80k!C13*Kalk2_Sys_80k!C18)</f>
        <v>0</v>
      </c>
      <c r="E58" s="168" t="s">
        <v>22416</v>
      </c>
      <c r="G58" s="185"/>
    </row>
    <row r="59" spans="1:7" ht="14.25" customHeight="1" thickBot="1">
      <c r="B59" s="178" t="s">
        <v>22473</v>
      </c>
      <c r="C59" s="185">
        <f>IF(Kalk2_Eingabe!C23="1/150",Kalk2_Eingabe!C18*100/150,IF(Kalk2_Eingabe!C23="1/300",Kalk2_Eingabe!C18*100/300))</f>
        <v>0</v>
      </c>
      <c r="D59" s="185">
        <f>IF(Kalk2_Eingabe!C23="1/150",Kalk2_Eingabe!C24*100/150,IF(Kalk2_Eingabe!C23="1/300",Kalk2_Eingabe!C24*100/300))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Kalk2_Lastfallkombi!D31*Kalk2_Eingabe!C19</f>
        <v>0</v>
      </c>
      <c r="D62" s="185">
        <f>Kalk2_Lastfallkombi!D19*Kalk2_Eingabe!C19</f>
        <v>0</v>
      </c>
      <c r="E62" s="168" t="s">
        <v>22469</v>
      </c>
    </row>
    <row r="63" spans="1:7" ht="14.25" customHeight="1">
      <c r="B63" s="178" t="s">
        <v>22470</v>
      </c>
      <c r="C63" s="185">
        <f>C62/100*(Kalk2_Eingabe!C18*100)^4/(30*Kalk2_Sys_80k!C13*Kalk2_Sys_80k!C18)</f>
        <v>0</v>
      </c>
      <c r="D63" s="185">
        <f>D62/100*(Kalk2_Eingabe!C24*100)^4/(30*Kalk2_Sys_80k!C13*Kalk2_Sys_80k!C18)</f>
        <v>0</v>
      </c>
      <c r="E63" s="168" t="s">
        <v>22416</v>
      </c>
    </row>
    <row r="64" spans="1:7" ht="14.25" customHeight="1">
      <c r="B64" s="178" t="s">
        <v>22471</v>
      </c>
      <c r="C64" s="185">
        <f>Kalk2_Lastfallkombi!D32*Kalk2_Eingabe!C19</f>
        <v>0</v>
      </c>
      <c r="D64" s="185">
        <f>Kalk2_Lastfallkombi!D20*Kalk2_Eingabe!C19</f>
        <v>0</v>
      </c>
      <c r="E64" s="168" t="s">
        <v>22469</v>
      </c>
    </row>
    <row r="65" spans="2:5" ht="14.25" customHeight="1">
      <c r="B65" s="178" t="s">
        <v>22472</v>
      </c>
      <c r="C65" s="185">
        <f>C64/100*(Kalk2_Eingabe!C18*100)^4/(8*Kalk2_Sys_80k!C13*Kalk2_Sys_80k!C18)</f>
        <v>0</v>
      </c>
      <c r="D65" s="185">
        <f>D64/100*(Kalk2_Eingabe!C24*100)^4/(8*Kalk2_Sys_80k!C13*Kalk2_Sys_80k!C18)</f>
        <v>0</v>
      </c>
      <c r="E65" s="168" t="s">
        <v>22416</v>
      </c>
    </row>
    <row r="66" spans="2:5" ht="14.25" customHeight="1">
      <c r="B66" s="165" t="s">
        <v>22476</v>
      </c>
      <c r="C66" s="185" t="e">
        <f>Kalk2_Lastfallkombi!D40</f>
        <v>#DIV/0!</v>
      </c>
      <c r="D66" s="185" t="e">
        <f>Kalk2_Lastfallkombi!D28</f>
        <v>#NUM!</v>
      </c>
      <c r="E66" s="168" t="s">
        <v>22379</v>
      </c>
    </row>
    <row r="67" spans="2:5" ht="14.25" customHeight="1">
      <c r="B67" s="165" t="s">
        <v>22477</v>
      </c>
      <c r="C67" s="185" t="e">
        <f>C66*(Kalk2_Eingabe!C18*100)^3/(3*Kalk2_Sys_80k!C18*Kalk2_Sys_80k!C13)</f>
        <v>#DIV/0!</v>
      </c>
      <c r="D67" s="185" t="e">
        <f>D66*((Kalk2_Eingabe!C24-0.25)*100)^3/(3*Kalk2_Sys_80k!C18*Kalk2_Sys_80k!C13)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Kalk2_Eingabe!C18*100/150</f>
        <v>0</v>
      </c>
      <c r="D69" s="185">
        <f>Kalk2_Eingabe!C24*100/150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107" priority="10" operator="greaterThan">
      <formula>1</formula>
    </cfRule>
    <cfRule type="dataBar" priority="11">
      <dataBar>
        <cfvo type="num" val="0"/>
        <cfvo type="num" val="0.99"/>
        <color rgb="FF638EC6"/>
      </dataBar>
      <extLst>
        <ext xmlns:x14="http://schemas.microsoft.com/office/spreadsheetml/2009/9/main" uri="{B025F937-C7B1-47D3-B67F-A62EFF666E3E}">
          <x14:id>{EB28E88F-485B-41D0-B4D2-3CA1BF7FCD5A}</x14:id>
        </ext>
      </extLst>
    </cfRule>
    <cfRule type="dataBar" priority="12">
      <dataBar>
        <cfvo type="num" val="0"/>
        <cfvo type="num" val="1"/>
        <color rgb="FF638EC6"/>
      </dataBar>
      <extLst>
        <ext xmlns:x14="http://schemas.microsoft.com/office/spreadsheetml/2009/9/main" uri="{B025F937-C7B1-47D3-B67F-A62EFF666E3E}">
          <x14:id>{E754BD0D-A7C9-4EFB-A93D-9C201AFAFD44}</x14:id>
        </ext>
      </extLst>
    </cfRule>
  </conditionalFormatting>
  <conditionalFormatting sqref="C50:C51">
    <cfRule type="cellIs" dxfId="106" priority="7" operator="greaterThan">
      <formula>1</formula>
    </cfRule>
    <cfRule type="dataBar" priority="8">
      <dataBar>
        <cfvo type="num" val="0"/>
        <cfvo type="num" val="0.99"/>
        <color rgb="FF638EC6"/>
      </dataBar>
      <extLst>
        <ext xmlns:x14="http://schemas.microsoft.com/office/spreadsheetml/2009/9/main" uri="{B025F937-C7B1-47D3-B67F-A62EFF666E3E}">
          <x14:id>{F9D2B258-97F1-4239-ABE4-82AE0034497A}</x14:id>
        </ext>
      </extLst>
    </cfRule>
    <cfRule type="dataBar" priority="9">
      <dataBar>
        <cfvo type="num" val="0"/>
        <cfvo type="num" val="1"/>
        <color rgb="FF638EC6"/>
      </dataBar>
      <extLst>
        <ext xmlns:x14="http://schemas.microsoft.com/office/spreadsheetml/2009/9/main" uri="{B025F937-C7B1-47D3-B67F-A62EFF666E3E}">
          <x14:id>{BD3F85FD-0EDF-4EEA-ABCD-3B1E5D4FC10F}</x14:id>
        </ext>
      </extLst>
    </cfRule>
  </conditionalFormatting>
  <conditionalFormatting sqref="C60">
    <cfRule type="cellIs" dxfId="105" priority="4" operator="greaterThan">
      <formula>1</formula>
    </cfRule>
    <cfRule type="dataBar" priority="5">
      <dataBar>
        <cfvo type="num" val="0"/>
        <cfvo type="num" val="0.99"/>
        <color rgb="FF638EC6"/>
      </dataBar>
      <extLst>
        <ext xmlns:x14="http://schemas.microsoft.com/office/spreadsheetml/2009/9/main" uri="{B025F937-C7B1-47D3-B67F-A62EFF666E3E}">
          <x14:id>{2C1C3588-62DF-46DF-AB7F-CA80CD96B977}</x14:id>
        </ext>
      </extLst>
    </cfRule>
    <cfRule type="dataBar" priority="6">
      <dataBar>
        <cfvo type="num" val="0"/>
        <cfvo type="num" val="1"/>
        <color rgb="FF638EC6"/>
      </dataBar>
      <extLst>
        <ext xmlns:x14="http://schemas.microsoft.com/office/spreadsheetml/2009/9/main" uri="{B025F937-C7B1-47D3-B67F-A62EFF666E3E}">
          <x14:id>{09717606-7DAE-4049-BCC2-E0EA794BD11C}</x14:id>
        </ext>
      </extLst>
    </cfRule>
  </conditionalFormatting>
  <conditionalFormatting sqref="C70">
    <cfRule type="cellIs" dxfId="104" priority="1" operator="greaterThan">
      <formula>1</formula>
    </cfRule>
    <cfRule type="dataBar" priority="2">
      <dataBar>
        <cfvo type="num" val="0"/>
        <cfvo type="num" val="0.99"/>
        <color rgb="FF638EC6"/>
      </dataBar>
      <extLst>
        <ext xmlns:x14="http://schemas.microsoft.com/office/spreadsheetml/2009/9/main" uri="{B025F937-C7B1-47D3-B67F-A62EFF666E3E}">
          <x14:id>{AE60F737-1F69-4398-B376-2F20CBF23101}</x14:id>
        </ext>
      </extLst>
    </cfRule>
    <cfRule type="dataBar" priority="3">
      <dataBar>
        <cfvo type="num" val="0"/>
        <cfvo type="num" val="1"/>
        <color rgb="FF638EC6"/>
      </dataBar>
      <extLst>
        <ext xmlns:x14="http://schemas.microsoft.com/office/spreadsheetml/2009/9/main" uri="{B025F937-C7B1-47D3-B67F-A62EFF666E3E}">
          <x14:id>{8D1CDF8F-1833-456D-B609-9C14FAC335E1}</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EB28E88F-485B-41D0-B4D2-3CA1BF7FCD5A}">
            <x14:dataBar minLength="0" maxLength="100">
              <x14:cfvo type="num">
                <xm:f>0</xm:f>
              </x14:cfvo>
              <x14:cfvo type="num">
                <xm:f>0.99</xm:f>
              </x14:cfvo>
              <x14:negativeFillColor rgb="FFFF0000"/>
              <x14:axisColor rgb="FF000000"/>
            </x14:dataBar>
          </x14:cfRule>
          <x14:cfRule type="dataBar" id="{E754BD0D-A7C9-4EFB-A93D-9C201AFAFD44}">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F9D2B258-97F1-4239-ABE4-82AE0034497A}">
            <x14:dataBar minLength="0" maxLength="100">
              <x14:cfvo type="num">
                <xm:f>0</xm:f>
              </x14:cfvo>
              <x14:cfvo type="num">
                <xm:f>0.99</xm:f>
              </x14:cfvo>
              <x14:negativeFillColor rgb="FFFF0000"/>
              <x14:axisColor rgb="FF000000"/>
            </x14:dataBar>
          </x14:cfRule>
          <x14:cfRule type="dataBar" id="{BD3F85FD-0EDF-4EEA-ABCD-3B1E5D4FC10F}">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2C1C3588-62DF-46DF-AB7F-CA80CD96B977}">
            <x14:dataBar minLength="0" maxLength="100">
              <x14:cfvo type="num">
                <xm:f>0</xm:f>
              </x14:cfvo>
              <x14:cfvo type="num">
                <xm:f>0.99</xm:f>
              </x14:cfvo>
              <x14:negativeFillColor rgb="FFFF0000"/>
              <x14:axisColor rgb="FF000000"/>
            </x14:dataBar>
          </x14:cfRule>
          <x14:cfRule type="dataBar" id="{09717606-7DAE-4049-BCC2-E0EA794BD11C}">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AE60F737-1F69-4398-B376-2F20CBF23101}">
            <x14:dataBar minLength="0" maxLength="100">
              <x14:cfvo type="num">
                <xm:f>0</xm:f>
              </x14:cfvo>
              <x14:cfvo type="num">
                <xm:f>0.99</xm:f>
              </x14:cfvo>
              <x14:negativeFillColor rgb="FFFF0000"/>
              <x14:axisColor rgb="FF000000"/>
            </x14:dataBar>
          </x14:cfRule>
          <x14:cfRule type="dataBar" id="{8D1CDF8F-1833-456D-B609-9C14FAC335E1}">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22F02-E873-4727-9DE1-9C570018C1C1}">
  <sheetPr codeName="Tabelle28"/>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14" ht="42" customHeight="1">
      <c r="A1" s="148"/>
      <c r="B1" s="546"/>
      <c r="C1" s="546"/>
      <c r="D1" s="150"/>
      <c r="E1" s="151"/>
      <c r="F1" s="150"/>
      <c r="G1" s="150"/>
      <c r="H1" s="150"/>
      <c r="I1" s="150"/>
    </row>
    <row r="2" spans="1:14" ht="16.5" customHeight="1">
      <c r="A2" s="148"/>
      <c r="B2" s="149"/>
      <c r="C2" s="149"/>
      <c r="D2" s="150"/>
      <c r="E2" s="151"/>
      <c r="F2" s="153" t="s">
        <v>22309</v>
      </c>
      <c r="G2" s="154"/>
      <c r="H2" s="153" t="s">
        <v>22310</v>
      </c>
      <c r="I2" s="154" t="s">
        <v>22311</v>
      </c>
    </row>
    <row r="3" spans="1:14" ht="16.5" customHeight="1">
      <c r="A3" s="148"/>
      <c r="B3" s="155"/>
      <c r="C3" s="148"/>
      <c r="D3" s="150"/>
      <c r="E3" s="151"/>
      <c r="F3" s="156" t="s">
        <v>3225</v>
      </c>
      <c r="G3" s="157">
        <v>44894</v>
      </c>
      <c r="H3" s="156" t="s">
        <v>22312</v>
      </c>
      <c r="I3" s="158" t="s">
        <v>22313</v>
      </c>
    </row>
    <row r="4" spans="1:14" ht="16.5" customHeight="1">
      <c r="A4" s="148"/>
      <c r="B4" s="160" t="s">
        <v>22316</v>
      </c>
      <c r="C4" s="547" t="str">
        <f>Kalk2_Eingabe!C4</f>
        <v>PREFA</v>
      </c>
      <c r="D4" s="547"/>
      <c r="E4" s="548"/>
      <c r="F4" s="150"/>
      <c r="G4" s="150"/>
      <c r="H4" s="151"/>
      <c r="I4" s="148"/>
    </row>
    <row r="5" spans="1:14" ht="16.5" customHeight="1">
      <c r="A5" s="148"/>
      <c r="B5" s="164" t="s">
        <v>22319</v>
      </c>
      <c r="C5" s="549" t="str">
        <f>Kalk2_Eingabe!C5</f>
        <v>Dammblaken 50/150 - H = 1,50 m</v>
      </c>
      <c r="D5" s="549"/>
      <c r="E5" s="550"/>
      <c r="F5" s="150"/>
      <c r="G5" s="150"/>
      <c r="H5" s="151"/>
      <c r="I5" s="148"/>
    </row>
    <row r="6" spans="1:14" ht="16.5" customHeight="1">
      <c r="A6" s="148"/>
      <c r="B6" s="148"/>
      <c r="C6" s="148"/>
      <c r="D6" s="168"/>
      <c r="E6" s="168"/>
      <c r="F6" s="148"/>
      <c r="G6" s="148"/>
      <c r="H6" s="148"/>
      <c r="I6" s="148"/>
    </row>
    <row r="7" spans="1:14" ht="16.5" customHeight="1">
      <c r="A7" s="148"/>
      <c r="B7" s="169" t="s">
        <v>22597</v>
      </c>
      <c r="C7" s="148"/>
      <c r="D7" s="168"/>
      <c r="E7" s="168"/>
      <c r="F7" s="148"/>
      <c r="G7" s="148"/>
      <c r="H7" s="148"/>
      <c r="I7" s="148"/>
    </row>
    <row r="8" spans="1:14" ht="16.5" customHeight="1">
      <c r="A8" s="148"/>
      <c r="B8" s="170" t="s">
        <v>22391</v>
      </c>
      <c r="C8" s="148"/>
      <c r="D8" s="168"/>
      <c r="E8" s="168"/>
      <c r="F8" s="148"/>
      <c r="G8" s="148"/>
      <c r="H8" s="148"/>
      <c r="I8" s="148"/>
    </row>
    <row r="9" spans="1:14" ht="14.25" customHeight="1">
      <c r="A9" s="148"/>
      <c r="B9" s="148"/>
      <c r="C9" s="148"/>
      <c r="D9" s="168"/>
      <c r="E9" s="168"/>
      <c r="F9" s="148"/>
      <c r="G9" s="148"/>
      <c r="H9" s="148"/>
      <c r="I9" s="148"/>
      <c r="N9" s="152">
        <f>1786/86.29</f>
        <v>20.697647467841001</v>
      </c>
    </row>
    <row r="10" spans="1:14" ht="14.25" customHeight="1">
      <c r="A10" s="171" t="s">
        <v>22327</v>
      </c>
      <c r="B10" s="172" t="s">
        <v>22392</v>
      </c>
      <c r="C10" s="148"/>
      <c r="D10" s="168"/>
      <c r="E10" s="168"/>
      <c r="F10" s="148"/>
      <c r="G10" s="148"/>
      <c r="H10" s="148"/>
      <c r="I10" s="148"/>
    </row>
    <row r="11" spans="1:14" ht="14.25" customHeight="1">
      <c r="A11" s="148"/>
      <c r="B11" s="175" t="s">
        <v>22393</v>
      </c>
      <c r="C11" s="187">
        <v>51.41</v>
      </c>
      <c r="D11" s="168" t="s">
        <v>22394</v>
      </c>
      <c r="E11" s="163" t="s">
        <v>22395</v>
      </c>
      <c r="F11" s="177"/>
      <c r="G11" s="148"/>
      <c r="H11" s="148"/>
      <c r="I11" s="148"/>
      <c r="N11" s="152">
        <f>1534.43/86.29</f>
        <v>17.782245914937999</v>
      </c>
    </row>
    <row r="12" spans="1:14" ht="14.25" customHeight="1">
      <c r="A12" s="148"/>
      <c r="B12" s="175" t="s">
        <v>22396</v>
      </c>
      <c r="C12" s="187">
        <v>7.77</v>
      </c>
      <c r="D12" s="151" t="s">
        <v>22394</v>
      </c>
      <c r="E12" s="163" t="s">
        <v>22397</v>
      </c>
      <c r="F12" s="177"/>
      <c r="G12" s="148"/>
      <c r="H12" s="148"/>
      <c r="I12" s="148"/>
    </row>
    <row r="13" spans="1:14" ht="14.25" customHeight="1">
      <c r="A13" s="179"/>
      <c r="B13" s="175" t="s">
        <v>22398</v>
      </c>
      <c r="C13" s="187">
        <v>2073.15</v>
      </c>
      <c r="D13" s="151" t="s">
        <v>22372</v>
      </c>
      <c r="E13" s="163" t="s">
        <v>22399</v>
      </c>
      <c r="F13" s="178"/>
      <c r="G13" s="181"/>
      <c r="H13" s="148"/>
      <c r="I13" s="148"/>
    </row>
    <row r="14" spans="1:14" ht="14.25" customHeight="1">
      <c r="A14" s="148"/>
      <c r="B14" s="162" t="s">
        <v>22400</v>
      </c>
      <c r="C14" s="187">
        <v>223.56</v>
      </c>
      <c r="D14" s="168" t="s">
        <v>22401</v>
      </c>
      <c r="E14" s="183" t="s">
        <v>22402</v>
      </c>
      <c r="F14" s="177"/>
      <c r="G14" s="148"/>
      <c r="H14" s="148"/>
      <c r="I14" s="148"/>
    </row>
    <row r="15" spans="1:14" ht="14.25" customHeight="1">
      <c r="B15" s="162" t="s">
        <v>22403</v>
      </c>
      <c r="C15" s="187">
        <v>309.02</v>
      </c>
      <c r="D15" s="168" t="s">
        <v>22401</v>
      </c>
      <c r="E15" s="183" t="s">
        <v>22404</v>
      </c>
    </row>
    <row r="16" spans="1:14"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20</v>
      </c>
      <c r="D19" s="168" t="s">
        <v>22408</v>
      </c>
      <c r="E19" s="183"/>
    </row>
    <row r="20" spans="1:18" ht="14.25" customHeight="1">
      <c r="B20" s="165" t="s">
        <v>22410</v>
      </c>
      <c r="C20" s="185">
        <v>24.5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Kalk2_Lastfallkombi!C31*Kalk2_Eingabe!C18/2*Kalk2_Eingabe!C19</f>
        <v>0</v>
      </c>
      <c r="D27" s="191">
        <f>Kalk2_Lastfallkombi!C19*Kalk2_Eingabe!C24/2*Kalk2_Eingabe!C19</f>
        <v>0</v>
      </c>
      <c r="E27" s="168" t="s">
        <v>22379</v>
      </c>
      <c r="F27" s="183" t="s">
        <v>22425</v>
      </c>
      <c r="O27" s="188" t="s">
        <v>22414</v>
      </c>
      <c r="P27" s="189"/>
      <c r="Q27" s="189"/>
      <c r="R27" s="190"/>
    </row>
    <row r="28" spans="1:18" ht="14.25" customHeight="1">
      <c r="B28" s="178" t="s">
        <v>22427</v>
      </c>
      <c r="C28" s="191">
        <f>Kalk2_Lastfallkombi!C31*Kalk2_Eingabe!C18/2*(Kalk2_Eingabe!C18/3+Kalk2_Sys_80g!C25/100)*Kalk2_Eingabe!C19</f>
        <v>0</v>
      </c>
      <c r="D28" s="191">
        <f>Kalk2_Lastfallkombi!C19*Kalk2_Eingabe!C24/2*(Kalk2_Eingabe!C24/3+Kalk2_Sys_80g!C25/100)*Kalk2_Eingabe!C19</f>
        <v>0</v>
      </c>
      <c r="E28" s="168" t="s">
        <v>22428</v>
      </c>
      <c r="F28" s="183" t="s">
        <v>22429</v>
      </c>
      <c r="O28" s="178" t="s">
        <v>22418</v>
      </c>
      <c r="P28" s="191">
        <f>(Kalk2_Lastfallkombi!C31*Kalk2_Eingabe!C18/2*(Kalk2_Eingabe!C18/3+Kalk2_Sys_80g!C25/100)*Kalk2_Eingabe!C19)/(P26/100)</f>
        <v>0</v>
      </c>
      <c r="Q28" s="189"/>
      <c r="R28" s="168" t="s">
        <v>22379</v>
      </c>
    </row>
    <row r="29" spans="1:18" ht="14.25" customHeight="1">
      <c r="B29" s="178" t="s">
        <v>22431</v>
      </c>
      <c r="C29" s="191">
        <f>Kalk2_Lastfallkombi!C32*Kalk2_Eingabe!C18*Kalk2_Eingabe!C19</f>
        <v>0</v>
      </c>
      <c r="D29" s="191">
        <f>Kalk2_Lastfallkombi!C20*Kalk2_Eingabe!C24*Kalk2_Eingabe!C19</f>
        <v>0</v>
      </c>
      <c r="E29" s="168" t="s">
        <v>22379</v>
      </c>
      <c r="F29" s="183" t="s">
        <v>22432</v>
      </c>
      <c r="O29" s="178" t="s">
        <v>22421</v>
      </c>
      <c r="P29" s="191">
        <f>P28+C27</f>
        <v>0</v>
      </c>
      <c r="Q29" s="189"/>
      <c r="R29" s="168" t="s">
        <v>22379</v>
      </c>
    </row>
    <row r="30" spans="1:18" ht="14.25" customHeight="1">
      <c r="B30" s="178" t="s">
        <v>22434</v>
      </c>
      <c r="C30" s="191">
        <f>Kalk2_Lastfallkombi!C32*Kalk2_Eingabe!C18*(Kalk2_Eingabe!C18/2+C25/100)*Kalk2_Eingabe!C19</f>
        <v>0</v>
      </c>
      <c r="D30" s="191">
        <f>Kalk2_Lastfallkombi!C20*Kalk2_Eingabe!C24*(Kalk2_Eingabe!C24/2+C25/100)*Kalk2_Eingabe!C19</f>
        <v>0</v>
      </c>
      <c r="E30" s="168" t="s">
        <v>22428</v>
      </c>
      <c r="F30" s="183" t="s">
        <v>22435</v>
      </c>
      <c r="O30" s="178" t="s">
        <v>22423</v>
      </c>
      <c r="P30" s="191">
        <f>Kalk2_Lastfallkombi!C32*Kalk2_Eingabe!C18*Kalk2_Eingabe!C19/(P26/100)</f>
        <v>0</v>
      </c>
      <c r="Q30" s="189"/>
      <c r="R30" s="168" t="s">
        <v>22379</v>
      </c>
    </row>
    <row r="31" spans="1:18" ht="14.25" customHeight="1">
      <c r="B31" s="178" t="s">
        <v>22436</v>
      </c>
      <c r="C31" s="191" t="e">
        <f>Kalk2_Lastfallkombi!C40</f>
        <v>#DIV/0!</v>
      </c>
      <c r="D31" s="191" t="e">
        <f>Kalk2_Lastfallkombi!C28</f>
        <v>#NUM!</v>
      </c>
      <c r="E31" s="168" t="s">
        <v>22379</v>
      </c>
      <c r="F31" s="183" t="s">
        <v>22437</v>
      </c>
      <c r="O31" s="178" t="s">
        <v>22426</v>
      </c>
      <c r="P31" s="191">
        <f>P30+C29</f>
        <v>0</v>
      </c>
      <c r="Q31" s="189"/>
      <c r="R31" s="168" t="s">
        <v>22379</v>
      </c>
    </row>
    <row r="32" spans="1:18" ht="14.25" customHeight="1" thickBot="1">
      <c r="B32" s="178" t="s">
        <v>22438</v>
      </c>
      <c r="C32" s="191" t="e">
        <f>C31*(Kalk2_Eingabe!C18+C25/100)</f>
        <v>#DIV/0!</v>
      </c>
      <c r="D32" s="191" t="e">
        <f>D31*(Kalk2_Eingabe!C24-0.25+C25/100)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81.563847120061666</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1.3822687421721238</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43.81776</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Kalk2_Lastfallkombi!D31*Kalk2_Eingabe!C19</f>
        <v>0</v>
      </c>
      <c r="D55" s="185">
        <f>Kalk2_Lastfallkombi!D19*Kalk2_Eingabe!C19</f>
        <v>0</v>
      </c>
      <c r="E55" s="168" t="s">
        <v>22469</v>
      </c>
    </row>
    <row r="56" spans="1:7" ht="14.25" customHeight="1">
      <c r="B56" s="178" t="s">
        <v>22470</v>
      </c>
      <c r="C56" s="185">
        <f>C55/100*(Kalk2_Eingabe!C18*100)^4/(30*Kalk2_Sys_80g!C13*Kalk2_Sys_80g!C18)</f>
        <v>0</v>
      </c>
      <c r="D56" s="185">
        <f>D55/100*(Kalk2_Eingabe!C24*100)^4/(30*Kalk2_Sys_80g!C13*Kalk2_Sys_80g!C18)</f>
        <v>0</v>
      </c>
      <c r="E56" s="168" t="s">
        <v>22416</v>
      </c>
    </row>
    <row r="57" spans="1:7" ht="14.25" customHeight="1">
      <c r="B57" s="178" t="s">
        <v>22471</v>
      </c>
      <c r="C57" s="185">
        <f>Kalk2_Lastfallkombi!D32*Kalk2_Eingabe!C19</f>
        <v>0</v>
      </c>
      <c r="D57" s="185">
        <f>Kalk2_Lastfallkombi!D20*Kalk2_Eingabe!C19</f>
        <v>0</v>
      </c>
      <c r="E57" s="168" t="s">
        <v>22469</v>
      </c>
    </row>
    <row r="58" spans="1:7" ht="14.25" customHeight="1">
      <c r="B58" s="178" t="s">
        <v>22472</v>
      </c>
      <c r="C58" s="185">
        <f>C57/100*(Kalk2_Eingabe!C18*100)^4/(8*Kalk2_Sys_80g!C13*Kalk2_Sys_80g!C18)</f>
        <v>0</v>
      </c>
      <c r="D58" s="185">
        <f>D57/100*(Kalk2_Eingabe!C24*100)^4/(8*Kalk2_Sys_80g!C13*Kalk2_Sys_80g!C18)</f>
        <v>0</v>
      </c>
      <c r="E58" s="168" t="s">
        <v>22416</v>
      </c>
      <c r="G58" s="185"/>
    </row>
    <row r="59" spans="1:7" ht="14.25" customHeight="1" thickBot="1">
      <c r="B59" s="178" t="s">
        <v>22473</v>
      </c>
      <c r="C59" s="185">
        <f>IF(Kalk2_Eingabe!C23="1/150",Kalk2_Eingabe!C18*100/150,IF(Kalk2_Eingabe!C23="1/300",Kalk2_Eingabe!C18*100/300))</f>
        <v>0</v>
      </c>
      <c r="D59" s="185">
        <f>IF(Kalk2_Eingabe!C23="1/150",Kalk2_Eingabe!C24*100/150,IF(Kalk2_Eingabe!C23="1/300",Kalk2_Eingabe!C24*100/300))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Kalk2_Lastfallkombi!D31*Kalk2_Eingabe!C19</f>
        <v>0</v>
      </c>
      <c r="D62" s="185">
        <f>Kalk2_Lastfallkombi!D19*Kalk2_Eingabe!C19</f>
        <v>0</v>
      </c>
      <c r="E62" s="168" t="s">
        <v>22469</v>
      </c>
    </row>
    <row r="63" spans="1:7" ht="14.25" customHeight="1">
      <c r="B63" s="178" t="s">
        <v>22470</v>
      </c>
      <c r="C63" s="185">
        <f>C62/100*(Kalk2_Eingabe!C18*100)^4/(30*Kalk2_Sys_80g!C13*Kalk2_Sys_80g!C18)</f>
        <v>0</v>
      </c>
      <c r="D63" s="185">
        <f>D62/100*(Kalk2_Eingabe!C24*100)^4/(30*Kalk2_Sys_80g!C13*Kalk2_Sys_80g!C18)</f>
        <v>0</v>
      </c>
      <c r="E63" s="168" t="s">
        <v>22416</v>
      </c>
    </row>
    <row r="64" spans="1:7" ht="14.25" customHeight="1">
      <c r="B64" s="178" t="s">
        <v>22471</v>
      </c>
      <c r="C64" s="185">
        <f>Kalk2_Lastfallkombi!D32*Kalk2_Eingabe!C19</f>
        <v>0</v>
      </c>
      <c r="D64" s="185">
        <f>Kalk2_Lastfallkombi!D20*Kalk2_Eingabe!C19</f>
        <v>0</v>
      </c>
      <c r="E64" s="168" t="s">
        <v>22469</v>
      </c>
    </row>
    <row r="65" spans="2:5" ht="14.25" customHeight="1">
      <c r="B65" s="178" t="s">
        <v>22472</v>
      </c>
      <c r="C65" s="185">
        <f>C64/100*(Kalk2_Eingabe!C18*100)^4/(8*Kalk2_Sys_80g!C13*Kalk2_Sys_80g!C18)</f>
        <v>0</v>
      </c>
      <c r="D65" s="185">
        <f>D64/100*(Kalk2_Eingabe!C24*100)^4/(8*Kalk2_Sys_80g!C13*Kalk2_Sys_80g!C18)</f>
        <v>0</v>
      </c>
      <c r="E65" s="168" t="s">
        <v>22416</v>
      </c>
    </row>
    <row r="66" spans="2:5" ht="14.25" customHeight="1">
      <c r="B66" s="165" t="s">
        <v>22476</v>
      </c>
      <c r="C66" s="185" t="e">
        <f>Kalk2_Lastfallkombi!D40</f>
        <v>#DIV/0!</v>
      </c>
      <c r="D66" s="185" t="e">
        <f>Kalk2_Lastfallkombi!D28</f>
        <v>#NUM!</v>
      </c>
      <c r="E66" s="168" t="s">
        <v>22379</v>
      </c>
    </row>
    <row r="67" spans="2:5" ht="14.25" customHeight="1">
      <c r="B67" s="165" t="s">
        <v>22477</v>
      </c>
      <c r="C67" s="185" t="e">
        <f>C66*(Kalk2_Eingabe!C18*100)^3/(3*Kalk2_Sys_80g!C18*Kalk2_Sys_80g!C13)</f>
        <v>#DIV/0!</v>
      </c>
      <c r="D67" s="185" t="e">
        <f>D66*((Kalk2_Eingabe!C24-0.25)*100)^3/(3*Kalk2_Sys_80g!C18*Kalk2_Sys_80g!C13)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Kalk2_Eingabe!C18*100/150</f>
        <v>0</v>
      </c>
      <c r="D69" s="185">
        <f>Kalk2_Eingabe!C24*100/150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103" priority="10" operator="greaterThan">
      <formula>1</formula>
    </cfRule>
    <cfRule type="dataBar" priority="11">
      <dataBar>
        <cfvo type="num" val="0"/>
        <cfvo type="num" val="0.99"/>
        <color rgb="FF638EC6"/>
      </dataBar>
      <extLst>
        <ext xmlns:x14="http://schemas.microsoft.com/office/spreadsheetml/2009/9/main" uri="{B025F937-C7B1-47D3-B67F-A62EFF666E3E}">
          <x14:id>{027AFDB6-55ED-470A-BE81-048FC616448C}</x14:id>
        </ext>
      </extLst>
    </cfRule>
    <cfRule type="dataBar" priority="12">
      <dataBar>
        <cfvo type="num" val="0"/>
        <cfvo type="num" val="1"/>
        <color rgb="FF638EC6"/>
      </dataBar>
      <extLst>
        <ext xmlns:x14="http://schemas.microsoft.com/office/spreadsheetml/2009/9/main" uri="{B025F937-C7B1-47D3-B67F-A62EFF666E3E}">
          <x14:id>{88A1A10E-5FFC-4BAF-AFA3-337E59DAFA67}</x14:id>
        </ext>
      </extLst>
    </cfRule>
  </conditionalFormatting>
  <conditionalFormatting sqref="C50:C51">
    <cfRule type="cellIs" dxfId="102" priority="7" operator="greaterThan">
      <formula>1</formula>
    </cfRule>
    <cfRule type="dataBar" priority="8">
      <dataBar>
        <cfvo type="num" val="0"/>
        <cfvo type="num" val="0.99"/>
        <color rgb="FF638EC6"/>
      </dataBar>
      <extLst>
        <ext xmlns:x14="http://schemas.microsoft.com/office/spreadsheetml/2009/9/main" uri="{B025F937-C7B1-47D3-B67F-A62EFF666E3E}">
          <x14:id>{D1432FB1-B238-4872-9C74-0B39C5E059C1}</x14:id>
        </ext>
      </extLst>
    </cfRule>
    <cfRule type="dataBar" priority="9">
      <dataBar>
        <cfvo type="num" val="0"/>
        <cfvo type="num" val="1"/>
        <color rgb="FF638EC6"/>
      </dataBar>
      <extLst>
        <ext xmlns:x14="http://schemas.microsoft.com/office/spreadsheetml/2009/9/main" uri="{B025F937-C7B1-47D3-B67F-A62EFF666E3E}">
          <x14:id>{31F5AFEC-1288-4297-8D2F-56FACAFC423E}</x14:id>
        </ext>
      </extLst>
    </cfRule>
  </conditionalFormatting>
  <conditionalFormatting sqref="C60">
    <cfRule type="cellIs" dxfId="101" priority="4" operator="greaterThan">
      <formula>1</formula>
    </cfRule>
    <cfRule type="dataBar" priority="5">
      <dataBar>
        <cfvo type="num" val="0"/>
        <cfvo type="num" val="0.99"/>
        <color rgb="FF638EC6"/>
      </dataBar>
      <extLst>
        <ext xmlns:x14="http://schemas.microsoft.com/office/spreadsheetml/2009/9/main" uri="{B025F937-C7B1-47D3-B67F-A62EFF666E3E}">
          <x14:id>{60EA2D7D-0F45-4ED8-BD3E-FE31B47277C3}</x14:id>
        </ext>
      </extLst>
    </cfRule>
    <cfRule type="dataBar" priority="6">
      <dataBar>
        <cfvo type="num" val="0"/>
        <cfvo type="num" val="1"/>
        <color rgb="FF638EC6"/>
      </dataBar>
      <extLst>
        <ext xmlns:x14="http://schemas.microsoft.com/office/spreadsheetml/2009/9/main" uri="{B025F937-C7B1-47D3-B67F-A62EFF666E3E}">
          <x14:id>{A3A6A70E-2459-4477-97F4-108EA6D2486C}</x14:id>
        </ext>
      </extLst>
    </cfRule>
  </conditionalFormatting>
  <conditionalFormatting sqref="C70">
    <cfRule type="cellIs" dxfId="100" priority="1" operator="greaterThan">
      <formula>1</formula>
    </cfRule>
    <cfRule type="dataBar" priority="2">
      <dataBar>
        <cfvo type="num" val="0"/>
        <cfvo type="num" val="0.99"/>
        <color rgb="FF638EC6"/>
      </dataBar>
      <extLst>
        <ext xmlns:x14="http://schemas.microsoft.com/office/spreadsheetml/2009/9/main" uri="{B025F937-C7B1-47D3-B67F-A62EFF666E3E}">
          <x14:id>{434DF4DF-25B1-4C8B-AA0A-51B7DE049119}</x14:id>
        </ext>
      </extLst>
    </cfRule>
    <cfRule type="dataBar" priority="3">
      <dataBar>
        <cfvo type="num" val="0"/>
        <cfvo type="num" val="1"/>
        <color rgb="FF638EC6"/>
      </dataBar>
      <extLst>
        <ext xmlns:x14="http://schemas.microsoft.com/office/spreadsheetml/2009/9/main" uri="{B025F937-C7B1-47D3-B67F-A62EFF666E3E}">
          <x14:id>{8F60E64A-E683-43E3-AF3C-054CD5847CC8}</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027AFDB6-55ED-470A-BE81-048FC616448C}">
            <x14:dataBar minLength="0" maxLength="100">
              <x14:cfvo type="num">
                <xm:f>0</xm:f>
              </x14:cfvo>
              <x14:cfvo type="num">
                <xm:f>0.99</xm:f>
              </x14:cfvo>
              <x14:negativeFillColor rgb="FFFF0000"/>
              <x14:axisColor rgb="FF000000"/>
            </x14:dataBar>
          </x14:cfRule>
          <x14:cfRule type="dataBar" id="{88A1A10E-5FFC-4BAF-AFA3-337E59DAFA67}">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D1432FB1-B238-4872-9C74-0B39C5E059C1}">
            <x14:dataBar minLength="0" maxLength="100">
              <x14:cfvo type="num">
                <xm:f>0</xm:f>
              </x14:cfvo>
              <x14:cfvo type="num">
                <xm:f>0.99</xm:f>
              </x14:cfvo>
              <x14:negativeFillColor rgb="FFFF0000"/>
              <x14:axisColor rgb="FF000000"/>
            </x14:dataBar>
          </x14:cfRule>
          <x14:cfRule type="dataBar" id="{31F5AFEC-1288-4297-8D2F-56FACAFC423E}">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60EA2D7D-0F45-4ED8-BD3E-FE31B47277C3}">
            <x14:dataBar minLength="0" maxLength="100">
              <x14:cfvo type="num">
                <xm:f>0</xm:f>
              </x14:cfvo>
              <x14:cfvo type="num">
                <xm:f>0.99</xm:f>
              </x14:cfvo>
              <x14:negativeFillColor rgb="FFFF0000"/>
              <x14:axisColor rgb="FF000000"/>
            </x14:dataBar>
          </x14:cfRule>
          <x14:cfRule type="dataBar" id="{A3A6A70E-2459-4477-97F4-108EA6D2486C}">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434DF4DF-25B1-4C8B-AA0A-51B7DE049119}">
            <x14:dataBar minLength="0" maxLength="100">
              <x14:cfvo type="num">
                <xm:f>0</xm:f>
              </x14:cfvo>
              <x14:cfvo type="num">
                <xm:f>0.99</xm:f>
              </x14:cfvo>
              <x14:negativeFillColor rgb="FFFF0000"/>
              <x14:axisColor rgb="FF000000"/>
            </x14:dataBar>
          </x14:cfRule>
          <x14:cfRule type="dataBar" id="{8F60E64A-E683-43E3-AF3C-054CD5847CC8}">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42582-6850-444B-B514-AD98CC732F1E}">
  <sheetPr codeName="Tabelle29">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Kalk2_Eingabe!C4</f>
        <v>PREFA</v>
      </c>
      <c r="D4" s="547"/>
      <c r="E4" s="548"/>
      <c r="F4" s="150"/>
      <c r="G4" s="150"/>
      <c r="H4" s="151"/>
      <c r="I4" s="148"/>
    </row>
    <row r="5" spans="1:11" ht="16.5" customHeight="1">
      <c r="A5" s="148"/>
      <c r="B5" s="164" t="s">
        <v>22319</v>
      </c>
      <c r="C5" s="549" t="str">
        <f>Kalk2_Eingabe!C5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22606</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0.79</v>
      </c>
      <c r="D11" s="151" t="s">
        <v>22394</v>
      </c>
      <c r="E11" s="163" t="s">
        <v>22397</v>
      </c>
      <c r="F11" s="177"/>
      <c r="G11" s="148"/>
      <c r="H11" s="148"/>
      <c r="I11" s="148"/>
    </row>
    <row r="12" spans="1:11" ht="14.25" customHeight="1">
      <c r="A12" s="179"/>
      <c r="B12" s="175" t="s">
        <v>22398</v>
      </c>
      <c r="C12" s="187">
        <v>11.84</v>
      </c>
      <c r="D12" s="151" t="s">
        <v>22372</v>
      </c>
      <c r="E12" s="163" t="s">
        <v>22399</v>
      </c>
      <c r="F12" s="178"/>
      <c r="G12" s="181"/>
      <c r="H12" s="148"/>
      <c r="I12" s="148"/>
    </row>
    <row r="13" spans="1:11" ht="14.25" customHeight="1">
      <c r="A13" s="148"/>
      <c r="B13" s="162" t="s">
        <v>22400</v>
      </c>
      <c r="C13" s="187">
        <v>9.89</v>
      </c>
      <c r="D13" s="168" t="s">
        <v>22401</v>
      </c>
      <c r="E13" s="183" t="s">
        <v>22402</v>
      </c>
      <c r="F13" s="177"/>
      <c r="G13" s="148"/>
      <c r="H13" s="148"/>
      <c r="I13" s="148"/>
    </row>
    <row r="14" spans="1:11" ht="14.25" customHeight="1">
      <c r="B14" s="162" t="s">
        <v>22502</v>
      </c>
      <c r="C14" s="187">
        <v>8.1199999999999992</v>
      </c>
      <c r="D14" s="168" t="s">
        <v>22401</v>
      </c>
      <c r="E14" s="183" t="s">
        <v>22503</v>
      </c>
      <c r="H14" s="152" t="s">
        <v>24944</v>
      </c>
    </row>
    <row r="15" spans="1:11" ht="14.25" customHeight="1">
      <c r="B15" s="165" t="s">
        <v>22504</v>
      </c>
      <c r="C15" s="185">
        <f>ROUNDUP((Kalk2_Eingabe!C18+Kalk2_Eingabe!C20)/0.202,0)</f>
        <v>0</v>
      </c>
      <c r="D15" s="168" t="s">
        <v>20892</v>
      </c>
      <c r="E15" s="183" t="s">
        <v>22484</v>
      </c>
      <c r="H15" s="165" t="s">
        <v>22504</v>
      </c>
      <c r="I15" s="185">
        <f>ROUNDUP((Kalk2_Eingabe!C18+Kalk2_Eingabe!C20)/0.202,0)</f>
        <v>0</v>
      </c>
      <c r="J15" s="168" t="s">
        <v>20892</v>
      </c>
      <c r="K15" s="183" t="s">
        <v>22484</v>
      </c>
    </row>
    <row r="16" spans="1:11" ht="14.25" customHeight="1">
      <c r="B16" s="165" t="s">
        <v>22607</v>
      </c>
      <c r="C16" s="185">
        <f>(17+Kalk2!H29+10)/1000</f>
        <v>2.7E-2</v>
      </c>
      <c r="D16" s="168" t="s">
        <v>6945</v>
      </c>
      <c r="E16" s="183" t="s">
        <v>22352</v>
      </c>
      <c r="H16" s="165" t="s">
        <v>22607</v>
      </c>
      <c r="I16" s="185">
        <f>(17+C15*202+10)/1000</f>
        <v>2.7E-2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22609</v>
      </c>
    </row>
    <row r="27" spans="1:8" ht="14.25" customHeight="1" thickBot="1">
      <c r="B27" s="193" t="s">
        <v>22486</v>
      </c>
      <c r="C27" s="194" t="e">
        <f>MAX(Kalk2_Lastfallkombi!C50,Kalk2_Lastfallkombi!C60,Kalk2_Lastfallkombi!C65,Kalk2_Lastfallkombi!C69)</f>
        <v>#DIV/0!</v>
      </c>
      <c r="D27" s="190" t="s">
        <v>22379</v>
      </c>
      <c r="E27" s="183" t="s">
        <v>22487</v>
      </c>
    </row>
    <row r="28" spans="1:8" ht="14.25" customHeight="1" thickBot="1">
      <c r="B28" s="193" t="s">
        <v>22488</v>
      </c>
      <c r="C28" s="194" t="e">
        <f>MAX(Kalk2_Lastfallkombi!C51,Kalk2_Lastfallkombi!C61,Kalk2_Lastfallkombi!C66,Kalk2_Lastfallkombi!C70)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8.2928493210873526</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0.82103134479271977</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1.5915199999999998</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Kalk2_Lastfallkombi!D24*Kalk2_Lastfallkombi!C15/100</f>
        <v>-0.1512</v>
      </c>
      <c r="D45" s="168" t="s">
        <v>22469</v>
      </c>
    </row>
    <row r="46" spans="1:4" ht="14.25" customHeight="1">
      <c r="B46" s="178" t="s">
        <v>22492</v>
      </c>
      <c r="C46" s="185">
        <f>5*C45/100*(Kalk2_Eingabe!C19*100-5)^4/(384*'Kalk2_DB_25-200'!C19*'Kalk2_DB_25-200'!C12)</f>
        <v>-1.4846389358108107E-7</v>
      </c>
      <c r="D46" s="168" t="s">
        <v>22416</v>
      </c>
    </row>
    <row r="47" spans="1:4" ht="14.25" customHeight="1" thickBot="1">
      <c r="B47" s="178" t="s">
        <v>22473</v>
      </c>
      <c r="C47" s="185">
        <f>(Kalk2_Eingabe!C19*100-5)/Haftungsausschluß!L34</f>
        <v>-3.3333333333333333E-2</v>
      </c>
      <c r="D47" s="168" t="s">
        <v>22416</v>
      </c>
    </row>
    <row r="48" spans="1:4" ht="14.25" customHeight="1" thickBot="1">
      <c r="B48" s="193" t="s">
        <v>22474</v>
      </c>
      <c r="C48" s="196">
        <f>C46/C47</f>
        <v>4.4539168074324327E-6</v>
      </c>
    </row>
    <row r="49" spans="2:5" ht="14.25" customHeight="1">
      <c r="B49" s="200" t="s">
        <v>22493</v>
      </c>
      <c r="C49" s="199" t="s">
        <v>22422</v>
      </c>
      <c r="D49" s="199" t="s">
        <v>21191</v>
      </c>
    </row>
    <row r="50" spans="2:5" ht="14.25" customHeight="1">
      <c r="B50" s="178" t="s">
        <v>22494</v>
      </c>
      <c r="C50" s="185" t="e">
        <f>Kalk2_Lastfallkombi!D38*Kalk2_Lastfallkombi!C14/100</f>
        <v>#DIV/0!</v>
      </c>
      <c r="D50" s="185">
        <f>Kalk2_Lastfallkombi!D26*Kalk2_Lastfallkombi!C14/100</f>
        <v>-0.14399999999999999</v>
      </c>
      <c r="E50" s="168" t="s">
        <v>22469</v>
      </c>
    </row>
    <row r="51" spans="2:5" ht="14.25" customHeight="1">
      <c r="B51" s="178" t="s">
        <v>22495</v>
      </c>
      <c r="C51" s="185" t="e">
        <f>5*C50/100*(Kalk2_Eingabe!C19*100-5)^4/(384*'Kalk2_DB_25-200'!C19*'Kalk2_DB_25-200'!C12)</f>
        <v>#DIV/0!</v>
      </c>
      <c r="D51" s="185">
        <f>5*D50/100*(Kalk2_Eingabe!C19*100-5)^4/(384*'Kalk2_DB_25-200'!C19*'Kalk2_DB_25-200'!C12)</f>
        <v>-1.4139418436293436E-7</v>
      </c>
      <c r="E51" s="168" t="s">
        <v>22416</v>
      </c>
    </row>
    <row r="52" spans="2:5" ht="14.25" customHeight="1">
      <c r="B52" s="165" t="s">
        <v>22496</v>
      </c>
      <c r="C52" s="185" t="e">
        <f>Kalk2_Lastfallkombi!D44</f>
        <v>#DIV/0!</v>
      </c>
      <c r="D52" s="185" t="e">
        <f>Kalk2_Lastfallkombi!D54</f>
        <v>#NUM!</v>
      </c>
      <c r="E52" s="168" t="s">
        <v>22469</v>
      </c>
    </row>
    <row r="53" spans="2:5" ht="14.25" customHeight="1">
      <c r="B53" s="165" t="s">
        <v>22497</v>
      </c>
      <c r="C53" s="185">
        <f>(Kalk2_Eingabe!C19-0.5-0.05)/2</f>
        <v>-0.27500000000000002</v>
      </c>
      <c r="D53" s="185">
        <f>C53</f>
        <v>-0.27500000000000002</v>
      </c>
      <c r="E53" s="168" t="s">
        <v>6945</v>
      </c>
    </row>
    <row r="54" spans="2:5" ht="14.25" customHeight="1">
      <c r="B54" s="165" t="s">
        <v>22498</v>
      </c>
      <c r="C54" s="185" t="e">
        <f>C52/100*(Kalk2_Eingabe!C19*100-5)^4/(384*'Kalk2_DB_25-200'!C19*'Kalk2_DB_25-200'!C12)*(5-24*('Kalk2_DB_25-200'!C53*100)^2/(Kalk2_Eingabe!C19*100-5)^2+16*('Kalk2_DB_25-200'!C53*100)^4/(Kalk2_Eingabe!C19*100-5)^4)</f>
        <v>#DIV/0!</v>
      </c>
      <c r="D54" s="185" t="e">
        <f>D52/100*(Kalk2_Eingabe!C19*100-5)^4/(384*'Kalk2_DB_25-200'!C19*'Kalk2_DB_25-200'!C12)*(5-24*('Kalk2_DB_25-200'!C53*100)^2/(Kalk2_Eingabe!C19*100-5)^2+16*('Kalk2_DB_25-200'!C53*100)^4/(Kalk2_Eingabe!C19*100-5)^4)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(Kalk2_Eingabe!C19*100-5)/150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99" priority="10" operator="greaterThan">
      <formula>1</formula>
    </cfRule>
    <cfRule type="dataBar" priority="11">
      <dataBar>
        <cfvo type="num" val="0"/>
        <cfvo type="num" val="0.99"/>
        <color rgb="FF638EC6"/>
      </dataBar>
      <extLst>
        <ext xmlns:x14="http://schemas.microsoft.com/office/spreadsheetml/2009/9/main" uri="{B025F937-C7B1-47D3-B67F-A62EFF666E3E}">
          <x14:id>{DA66A16F-4083-497A-90EA-1953A277306E}</x14:id>
        </ext>
      </extLst>
    </cfRule>
    <cfRule type="dataBar" priority="12">
      <dataBar>
        <cfvo type="num" val="0"/>
        <cfvo type="num" val="1"/>
        <color rgb="FF638EC6"/>
      </dataBar>
      <extLst>
        <ext xmlns:x14="http://schemas.microsoft.com/office/spreadsheetml/2009/9/main" uri="{B025F937-C7B1-47D3-B67F-A62EFF666E3E}">
          <x14:id>{7155E46A-7A09-45CA-B2C0-FA8EB5C0FBF5}</x14:id>
        </ext>
      </extLst>
    </cfRule>
  </conditionalFormatting>
  <conditionalFormatting sqref="C41">
    <cfRule type="cellIs" dxfId="98" priority="7" operator="greaterThan">
      <formula>1</formula>
    </cfRule>
    <cfRule type="dataBar" priority="8">
      <dataBar>
        <cfvo type="num" val="0"/>
        <cfvo type="num" val="0.99"/>
        <color rgb="FF638EC6"/>
      </dataBar>
      <extLst>
        <ext xmlns:x14="http://schemas.microsoft.com/office/spreadsheetml/2009/9/main" uri="{B025F937-C7B1-47D3-B67F-A62EFF666E3E}">
          <x14:id>{0637034E-CCC3-4B42-9E40-5314288F829A}</x14:id>
        </ext>
      </extLst>
    </cfRule>
    <cfRule type="dataBar" priority="9">
      <dataBar>
        <cfvo type="num" val="0"/>
        <cfvo type="num" val="1"/>
        <color rgb="FF638EC6"/>
      </dataBar>
      <extLst>
        <ext xmlns:x14="http://schemas.microsoft.com/office/spreadsheetml/2009/9/main" uri="{B025F937-C7B1-47D3-B67F-A62EFF666E3E}">
          <x14:id>{D7960B2B-2B84-4BA4-B8A7-5B3B54C8158C}</x14:id>
        </ext>
      </extLst>
    </cfRule>
  </conditionalFormatting>
  <conditionalFormatting sqref="C48">
    <cfRule type="cellIs" dxfId="97" priority="4" operator="greaterThan">
      <formula>1</formula>
    </cfRule>
    <cfRule type="dataBar" priority="5">
      <dataBar>
        <cfvo type="num" val="0"/>
        <cfvo type="num" val="0.99"/>
        <color rgb="FF638EC6"/>
      </dataBar>
      <extLst>
        <ext xmlns:x14="http://schemas.microsoft.com/office/spreadsheetml/2009/9/main" uri="{B025F937-C7B1-47D3-B67F-A62EFF666E3E}">
          <x14:id>{A7B88EE2-9AA8-4B71-B4DA-8C7E5CFF8994}</x14:id>
        </ext>
      </extLst>
    </cfRule>
    <cfRule type="dataBar" priority="6">
      <dataBar>
        <cfvo type="num" val="0"/>
        <cfvo type="num" val="1"/>
        <color rgb="FF638EC6"/>
      </dataBar>
      <extLst>
        <ext xmlns:x14="http://schemas.microsoft.com/office/spreadsheetml/2009/9/main" uri="{B025F937-C7B1-47D3-B67F-A62EFF666E3E}">
          <x14:id>{06B36B9E-5280-4260-BAE1-4B655DF57FDC}</x14:id>
        </ext>
      </extLst>
    </cfRule>
  </conditionalFormatting>
  <conditionalFormatting sqref="C57">
    <cfRule type="cellIs" dxfId="96" priority="1" operator="greaterThan">
      <formula>1</formula>
    </cfRule>
    <cfRule type="dataBar" priority="2">
      <dataBar>
        <cfvo type="num" val="0"/>
        <cfvo type="num" val="0.99"/>
        <color rgb="FF638EC6"/>
      </dataBar>
      <extLst>
        <ext xmlns:x14="http://schemas.microsoft.com/office/spreadsheetml/2009/9/main" uri="{B025F937-C7B1-47D3-B67F-A62EFF666E3E}">
          <x14:id>{E7E5D77A-180D-4630-B9DA-B7BA098463BF}</x14:id>
        </ext>
      </extLst>
    </cfRule>
    <cfRule type="dataBar" priority="3">
      <dataBar>
        <cfvo type="num" val="0"/>
        <cfvo type="num" val="1"/>
        <color rgb="FF638EC6"/>
      </dataBar>
      <extLst>
        <ext xmlns:x14="http://schemas.microsoft.com/office/spreadsheetml/2009/9/main" uri="{B025F937-C7B1-47D3-B67F-A62EFF666E3E}">
          <x14:id>{0797BE6E-36D9-4FB8-AA36-14E179C1FDBF}</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DA66A16F-4083-497A-90EA-1953A277306E}">
            <x14:dataBar minLength="0" maxLength="100">
              <x14:cfvo type="num">
                <xm:f>0</xm:f>
              </x14:cfvo>
              <x14:cfvo type="num">
                <xm:f>0.99</xm:f>
              </x14:cfvo>
              <x14:negativeFillColor rgb="FFFF0000"/>
              <x14:axisColor rgb="FF000000"/>
            </x14:dataBar>
          </x14:cfRule>
          <x14:cfRule type="dataBar" id="{7155E46A-7A09-45CA-B2C0-FA8EB5C0FBF5}">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0637034E-CCC3-4B42-9E40-5314288F829A}">
            <x14:dataBar minLength="0" maxLength="100">
              <x14:cfvo type="num">
                <xm:f>0</xm:f>
              </x14:cfvo>
              <x14:cfvo type="num">
                <xm:f>0.99</xm:f>
              </x14:cfvo>
              <x14:negativeFillColor rgb="FFFF0000"/>
              <x14:axisColor rgb="FF000000"/>
            </x14:dataBar>
          </x14:cfRule>
          <x14:cfRule type="dataBar" id="{D7960B2B-2B84-4BA4-B8A7-5B3B54C8158C}">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A7B88EE2-9AA8-4B71-B4DA-8C7E5CFF8994}">
            <x14:dataBar minLength="0" maxLength="100">
              <x14:cfvo type="num">
                <xm:f>0</xm:f>
              </x14:cfvo>
              <x14:cfvo type="num">
                <xm:f>0.99</xm:f>
              </x14:cfvo>
              <x14:negativeFillColor rgb="FFFF0000"/>
              <x14:axisColor rgb="FF000000"/>
            </x14:dataBar>
          </x14:cfRule>
          <x14:cfRule type="dataBar" id="{06B36B9E-5280-4260-BAE1-4B655DF57FDC}">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E7E5D77A-180D-4630-B9DA-B7BA098463BF}">
            <x14:dataBar minLength="0" maxLength="100">
              <x14:cfvo type="num">
                <xm:f>0</xm:f>
              </x14:cfvo>
              <x14:cfvo type="num">
                <xm:f>0.99</xm:f>
              </x14:cfvo>
              <x14:negativeFillColor rgb="FFFF0000"/>
              <x14:axisColor rgb="FF000000"/>
            </x14:dataBar>
          </x14:cfRule>
          <x14:cfRule type="dataBar" id="{0797BE6E-36D9-4FB8-AA36-14E179C1FDBF}">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E1674-0AB2-4638-BAF8-5CC73C8B42B5}">
  <sheetPr codeName="Tabelle33">
    <pageSetUpPr fitToPage="1"/>
  </sheetPr>
  <dimension ref="A1:K57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Kalk2_Eingabe!C4</f>
        <v>PREFA</v>
      </c>
      <c r="D4" s="547"/>
      <c r="E4" s="548"/>
      <c r="F4" s="150"/>
      <c r="G4" s="150"/>
      <c r="H4" s="151"/>
      <c r="I4" s="148"/>
    </row>
    <row r="5" spans="1:11" ht="16.5" customHeight="1">
      <c r="A5" s="148"/>
      <c r="B5" s="164" t="s">
        <v>22319</v>
      </c>
      <c r="C5" s="549" t="str">
        <f>Kalk2_Eingabe!C5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22481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3.13</v>
      </c>
      <c r="D11" s="151" t="s">
        <v>22394</v>
      </c>
      <c r="E11" s="163" t="s">
        <v>22397</v>
      </c>
      <c r="F11" s="177"/>
      <c r="G11" s="148"/>
      <c r="H11" s="148"/>
      <c r="I11" s="148"/>
    </row>
    <row r="12" spans="1:11" ht="14.25" customHeight="1">
      <c r="A12" s="179"/>
      <c r="B12" s="175" t="s">
        <v>22398</v>
      </c>
      <c r="C12" s="187">
        <v>82.62</v>
      </c>
      <c r="D12" s="151" t="s">
        <v>22372</v>
      </c>
      <c r="E12" s="163" t="s">
        <v>22399</v>
      </c>
      <c r="F12" s="178"/>
      <c r="G12" s="181"/>
      <c r="H12" s="148"/>
      <c r="I12" s="148"/>
    </row>
    <row r="13" spans="1:11" ht="14.25" customHeight="1">
      <c r="A13" s="148"/>
      <c r="B13" s="162" t="s">
        <v>22400</v>
      </c>
      <c r="C13" s="187">
        <v>33.049999999999997</v>
      </c>
      <c r="D13" s="168" t="s">
        <v>22401</v>
      </c>
      <c r="E13" s="183" t="s">
        <v>22402</v>
      </c>
      <c r="F13" s="177"/>
      <c r="G13" s="148"/>
      <c r="H13" s="148"/>
      <c r="I13" s="148"/>
    </row>
    <row r="14" spans="1:11" ht="14.25" customHeight="1">
      <c r="B14" s="162" t="s">
        <v>22403</v>
      </c>
      <c r="C14" s="187">
        <v>39.35</v>
      </c>
      <c r="D14" s="168" t="s">
        <v>22401</v>
      </c>
      <c r="E14" s="183" t="s">
        <v>22404</v>
      </c>
      <c r="H14" s="152" t="s">
        <v>24944</v>
      </c>
    </row>
    <row r="15" spans="1:11" ht="14.25" customHeight="1">
      <c r="B15" s="165" t="s">
        <v>22483</v>
      </c>
      <c r="C15" s="185">
        <f>ROUNDUP((Kalk2_Eingabe!C18+Kalk2_Eingabe!C20)/0.15,0)</f>
        <v>0</v>
      </c>
      <c r="D15" s="168" t="s">
        <v>20892</v>
      </c>
      <c r="E15" s="183" t="s">
        <v>22484</v>
      </c>
      <c r="H15" s="165" t="s">
        <v>22483</v>
      </c>
      <c r="I15" s="185">
        <f>ROUNDUP((Kalk2_Eingabe!C18+Kalk2_Eingabe!C20)/0.15,0)</f>
        <v>0</v>
      </c>
      <c r="J15" s="168" t="s">
        <v>20892</v>
      </c>
      <c r="K15" s="183" t="s">
        <v>22484</v>
      </c>
    </row>
    <row r="16" spans="1:11" ht="14.25" customHeight="1">
      <c r="B16" s="165" t="s">
        <v>22598</v>
      </c>
      <c r="C16" s="185">
        <f>(15+Kalk2!H29+10)/1000</f>
        <v>2.5000000000000001E-2</v>
      </c>
      <c r="D16" s="168" t="s">
        <v>6945</v>
      </c>
      <c r="E16" s="183" t="s">
        <v>22352</v>
      </c>
      <c r="H16" s="165" t="s">
        <v>22598</v>
      </c>
      <c r="I16" s="185">
        <f>(15+C15*150+10)/1000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MAX(Kalk2_Lastfallkombi!C50,Kalk2_Lastfallkombi!C60,Kalk2_Lastfallkombi!C65,Kalk2_Lastfallkombi!C69)</f>
        <v>#DIV/0!</v>
      </c>
      <c r="D27" s="190" t="s">
        <v>22379</v>
      </c>
      <c r="E27" s="183" t="s">
        <v>22487</v>
      </c>
    </row>
    <row r="28" spans="1:8" ht="14.25" customHeight="1" thickBot="1">
      <c r="B28" s="193" t="s">
        <v>22488</v>
      </c>
      <c r="C28" s="194" t="e">
        <f>MAX(Kalk2_Lastfallkombi!C51,Kalk2_Lastfallkombi!C61,Kalk2_Lastfallkombi!C66,Kalk2_Lastfallkombi!C70)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32.856478955700517</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1.1906202723146748</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7.7126000000000001</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Kalk2_Lastfallkombi!D24*Kalk2_Lastfallkombi!C15/100</f>
        <v>-0.1512</v>
      </c>
      <c r="D45" s="168" t="s">
        <v>22469</v>
      </c>
    </row>
    <row r="46" spans="1:4" ht="14.25" customHeight="1">
      <c r="B46" s="178" t="s">
        <v>22492</v>
      </c>
      <c r="C46" s="185">
        <f>5*C45/100*(Kalk2_Eingabe!C19*100-5)^4/(384*'Kalk2_DB_50-150'!C19*'Kalk2_DB_50-150'!C12)</f>
        <v>-2.1275871459694988E-8</v>
      </c>
      <c r="D46" s="168" t="s">
        <v>22416</v>
      </c>
    </row>
    <row r="47" spans="1:4" ht="14.25" customHeight="1" thickBot="1">
      <c r="B47" s="178" t="s">
        <v>22473</v>
      </c>
      <c r="C47" s="185">
        <f>(Kalk2_Eingabe!C19*100-5)/Haftungsausschluß!L34</f>
        <v>-3.3333333333333333E-2</v>
      </c>
      <c r="D47" s="168" t="s">
        <v>22416</v>
      </c>
    </row>
    <row r="48" spans="1:4" ht="14.25" customHeight="1" thickBot="1">
      <c r="B48" s="193" t="s">
        <v>22474</v>
      </c>
      <c r="C48" s="196">
        <f>C46/C47</f>
        <v>6.3827614379084963E-7</v>
      </c>
    </row>
    <row r="49" spans="2:5" ht="14.25" customHeight="1">
      <c r="B49" s="200" t="s">
        <v>22493</v>
      </c>
      <c r="C49" s="199" t="s">
        <v>22422</v>
      </c>
      <c r="D49" s="199" t="s">
        <v>21191</v>
      </c>
    </row>
    <row r="50" spans="2:5" ht="14.25" customHeight="1">
      <c r="B50" s="178" t="s">
        <v>22494</v>
      </c>
      <c r="C50" s="185" t="e">
        <f>Kalk2_Lastfallkombi!D38*Kalk2_Lastfallkombi!C14/100</f>
        <v>#DIV/0!</v>
      </c>
      <c r="D50" s="185">
        <f>Kalk2_Lastfallkombi!D26*Kalk2_Lastfallkombi!C14/100</f>
        <v>-0.14399999999999999</v>
      </c>
      <c r="E50" s="168" t="s">
        <v>22469</v>
      </c>
    </row>
    <row r="51" spans="2:5" ht="14.25" customHeight="1">
      <c r="B51" s="178" t="s">
        <v>22495</v>
      </c>
      <c r="C51" s="185" t="e">
        <f>5*C50/100*(Kalk2_Eingabe!C19*100-5)^4/(384*'Kalk2_DB_50-150'!C19*'Kalk2_DB_50-150'!C12)</f>
        <v>#DIV/0!</v>
      </c>
      <c r="D51" s="185">
        <f>5*D50/100*(Kalk2_Eingabe!C19*100-5)^4/(384*'Kalk2_DB_50-150'!C19*'Kalk2_DB_50-150'!C12)</f>
        <v>-2.0262734723519038E-8</v>
      </c>
      <c r="E51" s="168" t="s">
        <v>22416</v>
      </c>
    </row>
    <row r="52" spans="2:5" ht="14.25" customHeight="1">
      <c r="B52" s="165" t="s">
        <v>22496</v>
      </c>
      <c r="C52" s="185" t="e">
        <f>Kalk2_Lastfallkombi!D44</f>
        <v>#DIV/0!</v>
      </c>
      <c r="D52" s="185" t="e">
        <f>Kalk2_Lastfallkombi!D54</f>
        <v>#NUM!</v>
      </c>
      <c r="E52" s="168" t="s">
        <v>22469</v>
      </c>
    </row>
    <row r="53" spans="2:5" ht="14.25" customHeight="1">
      <c r="B53" s="165" t="s">
        <v>22497</v>
      </c>
      <c r="C53" s="185">
        <f>(Kalk2_Eingabe!C19-0.5-0.05)/2</f>
        <v>-0.27500000000000002</v>
      </c>
      <c r="D53" s="185">
        <f>C53</f>
        <v>-0.27500000000000002</v>
      </c>
      <c r="E53" s="168" t="s">
        <v>6945</v>
      </c>
    </row>
    <row r="54" spans="2:5" ht="14.25" customHeight="1">
      <c r="B54" s="165" t="s">
        <v>22498</v>
      </c>
      <c r="C54" s="185" t="e">
        <f>C52/100*(Kalk2_Eingabe!C19*100-5)^4/(384*'Kalk2_DB_50-150'!C19*'Kalk2_DB_50-150'!C12)*(5-24*('Kalk2_DB_50-150'!C53*100)^2/(Kalk2_Eingabe!C19*100-5)^2+16*('Kalk2_DB_50-150'!C53*100)^4/(Kalk2_Eingabe!C19*100-5)^4)</f>
        <v>#DIV/0!</v>
      </c>
      <c r="D54" s="185" t="e">
        <f>D52/100*(Kalk2_Eingabe!C19*100-5)^4/(384*'Kalk2_DB_50-150'!C19*'Kalk2_DB_50-150'!C12)*(5-24*('Kalk2_DB_50-150'!C53*100)^2/(Kalk2_Eingabe!C19*100-5)^2+16*('Kalk2_DB_50-150'!C53*100)^4/(Kalk2_Eingabe!C19*100-5)^4)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(Kalk2_Eingabe!C19*100-5)/150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sheetData>
  <mergeCells count="3">
    <mergeCell ref="B1:C1"/>
    <mergeCell ref="C4:E4"/>
    <mergeCell ref="C5:E5"/>
  </mergeCells>
  <conditionalFormatting sqref="C33:C34">
    <cfRule type="cellIs" dxfId="95" priority="10" operator="greaterThan">
      <formula>1</formula>
    </cfRule>
    <cfRule type="dataBar" priority="11">
      <dataBar>
        <cfvo type="num" val="0"/>
        <cfvo type="num" val="0.99"/>
        <color rgb="FF638EC6"/>
      </dataBar>
      <extLst>
        <ext xmlns:x14="http://schemas.microsoft.com/office/spreadsheetml/2009/9/main" uri="{B025F937-C7B1-47D3-B67F-A62EFF666E3E}">
          <x14:id>{1A8D06EA-54B1-4742-B61D-3D528D32833D}</x14:id>
        </ext>
      </extLst>
    </cfRule>
    <cfRule type="dataBar" priority="12">
      <dataBar>
        <cfvo type="num" val="0"/>
        <cfvo type="num" val="1"/>
        <color rgb="FF638EC6"/>
      </dataBar>
      <extLst>
        <ext xmlns:x14="http://schemas.microsoft.com/office/spreadsheetml/2009/9/main" uri="{B025F937-C7B1-47D3-B67F-A62EFF666E3E}">
          <x14:id>{8AF01730-5D3B-4419-9BFB-8502AF042359}</x14:id>
        </ext>
      </extLst>
    </cfRule>
  </conditionalFormatting>
  <conditionalFormatting sqref="C41">
    <cfRule type="cellIs" dxfId="94" priority="7" operator="greaterThan">
      <formula>1</formula>
    </cfRule>
    <cfRule type="dataBar" priority="8">
      <dataBar>
        <cfvo type="num" val="0"/>
        <cfvo type="num" val="0.99"/>
        <color rgb="FF638EC6"/>
      </dataBar>
      <extLst>
        <ext xmlns:x14="http://schemas.microsoft.com/office/spreadsheetml/2009/9/main" uri="{B025F937-C7B1-47D3-B67F-A62EFF666E3E}">
          <x14:id>{600D6505-BE41-4EBC-8453-0AE1A6C857B3}</x14:id>
        </ext>
      </extLst>
    </cfRule>
    <cfRule type="dataBar" priority="9">
      <dataBar>
        <cfvo type="num" val="0"/>
        <cfvo type="num" val="1"/>
        <color rgb="FF638EC6"/>
      </dataBar>
      <extLst>
        <ext xmlns:x14="http://schemas.microsoft.com/office/spreadsheetml/2009/9/main" uri="{B025F937-C7B1-47D3-B67F-A62EFF666E3E}">
          <x14:id>{CE69DE57-8D3E-4FEB-A1A2-0241686E960E}</x14:id>
        </ext>
      </extLst>
    </cfRule>
  </conditionalFormatting>
  <conditionalFormatting sqref="C48">
    <cfRule type="cellIs" dxfId="93" priority="4" operator="greaterThan">
      <formula>1</formula>
    </cfRule>
    <cfRule type="dataBar" priority="5">
      <dataBar>
        <cfvo type="num" val="0"/>
        <cfvo type="num" val="0.99"/>
        <color rgb="FF638EC6"/>
      </dataBar>
      <extLst>
        <ext xmlns:x14="http://schemas.microsoft.com/office/spreadsheetml/2009/9/main" uri="{B025F937-C7B1-47D3-B67F-A62EFF666E3E}">
          <x14:id>{1F2C2755-3459-44A8-8E9A-154128FFFD1D}</x14:id>
        </ext>
      </extLst>
    </cfRule>
    <cfRule type="dataBar" priority="6">
      <dataBar>
        <cfvo type="num" val="0"/>
        <cfvo type="num" val="1"/>
        <color rgb="FF638EC6"/>
      </dataBar>
      <extLst>
        <ext xmlns:x14="http://schemas.microsoft.com/office/spreadsheetml/2009/9/main" uri="{B025F937-C7B1-47D3-B67F-A62EFF666E3E}">
          <x14:id>{CE50FB1E-B716-4706-9EBC-B49110ABAAD5}</x14:id>
        </ext>
      </extLst>
    </cfRule>
  </conditionalFormatting>
  <conditionalFormatting sqref="C57">
    <cfRule type="cellIs" dxfId="92" priority="1" operator="greaterThan">
      <formula>1</formula>
    </cfRule>
    <cfRule type="dataBar" priority="2">
      <dataBar>
        <cfvo type="num" val="0"/>
        <cfvo type="num" val="0.99"/>
        <color rgb="FF638EC6"/>
      </dataBar>
      <extLst>
        <ext xmlns:x14="http://schemas.microsoft.com/office/spreadsheetml/2009/9/main" uri="{B025F937-C7B1-47D3-B67F-A62EFF666E3E}">
          <x14:id>{9996EA29-E0D7-49D3-9E3C-EAD6C4924E20}</x14:id>
        </ext>
      </extLst>
    </cfRule>
    <cfRule type="dataBar" priority="3">
      <dataBar>
        <cfvo type="num" val="0"/>
        <cfvo type="num" val="1"/>
        <color rgb="FF638EC6"/>
      </dataBar>
      <extLst>
        <ext xmlns:x14="http://schemas.microsoft.com/office/spreadsheetml/2009/9/main" uri="{B025F937-C7B1-47D3-B67F-A62EFF666E3E}">
          <x14:id>{FCACDAFB-7A7A-4259-A1CB-1D27B251B224}</x14:id>
        </ext>
      </extLst>
    </cfRule>
  </conditionalFormatting>
  <pageMargins left="0.39370078740157483" right="0.39370078740157483" top="0.39370078740157483" bottom="0.39370078740157483" header="0.31496062992125984" footer="0.31496062992125984"/>
  <pageSetup paperSize="9" scale="79"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1A8D06EA-54B1-4742-B61D-3D528D32833D}">
            <x14:dataBar minLength="0" maxLength="100">
              <x14:cfvo type="num">
                <xm:f>0</xm:f>
              </x14:cfvo>
              <x14:cfvo type="num">
                <xm:f>0.99</xm:f>
              </x14:cfvo>
              <x14:negativeFillColor rgb="FFFF0000"/>
              <x14:axisColor rgb="FF000000"/>
            </x14:dataBar>
          </x14:cfRule>
          <x14:cfRule type="dataBar" id="{8AF01730-5D3B-4419-9BFB-8502AF042359}">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600D6505-BE41-4EBC-8453-0AE1A6C857B3}">
            <x14:dataBar minLength="0" maxLength="100">
              <x14:cfvo type="num">
                <xm:f>0</xm:f>
              </x14:cfvo>
              <x14:cfvo type="num">
                <xm:f>0.99</xm:f>
              </x14:cfvo>
              <x14:negativeFillColor rgb="FFFF0000"/>
              <x14:axisColor rgb="FF000000"/>
            </x14:dataBar>
          </x14:cfRule>
          <x14:cfRule type="dataBar" id="{CE69DE57-8D3E-4FEB-A1A2-0241686E960E}">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1F2C2755-3459-44A8-8E9A-154128FFFD1D}">
            <x14:dataBar minLength="0" maxLength="100">
              <x14:cfvo type="num">
                <xm:f>0</xm:f>
              </x14:cfvo>
              <x14:cfvo type="num">
                <xm:f>0.99</xm:f>
              </x14:cfvo>
              <x14:negativeFillColor rgb="FFFF0000"/>
              <x14:axisColor rgb="FF000000"/>
            </x14:dataBar>
          </x14:cfRule>
          <x14:cfRule type="dataBar" id="{CE50FB1E-B716-4706-9EBC-B49110ABAAD5}">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9996EA29-E0D7-49D3-9E3C-EAD6C4924E20}">
            <x14:dataBar minLength="0" maxLength="100">
              <x14:cfvo type="num">
                <xm:f>0</xm:f>
              </x14:cfvo>
              <x14:cfvo type="num">
                <xm:f>0.99</xm:f>
              </x14:cfvo>
              <x14:negativeFillColor rgb="FFFF0000"/>
              <x14:axisColor rgb="FF000000"/>
            </x14:dataBar>
          </x14:cfRule>
          <x14:cfRule type="dataBar" id="{FCACDAFB-7A7A-4259-A1CB-1D27B251B224}">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F4AA2-683C-4EEA-9012-5F4733181FC6}">
  <sheetPr codeName="Tabelle34">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Kalk2_Eingabe!C4</f>
        <v>PREFA</v>
      </c>
      <c r="D4" s="547"/>
      <c r="E4" s="548"/>
      <c r="F4" s="150"/>
      <c r="G4" s="150"/>
      <c r="H4" s="151"/>
      <c r="I4" s="148"/>
    </row>
    <row r="5" spans="1:11" ht="16.5" customHeight="1">
      <c r="A5" s="148"/>
      <c r="B5" s="164" t="s">
        <v>22319</v>
      </c>
      <c r="C5" s="549" t="str">
        <f>Kalk2_Eingabe!C5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22501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2.11</v>
      </c>
      <c r="D11" s="151" t="s">
        <v>22394</v>
      </c>
      <c r="E11" s="163" t="s">
        <v>22397</v>
      </c>
      <c r="F11" s="177"/>
      <c r="G11" s="148"/>
      <c r="H11" s="148"/>
      <c r="I11" s="148"/>
    </row>
    <row r="12" spans="1:11" ht="14.25" customHeight="1">
      <c r="A12" s="179"/>
      <c r="B12" s="175" t="s">
        <v>22398</v>
      </c>
      <c r="C12" s="187">
        <v>62.14</v>
      </c>
      <c r="D12" s="151" t="s">
        <v>22372</v>
      </c>
      <c r="E12" s="163" t="s">
        <v>22399</v>
      </c>
      <c r="F12" s="178"/>
      <c r="G12" s="181"/>
      <c r="H12" s="148"/>
      <c r="I12" s="148"/>
    </row>
    <row r="13" spans="1:11" ht="14.25" customHeight="1">
      <c r="A13" s="148"/>
      <c r="B13" s="162" t="s">
        <v>22400</v>
      </c>
      <c r="C13" s="187">
        <v>25.78</v>
      </c>
      <c r="D13" s="168" t="s">
        <v>22401</v>
      </c>
      <c r="E13" s="183" t="s">
        <v>22402</v>
      </c>
      <c r="F13" s="177"/>
      <c r="G13" s="148"/>
      <c r="H13" s="148"/>
      <c r="I13" s="148"/>
    </row>
    <row r="14" spans="1:11" ht="14.25" customHeight="1">
      <c r="B14" s="162" t="s">
        <v>22502</v>
      </c>
      <c r="C14" s="187">
        <v>21.34</v>
      </c>
      <c r="D14" s="168" t="s">
        <v>22401</v>
      </c>
      <c r="E14" s="183" t="s">
        <v>22503</v>
      </c>
      <c r="H14" s="152" t="s">
        <v>24944</v>
      </c>
    </row>
    <row r="15" spans="1:11" ht="14.25" customHeight="1">
      <c r="B15" s="165" t="s">
        <v>22504</v>
      </c>
      <c r="C15" s="185">
        <f>ROUNDUP((Kalk2_Eingabe!C18+Kalk2_Eingabe!C20)/0.2,0)</f>
        <v>0</v>
      </c>
      <c r="D15" s="168" t="s">
        <v>20892</v>
      </c>
      <c r="E15" s="183" t="s">
        <v>22484</v>
      </c>
      <c r="H15" s="165" t="s">
        <v>22504</v>
      </c>
      <c r="I15" s="185">
        <f>ROUNDUP((Kalk2_Eingabe!C18+Kalk2_Eingabe!C20)/0.2,0)</f>
        <v>0</v>
      </c>
      <c r="J15" s="168" t="s">
        <v>20892</v>
      </c>
      <c r="K15" s="183" t="s">
        <v>22484</v>
      </c>
    </row>
    <row r="16" spans="1:11" ht="14.25" customHeight="1">
      <c r="B16" s="165" t="s">
        <v>22599</v>
      </c>
      <c r="C16" s="185">
        <f>(15+Kalk2!H29+10)/1000</f>
        <v>2.5000000000000001E-2</v>
      </c>
      <c r="D16" s="168" t="s">
        <v>6945</v>
      </c>
      <c r="E16" s="183" t="s">
        <v>22352</v>
      </c>
      <c r="H16" s="165" t="s">
        <v>22599</v>
      </c>
      <c r="I16" s="185">
        <f>(15+C15*200+10)/1000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MAX(Kalk2_Lastfallkombi!C50,Kalk2_Lastfallkombi!C60,Kalk2_Lastfallkombi!C65,Kalk2_Lastfallkombi!C69)</f>
        <v>#DIV/0!</v>
      </c>
      <c r="D27" s="190" t="s">
        <v>22379</v>
      </c>
      <c r="E27" s="183" t="s">
        <v>22487</v>
      </c>
    </row>
    <row r="28" spans="1:8" ht="14.25" customHeight="1" thickBot="1">
      <c r="B28" s="193" t="s">
        <v>22488</v>
      </c>
      <c r="C28" s="194" t="e">
        <f>MAX(Kalk2_Lastfallkombi!C51,Kalk2_Lastfallkombi!C61,Kalk2_Lastfallkombi!C66,Kalk2_Lastfallkombi!C70)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22.149255781638367</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0.82777346780449956</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4.1826400000000001</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Kalk2_Lastfallkombi!D24*Kalk2_Lastfallkombi!C15/100</f>
        <v>-0.1512</v>
      </c>
      <c r="D45" s="168" t="s">
        <v>22469</v>
      </c>
    </row>
    <row r="46" spans="1:4" ht="14.25" customHeight="1">
      <c r="B46" s="178" t="s">
        <v>22492</v>
      </c>
      <c r="C46" s="185">
        <f>5*C45/100*(Kalk2_Eingabe!C19*100-5)^4/(384*'Kalk2_DB_50-200'!C19*'Kalk2_DB_50-200'!C12)</f>
        <v>-2.8287938525909236E-8</v>
      </c>
      <c r="D46" s="168" t="s">
        <v>22416</v>
      </c>
    </row>
    <row r="47" spans="1:4" ht="14.25" customHeight="1" thickBot="1">
      <c r="B47" s="178" t="s">
        <v>22473</v>
      </c>
      <c r="C47" s="185">
        <f>(Kalk2_Eingabe!C19*100-5)/Haftungsausschluß!L34</f>
        <v>-3.3333333333333333E-2</v>
      </c>
      <c r="D47" s="168" t="s">
        <v>22416</v>
      </c>
    </row>
    <row r="48" spans="1:4" ht="14.25" customHeight="1" thickBot="1">
      <c r="B48" s="193" t="s">
        <v>22474</v>
      </c>
      <c r="C48" s="196">
        <f>C46/C47</f>
        <v>8.4863815577727707E-7</v>
      </c>
    </row>
    <row r="49" spans="2:5" ht="14.25" customHeight="1">
      <c r="B49" s="200" t="s">
        <v>22493</v>
      </c>
      <c r="C49" s="199" t="s">
        <v>22422</v>
      </c>
      <c r="D49" s="199" t="s">
        <v>21191</v>
      </c>
    </row>
    <row r="50" spans="2:5" ht="14.25" customHeight="1">
      <c r="B50" s="178" t="s">
        <v>22494</v>
      </c>
      <c r="C50" s="185" t="e">
        <f>Kalk2_Lastfallkombi!D38*Kalk2_Lastfallkombi!C14/100</f>
        <v>#DIV/0!</v>
      </c>
      <c r="D50" s="185">
        <f>Kalk2_Lastfallkombi!D26*Kalk2_Lastfallkombi!C14/100</f>
        <v>-0.14399999999999999</v>
      </c>
      <c r="E50" s="168" t="s">
        <v>22469</v>
      </c>
    </row>
    <row r="51" spans="2:5" ht="14.25" customHeight="1">
      <c r="B51" s="178" t="s">
        <v>22495</v>
      </c>
      <c r="C51" s="185" t="e">
        <f>5*C50/100*(Kalk2_Eingabe!C19*100-5)^4/(384*'Kalk2_DB_50-200'!C19*'Kalk2_DB_50-200'!C12)</f>
        <v>#DIV/0!</v>
      </c>
      <c r="D51" s="185">
        <f>5*D50/100*(Kalk2_Eingabe!C19*100-5)^4/(384*'Kalk2_DB_50-200'!C19*'Kalk2_DB_50-200'!C12)</f>
        <v>-2.6940893834199275E-8</v>
      </c>
      <c r="E51" s="168" t="s">
        <v>22416</v>
      </c>
    </row>
    <row r="52" spans="2:5" ht="14.25" customHeight="1">
      <c r="B52" s="165" t="s">
        <v>22496</v>
      </c>
      <c r="C52" s="185" t="e">
        <f>Kalk2_Lastfallkombi!D44</f>
        <v>#DIV/0!</v>
      </c>
      <c r="D52" s="185" t="e">
        <f>Kalk2_Lastfallkombi!D54</f>
        <v>#NUM!</v>
      </c>
      <c r="E52" s="168" t="s">
        <v>22469</v>
      </c>
    </row>
    <row r="53" spans="2:5" ht="14.25" customHeight="1">
      <c r="B53" s="165" t="s">
        <v>22497</v>
      </c>
      <c r="C53" s="185">
        <f>(Kalk2_Eingabe!C19-0.5-0.05)/2</f>
        <v>-0.27500000000000002</v>
      </c>
      <c r="D53" s="185">
        <f>C53</f>
        <v>-0.27500000000000002</v>
      </c>
      <c r="E53" s="168" t="s">
        <v>6945</v>
      </c>
    </row>
    <row r="54" spans="2:5" ht="14.25" customHeight="1">
      <c r="B54" s="165" t="s">
        <v>22498</v>
      </c>
      <c r="C54" s="185" t="e">
        <f>C52/100*(Kalk2_Eingabe!C19*100-5)^4/(384*'Kalk2_DB_50-200'!C19*'Kalk2_DB_50-200'!C12)*(5-24*('Kalk2_DB_50-200'!C53*100)^2/(Kalk2_Eingabe!C19*100-5)^2+16*('Kalk2_DB_50-200'!C53*100)^4/(Kalk2_Eingabe!C19*100-5)^4)</f>
        <v>#DIV/0!</v>
      </c>
      <c r="D54" s="185" t="e">
        <f>D52/100*(Kalk2_Eingabe!C19*100-5)^4/(384*'Kalk2_DB_50-200'!C19*'Kalk2_DB_50-200'!C12)*(5-24*('Kalk2_DB_50-200'!C53*100)^2/(Kalk2_Eingabe!C19*100-5)^2+16*('Kalk2_DB_50-200'!C53*100)^4/(Kalk2_Eingabe!C19*100-5)^4)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(Kalk2_Eingabe!C19*100-5)/150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91" priority="10" operator="greaterThan">
      <formula>1</formula>
    </cfRule>
    <cfRule type="dataBar" priority="11">
      <dataBar>
        <cfvo type="num" val="0"/>
        <cfvo type="num" val="0.99"/>
        <color rgb="FF638EC6"/>
      </dataBar>
      <extLst>
        <ext xmlns:x14="http://schemas.microsoft.com/office/spreadsheetml/2009/9/main" uri="{B025F937-C7B1-47D3-B67F-A62EFF666E3E}">
          <x14:id>{DCD82D59-9D8A-4D7C-AD09-9F3D5F6AD89C}</x14:id>
        </ext>
      </extLst>
    </cfRule>
    <cfRule type="dataBar" priority="12">
      <dataBar>
        <cfvo type="num" val="0"/>
        <cfvo type="num" val="1"/>
        <color rgb="FF638EC6"/>
      </dataBar>
      <extLst>
        <ext xmlns:x14="http://schemas.microsoft.com/office/spreadsheetml/2009/9/main" uri="{B025F937-C7B1-47D3-B67F-A62EFF666E3E}">
          <x14:id>{68440B1A-D36C-4747-B43C-4D5F3D6D262D}</x14:id>
        </ext>
      </extLst>
    </cfRule>
  </conditionalFormatting>
  <conditionalFormatting sqref="C41">
    <cfRule type="cellIs" dxfId="90" priority="7" operator="greaterThan">
      <formula>1</formula>
    </cfRule>
    <cfRule type="dataBar" priority="8">
      <dataBar>
        <cfvo type="num" val="0"/>
        <cfvo type="num" val="0.99"/>
        <color rgb="FF638EC6"/>
      </dataBar>
      <extLst>
        <ext xmlns:x14="http://schemas.microsoft.com/office/spreadsheetml/2009/9/main" uri="{B025F937-C7B1-47D3-B67F-A62EFF666E3E}">
          <x14:id>{06DF8046-9A3C-4DEA-8DA9-8C2DFBBFF180}</x14:id>
        </ext>
      </extLst>
    </cfRule>
    <cfRule type="dataBar" priority="9">
      <dataBar>
        <cfvo type="num" val="0"/>
        <cfvo type="num" val="1"/>
        <color rgb="FF638EC6"/>
      </dataBar>
      <extLst>
        <ext xmlns:x14="http://schemas.microsoft.com/office/spreadsheetml/2009/9/main" uri="{B025F937-C7B1-47D3-B67F-A62EFF666E3E}">
          <x14:id>{FA032D9E-9DC9-4822-8AB0-A1990CC8B347}</x14:id>
        </ext>
      </extLst>
    </cfRule>
  </conditionalFormatting>
  <conditionalFormatting sqref="C48">
    <cfRule type="cellIs" dxfId="89" priority="4" operator="greaterThan">
      <formula>1</formula>
    </cfRule>
    <cfRule type="dataBar" priority="5">
      <dataBar>
        <cfvo type="num" val="0"/>
        <cfvo type="num" val="0.99"/>
        <color rgb="FF638EC6"/>
      </dataBar>
      <extLst>
        <ext xmlns:x14="http://schemas.microsoft.com/office/spreadsheetml/2009/9/main" uri="{B025F937-C7B1-47D3-B67F-A62EFF666E3E}">
          <x14:id>{0C0FD3C6-07CD-4195-B13D-DFDB665768B6}</x14:id>
        </ext>
      </extLst>
    </cfRule>
    <cfRule type="dataBar" priority="6">
      <dataBar>
        <cfvo type="num" val="0"/>
        <cfvo type="num" val="1"/>
        <color rgb="FF638EC6"/>
      </dataBar>
      <extLst>
        <ext xmlns:x14="http://schemas.microsoft.com/office/spreadsheetml/2009/9/main" uri="{B025F937-C7B1-47D3-B67F-A62EFF666E3E}">
          <x14:id>{F6594EDB-69AE-47B9-996D-B95EBC364D5F}</x14:id>
        </ext>
      </extLst>
    </cfRule>
  </conditionalFormatting>
  <conditionalFormatting sqref="C57">
    <cfRule type="cellIs" dxfId="88" priority="1" operator="greaterThan">
      <formula>1</formula>
    </cfRule>
    <cfRule type="dataBar" priority="2">
      <dataBar>
        <cfvo type="num" val="0"/>
        <cfvo type="num" val="0.99"/>
        <color rgb="FF638EC6"/>
      </dataBar>
      <extLst>
        <ext xmlns:x14="http://schemas.microsoft.com/office/spreadsheetml/2009/9/main" uri="{B025F937-C7B1-47D3-B67F-A62EFF666E3E}">
          <x14:id>{601C29CB-FD2E-4ED5-B4E9-A84EE8EE5407}</x14:id>
        </ext>
      </extLst>
    </cfRule>
    <cfRule type="dataBar" priority="3">
      <dataBar>
        <cfvo type="num" val="0"/>
        <cfvo type="num" val="1"/>
        <color rgb="FF638EC6"/>
      </dataBar>
      <extLst>
        <ext xmlns:x14="http://schemas.microsoft.com/office/spreadsheetml/2009/9/main" uri="{B025F937-C7B1-47D3-B67F-A62EFF666E3E}">
          <x14:id>{8958F32E-02AB-47DA-8D6B-7B9148A65206}</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DCD82D59-9D8A-4D7C-AD09-9F3D5F6AD89C}">
            <x14:dataBar minLength="0" maxLength="100">
              <x14:cfvo type="num">
                <xm:f>0</xm:f>
              </x14:cfvo>
              <x14:cfvo type="num">
                <xm:f>0.99</xm:f>
              </x14:cfvo>
              <x14:negativeFillColor rgb="FFFF0000"/>
              <x14:axisColor rgb="FF000000"/>
            </x14:dataBar>
          </x14:cfRule>
          <x14:cfRule type="dataBar" id="{68440B1A-D36C-4747-B43C-4D5F3D6D262D}">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06DF8046-9A3C-4DEA-8DA9-8C2DFBBFF180}">
            <x14:dataBar minLength="0" maxLength="100">
              <x14:cfvo type="num">
                <xm:f>0</xm:f>
              </x14:cfvo>
              <x14:cfvo type="num">
                <xm:f>0.99</xm:f>
              </x14:cfvo>
              <x14:negativeFillColor rgb="FFFF0000"/>
              <x14:axisColor rgb="FF000000"/>
            </x14:dataBar>
          </x14:cfRule>
          <x14:cfRule type="dataBar" id="{FA032D9E-9DC9-4822-8AB0-A1990CC8B347}">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0C0FD3C6-07CD-4195-B13D-DFDB665768B6}">
            <x14:dataBar minLength="0" maxLength="100">
              <x14:cfvo type="num">
                <xm:f>0</xm:f>
              </x14:cfvo>
              <x14:cfvo type="num">
                <xm:f>0.99</xm:f>
              </x14:cfvo>
              <x14:negativeFillColor rgb="FFFF0000"/>
              <x14:axisColor rgb="FF000000"/>
            </x14:dataBar>
          </x14:cfRule>
          <x14:cfRule type="dataBar" id="{F6594EDB-69AE-47B9-996D-B95EBC364D5F}">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601C29CB-FD2E-4ED5-B4E9-A84EE8EE5407}">
            <x14:dataBar minLength="0" maxLength="100">
              <x14:cfvo type="num">
                <xm:f>0</xm:f>
              </x14:cfvo>
              <x14:cfvo type="num">
                <xm:f>0.99</xm:f>
              </x14:cfvo>
              <x14:negativeFillColor rgb="FFFF0000"/>
              <x14:axisColor rgb="FF000000"/>
            </x14:dataBar>
          </x14:cfRule>
          <x14:cfRule type="dataBar" id="{8958F32E-02AB-47DA-8D6B-7B9148A65206}">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278AE-4F35-425A-8AE4-B697C6D2549E}">
  <sheetPr codeName="Tabelle9"/>
  <dimension ref="A1:AA50"/>
  <sheetViews>
    <sheetView showGridLines="0" topLeftCell="A2" zoomScale="90" zoomScaleNormal="90" workbookViewId="0">
      <selection activeCell="B3" sqref="B3:D3"/>
    </sheetView>
  </sheetViews>
  <sheetFormatPr baseColWidth="10" defaultColWidth="0" defaultRowHeight="15" zeroHeight="1"/>
  <cols>
    <col min="1" max="1" width="32.5703125" style="290" customWidth="1"/>
    <col min="2" max="2" width="12.140625" style="290" customWidth="1"/>
    <col min="3" max="3" width="3.42578125" style="290" customWidth="1"/>
    <col min="4" max="4" width="11.7109375" style="290" customWidth="1"/>
    <col min="5" max="5" width="3.42578125" style="290" customWidth="1"/>
    <col min="6" max="6" width="11.42578125" style="290" customWidth="1"/>
    <col min="7" max="7" width="4.42578125" style="290" customWidth="1"/>
    <col min="8" max="8" width="5.85546875" style="290" customWidth="1"/>
    <col min="9" max="11" width="11.42578125" style="290" hidden="1" customWidth="1"/>
    <col min="12" max="12" width="15.140625" style="290" hidden="1" customWidth="1"/>
    <col min="13" max="13" width="2.140625" style="290" hidden="1" customWidth="1"/>
    <col min="14" max="14" width="6.42578125" style="290" hidden="1" customWidth="1"/>
    <col min="15" max="15" width="11.42578125" style="290" hidden="1" customWidth="1"/>
    <col min="16" max="16" width="32.7109375" style="290" hidden="1" customWidth="1"/>
    <col min="17" max="16384" width="11.42578125" style="290" hidden="1"/>
  </cols>
  <sheetData>
    <row r="1" spans="1:19" ht="47.25" customHeight="1">
      <c r="A1" s="413" t="str">
        <f>VLOOKUP(1644,Sprachindex!$A:$Z,Erhebungsbogen!$Y$20,FALSE)</f>
        <v>Berechnung U-Profilhöhe bei Montage in Leibung zum Einfädeln</v>
      </c>
      <c r="B1" s="413"/>
      <c r="C1" s="413"/>
      <c r="D1" s="413"/>
    </row>
    <row r="2" spans="1:19" ht="15.75" thickBot="1"/>
    <row r="3" spans="1:19" ht="19.5" thickBot="1">
      <c r="A3" s="312" t="str">
        <f>VLOOKUP(1754,Sprachindex!$A:$Z,Erhebungsbogen!$Y$20,FALSE)</f>
        <v>Lichteweite [mm]:</v>
      </c>
      <c r="B3" s="414">
        <v>500</v>
      </c>
      <c r="C3" s="415"/>
      <c r="D3" s="416"/>
    </row>
    <row r="4" spans="1:19" ht="18.75">
      <c r="A4" s="312"/>
      <c r="B4" s="297"/>
    </row>
    <row r="5" spans="1:19" hidden="1">
      <c r="A5" s="420"/>
      <c r="B5" s="420"/>
      <c r="C5" s="420"/>
      <c r="D5" s="420"/>
      <c r="E5" s="420"/>
      <c r="F5" s="420"/>
      <c r="G5" s="420"/>
      <c r="H5" s="420"/>
    </row>
    <row r="6" spans="1:19"/>
    <row r="7" spans="1:19">
      <c r="B7" s="291" t="str">
        <f>VLOOKUP(1844,Sprachindex!$A:$Z,Erhebungsbogen!$Y$20,FALSE)</f>
        <v>System 25:</v>
      </c>
      <c r="C7" s="292"/>
      <c r="D7" s="291" t="str">
        <f>VLOOKUP(1846,Sprachindex!$A:$Z,Erhebungsbogen!$Y$20,FALSE)</f>
        <v>System 50:</v>
      </c>
      <c r="F7" s="291" t="str">
        <f>VLOOKUP(1845,Sprachindex!$A:$Z,Erhebungsbogen!$Y$20,FALSE)</f>
        <v>System 50 + 80:</v>
      </c>
    </row>
    <row r="8" spans="1:19" ht="15.75" thickBot="1">
      <c r="A8" s="294"/>
      <c r="B8" s="292">
        <v>200</v>
      </c>
      <c r="C8" s="292"/>
      <c r="D8" s="292">
        <v>150</v>
      </c>
      <c r="F8" s="292">
        <v>200</v>
      </c>
    </row>
    <row r="9" spans="1:19" ht="15.75" thickBot="1">
      <c r="A9" s="294" t="str">
        <f>VLOOKUP(1667,Sprachindex!$A:$Z,Erhebungsbogen!$Y$20,FALSE)</f>
        <v>Dammbalkenlänge:</v>
      </c>
      <c r="B9" s="349">
        <f>+($B$3+Q18)</f>
        <v>557</v>
      </c>
      <c r="C9" s="350"/>
      <c r="D9" s="349">
        <f>+($B$3+S18)</f>
        <v>568</v>
      </c>
      <c r="F9" s="349">
        <f>+($B$3+U18)</f>
        <v>568</v>
      </c>
    </row>
    <row r="10" spans="1:19" hidden="1">
      <c r="A10" s="346" t="s">
        <v>25463</v>
      </c>
      <c r="B10" s="347">
        <v>800</v>
      </c>
      <c r="C10" s="347"/>
      <c r="D10" s="347">
        <v>440</v>
      </c>
      <c r="E10" s="348"/>
      <c r="F10" s="347">
        <v>790</v>
      </c>
    </row>
    <row r="11" spans="1:19" ht="15" customHeight="1" thickBot="1">
      <c r="A11" s="294"/>
    </row>
    <row r="12" spans="1:19" ht="19.5" thickBot="1">
      <c r="A12" s="315" t="s">
        <v>22628</v>
      </c>
      <c r="B12" s="316">
        <f>N17+$Q$21</f>
        <v>239.30196742673701</v>
      </c>
      <c r="C12" s="295"/>
      <c r="D12" s="316">
        <f>N24+$Q$21</f>
        <v>244.47421250251637</v>
      </c>
      <c r="F12" s="316">
        <f>N31+$Q$21</f>
        <v>251.00718866145081</v>
      </c>
    </row>
    <row r="13" spans="1:19" ht="15" customHeight="1" thickBot="1">
      <c r="B13" s="296"/>
      <c r="C13" s="295"/>
      <c r="D13" s="296"/>
      <c r="F13" s="296"/>
      <c r="L13" s="410" t="s">
        <v>22624</v>
      </c>
      <c r="M13" s="411"/>
      <c r="N13" s="412"/>
      <c r="O13"/>
      <c r="P13"/>
      <c r="Q13"/>
    </row>
    <row r="14" spans="1:19" ht="19.5" thickBot="1">
      <c r="A14" s="315" t="s">
        <v>22629</v>
      </c>
      <c r="B14" s="311">
        <f>N17+N18+$Q$21</f>
        <v>388.26315518317222</v>
      </c>
      <c r="C14" s="295"/>
      <c r="D14" s="311">
        <f>N24+N25+$Q$21</f>
        <v>372.22583223514312</v>
      </c>
      <c r="F14" s="311">
        <f>N31+N32+$Q$21</f>
        <v>397.39360660966429</v>
      </c>
      <c r="L14" s="304" t="s">
        <v>22618</v>
      </c>
      <c r="M14" s="303" t="s">
        <v>22100</v>
      </c>
      <c r="N14" s="305">
        <f>B9</f>
        <v>557</v>
      </c>
      <c r="P14"/>
      <c r="Q14"/>
    </row>
    <row r="15" spans="1:19" ht="15.75" thickBot="1">
      <c r="B15" s="297"/>
      <c r="C15" s="297"/>
      <c r="D15" s="297"/>
      <c r="L15" s="306" t="s">
        <v>22619</v>
      </c>
      <c r="M15" s="293" t="s">
        <v>22100</v>
      </c>
      <c r="N15" s="307">
        <v>219</v>
      </c>
      <c r="P15"/>
      <c r="Q15"/>
    </row>
    <row r="16" spans="1:19" ht="15" customHeight="1">
      <c r="L16" s="306" t="s">
        <v>22620</v>
      </c>
      <c r="M16" s="293" t="s">
        <v>22100</v>
      </c>
      <c r="N16" s="307">
        <f>B3+Q19-Q20</f>
        <v>539.4</v>
      </c>
      <c r="P16" s="417" t="s">
        <v>22616</v>
      </c>
      <c r="Q16" s="418"/>
      <c r="R16" s="418"/>
      <c r="S16" s="419"/>
    </row>
    <row r="17" spans="1:27" ht="15" customHeight="1">
      <c r="L17" s="306" t="s">
        <v>22621</v>
      </c>
      <c r="M17" s="293" t="s">
        <v>22100</v>
      </c>
      <c r="N17" s="307">
        <f>(2*N14*N15*N16+2*N14^2*SQRT(N14^2-N16^2+N15^2))/(2*N14^2+2*N15^2)-N15</f>
        <v>189.30196742673701</v>
      </c>
      <c r="O17"/>
    </row>
    <row r="18" spans="1:27" ht="15" customHeight="1" thickBot="1">
      <c r="L18" s="308" t="s">
        <v>22622</v>
      </c>
      <c r="M18" s="309" t="s">
        <v>22100</v>
      </c>
      <c r="N18" s="310">
        <f>SQRT(N15^2-((N17+N15)*N15/N14)^2)</f>
        <v>148.96118775643521</v>
      </c>
      <c r="O18"/>
      <c r="P18" s="298" t="s">
        <v>22617</v>
      </c>
      <c r="Q18" s="299">
        <v>57</v>
      </c>
      <c r="R18" s="300"/>
      <c r="S18" s="301">
        <v>68</v>
      </c>
      <c r="U18" s="301">
        <v>68</v>
      </c>
    </row>
    <row r="19" spans="1:27" customFormat="1" ht="15.75" thickBot="1">
      <c r="A19" s="290"/>
      <c r="B19" s="290"/>
      <c r="C19" s="290"/>
      <c r="D19" s="290"/>
      <c r="E19" s="290"/>
      <c r="F19" s="290"/>
      <c r="G19" s="290"/>
      <c r="H19" s="290"/>
      <c r="I19" s="290"/>
      <c r="J19" s="290"/>
      <c r="K19" s="290"/>
      <c r="P19" s="290" t="s">
        <v>22626</v>
      </c>
      <c r="Q19" s="302">
        <v>42</v>
      </c>
      <c r="R19" s="302"/>
      <c r="S19" s="290">
        <v>47.3</v>
      </c>
      <c r="T19" s="290"/>
      <c r="U19" s="290">
        <v>47.3</v>
      </c>
      <c r="V19" s="290"/>
      <c r="W19" s="290"/>
      <c r="X19" s="290"/>
      <c r="Y19" s="290"/>
      <c r="Z19" s="290"/>
      <c r="AA19" s="290"/>
    </row>
    <row r="20" spans="1:27" customFormat="1" ht="15.75" thickBot="1">
      <c r="A20" s="290"/>
      <c r="B20" s="290"/>
      <c r="C20" s="290"/>
      <c r="D20" s="290"/>
      <c r="E20" s="290"/>
      <c r="F20" s="290"/>
      <c r="G20" s="290"/>
      <c r="H20" s="290"/>
      <c r="I20" s="290"/>
      <c r="J20" s="290"/>
      <c r="K20" s="290"/>
      <c r="L20" s="410" t="s">
        <v>22623</v>
      </c>
      <c r="M20" s="411"/>
      <c r="N20" s="412"/>
      <c r="O20" s="290"/>
      <c r="P20" s="290" t="s">
        <v>22627</v>
      </c>
      <c r="Q20" s="290">
        <v>2.6</v>
      </c>
      <c r="R20" s="290"/>
      <c r="S20" s="290">
        <v>3.1</v>
      </c>
      <c r="T20" s="290"/>
      <c r="U20" s="290">
        <v>3.1</v>
      </c>
      <c r="V20" s="290"/>
      <c r="W20" s="290"/>
      <c r="X20" s="290"/>
      <c r="Y20" s="290"/>
      <c r="Z20" s="290"/>
      <c r="AA20" s="290"/>
    </row>
    <row r="21" spans="1:27">
      <c r="L21" s="304" t="s">
        <v>22618</v>
      </c>
      <c r="M21" s="303" t="s">
        <v>22100</v>
      </c>
      <c r="N21" s="305">
        <f>D9</f>
        <v>568</v>
      </c>
      <c r="P21" s="290" t="s">
        <v>22631</v>
      </c>
      <c r="Q21" s="290">
        <v>50</v>
      </c>
    </row>
    <row r="22" spans="1:27" customFormat="1">
      <c r="A22" s="290"/>
      <c r="B22" s="290"/>
      <c r="C22" s="290"/>
      <c r="D22" s="290"/>
      <c r="E22" s="290"/>
      <c r="F22" s="290"/>
      <c r="G22" s="290"/>
      <c r="H22" s="290"/>
      <c r="I22" s="290"/>
      <c r="J22" s="290"/>
      <c r="K22" s="290"/>
      <c r="L22" s="306" t="s">
        <v>22619</v>
      </c>
      <c r="M22" s="293" t="s">
        <v>22100</v>
      </c>
      <c r="N22" s="307">
        <v>165</v>
      </c>
      <c r="O22" s="290"/>
      <c r="P22" s="290"/>
      <c r="Q22" s="290"/>
      <c r="R22" s="290"/>
      <c r="S22" s="290"/>
      <c r="T22" s="290"/>
      <c r="U22" s="290"/>
      <c r="V22" s="290"/>
      <c r="W22" s="290"/>
      <c r="X22" s="290"/>
      <c r="Y22" s="290"/>
      <c r="Z22" s="290"/>
      <c r="AA22" s="290"/>
    </row>
    <row r="23" spans="1:27" customFormat="1">
      <c r="A23" s="290"/>
      <c r="B23" s="290"/>
      <c r="C23" s="290"/>
      <c r="D23" s="290"/>
      <c r="E23" s="290"/>
      <c r="F23" s="290"/>
      <c r="G23" s="290"/>
      <c r="H23" s="290"/>
      <c r="I23" s="290"/>
      <c r="J23" s="290"/>
      <c r="K23" s="290"/>
      <c r="L23" s="306" t="s">
        <v>22620</v>
      </c>
      <c r="M23" s="293" t="s">
        <v>22100</v>
      </c>
      <c r="N23" s="307">
        <f>B3+S19-S20</f>
        <v>544.19999999999993</v>
      </c>
      <c r="O23" s="290"/>
      <c r="P23" s="290"/>
      <c r="Q23" s="290"/>
      <c r="R23" s="290"/>
      <c r="S23" s="290"/>
      <c r="T23" s="290"/>
      <c r="U23" s="290"/>
      <c r="V23" s="290"/>
      <c r="W23" s="290"/>
      <c r="X23" s="290"/>
      <c r="Y23" s="290"/>
      <c r="Z23" s="290"/>
      <c r="AA23" s="290"/>
    </row>
    <row r="24" spans="1:27" customFormat="1">
      <c r="A24" s="290"/>
      <c r="B24" s="290"/>
      <c r="C24" s="290"/>
      <c r="D24" s="290"/>
      <c r="E24" s="290"/>
      <c r="F24" s="290"/>
      <c r="G24" s="290"/>
      <c r="H24" s="290"/>
      <c r="I24" s="290"/>
      <c r="J24" s="290"/>
      <c r="K24" s="290"/>
      <c r="L24" s="306" t="s">
        <v>22621</v>
      </c>
      <c r="M24" s="293" t="s">
        <v>22100</v>
      </c>
      <c r="N24" s="307">
        <f>(2*N21*N22*N23+2*N21^2*SQRT(N21^2-N23^2+N22^2))/(2*N21^2+2*N22^2)-N22</f>
        <v>194.47421250251637</v>
      </c>
      <c r="O24" s="290"/>
      <c r="P24" s="290"/>
      <c r="Q24" s="290"/>
      <c r="R24" s="290"/>
      <c r="S24" s="290"/>
      <c r="T24" s="290"/>
      <c r="U24" s="290"/>
      <c r="V24" s="290"/>
      <c r="W24" s="290"/>
      <c r="X24" s="290"/>
      <c r="Y24" s="290"/>
      <c r="Z24" s="290"/>
      <c r="AA24" s="290"/>
    </row>
    <row r="25" spans="1:27" customFormat="1" ht="15.75" thickBot="1">
      <c r="A25" s="290"/>
      <c r="B25" s="290"/>
      <c r="C25" s="290"/>
      <c r="D25" s="290"/>
      <c r="E25" s="290"/>
      <c r="F25" s="290"/>
      <c r="G25" s="290"/>
      <c r="H25" s="290"/>
      <c r="I25" s="290"/>
      <c r="J25" s="290"/>
      <c r="K25" s="290"/>
      <c r="L25" s="308" t="s">
        <v>22622</v>
      </c>
      <c r="M25" s="309" t="s">
        <v>22100</v>
      </c>
      <c r="N25" s="310">
        <f>SQRT(N22^2-((N24+N22)*N22/N21)^2)</f>
        <v>127.75161973262678</v>
      </c>
      <c r="O25" s="290"/>
      <c r="P25" s="290"/>
      <c r="Q25" s="290"/>
      <c r="R25" s="290"/>
      <c r="S25" s="290"/>
      <c r="T25" s="290"/>
      <c r="U25" s="290"/>
      <c r="V25" s="290"/>
      <c r="W25" s="290"/>
      <c r="X25" s="290"/>
      <c r="Y25" s="290"/>
      <c r="Z25" s="290"/>
      <c r="AA25" s="290"/>
    </row>
    <row r="26" spans="1:27" customFormat="1" ht="15.75" thickBot="1">
      <c r="A26" s="290"/>
      <c r="B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row>
    <row r="27" spans="1:27" customFormat="1" ht="15.75" thickBot="1">
      <c r="A27" s="290"/>
      <c r="B27" s="290"/>
      <c r="C27" s="290"/>
      <c r="D27" s="290"/>
      <c r="E27" s="290"/>
      <c r="F27" s="290"/>
      <c r="G27" s="290"/>
      <c r="H27" s="290"/>
      <c r="I27" s="290"/>
      <c r="J27" s="290"/>
      <c r="K27" s="290"/>
      <c r="L27" s="410" t="s">
        <v>22625</v>
      </c>
      <c r="M27" s="411"/>
      <c r="N27" s="412"/>
      <c r="O27" s="290"/>
      <c r="P27" s="290"/>
      <c r="Q27" s="290"/>
      <c r="R27" s="290"/>
      <c r="S27" s="290"/>
      <c r="T27" s="290"/>
      <c r="U27" s="290"/>
      <c r="V27" s="290"/>
      <c r="W27" s="290"/>
      <c r="X27" s="290"/>
      <c r="Y27" s="290"/>
      <c r="Z27" s="290"/>
      <c r="AA27" s="290"/>
    </row>
    <row r="28" spans="1:27" customFormat="1">
      <c r="A28" s="290"/>
      <c r="B28" s="290"/>
      <c r="C28" s="290"/>
      <c r="D28" s="290"/>
      <c r="E28" s="290"/>
      <c r="F28" s="290"/>
      <c r="G28" s="290"/>
      <c r="H28" s="290"/>
      <c r="I28" s="290"/>
      <c r="J28" s="290"/>
      <c r="K28" s="290"/>
      <c r="L28" s="304" t="s">
        <v>22618</v>
      </c>
      <c r="M28" s="303" t="s">
        <v>22100</v>
      </c>
      <c r="N28" s="305">
        <f>F9</f>
        <v>568</v>
      </c>
      <c r="O28" s="290"/>
      <c r="P28" s="290"/>
      <c r="Q28" s="290"/>
      <c r="R28" s="290"/>
      <c r="S28" s="290"/>
      <c r="T28" s="290"/>
      <c r="U28" s="290"/>
      <c r="V28" s="290"/>
      <c r="W28" s="290"/>
      <c r="X28" s="290"/>
      <c r="Y28" s="290"/>
      <c r="Z28" s="290"/>
      <c r="AA28" s="290"/>
    </row>
    <row r="29" spans="1:27" customFormat="1">
      <c r="A29" s="290"/>
      <c r="B29" s="290"/>
      <c r="C29" s="290"/>
      <c r="D29" s="290"/>
      <c r="E29" s="290"/>
      <c r="F29" s="290"/>
      <c r="G29" s="290"/>
      <c r="H29" s="290"/>
      <c r="I29" s="290"/>
      <c r="J29" s="290"/>
      <c r="K29" s="290"/>
      <c r="L29" s="306" t="s">
        <v>22619</v>
      </c>
      <c r="M29" s="293" t="s">
        <v>22100</v>
      </c>
      <c r="N29" s="307">
        <v>215</v>
      </c>
      <c r="O29" s="290"/>
      <c r="P29" s="290"/>
      <c r="Q29" s="290"/>
      <c r="R29" s="290"/>
      <c r="S29" s="290"/>
      <c r="T29" s="290"/>
      <c r="U29" s="290"/>
      <c r="V29" s="290"/>
      <c r="W29" s="290"/>
      <c r="X29" s="290"/>
      <c r="Y29" s="290"/>
      <c r="Z29" s="290"/>
      <c r="AA29" s="290"/>
    </row>
    <row r="30" spans="1:27" customFormat="1">
      <c r="A30" s="290"/>
      <c r="B30" s="290"/>
      <c r="C30" s="290"/>
      <c r="D30" s="290"/>
      <c r="E30" s="290"/>
      <c r="F30" s="290"/>
      <c r="G30" s="290"/>
      <c r="H30" s="290"/>
      <c r="I30" s="290"/>
      <c r="J30" s="290"/>
      <c r="K30" s="290"/>
      <c r="L30" s="306" t="s">
        <v>22620</v>
      </c>
      <c r="M30" s="293" t="s">
        <v>22100</v>
      </c>
      <c r="N30" s="307">
        <f>B3+U19-U20</f>
        <v>544.19999999999993</v>
      </c>
      <c r="O30" s="290"/>
      <c r="P30" s="290"/>
      <c r="Q30" s="290"/>
      <c r="R30" s="290"/>
      <c r="S30" s="290"/>
      <c r="T30" s="290"/>
      <c r="U30" s="290"/>
      <c r="V30" s="290"/>
      <c r="W30" s="290"/>
      <c r="X30" s="290"/>
      <c r="Y30" s="290"/>
      <c r="Z30" s="290"/>
      <c r="AA30" s="290"/>
    </row>
    <row r="31" spans="1:27" customFormat="1">
      <c r="A31" s="290"/>
      <c r="B31" s="290"/>
      <c r="C31" s="290"/>
      <c r="D31" s="290"/>
      <c r="E31" s="290"/>
      <c r="F31" s="290"/>
      <c r="G31" s="290"/>
      <c r="H31" s="290"/>
      <c r="I31" s="290"/>
      <c r="J31" s="290"/>
      <c r="K31" s="290"/>
      <c r="L31" s="306" t="s">
        <v>22621</v>
      </c>
      <c r="M31" s="293" t="s">
        <v>22100</v>
      </c>
      <c r="N31" s="307">
        <f>(2*N28*N29*N30+2*N28^2*SQRT(N28^2-N30^2+N29^2))/(2*N28^2+2*N29^2)-N29</f>
        <v>201.00718866145081</v>
      </c>
      <c r="O31" s="290"/>
      <c r="P31" s="290"/>
      <c r="Q31" s="290"/>
      <c r="R31" s="290"/>
      <c r="S31" s="290"/>
      <c r="T31" s="290"/>
      <c r="U31" s="290"/>
      <c r="V31" s="290"/>
      <c r="W31" s="290"/>
      <c r="X31" s="290"/>
      <c r="Y31" s="290"/>
      <c r="Z31" s="290"/>
      <c r="AA31" s="290"/>
    </row>
    <row r="32" spans="1:27" customFormat="1" ht="15.75" customHeight="1" thickBot="1">
      <c r="A32" s="409" t="s">
        <v>22632</v>
      </c>
      <c r="B32" s="409"/>
      <c r="C32" s="409"/>
      <c r="D32" s="409"/>
      <c r="E32" s="409"/>
      <c r="F32" s="409"/>
      <c r="G32" s="290"/>
      <c r="H32" s="290"/>
      <c r="I32" s="290"/>
      <c r="J32" s="290"/>
      <c r="K32" s="290"/>
      <c r="L32" s="308" t="s">
        <v>22622</v>
      </c>
      <c r="M32" s="309" t="s">
        <v>22100</v>
      </c>
      <c r="N32" s="310">
        <f>SQRT(N29^2-((N31+N29)*N29/N28)^2)</f>
        <v>146.38641794821348</v>
      </c>
      <c r="O32" s="290"/>
      <c r="P32" s="290"/>
      <c r="Q32" s="290"/>
      <c r="R32" s="290"/>
      <c r="S32" s="290"/>
      <c r="T32" s="290"/>
      <c r="U32" s="290"/>
      <c r="V32" s="290"/>
      <c r="W32" s="290"/>
      <c r="X32" s="290"/>
      <c r="Y32" s="290"/>
      <c r="Z32" s="290"/>
      <c r="AA32" s="290"/>
    </row>
    <row r="33" spans="1:27" customFormat="1" ht="15" customHeight="1">
      <c r="A33" s="409"/>
      <c r="B33" s="409"/>
      <c r="C33" s="409"/>
      <c r="D33" s="409"/>
      <c r="E33" s="409"/>
      <c r="F33" s="409"/>
      <c r="G33" s="290"/>
      <c r="H33" s="290"/>
      <c r="I33" s="290"/>
      <c r="J33" s="290"/>
      <c r="K33" s="290"/>
      <c r="L33" s="290"/>
      <c r="M33" s="290"/>
      <c r="N33" s="290"/>
      <c r="O33" s="290"/>
      <c r="P33" s="290"/>
      <c r="Q33" s="290"/>
      <c r="R33" s="290"/>
      <c r="S33" s="290"/>
      <c r="T33" s="290"/>
      <c r="U33" s="290"/>
      <c r="V33" s="290"/>
      <c r="W33" s="290"/>
      <c r="X33" s="290"/>
      <c r="Y33" s="290"/>
      <c r="Z33" s="290"/>
      <c r="AA33" s="290"/>
    </row>
    <row r="34" spans="1:27" customFormat="1" ht="15" customHeight="1">
      <c r="A34" s="409"/>
      <c r="B34" s="409"/>
      <c r="C34" s="409"/>
      <c r="D34" s="409"/>
      <c r="E34" s="409"/>
      <c r="F34" s="409"/>
      <c r="G34" s="290"/>
      <c r="H34" s="290"/>
      <c r="I34" s="290"/>
      <c r="J34" s="290"/>
      <c r="K34" s="290"/>
      <c r="L34" s="290"/>
      <c r="M34" s="290"/>
      <c r="N34" s="290"/>
      <c r="O34" s="290"/>
      <c r="P34" s="290"/>
      <c r="Q34" s="290"/>
      <c r="R34" s="290"/>
      <c r="S34" s="290"/>
      <c r="T34" s="290"/>
      <c r="U34" s="290"/>
      <c r="V34" s="290"/>
      <c r="W34" s="290"/>
      <c r="X34" s="290"/>
      <c r="Y34" s="290"/>
      <c r="Z34" s="290"/>
      <c r="AA34" s="290"/>
    </row>
    <row r="35" spans="1:27" customFormat="1" hidden="1">
      <c r="A35" s="290"/>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row>
    <row r="37" spans="1:27" customFormat="1" hidden="1">
      <c r="A37" s="290"/>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row>
    <row r="38" spans="1:27" customFormat="1" hidden="1">
      <c r="A38" s="290"/>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row>
    <row r="39" spans="1:27" customFormat="1" hidden="1">
      <c r="A39" s="290"/>
      <c r="B39" s="290"/>
      <c r="C39" s="290"/>
      <c r="D39" s="290"/>
      <c r="E39" s="290"/>
      <c r="F39" s="290"/>
      <c r="G39" s="290"/>
      <c r="H39" s="290"/>
      <c r="I39" s="290"/>
      <c r="J39" s="290"/>
      <c r="K39" s="290"/>
      <c r="L39" s="290"/>
      <c r="M39" s="290"/>
      <c r="N39" s="290"/>
      <c r="O39" s="290"/>
      <c r="P39" s="290"/>
      <c r="Q39" s="290"/>
      <c r="R39" s="290"/>
      <c r="S39" s="290"/>
      <c r="T39" s="290"/>
      <c r="U39" s="290"/>
      <c r="V39" s="290"/>
      <c r="W39" s="290"/>
      <c r="X39" s="290"/>
      <c r="Y39" s="290"/>
      <c r="Z39" s="290"/>
      <c r="AA39" s="290"/>
    </row>
    <row r="40" spans="1:27" customFormat="1" hidden="1">
      <c r="A40" s="290"/>
      <c r="B40" s="290"/>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row>
    <row r="41" spans="1:27" customFormat="1" hidden="1">
      <c r="A41" s="290"/>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row>
    <row r="42" spans="1:27" customFormat="1" hidden="1">
      <c r="A42" s="290"/>
      <c r="B42" s="290"/>
      <c r="C42" s="290"/>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row>
    <row r="43" spans="1:27" customFormat="1" hidden="1">
      <c r="A43" s="290"/>
      <c r="B43" s="290"/>
      <c r="C43" s="290"/>
      <c r="D43" s="290"/>
      <c r="E43" s="290"/>
      <c r="F43" s="290"/>
      <c r="G43" s="290"/>
      <c r="H43" s="290"/>
      <c r="I43" s="290"/>
      <c r="J43" s="290"/>
      <c r="K43" s="290"/>
      <c r="L43" s="290"/>
      <c r="M43" s="290"/>
      <c r="N43" s="290"/>
      <c r="O43" s="290"/>
      <c r="P43" s="290"/>
      <c r="Q43" s="290"/>
      <c r="R43" s="290"/>
      <c r="S43" s="290"/>
      <c r="T43" s="290"/>
      <c r="U43" s="290"/>
      <c r="V43" s="290"/>
      <c r="W43" s="290"/>
      <c r="X43" s="290"/>
      <c r="Y43" s="290"/>
      <c r="Z43" s="290"/>
      <c r="AA43" s="290"/>
    </row>
    <row r="44" spans="1:27" customFormat="1" hidden="1">
      <c r="A44" s="290"/>
      <c r="B44" s="290"/>
      <c r="C44" s="290"/>
      <c r="D44" s="290"/>
      <c r="E44" s="290"/>
      <c r="F44" s="290"/>
      <c r="G44" s="290"/>
      <c r="H44" s="290"/>
      <c r="I44" s="290"/>
      <c r="J44" s="290"/>
      <c r="K44" s="290"/>
      <c r="L44" s="290"/>
      <c r="M44" s="290"/>
      <c r="N44" s="290"/>
      <c r="O44" s="290"/>
      <c r="P44" s="290"/>
      <c r="Q44" s="290"/>
      <c r="R44" s="290"/>
      <c r="S44" s="290"/>
      <c r="T44" s="290"/>
      <c r="U44" s="290"/>
      <c r="V44" s="290"/>
      <c r="W44" s="290"/>
      <c r="X44" s="290"/>
      <c r="Y44" s="290"/>
      <c r="Z44" s="290"/>
      <c r="AA44" s="290"/>
    </row>
    <row r="45" spans="1:27" customFormat="1" hidden="1">
      <c r="A45" s="290"/>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row>
    <row r="46" spans="1:27" customFormat="1" hidden="1">
      <c r="A46" s="290"/>
      <c r="B46" s="290"/>
      <c r="C46" s="290"/>
      <c r="D46" s="290"/>
      <c r="E46" s="290"/>
      <c r="F46" s="290"/>
      <c r="G46" s="290"/>
      <c r="H46" s="290"/>
      <c r="I46" s="290"/>
      <c r="J46" s="290"/>
      <c r="K46" s="290"/>
      <c r="L46" s="290"/>
      <c r="M46" s="290"/>
      <c r="N46" s="290"/>
      <c r="O46" s="290"/>
      <c r="P46" s="290"/>
      <c r="Q46" s="290"/>
      <c r="R46" s="290"/>
      <c r="S46" s="290"/>
      <c r="T46" s="290"/>
      <c r="U46" s="290"/>
      <c r="V46" s="290"/>
      <c r="W46" s="290"/>
      <c r="X46" s="290"/>
      <c r="Y46" s="290"/>
      <c r="Z46" s="290"/>
      <c r="AA46" s="290"/>
    </row>
    <row r="47" spans="1:27" customFormat="1" hidden="1">
      <c r="A47" s="290"/>
      <c r="B47" s="290"/>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row>
    <row r="48" spans="1:27" customFormat="1" hidden="1">
      <c r="A48" s="290"/>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row>
    <row r="49" spans="1:27" customFormat="1" hidden="1">
      <c r="A49" s="290"/>
      <c r="B49" s="290"/>
      <c r="C49" s="290"/>
      <c r="D49" s="290"/>
      <c r="E49" s="290"/>
      <c r="F49" s="290"/>
      <c r="G49" s="290"/>
      <c r="H49" s="290"/>
      <c r="I49" s="290"/>
      <c r="J49" s="290"/>
      <c r="K49" s="290"/>
      <c r="L49" s="290"/>
      <c r="M49" s="290"/>
      <c r="N49" s="290"/>
      <c r="O49" s="290"/>
      <c r="P49" s="290"/>
      <c r="Q49" s="290"/>
      <c r="R49" s="290"/>
      <c r="S49" s="290"/>
      <c r="T49" s="290"/>
      <c r="U49" s="290"/>
      <c r="V49" s="290"/>
      <c r="W49" s="290"/>
      <c r="X49" s="290"/>
      <c r="Y49" s="290"/>
      <c r="Z49" s="290"/>
      <c r="AA49" s="290"/>
    </row>
    <row r="50" spans="1:27" customFormat="1" hidden="1">
      <c r="A50" s="290"/>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row>
  </sheetData>
  <sheetProtection sheet="1" objects="1" selectLockedCells="1"/>
  <mergeCells count="8">
    <mergeCell ref="A32:F34"/>
    <mergeCell ref="L27:N27"/>
    <mergeCell ref="A1:D1"/>
    <mergeCell ref="B3:D3"/>
    <mergeCell ref="P16:S16"/>
    <mergeCell ref="L13:N13"/>
    <mergeCell ref="L20:N20"/>
    <mergeCell ref="A5:H5"/>
  </mergeCells>
  <conditionalFormatting sqref="A5:H5">
    <cfRule type="expression" dxfId="615" priority="5">
      <formula>AND($B$3&gt;0,OR(($B$3+Q18)&lt;800,($B$3+S18)&lt;440,($B$3+U18)&lt;790))</formula>
    </cfRule>
  </conditionalFormatting>
  <conditionalFormatting sqref="B9">
    <cfRule type="expression" dxfId="614" priority="1">
      <formula>($B$3+Q18)&lt;800</formula>
    </cfRule>
  </conditionalFormatting>
  <conditionalFormatting sqref="D9">
    <cfRule type="expression" dxfId="613" priority="3">
      <formula>+($B$3+S18)&lt;440</formula>
    </cfRule>
  </conditionalFormatting>
  <conditionalFormatting sqref="F9">
    <cfRule type="expression" dxfId="612" priority="2">
      <formula>+($B$3+U18)&lt;790</formula>
    </cfRule>
  </conditionalFormatting>
  <pageMargins left="0.70866141732283472" right="0.70866141732283472" top="0.78740157480314965" bottom="0.78740157480314965" header="0.31496062992125984" footer="0.31496062992125984"/>
  <pageSetup paperSize="9" orientation="portrait" r:id="rId1"/>
  <headerFooter>
    <oddFooter>&amp;LAnwendungstechnik&amp;CStand: 29.01.2021&amp;RVersion: 21.00.04</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F8B26-00C8-4265-8552-4E0B97E9DCFB}">
  <sheetPr codeName="Tabelle35">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Kalk2_Eingabe!C4</f>
        <v>PREFA</v>
      </c>
      <c r="D4" s="547"/>
      <c r="E4" s="548"/>
      <c r="F4" s="150"/>
      <c r="G4" s="150"/>
      <c r="H4" s="151"/>
      <c r="I4" s="148"/>
    </row>
    <row r="5" spans="1:11" ht="16.5" customHeight="1">
      <c r="A5" s="148"/>
      <c r="B5" s="164" t="s">
        <v>22319</v>
      </c>
      <c r="C5" s="549" t="str">
        <f>Kalk2_Eingabe!C5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22501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5.51</v>
      </c>
      <c r="D11" s="151" t="s">
        <v>22394</v>
      </c>
      <c r="E11" s="163" t="s">
        <v>22397</v>
      </c>
      <c r="F11" s="177"/>
      <c r="G11" s="148"/>
      <c r="H11" s="148"/>
      <c r="I11" s="148"/>
    </row>
    <row r="12" spans="1:11" ht="14.25" customHeight="1">
      <c r="A12" s="179"/>
      <c r="B12" s="175" t="s">
        <v>22398</v>
      </c>
      <c r="C12" s="187">
        <v>309.92</v>
      </c>
      <c r="D12" s="151" t="s">
        <v>22372</v>
      </c>
      <c r="E12" s="163" t="s">
        <v>22399</v>
      </c>
      <c r="F12" s="178"/>
      <c r="G12" s="181"/>
      <c r="H12" s="148"/>
      <c r="I12" s="148"/>
    </row>
    <row r="13" spans="1:11" ht="14.25" customHeight="1">
      <c r="A13" s="148"/>
      <c r="B13" s="162" t="s">
        <v>22400</v>
      </c>
      <c r="C13" s="187">
        <v>77.48</v>
      </c>
      <c r="D13" s="168" t="s">
        <v>22401</v>
      </c>
      <c r="E13" s="183" t="s">
        <v>22402</v>
      </c>
      <c r="F13" s="177"/>
      <c r="G13" s="148"/>
      <c r="H13" s="148"/>
      <c r="I13" s="148"/>
    </row>
    <row r="14" spans="1:11" ht="14.25" customHeight="1">
      <c r="B14" s="162" t="s">
        <v>22403</v>
      </c>
      <c r="C14" s="187">
        <v>88.67</v>
      </c>
      <c r="D14" s="168" t="s">
        <v>22401</v>
      </c>
      <c r="E14" s="183" t="s">
        <v>22404</v>
      </c>
      <c r="H14" s="152" t="s">
        <v>24944</v>
      </c>
    </row>
    <row r="15" spans="1:11" ht="14.25" customHeight="1">
      <c r="B15" s="165" t="s">
        <v>22504</v>
      </c>
      <c r="C15" s="185">
        <f>ROUNDUP((Kalk2_Eingabe!C18+Kalk2_Eingabe!C20)/0.2,0)</f>
        <v>0</v>
      </c>
      <c r="D15" s="168" t="s">
        <v>20892</v>
      </c>
      <c r="E15" s="183" t="s">
        <v>22484</v>
      </c>
      <c r="H15" s="165" t="s">
        <v>22504</v>
      </c>
      <c r="I15" s="185">
        <f>ROUNDUP((Kalk2_Eingabe!C18+Kalk2_Eingabe!C20)/0.2,0)</f>
        <v>0</v>
      </c>
      <c r="J15" s="168" t="s">
        <v>20892</v>
      </c>
      <c r="K15" s="183" t="s">
        <v>22484</v>
      </c>
    </row>
    <row r="16" spans="1:11" ht="14.25" customHeight="1">
      <c r="B16" s="165" t="s">
        <v>22599</v>
      </c>
      <c r="C16" s="185">
        <f>(15+Kalk2!H29+10)/1000</f>
        <v>2.5000000000000001E-2</v>
      </c>
      <c r="D16" s="168" t="s">
        <v>6945</v>
      </c>
      <c r="E16" s="183" t="s">
        <v>22352</v>
      </c>
      <c r="H16" s="165" t="s">
        <v>22599</v>
      </c>
      <c r="I16" s="185">
        <f>(15+C15*200+10)/1000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MAX(Kalk2_Lastfallkombi!C50,Kalk2_Lastfallkombi!C60,Kalk2_Lastfallkombi!C65,Kalk2_Lastfallkombi!C69)</f>
        <v>#DIV/0!</v>
      </c>
      <c r="D27" s="190" t="s">
        <v>22379</v>
      </c>
      <c r="E27" s="183" t="s">
        <v>22487</v>
      </c>
    </row>
    <row r="28" spans="1:8" ht="14.25" customHeight="1" thickBot="1">
      <c r="B28" s="193" t="s">
        <v>22488</v>
      </c>
      <c r="C28" s="194" t="e">
        <f>MAX(Kalk2_Lastfallkombi!C51,Kalk2_Lastfallkombi!C61,Kalk2_Lastfallkombi!C66,Kalk2_Lastfallkombi!C70)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57.839999695178861</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22600</v>
      </c>
      <c r="C36" s="185">
        <v>1.0900000000000001</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22601</v>
      </c>
      <c r="C39" s="185">
        <f>C13*C21/C23/100</f>
        <v>15.186079999999999</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Kalk2_Lastfallkombi!D24*Kalk2_Lastfallkombi!C15/100</f>
        <v>-0.1512</v>
      </c>
      <c r="D45" s="168" t="s">
        <v>22469</v>
      </c>
    </row>
    <row r="46" spans="1:4" ht="14.25" customHeight="1">
      <c r="B46" s="178" t="s">
        <v>22492</v>
      </c>
      <c r="C46" s="185">
        <f>5*C45/100*(Kalk2_Eingabe!C19*100-5)^4/(384*'Kalk2_DB_80-200'!C19*'Kalk2_DB_80-200'!C12)</f>
        <v>-5.6718266004130092E-9</v>
      </c>
      <c r="D46" s="168" t="s">
        <v>22416</v>
      </c>
    </row>
    <row r="47" spans="1:4" ht="14.25" customHeight="1" thickBot="1">
      <c r="B47" s="178" t="s">
        <v>22473</v>
      </c>
      <c r="C47" s="185">
        <f>(Kalk2_Eingabe!C19*100-5)/Haftungsausschluß!L34</f>
        <v>-3.3333333333333333E-2</v>
      </c>
      <c r="D47" s="168" t="s">
        <v>22416</v>
      </c>
    </row>
    <row r="48" spans="1:4" ht="14.25" customHeight="1" thickBot="1">
      <c r="B48" s="193" t="s">
        <v>22474</v>
      </c>
      <c r="C48" s="196">
        <f>C46/C47</f>
        <v>1.7015479801239028E-7</v>
      </c>
    </row>
    <row r="49" spans="2:5" ht="14.25" customHeight="1">
      <c r="B49" s="200" t="s">
        <v>22493</v>
      </c>
      <c r="C49" s="199" t="s">
        <v>22422</v>
      </c>
      <c r="D49" s="199" t="s">
        <v>21191</v>
      </c>
    </row>
    <row r="50" spans="2:5" ht="14.25" customHeight="1">
      <c r="B50" s="178" t="s">
        <v>22494</v>
      </c>
      <c r="C50" s="185" t="e">
        <f>Kalk2_Lastfallkombi!D38*Kalk2_Lastfallkombi!C14/100</f>
        <v>#DIV/0!</v>
      </c>
      <c r="D50" s="185">
        <f>Kalk2_Lastfallkombi!D26*Kalk2_Lastfallkombi!C14/100</f>
        <v>-0.14399999999999999</v>
      </c>
      <c r="E50" s="168" t="s">
        <v>22469</v>
      </c>
    </row>
    <row r="51" spans="2:5" ht="14.25" customHeight="1">
      <c r="B51" s="178" t="s">
        <v>22495</v>
      </c>
      <c r="C51" s="185" t="e">
        <f>5*C50/100*(Kalk2_Eingabe!C19*100-5)^4/(384*'Kalk2_DB_80-200'!C19*'Kalk2_DB_80-200'!C12)</f>
        <v>#DIV/0!</v>
      </c>
      <c r="D51" s="185">
        <f>5*D50/100*(Kalk2_Eingabe!C19*100-5)^4/(384*'Kalk2_DB_80-200'!C19*'Kalk2_DB_80-200'!C12)</f>
        <v>-5.4017396194409619E-9</v>
      </c>
      <c r="E51" s="168" t="s">
        <v>22416</v>
      </c>
    </row>
    <row r="52" spans="2:5" ht="14.25" customHeight="1">
      <c r="B52" s="165" t="s">
        <v>22496</v>
      </c>
      <c r="C52" s="185" t="e">
        <f>Kalk2_Lastfallkombi!D44</f>
        <v>#DIV/0!</v>
      </c>
      <c r="D52" s="185" t="e">
        <f>Kalk2_Lastfallkombi!D54</f>
        <v>#NUM!</v>
      </c>
      <c r="E52" s="168" t="s">
        <v>22469</v>
      </c>
    </row>
    <row r="53" spans="2:5" ht="14.25" customHeight="1">
      <c r="B53" s="165" t="s">
        <v>22497</v>
      </c>
      <c r="C53" s="185">
        <f>(Kalk2_Eingabe!C19-0.5-0.05)/2</f>
        <v>-0.27500000000000002</v>
      </c>
      <c r="D53" s="185">
        <f>C53</f>
        <v>-0.27500000000000002</v>
      </c>
      <c r="E53" s="168" t="s">
        <v>6945</v>
      </c>
    </row>
    <row r="54" spans="2:5" ht="14.25" customHeight="1">
      <c r="B54" s="165" t="s">
        <v>22498</v>
      </c>
      <c r="C54" s="185" t="e">
        <f>C52/100*(Kalk2_Eingabe!C19*100-5)^4/(384*'Kalk2_DB_80-200'!C19*'Kalk2_DB_80-200'!C12)*(5-24*('Kalk2_DB_80-200'!C53*100)^2/(Kalk2_Eingabe!C19*100-5)^2+16*('Kalk2_DB_80-200'!C53*100)^4/(Kalk2_Eingabe!C19*100-5)^4)</f>
        <v>#DIV/0!</v>
      </c>
      <c r="D54" s="185" t="e">
        <f>D52/100*(Kalk2_Eingabe!C19*100-5)^4/(384*'Kalk2_DB_80-200'!C19*'Kalk2_DB_80-200'!C12)*(5-24*('Kalk2_DB_80-200'!C53*100)^2/(Kalk2_Eingabe!C19*100-5)^2+16*('Kalk2_DB_80-200'!C53*100)^4/(Kalk2_Eingabe!C19*100-5)^4)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(Kalk2_Eingabe!C19*100-5)/150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87" priority="10" operator="greaterThan">
      <formula>1</formula>
    </cfRule>
    <cfRule type="dataBar" priority="11">
      <dataBar>
        <cfvo type="num" val="0"/>
        <cfvo type="num" val="0.99"/>
        <color rgb="FF638EC6"/>
      </dataBar>
      <extLst>
        <ext xmlns:x14="http://schemas.microsoft.com/office/spreadsheetml/2009/9/main" uri="{B025F937-C7B1-47D3-B67F-A62EFF666E3E}">
          <x14:id>{89E426E3-9E03-4697-A87F-4F8938E225A3}</x14:id>
        </ext>
      </extLst>
    </cfRule>
    <cfRule type="dataBar" priority="12">
      <dataBar>
        <cfvo type="num" val="0"/>
        <cfvo type="num" val="1"/>
        <color rgb="FF638EC6"/>
      </dataBar>
      <extLst>
        <ext xmlns:x14="http://schemas.microsoft.com/office/spreadsheetml/2009/9/main" uri="{B025F937-C7B1-47D3-B67F-A62EFF666E3E}">
          <x14:id>{F53DB443-6A63-4632-A9C9-AA4C9F7E9DF1}</x14:id>
        </ext>
      </extLst>
    </cfRule>
  </conditionalFormatting>
  <conditionalFormatting sqref="C41">
    <cfRule type="cellIs" dxfId="86" priority="7" operator="greaterThan">
      <formula>1</formula>
    </cfRule>
    <cfRule type="dataBar" priority="8">
      <dataBar>
        <cfvo type="num" val="0"/>
        <cfvo type="num" val="0.99"/>
        <color rgb="FF638EC6"/>
      </dataBar>
      <extLst>
        <ext xmlns:x14="http://schemas.microsoft.com/office/spreadsheetml/2009/9/main" uri="{B025F937-C7B1-47D3-B67F-A62EFF666E3E}">
          <x14:id>{2DA98986-5B62-48C3-9DD6-5036617FC6B7}</x14:id>
        </ext>
      </extLst>
    </cfRule>
    <cfRule type="dataBar" priority="9">
      <dataBar>
        <cfvo type="num" val="0"/>
        <cfvo type="num" val="1"/>
        <color rgb="FF638EC6"/>
      </dataBar>
      <extLst>
        <ext xmlns:x14="http://schemas.microsoft.com/office/spreadsheetml/2009/9/main" uri="{B025F937-C7B1-47D3-B67F-A62EFF666E3E}">
          <x14:id>{D81D52AB-82CB-4707-ABAC-F161CFB33236}</x14:id>
        </ext>
      </extLst>
    </cfRule>
  </conditionalFormatting>
  <conditionalFormatting sqref="C48">
    <cfRule type="cellIs" dxfId="85" priority="4" operator="greaterThan">
      <formula>1</formula>
    </cfRule>
    <cfRule type="dataBar" priority="5">
      <dataBar>
        <cfvo type="num" val="0"/>
        <cfvo type="num" val="0.99"/>
        <color rgb="FF638EC6"/>
      </dataBar>
      <extLst>
        <ext xmlns:x14="http://schemas.microsoft.com/office/spreadsheetml/2009/9/main" uri="{B025F937-C7B1-47D3-B67F-A62EFF666E3E}">
          <x14:id>{F4232251-C1FB-4B3A-A0DE-52D6968FC121}</x14:id>
        </ext>
      </extLst>
    </cfRule>
    <cfRule type="dataBar" priority="6">
      <dataBar>
        <cfvo type="num" val="0"/>
        <cfvo type="num" val="1"/>
        <color rgb="FF638EC6"/>
      </dataBar>
      <extLst>
        <ext xmlns:x14="http://schemas.microsoft.com/office/spreadsheetml/2009/9/main" uri="{B025F937-C7B1-47D3-B67F-A62EFF666E3E}">
          <x14:id>{2467403C-60C5-40CE-99F9-150A3182222F}</x14:id>
        </ext>
      </extLst>
    </cfRule>
  </conditionalFormatting>
  <conditionalFormatting sqref="C57">
    <cfRule type="cellIs" dxfId="84" priority="1" operator="greaterThan">
      <formula>1</formula>
    </cfRule>
    <cfRule type="dataBar" priority="2">
      <dataBar>
        <cfvo type="num" val="0"/>
        <cfvo type="num" val="0.99"/>
        <color rgb="FF638EC6"/>
      </dataBar>
      <extLst>
        <ext xmlns:x14="http://schemas.microsoft.com/office/spreadsheetml/2009/9/main" uri="{B025F937-C7B1-47D3-B67F-A62EFF666E3E}">
          <x14:id>{59D7F36E-B607-44EE-93F2-66D926ED1E21}</x14:id>
        </ext>
      </extLst>
    </cfRule>
    <cfRule type="dataBar" priority="3">
      <dataBar>
        <cfvo type="num" val="0"/>
        <cfvo type="num" val="1"/>
        <color rgb="FF638EC6"/>
      </dataBar>
      <extLst>
        <ext xmlns:x14="http://schemas.microsoft.com/office/spreadsheetml/2009/9/main" uri="{B025F937-C7B1-47D3-B67F-A62EFF666E3E}">
          <x14:id>{1C896F34-F3A8-42A9-A51E-D76AD175C19A}</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89E426E3-9E03-4697-A87F-4F8938E225A3}">
            <x14:dataBar minLength="0" maxLength="100">
              <x14:cfvo type="num">
                <xm:f>0</xm:f>
              </x14:cfvo>
              <x14:cfvo type="num">
                <xm:f>0.99</xm:f>
              </x14:cfvo>
              <x14:negativeFillColor rgb="FFFF0000"/>
              <x14:axisColor rgb="FF000000"/>
            </x14:dataBar>
          </x14:cfRule>
          <x14:cfRule type="dataBar" id="{F53DB443-6A63-4632-A9C9-AA4C9F7E9DF1}">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2DA98986-5B62-48C3-9DD6-5036617FC6B7}">
            <x14:dataBar minLength="0" maxLength="100">
              <x14:cfvo type="num">
                <xm:f>0</xm:f>
              </x14:cfvo>
              <x14:cfvo type="num">
                <xm:f>0.99</xm:f>
              </x14:cfvo>
              <x14:negativeFillColor rgb="FFFF0000"/>
              <x14:axisColor rgb="FF000000"/>
            </x14:dataBar>
          </x14:cfRule>
          <x14:cfRule type="dataBar" id="{D81D52AB-82CB-4707-ABAC-F161CFB33236}">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F4232251-C1FB-4B3A-A0DE-52D6968FC121}">
            <x14:dataBar minLength="0" maxLength="100">
              <x14:cfvo type="num">
                <xm:f>0</xm:f>
              </x14:cfvo>
              <x14:cfvo type="num">
                <xm:f>0.99</xm:f>
              </x14:cfvo>
              <x14:negativeFillColor rgb="FFFF0000"/>
              <x14:axisColor rgb="FF000000"/>
            </x14:dataBar>
          </x14:cfRule>
          <x14:cfRule type="dataBar" id="{2467403C-60C5-40CE-99F9-150A3182222F}">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59D7F36E-B607-44EE-93F2-66D926ED1E21}">
            <x14:dataBar minLength="0" maxLength="100">
              <x14:cfvo type="num">
                <xm:f>0</xm:f>
              </x14:cfvo>
              <x14:cfvo type="num">
                <xm:f>0.99</xm:f>
              </x14:cfvo>
              <x14:negativeFillColor rgb="FFFF0000"/>
              <x14:axisColor rgb="FF000000"/>
            </x14:dataBar>
          </x14:cfRule>
          <x14:cfRule type="dataBar" id="{1C896F34-F3A8-42A9-A51E-D76AD175C19A}">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BF65D-3079-4AC7-BA02-58FB19B736F4}">
  <sheetPr codeName="Tabelle36">
    <pageSetUpPr fitToPage="1"/>
  </sheetPr>
  <dimension ref="A1:AC582"/>
  <sheetViews>
    <sheetView workbookViewId="0"/>
  </sheetViews>
  <sheetFormatPr baseColWidth="10" defaultColWidth="11.42578125" defaultRowHeight="12.75"/>
  <cols>
    <col min="1" max="1" width="4.28515625" style="152" customWidth="1"/>
    <col min="2" max="2" width="38.7109375" style="152" customWidth="1"/>
    <col min="3" max="4" width="20.7109375" style="152" customWidth="1"/>
    <col min="5"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44901</v>
      </c>
      <c r="H3" s="156" t="s">
        <v>22312</v>
      </c>
      <c r="I3" s="158" t="s">
        <v>22313</v>
      </c>
    </row>
    <row r="4" spans="1:9" ht="16.5" customHeight="1">
      <c r="A4" s="148"/>
      <c r="B4" s="160" t="s">
        <v>22316</v>
      </c>
      <c r="C4" s="547" t="str">
        <f>Kalk2_Eingabe!C4</f>
        <v>PREFA</v>
      </c>
      <c r="D4" s="547"/>
      <c r="E4" s="548"/>
      <c r="F4" s="150"/>
      <c r="G4" s="150"/>
      <c r="H4" s="151"/>
      <c r="I4" s="148"/>
    </row>
    <row r="5" spans="1:9" ht="16.5" customHeight="1">
      <c r="A5" s="148"/>
      <c r="B5" s="164" t="s">
        <v>22319</v>
      </c>
      <c r="C5" s="549" t="str">
        <f>Kalk2_Eingabe!C5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22326</v>
      </c>
      <c r="C7" s="148"/>
      <c r="D7" s="168"/>
      <c r="E7" s="168"/>
      <c r="F7" s="148"/>
      <c r="G7" s="148"/>
      <c r="H7" s="148"/>
      <c r="I7" s="148"/>
    </row>
    <row r="8" spans="1:9" ht="16.5" customHeight="1">
      <c r="A8" s="148"/>
      <c r="B8" s="170"/>
      <c r="C8" s="148"/>
      <c r="D8" s="168"/>
      <c r="E8" s="168"/>
      <c r="F8" s="148"/>
      <c r="G8" s="148"/>
      <c r="H8" s="148"/>
      <c r="I8" s="148"/>
    </row>
    <row r="9" spans="1:9" ht="14.25" customHeight="1">
      <c r="A9" s="148"/>
      <c r="B9" s="148"/>
      <c r="C9" s="148"/>
      <c r="D9" s="168"/>
      <c r="E9" s="168"/>
      <c r="F9" s="148"/>
      <c r="G9" s="148"/>
      <c r="H9" s="148"/>
      <c r="I9" s="148"/>
    </row>
    <row r="10" spans="1:9" ht="14.25" customHeight="1" thickBot="1">
      <c r="A10" s="171" t="s">
        <v>22327</v>
      </c>
      <c r="B10" s="172" t="s">
        <v>22505</v>
      </c>
      <c r="C10" s="148"/>
      <c r="D10" s="168"/>
      <c r="E10" s="168"/>
      <c r="F10" s="148"/>
      <c r="G10" s="148"/>
      <c r="H10" s="148"/>
      <c r="I10" s="148"/>
    </row>
    <row r="11" spans="1:9" ht="14.25" customHeight="1" thickBot="1">
      <c r="A11" s="148"/>
      <c r="B11" s="173"/>
      <c r="C11" s="201" t="s">
        <v>22506</v>
      </c>
      <c r="D11" s="201" t="s">
        <v>22507</v>
      </c>
      <c r="E11" s="168"/>
      <c r="F11" s="148"/>
      <c r="G11" s="148"/>
      <c r="H11" s="148"/>
      <c r="I11" s="148"/>
    </row>
    <row r="12" spans="1:9" ht="14.25" customHeight="1">
      <c r="A12" s="148"/>
      <c r="B12" s="175" t="s">
        <v>22508</v>
      </c>
      <c r="C12" s="202">
        <v>1.35</v>
      </c>
      <c r="D12" s="202">
        <v>1</v>
      </c>
      <c r="F12" s="177"/>
      <c r="G12" s="148"/>
      <c r="H12" s="148"/>
      <c r="I12" s="148"/>
    </row>
    <row r="13" spans="1:9" ht="14.25" customHeight="1">
      <c r="A13" s="148"/>
      <c r="B13" s="175" t="s">
        <v>22509</v>
      </c>
      <c r="C13" s="203">
        <v>0.9</v>
      </c>
      <c r="D13" s="203">
        <f>C13</f>
        <v>0.9</v>
      </c>
      <c r="F13" s="177"/>
      <c r="G13" s="148"/>
      <c r="H13" s="148"/>
      <c r="I13" s="148"/>
    </row>
    <row r="14" spans="1:9" ht="14.25" customHeight="1">
      <c r="A14" s="148"/>
      <c r="B14" s="175" t="s">
        <v>22314</v>
      </c>
      <c r="C14" s="203">
        <f>IF(Kalk2_Eingabe!C22="50/150",Kalk2_Eingabe!N5,IF(Kalk2_Eingabe!C22="50/200",Kalk2_Eingabe!N6,IF(Kalk2_Eingabe!C22="80/200",Kalk2_Eingabe!N7,IF(Kalk2_Eingabe!C22="25/200",Kalk2_Eingabe!N8))))</f>
        <v>20</v>
      </c>
      <c r="D14" s="204"/>
      <c r="E14" s="168" t="s">
        <v>22416</v>
      </c>
      <c r="F14" s="163" t="s">
        <v>22318</v>
      </c>
      <c r="G14" s="148"/>
      <c r="I14" s="148"/>
    </row>
    <row r="15" spans="1:9" ht="14.25" customHeight="1" thickBot="1">
      <c r="A15" s="148"/>
      <c r="B15" s="175" t="s">
        <v>22315</v>
      </c>
      <c r="C15" s="205">
        <f>IF(Kalk2_Eingabe!C22="50/150",Kalk2_Eingabe!O5,IF(Kalk2_Eingabe!C22="50/200",Kalk2_Eingabe!O6,IF(Kalk2_Eingabe!C22="80/200",Kalk2_Eingabe!O7,IF(Kalk2_Eingabe!C22="25/200",Kalk2_Eingabe!O8))))</f>
        <v>21</v>
      </c>
      <c r="D15" s="206"/>
      <c r="E15" s="168" t="s">
        <v>22416</v>
      </c>
      <c r="F15" s="163" t="s">
        <v>22323</v>
      </c>
      <c r="G15" s="148"/>
      <c r="I15" s="148"/>
    </row>
    <row r="16" spans="1:9" ht="5.0999999999999996" customHeight="1">
      <c r="A16" s="148"/>
      <c r="B16" s="175"/>
      <c r="C16" s="207"/>
      <c r="D16" s="208"/>
      <c r="E16" s="168"/>
      <c r="F16" s="163"/>
      <c r="G16" s="148"/>
      <c r="I16" s="148"/>
    </row>
    <row r="17" spans="1:9" ht="24" customHeight="1" thickBot="1">
      <c r="A17" s="171" t="s">
        <v>22353</v>
      </c>
      <c r="B17" s="172" t="s">
        <v>22510</v>
      </c>
      <c r="C17" s="209" t="s">
        <v>22511</v>
      </c>
      <c r="D17" s="210" t="s">
        <v>22512</v>
      </c>
      <c r="I17" s="148"/>
    </row>
    <row r="18" spans="1:9" ht="14.25" customHeight="1">
      <c r="A18" s="211" t="s">
        <v>22513</v>
      </c>
      <c r="B18" s="212" t="s">
        <v>21191</v>
      </c>
      <c r="C18" s="213"/>
      <c r="D18" s="213"/>
      <c r="G18" s="181"/>
      <c r="I18" s="148"/>
    </row>
    <row r="19" spans="1:9" ht="14.25" customHeight="1">
      <c r="A19" s="179"/>
      <c r="B19" s="175" t="s">
        <v>22514</v>
      </c>
      <c r="C19" s="203">
        <f>C13*C12*Kalk2_Eingabe!C29</f>
        <v>0.30375000000000002</v>
      </c>
      <c r="D19" s="203">
        <f>D13*D12*Kalk2_Eingabe!C29</f>
        <v>0.22500000000000001</v>
      </c>
      <c r="E19" s="168" t="s">
        <v>22358</v>
      </c>
      <c r="G19" s="148"/>
      <c r="I19" s="148"/>
    </row>
    <row r="20" spans="1:9" ht="14.25" customHeight="1">
      <c r="A20" s="179"/>
      <c r="B20" s="175" t="s">
        <v>22515</v>
      </c>
      <c r="C20" s="203">
        <f>C13*Kalk2_Lastfallkombi!C12*Kalk2_Eingabe!C32</f>
        <v>0</v>
      </c>
      <c r="D20" s="203">
        <f>D13*Kalk2_Lastfallkombi!D12*Kalk2_Eingabe!C32</f>
        <v>0</v>
      </c>
      <c r="E20" s="168"/>
      <c r="G20" s="148"/>
      <c r="I20" s="148"/>
    </row>
    <row r="21" spans="1:9" ht="14.25" customHeight="1">
      <c r="B21" s="214" t="s">
        <v>22516</v>
      </c>
      <c r="C21" s="215"/>
      <c r="D21" s="203"/>
      <c r="E21" s="168"/>
    </row>
    <row r="22" spans="1:9" ht="14.25" customHeight="1">
      <c r="B22" s="175" t="s">
        <v>22517</v>
      </c>
      <c r="C22" s="203">
        <f>C19</f>
        <v>0.30375000000000002</v>
      </c>
      <c r="D22" s="203">
        <f>D19</f>
        <v>0.22500000000000001</v>
      </c>
      <c r="E22" s="168" t="s">
        <v>22358</v>
      </c>
    </row>
    <row r="23" spans="1:9" ht="14.25" customHeight="1">
      <c r="A23" s="179"/>
      <c r="B23" s="175" t="s">
        <v>22518</v>
      </c>
      <c r="C23" s="203">
        <f>C19*(Kalk2_Eingabe!C24-C15/100)/Kalk2_Eingabe!C24</f>
        <v>-2.2477499999999999</v>
      </c>
      <c r="D23" s="203">
        <f>D19*(Kalk2_Eingabe!C24-C15/100)/Kalk2_Eingabe!C24</f>
        <v>-1.665</v>
      </c>
      <c r="E23" s="168" t="s">
        <v>22358</v>
      </c>
    </row>
    <row r="24" spans="1:9" ht="14.25" customHeight="1">
      <c r="B24" s="175" t="s">
        <v>22519</v>
      </c>
      <c r="C24" s="203">
        <f>(C22+C23)/2+C20</f>
        <v>-0.97199999999999998</v>
      </c>
      <c r="D24" s="203">
        <f>(D22+D23)/2+D20</f>
        <v>-0.72</v>
      </c>
      <c r="E24" s="168" t="s">
        <v>22358</v>
      </c>
      <c r="F24" s="163" t="s">
        <v>22520</v>
      </c>
    </row>
    <row r="25" spans="1:9" ht="14.25" customHeight="1">
      <c r="B25" s="214" t="s">
        <v>22521</v>
      </c>
      <c r="C25" s="215"/>
      <c r="D25" s="215"/>
      <c r="E25" s="168"/>
    </row>
    <row r="26" spans="1:9" ht="14.25" customHeight="1">
      <c r="B26" s="175" t="s">
        <v>22522</v>
      </c>
      <c r="C26" s="203">
        <f>VLOOKUP(P102+1,K47:Y94,15,FALSE)</f>
        <v>-0.97199999999999998</v>
      </c>
      <c r="D26" s="203">
        <f>VLOOKUP(P102+1,K47:AC94,19,FALSE)</f>
        <v>-0.72</v>
      </c>
      <c r="E26" s="168" t="s">
        <v>22358</v>
      </c>
      <c r="F26" s="163" t="s">
        <v>22523</v>
      </c>
    </row>
    <row r="27" spans="1:9" ht="14.25" customHeight="1">
      <c r="B27" s="165" t="s">
        <v>22524</v>
      </c>
      <c r="C27" s="203" t="e">
        <f>C12*C13*Kalk2_Eingabe!C46</f>
        <v>#NUM!</v>
      </c>
      <c r="D27" s="203" t="e">
        <f>D12*D13*Kalk2_Eingabe!C46</f>
        <v>#NUM!</v>
      </c>
      <c r="E27" s="168" t="s">
        <v>22379</v>
      </c>
      <c r="F27" s="163" t="s">
        <v>22525</v>
      </c>
    </row>
    <row r="28" spans="1:9" ht="14.25" customHeight="1">
      <c r="B28" s="165" t="s">
        <v>22526</v>
      </c>
      <c r="C28" s="203" t="e">
        <f>C12*C13*Kalk2_Eingabe!C47</f>
        <v>#NUM!</v>
      </c>
      <c r="D28" s="203" t="e">
        <f>D12*D13*Kalk2_Eingabe!C47</f>
        <v>#NUM!</v>
      </c>
      <c r="E28" s="168" t="s">
        <v>22379</v>
      </c>
      <c r="F28" s="163" t="s">
        <v>22527</v>
      </c>
    </row>
    <row r="29" spans="1:9" ht="5.0999999999999996" customHeight="1">
      <c r="B29" s="165"/>
      <c r="C29" s="203"/>
      <c r="D29" s="203"/>
      <c r="F29" s="163"/>
    </row>
    <row r="30" spans="1:9" ht="14.25" customHeight="1">
      <c r="A30" s="216" t="s">
        <v>22528</v>
      </c>
      <c r="B30" s="212" t="s">
        <v>22422</v>
      </c>
      <c r="C30" s="203"/>
      <c r="D30" s="203"/>
      <c r="F30" s="163"/>
    </row>
    <row r="31" spans="1:9" ht="14.25" customHeight="1">
      <c r="B31" s="175" t="s">
        <v>22529</v>
      </c>
      <c r="C31" s="203">
        <f>C12*Kalk2_Eingabe!C28</f>
        <v>0</v>
      </c>
      <c r="D31" s="203">
        <f>D12*Kalk2_Eingabe!C28</f>
        <v>0</v>
      </c>
      <c r="E31" s="168" t="s">
        <v>22358</v>
      </c>
      <c r="F31" s="163"/>
      <c r="G31" s="185"/>
    </row>
    <row r="32" spans="1:9" ht="14.25" customHeight="1">
      <c r="B32" s="175" t="s">
        <v>22530</v>
      </c>
      <c r="C32" s="203">
        <f>Kalk2_Lastfallkombi!C12*Kalk2_Eingabe!C32</f>
        <v>0</v>
      </c>
      <c r="D32" s="203">
        <f>Kalk2_Lastfallkombi!D12*Kalk2_Eingabe!C32</f>
        <v>0</v>
      </c>
      <c r="E32" s="168"/>
      <c r="F32" s="163"/>
    </row>
    <row r="33" spans="1:29" ht="14.25" customHeight="1">
      <c r="B33" s="214" t="s">
        <v>22516</v>
      </c>
      <c r="C33" s="215"/>
      <c r="D33" s="215"/>
      <c r="E33" s="168"/>
      <c r="F33" s="163"/>
      <c r="G33" s="185"/>
    </row>
    <row r="34" spans="1:29" ht="14.25" customHeight="1">
      <c r="B34" s="175" t="s">
        <v>22531</v>
      </c>
      <c r="C34" s="203">
        <f>C31</f>
        <v>0</v>
      </c>
      <c r="D34" s="203">
        <f>D31</f>
        <v>0</v>
      </c>
      <c r="E34" s="168" t="s">
        <v>22358</v>
      </c>
      <c r="F34" s="183"/>
      <c r="G34" s="185"/>
    </row>
    <row r="35" spans="1:29" ht="14.25" customHeight="1">
      <c r="B35" s="175" t="s">
        <v>22532</v>
      </c>
      <c r="C35" s="203" t="e">
        <f>C31*(Kalk2_Eingabe!C18-Kalk2_Lastfallkombi!C15/100)/Kalk2_Eingabe!C18</f>
        <v>#DIV/0!</v>
      </c>
      <c r="D35" s="203" t="e">
        <f>D31*(Kalk2_Eingabe!C18-Kalk2_Lastfallkombi!C15/100)/Kalk2_Eingabe!C18</f>
        <v>#DIV/0!</v>
      </c>
      <c r="E35" s="168" t="s">
        <v>22358</v>
      </c>
      <c r="F35" s="183"/>
      <c r="G35" s="185"/>
    </row>
    <row r="36" spans="1:29" ht="14.25" customHeight="1">
      <c r="B36" s="175" t="s">
        <v>22533</v>
      </c>
      <c r="C36" s="203" t="e">
        <f>(C34+C35)/2+C32</f>
        <v>#DIV/0!</v>
      </c>
      <c r="D36" s="203" t="e">
        <f>(D34+D35)/2+D32</f>
        <v>#DIV/0!</v>
      </c>
      <c r="E36" s="168" t="s">
        <v>22358</v>
      </c>
      <c r="F36" s="163" t="s">
        <v>22520</v>
      </c>
      <c r="K36" s="152" t="s">
        <v>22534</v>
      </c>
      <c r="L36" s="152">
        <f>IF(Kalk2_Eingabe!C22="50/150",'Kalk2_DB_50-150'!C15,IF(Kalk2_Eingabe!C22="50/200",'Kalk2_DB_50-200'!C15,IF(Kalk2_Eingabe!C22="80/200",'Kalk2_DB_80-200'!C15,IF(Kalk2_Eingabe!C22="25/200",'Kalk2_DB_25-200'!C15))))</f>
        <v>0</v>
      </c>
      <c r="M36" s="152" t="s">
        <v>20892</v>
      </c>
    </row>
    <row r="37" spans="1:29" ht="14.25" customHeight="1">
      <c r="B37" s="214" t="s">
        <v>22535</v>
      </c>
      <c r="C37" s="215"/>
      <c r="D37" s="215"/>
      <c r="E37" s="168"/>
      <c r="L37" s="152">
        <v>2</v>
      </c>
    </row>
    <row r="38" spans="1:29" ht="14.25" customHeight="1">
      <c r="B38" s="217" t="s">
        <v>22536</v>
      </c>
      <c r="C38" s="203" t="e">
        <f>VLOOKUP(P98+1,K47:U94,7,FALSE)</f>
        <v>#DIV/0!</v>
      </c>
      <c r="D38" s="203" t="e">
        <f>VLOOKUP(P98+1,K47:U94,11,FALSE)</f>
        <v>#DIV/0!</v>
      </c>
      <c r="E38" s="168" t="s">
        <v>22358</v>
      </c>
      <c r="F38" s="218" t="s">
        <v>22523</v>
      </c>
      <c r="K38" s="152" t="s">
        <v>22537</v>
      </c>
    </row>
    <row r="39" spans="1:29" ht="14.25" customHeight="1">
      <c r="B39" s="165" t="s">
        <v>22538</v>
      </c>
      <c r="C39" s="203" t="e">
        <f>C12*Kalk2_Eingabe!C39</f>
        <v>#DIV/0!</v>
      </c>
      <c r="D39" s="203" t="e">
        <f>D12*Kalk2_Eingabe!C39</f>
        <v>#DIV/0!</v>
      </c>
      <c r="E39" s="168" t="s">
        <v>22379</v>
      </c>
      <c r="F39" s="218" t="s">
        <v>22525</v>
      </c>
      <c r="L39" s="152" t="s">
        <v>22539</v>
      </c>
      <c r="M39" s="152" t="s">
        <v>22540</v>
      </c>
    </row>
    <row r="40" spans="1:29" ht="14.25" customHeight="1">
      <c r="B40" s="165" t="s">
        <v>22541</v>
      </c>
      <c r="C40" s="203" t="e">
        <f>C12*Kalk2_Eingabe!C40</f>
        <v>#DIV/0!</v>
      </c>
      <c r="D40" s="203" t="e">
        <f>D12*Kalk2_Eingabe!C40</f>
        <v>#DIV/0!</v>
      </c>
      <c r="E40" s="168" t="s">
        <v>22379</v>
      </c>
      <c r="F40" s="218" t="s">
        <v>22527</v>
      </c>
      <c r="K40" s="152" t="s">
        <v>22542</v>
      </c>
      <c r="L40" s="152">
        <v>0</v>
      </c>
      <c r="M40" s="152">
        <v>0</v>
      </c>
    </row>
    <row r="41" spans="1:29" ht="5.0999999999999996" customHeight="1" thickBot="1">
      <c r="C41" s="206"/>
      <c r="D41" s="206"/>
      <c r="L41" s="152">
        <f>L37+0.5</f>
        <v>2.5</v>
      </c>
      <c r="M41" s="152">
        <v>0</v>
      </c>
    </row>
    <row r="42" spans="1:29" ht="14.25" customHeight="1" thickBot="1">
      <c r="A42" s="171" t="s">
        <v>22413</v>
      </c>
      <c r="B42" s="172" t="s">
        <v>22543</v>
      </c>
      <c r="C42" s="201" t="s">
        <v>22506</v>
      </c>
      <c r="D42" s="201" t="s">
        <v>22507</v>
      </c>
      <c r="K42" s="152" t="s">
        <v>22544</v>
      </c>
      <c r="L42" s="152">
        <f>L37</f>
        <v>2</v>
      </c>
      <c r="M42" s="152">
        <v>0</v>
      </c>
    </row>
    <row r="43" spans="1:29" ht="14.25" customHeight="1">
      <c r="A43" s="219" t="s">
        <v>22528</v>
      </c>
      <c r="B43" s="192" t="s">
        <v>22545</v>
      </c>
      <c r="C43" s="213"/>
      <c r="D43" s="213"/>
      <c r="L43" s="152">
        <f>L42</f>
        <v>2</v>
      </c>
      <c r="M43" s="185">
        <f>Kalk2_Eingabe!C24</f>
        <v>2.5000000000000001E-2</v>
      </c>
    </row>
    <row r="44" spans="1:29" ht="14.25" customHeight="1">
      <c r="B44" s="165" t="s">
        <v>22496</v>
      </c>
      <c r="C44" s="203" t="e">
        <f>C39/Kalk2_Eingabe!C41/0.5</f>
        <v>#DIV/0!</v>
      </c>
      <c r="D44" s="203" t="e">
        <f>D39/Kalk2_Eingabe!C41/0.5</f>
        <v>#DIV/0!</v>
      </c>
      <c r="E44" s="168" t="s">
        <v>22469</v>
      </c>
      <c r="K44" s="152" t="s">
        <v>22422</v>
      </c>
      <c r="L44" s="152">
        <v>0</v>
      </c>
      <c r="M44" s="185">
        <f>Kalk2_Eingabe!C18</f>
        <v>0</v>
      </c>
      <c r="N44" s="551" t="s">
        <v>22546</v>
      </c>
      <c r="O44" s="552"/>
      <c r="P44" s="552"/>
      <c r="Q44" s="553"/>
      <c r="R44" s="551" t="s">
        <v>22547</v>
      </c>
      <c r="S44" s="552"/>
      <c r="T44" s="552"/>
      <c r="U44" s="553"/>
      <c r="V44" s="551" t="s">
        <v>22548</v>
      </c>
      <c r="W44" s="552"/>
      <c r="X44" s="552"/>
      <c r="Y44" s="553"/>
      <c r="Z44" s="551" t="s">
        <v>22547</v>
      </c>
      <c r="AA44" s="552"/>
      <c r="AB44" s="552"/>
      <c r="AC44" s="553"/>
    </row>
    <row r="45" spans="1:29" ht="14.25" customHeight="1">
      <c r="B45" s="165" t="s">
        <v>22549</v>
      </c>
      <c r="C45" s="203" t="e">
        <f>C44*0.5*(2*((Kalk2_Eingabe!C19-0.5)/2)+0.5)/(2*Kalk2_Eingabe!C19)</f>
        <v>#DIV/0!</v>
      </c>
      <c r="D45" s="203" t="e">
        <f>D44*0.5*(2*((Kalk2_Eingabe!C19-0.5)/2)+0.5)/(2*Kalk2_Eingabe!C19)</f>
        <v>#DIV/0!</v>
      </c>
      <c r="E45" s="168" t="s">
        <v>22379</v>
      </c>
      <c r="F45" s="163"/>
      <c r="L45" s="152">
        <f>L43</f>
        <v>2</v>
      </c>
      <c r="M45" s="185">
        <f>M44</f>
        <v>0</v>
      </c>
      <c r="N45" s="220"/>
      <c r="O45" s="221"/>
      <c r="P45" s="221"/>
      <c r="Q45" s="222"/>
      <c r="R45" s="220"/>
      <c r="S45" s="221"/>
      <c r="T45" s="221"/>
      <c r="U45" s="222"/>
      <c r="V45" s="220"/>
      <c r="W45" s="221"/>
      <c r="X45" s="221"/>
      <c r="Y45" s="222"/>
      <c r="Z45" s="220"/>
      <c r="AA45" s="221"/>
      <c r="AB45" s="221"/>
      <c r="AC45" s="222"/>
    </row>
    <row r="46" spans="1:29" ht="14.25" customHeight="1">
      <c r="B46" s="165" t="s">
        <v>22550</v>
      </c>
      <c r="C46" s="203" t="e">
        <f>IF(C44=0,0,C45*(((Kalk2_Eingabe!C19-0.5)/2)+Kalk2_Lastfallkombi!C45/(2*Kalk2_Lastfallkombi!C44)))</f>
        <v>#DIV/0!</v>
      </c>
      <c r="D46" s="203" t="e">
        <f>IF(D44=0,0,D45*(((Kalk2_Eingabe!C19-0.5)/2)+Kalk2_Lastfallkombi!D45/(2*Kalk2_Lastfallkombi!D44)))</f>
        <v>#DIV/0!</v>
      </c>
      <c r="E46" s="168" t="s">
        <v>22428</v>
      </c>
      <c r="F46" s="163"/>
      <c r="K46" s="152" t="s">
        <v>22551</v>
      </c>
      <c r="N46" s="223" t="s">
        <v>22552</v>
      </c>
      <c r="O46" s="224" t="s">
        <v>22553</v>
      </c>
      <c r="P46" s="225" t="s">
        <v>22554</v>
      </c>
      <c r="Q46" s="226" t="s">
        <v>22555</v>
      </c>
      <c r="R46" s="223" t="s">
        <v>22552</v>
      </c>
      <c r="S46" s="224" t="s">
        <v>22553</v>
      </c>
      <c r="T46" s="225" t="s">
        <v>22554</v>
      </c>
      <c r="U46" s="226" t="s">
        <v>22555</v>
      </c>
      <c r="V46" s="223" t="s">
        <v>22552</v>
      </c>
      <c r="W46" s="224" t="s">
        <v>22553</v>
      </c>
      <c r="X46" s="225" t="s">
        <v>22554</v>
      </c>
      <c r="Y46" s="226" t="s">
        <v>22555</v>
      </c>
      <c r="Z46" s="223" t="s">
        <v>22552</v>
      </c>
      <c r="AA46" s="224" t="s">
        <v>22553</v>
      </c>
      <c r="AB46" s="225" t="s">
        <v>22554</v>
      </c>
      <c r="AC46" s="226" t="s">
        <v>22555</v>
      </c>
    </row>
    <row r="47" spans="1:29" ht="14.25" customHeight="1">
      <c r="B47" s="192" t="s">
        <v>22556</v>
      </c>
      <c r="C47" s="204"/>
      <c r="D47" s="204"/>
      <c r="F47" s="163"/>
      <c r="K47" s="152">
        <v>1</v>
      </c>
      <c r="L47" s="185">
        <f>L42-0.02</f>
        <v>1.98</v>
      </c>
      <c r="M47" s="185">
        <f>C15/100</f>
        <v>0.21</v>
      </c>
      <c r="N47" s="227">
        <f>C31</f>
        <v>0</v>
      </c>
      <c r="O47" s="185">
        <f>C32</f>
        <v>0</v>
      </c>
      <c r="P47" s="185">
        <f>O47+N47</f>
        <v>0</v>
      </c>
      <c r="Q47" s="228" t="e">
        <f>Q48</f>
        <v>#DIV/0!</v>
      </c>
      <c r="R47" s="227">
        <f>D31</f>
        <v>0</v>
      </c>
      <c r="S47" s="185">
        <f>D32</f>
        <v>0</v>
      </c>
      <c r="T47" s="185">
        <f>S47+R47</f>
        <v>0</v>
      </c>
      <c r="U47" s="228" t="e">
        <f>U48</f>
        <v>#DIV/0!</v>
      </c>
      <c r="V47" s="229">
        <f>C19</f>
        <v>0.30375000000000002</v>
      </c>
      <c r="W47" s="230">
        <f>C20</f>
        <v>0</v>
      </c>
      <c r="X47" s="230">
        <f>W47+V47</f>
        <v>0.30375000000000002</v>
      </c>
      <c r="Y47" s="231">
        <f>Y48</f>
        <v>-0.97199999999999998</v>
      </c>
      <c r="Z47" s="229">
        <f>D19</f>
        <v>0.22500000000000001</v>
      </c>
      <c r="AA47" s="230">
        <f>D20</f>
        <v>0</v>
      </c>
      <c r="AB47" s="230">
        <f>AA47+Z47</f>
        <v>0.22500000000000001</v>
      </c>
      <c r="AC47" s="231">
        <f>AC48</f>
        <v>-0.72</v>
      </c>
    </row>
    <row r="48" spans="1:29" ht="14.25" customHeight="1">
      <c r="B48" s="165" t="s">
        <v>22557</v>
      </c>
      <c r="C48" s="203" t="e">
        <f>C38*C14/100*Kalk2_Eingabe!C19/2</f>
        <v>#DIV/0!</v>
      </c>
      <c r="D48" s="203" t="e">
        <f>D38*C14/100*Kalk2_Eingabe!C19/2</f>
        <v>#DIV/0!</v>
      </c>
      <c r="E48" s="168" t="s">
        <v>22379</v>
      </c>
      <c r="K48" s="152">
        <v>1</v>
      </c>
      <c r="L48" s="185">
        <f>L42+0.02</f>
        <v>2.02</v>
      </c>
      <c r="M48" s="185">
        <f>M47</f>
        <v>0.21</v>
      </c>
      <c r="N48" s="227" t="e">
        <f>$N$47/Kalk2_Eingabe!$C$18*(Kalk2_Eingabe!$C$18-Kalk2_Lastfallkombi!M48)</f>
        <v>#DIV/0!</v>
      </c>
      <c r="O48" s="185">
        <f>O47</f>
        <v>0</v>
      </c>
      <c r="P48" s="185" t="e">
        <f t="shared" ref="P48:P94" si="0">O48+N48</f>
        <v>#DIV/0!</v>
      </c>
      <c r="Q48" s="228" t="e">
        <f>AVERAGE(P48,P47)</f>
        <v>#DIV/0!</v>
      </c>
      <c r="R48" s="227" t="e">
        <f>$R$47/Kalk2_Eingabe!$C$18*(Kalk2_Eingabe!$C$18-Kalk2_Lastfallkombi!M48)</f>
        <v>#DIV/0!</v>
      </c>
      <c r="S48" s="185">
        <f>S47</f>
        <v>0</v>
      </c>
      <c r="T48" s="185" t="e">
        <f>S48+R48</f>
        <v>#DIV/0!</v>
      </c>
      <c r="U48" s="228" t="e">
        <f>AVERAGE(T48,T47)</f>
        <v>#DIV/0!</v>
      </c>
      <c r="V48" s="227">
        <f>$V$47/Kalk2_Eingabe!$C$24*(Kalk2_Eingabe!$C$24-Kalk2_Lastfallkombi!M48)</f>
        <v>-2.2477499999999999</v>
      </c>
      <c r="W48" s="185">
        <f>W47</f>
        <v>0</v>
      </c>
      <c r="X48" s="185">
        <f>W48+V48</f>
        <v>-2.2477499999999999</v>
      </c>
      <c r="Y48" s="228">
        <f>AVERAGE(X48,X47)</f>
        <v>-0.97199999999999998</v>
      </c>
      <c r="Z48" s="227">
        <f>$Z$47/Kalk2_Eingabe!$C$24*(Kalk2_Eingabe!$C$24-Kalk2_Lastfallkombi!M48)</f>
        <v>-1.665</v>
      </c>
      <c r="AA48" s="185">
        <f>AA47</f>
        <v>0</v>
      </c>
      <c r="AB48" s="185">
        <f>AA48+Z48</f>
        <v>-1.665</v>
      </c>
      <c r="AC48" s="228">
        <f>AVERAGE(AB48,AB47)</f>
        <v>-0.72</v>
      </c>
    </row>
    <row r="49" spans="1:29" ht="14.25" customHeight="1" thickBot="1">
      <c r="B49" s="165" t="s">
        <v>22558</v>
      </c>
      <c r="C49" s="203" t="e">
        <f>C38*C14/100*Kalk2_Eingabe!C19^2/8</f>
        <v>#DIV/0!</v>
      </c>
      <c r="D49" s="203" t="e">
        <f>D38*C14/100*Kalk2_Eingabe!C19^2/8</f>
        <v>#DIV/0!</v>
      </c>
      <c r="E49" s="168" t="s">
        <v>22428</v>
      </c>
      <c r="K49" s="152">
        <v>2</v>
      </c>
      <c r="L49" s="185">
        <f>L47</f>
        <v>1.98</v>
      </c>
      <c r="M49" s="185">
        <f>M47+IF(K49&lt;=$L$36,$C$14/100,0)</f>
        <v>0.21</v>
      </c>
      <c r="N49" s="227" t="e">
        <f>N48</f>
        <v>#DIV/0!</v>
      </c>
      <c r="O49" s="185" t="e">
        <f>IF(N49=0,0,O48)</f>
        <v>#DIV/0!</v>
      </c>
      <c r="P49" s="185" t="e">
        <f t="shared" si="0"/>
        <v>#DIV/0!</v>
      </c>
      <c r="Q49" s="228" t="e">
        <f>Q50</f>
        <v>#DIV/0!</v>
      </c>
      <c r="R49" s="227" t="e">
        <f>R48</f>
        <v>#DIV/0!</v>
      </c>
      <c r="S49" s="185" t="e">
        <f>IF(R49=0,0,S48)</f>
        <v>#DIV/0!</v>
      </c>
      <c r="T49" s="185" t="e">
        <f>S49+R49</f>
        <v>#DIV/0!</v>
      </c>
      <c r="U49" s="228" t="e">
        <f>U50</f>
        <v>#DIV/0!</v>
      </c>
      <c r="V49" s="227">
        <f>V48</f>
        <v>-2.2477499999999999</v>
      </c>
      <c r="W49" s="185">
        <f>IF(V49=0,0,W48)</f>
        <v>0</v>
      </c>
      <c r="X49" s="185">
        <f>W49+V49</f>
        <v>-2.2477499999999999</v>
      </c>
      <c r="Y49" s="228">
        <f>Y50</f>
        <v>-1.123875</v>
      </c>
      <c r="Z49" s="227">
        <f>Z48</f>
        <v>-1.665</v>
      </c>
      <c r="AA49" s="185">
        <f>IF(Z49=0,0,AA48)</f>
        <v>0</v>
      </c>
      <c r="AB49" s="185">
        <f>AA49+Z49</f>
        <v>-1.665</v>
      </c>
      <c r="AC49" s="228">
        <f>AC50</f>
        <v>-0.83250000000000002</v>
      </c>
    </row>
    <row r="50" spans="1:29" ht="14.25" customHeight="1" thickBot="1">
      <c r="A50" s="216" t="s">
        <v>22528</v>
      </c>
      <c r="B50" s="195" t="s">
        <v>22559</v>
      </c>
      <c r="C50" s="194" t="e">
        <f>C48+C45</f>
        <v>#DIV/0!</v>
      </c>
      <c r="D50" s="194" t="e">
        <f>D48+D45</f>
        <v>#DIV/0!</v>
      </c>
      <c r="E50" s="190" t="s">
        <v>22379</v>
      </c>
      <c r="K50" s="152">
        <v>2</v>
      </c>
      <c r="L50" s="185">
        <f>L48</f>
        <v>2.02</v>
      </c>
      <c r="M50" s="185">
        <f>M49</f>
        <v>0.21</v>
      </c>
      <c r="N50" s="227" t="e">
        <f>MAX($N$47/Kalk2_Eingabe!$C$18*(Kalk2_Eingabe!$C$18-Kalk2_Lastfallkombi!M50),0)</f>
        <v>#DIV/0!</v>
      </c>
      <c r="O50" s="185" t="e">
        <f t="shared" ref="O50:O94" si="1">O49</f>
        <v>#DIV/0!</v>
      </c>
      <c r="P50" s="185" t="e">
        <f t="shared" si="0"/>
        <v>#DIV/0!</v>
      </c>
      <c r="Q50" s="228" t="e">
        <f>AVERAGE(P50,P49)</f>
        <v>#DIV/0!</v>
      </c>
      <c r="R50" s="227" t="e">
        <f>MAX($R$47/Kalk2_Eingabe!$C$18*(Kalk2_Eingabe!$C$18-Kalk2_Lastfallkombi!M50),0)</f>
        <v>#DIV/0!</v>
      </c>
      <c r="S50" s="185" t="e">
        <f t="shared" ref="S50:S94" si="2">S49</f>
        <v>#DIV/0!</v>
      </c>
      <c r="T50" s="185" t="e">
        <f>S50+R50</f>
        <v>#DIV/0!</v>
      </c>
      <c r="U50" s="228" t="e">
        <f>AVERAGE(T50,T49)</f>
        <v>#DIV/0!</v>
      </c>
      <c r="V50" s="227">
        <f>MAX($V$47/Kalk2_Eingabe!$C$24*(Kalk2_Eingabe!$C$24-Kalk2_Lastfallkombi!M50),0)</f>
        <v>0</v>
      </c>
      <c r="W50" s="185">
        <f t="shared" ref="W50:W94" si="3">W49</f>
        <v>0</v>
      </c>
      <c r="X50" s="185">
        <f>W50+V50</f>
        <v>0</v>
      </c>
      <c r="Y50" s="228">
        <f>AVERAGE(X50,X49)</f>
        <v>-1.123875</v>
      </c>
      <c r="Z50" s="227">
        <f>MAX($Z$47/Kalk2_Eingabe!$C$24*(Kalk2_Eingabe!$C$24-Kalk2_Lastfallkombi!M50),0)</f>
        <v>0</v>
      </c>
      <c r="AA50" s="185">
        <f t="shared" ref="AA50:AA94" si="4">AA49</f>
        <v>0</v>
      </c>
      <c r="AB50" s="185">
        <f>AA50+Z50</f>
        <v>0</v>
      </c>
      <c r="AC50" s="228">
        <f>AVERAGE(AB50,AB49)</f>
        <v>-0.83250000000000002</v>
      </c>
    </row>
    <row r="51" spans="1:29" ht="14.25" customHeight="1" thickBot="1">
      <c r="B51" s="195" t="s">
        <v>22560</v>
      </c>
      <c r="C51" s="194" t="e">
        <f>C46+C49</f>
        <v>#DIV/0!</v>
      </c>
      <c r="D51" s="194" t="e">
        <f>D46+D49</f>
        <v>#DIV/0!</v>
      </c>
      <c r="E51" s="190" t="s">
        <v>22428</v>
      </c>
      <c r="K51" s="152">
        <v>3</v>
      </c>
      <c r="L51" s="185">
        <f t="shared" ref="L51:L94" si="5">L49</f>
        <v>1.98</v>
      </c>
      <c r="M51" s="185">
        <f>M49+IF(K51&lt;=$L$36,$C$14/100,0)</f>
        <v>0.21</v>
      </c>
      <c r="N51" s="227" t="e">
        <f>N50</f>
        <v>#DIV/0!</v>
      </c>
      <c r="O51" s="185" t="e">
        <f>IF(N51=0,0,O50)</f>
        <v>#DIV/0!</v>
      </c>
      <c r="P51" s="185" t="e">
        <f t="shared" si="0"/>
        <v>#DIV/0!</v>
      </c>
      <c r="Q51" s="228" t="e">
        <f>Q52</f>
        <v>#DIV/0!</v>
      </c>
      <c r="R51" s="227" t="e">
        <f>R50</f>
        <v>#DIV/0!</v>
      </c>
      <c r="S51" s="185" t="e">
        <f>IF(R51=0,0,S50)</f>
        <v>#DIV/0!</v>
      </c>
      <c r="T51" s="185" t="e">
        <f t="shared" ref="T51:T94" si="6">S51+R51</f>
        <v>#DIV/0!</v>
      </c>
      <c r="U51" s="228" t="e">
        <f>U52</f>
        <v>#DIV/0!</v>
      </c>
      <c r="V51" s="227">
        <f>V50</f>
        <v>0</v>
      </c>
      <c r="W51" s="185">
        <f>IF(V51=0,0,W50)</f>
        <v>0</v>
      </c>
      <c r="X51" s="185">
        <f t="shared" ref="X51:X94" si="7">W51+V51</f>
        <v>0</v>
      </c>
      <c r="Y51" s="228">
        <f>Y52</f>
        <v>0</v>
      </c>
      <c r="Z51" s="227">
        <f>Z50</f>
        <v>0</v>
      </c>
      <c r="AA51" s="185">
        <f>IF(Z51=0,0,AA50)</f>
        <v>0</v>
      </c>
      <c r="AB51" s="185">
        <f t="shared" ref="AB51:AB94" si="8">AA51+Z51</f>
        <v>0</v>
      </c>
      <c r="AC51" s="228">
        <f>AC52</f>
        <v>0</v>
      </c>
    </row>
    <row r="52" spans="1:29" ht="5.0999999999999996" customHeight="1">
      <c r="C52" s="204"/>
      <c r="D52" s="204"/>
      <c r="H52" s="163"/>
      <c r="K52" s="152">
        <v>3</v>
      </c>
      <c r="L52" s="185">
        <f t="shared" si="5"/>
        <v>2.02</v>
      </c>
      <c r="M52" s="185">
        <f>M51</f>
        <v>0.21</v>
      </c>
      <c r="N52" s="227" t="e">
        <f>MAX($N$47/Kalk2_Eingabe!$C$18*(Kalk2_Eingabe!$C$18-Kalk2_Lastfallkombi!M52),0)</f>
        <v>#DIV/0!</v>
      </c>
      <c r="O52" s="185" t="e">
        <f t="shared" si="1"/>
        <v>#DIV/0!</v>
      </c>
      <c r="P52" s="185" t="e">
        <f t="shared" si="0"/>
        <v>#DIV/0!</v>
      </c>
      <c r="Q52" s="228" t="e">
        <f>AVERAGE(P52,P51)</f>
        <v>#DIV/0!</v>
      </c>
      <c r="R52" s="227" t="e">
        <f>MAX($R$47/Kalk2_Eingabe!$C$18*(Kalk2_Eingabe!$C$18-Kalk2_Lastfallkombi!M52),0)</f>
        <v>#DIV/0!</v>
      </c>
      <c r="S52" s="185" t="e">
        <f t="shared" si="2"/>
        <v>#DIV/0!</v>
      </c>
      <c r="T52" s="185" t="e">
        <f t="shared" si="6"/>
        <v>#DIV/0!</v>
      </c>
      <c r="U52" s="228" t="e">
        <f>AVERAGE(T52,T51)</f>
        <v>#DIV/0!</v>
      </c>
      <c r="V52" s="227">
        <f>MAX($V$47/Kalk2_Eingabe!$C$24*(Kalk2_Eingabe!$C$24-Kalk2_Lastfallkombi!M52),0)</f>
        <v>0</v>
      </c>
      <c r="W52" s="185">
        <f t="shared" si="3"/>
        <v>0</v>
      </c>
      <c r="X52" s="185">
        <f t="shared" si="7"/>
        <v>0</v>
      </c>
      <c r="Y52" s="228">
        <f>AVERAGE(X52,X51)</f>
        <v>0</v>
      </c>
      <c r="Z52" s="227">
        <f>MAX($Z$47/Kalk2_Eingabe!$C$24*(Kalk2_Eingabe!$C$24-Kalk2_Lastfallkombi!M52),0)</f>
        <v>0</v>
      </c>
      <c r="AA52" s="185">
        <f t="shared" si="4"/>
        <v>0</v>
      </c>
      <c r="AB52" s="185">
        <f t="shared" si="8"/>
        <v>0</v>
      </c>
      <c r="AC52" s="228">
        <f>AVERAGE(AB52,AB51)</f>
        <v>0</v>
      </c>
    </row>
    <row r="53" spans="1:29" ht="14.25" customHeight="1">
      <c r="A53" s="219" t="s">
        <v>22513</v>
      </c>
      <c r="B53" s="192" t="s">
        <v>22561</v>
      </c>
      <c r="C53" s="204"/>
      <c r="D53" s="204"/>
      <c r="H53" s="163"/>
      <c r="K53" s="152">
        <v>4</v>
      </c>
      <c r="L53" s="185">
        <f t="shared" si="5"/>
        <v>1.98</v>
      </c>
      <c r="M53" s="185">
        <f>M51+IF(K53&lt;=$L$36,$C$14/100,0)</f>
        <v>0.21</v>
      </c>
      <c r="N53" s="227" t="e">
        <f>N52</f>
        <v>#DIV/0!</v>
      </c>
      <c r="O53" s="185" t="e">
        <f>IF(N53=0,0,O52)</f>
        <v>#DIV/0!</v>
      </c>
      <c r="P53" s="185" t="e">
        <f t="shared" si="0"/>
        <v>#DIV/0!</v>
      </c>
      <c r="Q53" s="228" t="e">
        <f>Q54</f>
        <v>#DIV/0!</v>
      </c>
      <c r="R53" s="227" t="e">
        <f>R52</f>
        <v>#DIV/0!</v>
      </c>
      <c r="S53" s="185" t="e">
        <f>IF(R53=0,0,S52)</f>
        <v>#DIV/0!</v>
      </c>
      <c r="T53" s="185" t="e">
        <f t="shared" si="6"/>
        <v>#DIV/0!</v>
      </c>
      <c r="U53" s="228" t="e">
        <f>U54</f>
        <v>#DIV/0!</v>
      </c>
      <c r="V53" s="227">
        <f>V52</f>
        <v>0</v>
      </c>
      <c r="W53" s="185">
        <f>IF(V53=0,0,W52)</f>
        <v>0</v>
      </c>
      <c r="X53" s="185">
        <f t="shared" si="7"/>
        <v>0</v>
      </c>
      <c r="Y53" s="228">
        <f>Y54</f>
        <v>0</v>
      </c>
      <c r="Z53" s="227">
        <f>Z52</f>
        <v>0</v>
      </c>
      <c r="AA53" s="185">
        <f>IF(Z53=0,0,AA52)</f>
        <v>0</v>
      </c>
      <c r="AB53" s="185">
        <f t="shared" si="8"/>
        <v>0</v>
      </c>
      <c r="AC53" s="228">
        <f>AC54</f>
        <v>0</v>
      </c>
    </row>
    <row r="54" spans="1:29" ht="14.25" customHeight="1">
      <c r="B54" s="165" t="s">
        <v>22562</v>
      </c>
      <c r="C54" s="203" t="e">
        <f>C27/Kalk2_Eingabe!C48/0.5</f>
        <v>#NUM!</v>
      </c>
      <c r="D54" s="203" t="e">
        <f>D27/Kalk2_Eingabe!C48/0.5</f>
        <v>#NUM!</v>
      </c>
      <c r="E54" s="168" t="s">
        <v>22469</v>
      </c>
      <c r="H54" s="163"/>
      <c r="K54" s="152">
        <v>4</v>
      </c>
      <c r="L54" s="185">
        <f t="shared" si="5"/>
        <v>2.02</v>
      </c>
      <c r="M54" s="185">
        <f>M53</f>
        <v>0.21</v>
      </c>
      <c r="N54" s="227" t="e">
        <f>MAX($N$47/Kalk2_Eingabe!$C$18*(Kalk2_Eingabe!$C$18-Kalk2_Lastfallkombi!M54),0)</f>
        <v>#DIV/0!</v>
      </c>
      <c r="O54" s="185" t="e">
        <f t="shared" si="1"/>
        <v>#DIV/0!</v>
      </c>
      <c r="P54" s="185" t="e">
        <f t="shared" si="0"/>
        <v>#DIV/0!</v>
      </c>
      <c r="Q54" s="228" t="e">
        <f>AVERAGE(P54,P53)</f>
        <v>#DIV/0!</v>
      </c>
      <c r="R54" s="227" t="e">
        <f>MAX($R$47/Kalk2_Eingabe!$C$18*(Kalk2_Eingabe!$C$18-Kalk2_Lastfallkombi!M54),0)</f>
        <v>#DIV/0!</v>
      </c>
      <c r="S54" s="185" t="e">
        <f t="shared" si="2"/>
        <v>#DIV/0!</v>
      </c>
      <c r="T54" s="185" t="e">
        <f t="shared" si="6"/>
        <v>#DIV/0!</v>
      </c>
      <c r="U54" s="228" t="e">
        <f>AVERAGE(T54,T53)</f>
        <v>#DIV/0!</v>
      </c>
      <c r="V54" s="227">
        <f>MAX($V$47/Kalk2_Eingabe!$C$24*(Kalk2_Eingabe!$C$24-Kalk2_Lastfallkombi!M54),0)</f>
        <v>0</v>
      </c>
      <c r="W54" s="185">
        <f t="shared" si="3"/>
        <v>0</v>
      </c>
      <c r="X54" s="185">
        <f t="shared" si="7"/>
        <v>0</v>
      </c>
      <c r="Y54" s="228">
        <f>AVERAGE(X54,X53)</f>
        <v>0</v>
      </c>
      <c r="Z54" s="227">
        <f>MAX($Z$47/Kalk2_Eingabe!$C$24*(Kalk2_Eingabe!$C$24-Kalk2_Lastfallkombi!M54),0)</f>
        <v>0</v>
      </c>
      <c r="AA54" s="185">
        <f t="shared" si="4"/>
        <v>0</v>
      </c>
      <c r="AB54" s="185">
        <f t="shared" si="8"/>
        <v>0</v>
      </c>
      <c r="AC54" s="228">
        <f>AVERAGE(AB54,AB53)</f>
        <v>0</v>
      </c>
    </row>
    <row r="55" spans="1:29" ht="14.25" customHeight="1">
      <c r="B55" s="165" t="s">
        <v>22549</v>
      </c>
      <c r="C55" s="203" t="e">
        <f>C54*0.5*(2*((Kalk2_Eingabe!C19-0.5)/2)+0.5)/(2*Kalk2_Eingabe!C19)</f>
        <v>#NUM!</v>
      </c>
      <c r="D55" s="203" t="e">
        <f>D54*0.5*(2*((Kalk2_Eingabe!C19-0.5)/2)+0.5)/(2*Kalk2_Eingabe!C19)</f>
        <v>#NUM!</v>
      </c>
      <c r="E55" s="168" t="s">
        <v>22379</v>
      </c>
      <c r="H55" s="163"/>
      <c r="K55" s="152">
        <v>5</v>
      </c>
      <c r="L55" s="185">
        <f t="shared" si="5"/>
        <v>1.98</v>
      </c>
      <c r="M55" s="185">
        <f>M53+IF(K55&lt;=$L$36,$C$14/100,0)</f>
        <v>0.21</v>
      </c>
      <c r="N55" s="227" t="e">
        <f>N54</f>
        <v>#DIV/0!</v>
      </c>
      <c r="O55" s="185" t="e">
        <f>IF(N55=0,0,O54)</f>
        <v>#DIV/0!</v>
      </c>
      <c r="P55" s="185" t="e">
        <f t="shared" si="0"/>
        <v>#DIV/0!</v>
      </c>
      <c r="Q55" s="228" t="e">
        <f>Q56</f>
        <v>#DIV/0!</v>
      </c>
      <c r="R55" s="227" t="e">
        <f>R54</f>
        <v>#DIV/0!</v>
      </c>
      <c r="S55" s="185" t="e">
        <f>IF(R55=0,0,S54)</f>
        <v>#DIV/0!</v>
      </c>
      <c r="T55" s="185" t="e">
        <f t="shared" si="6"/>
        <v>#DIV/0!</v>
      </c>
      <c r="U55" s="228" t="e">
        <f>U56</f>
        <v>#DIV/0!</v>
      </c>
      <c r="V55" s="227">
        <f>V54</f>
        <v>0</v>
      </c>
      <c r="W55" s="185">
        <f>IF(V55=0,0,W54)</f>
        <v>0</v>
      </c>
      <c r="X55" s="185">
        <f t="shared" si="7"/>
        <v>0</v>
      </c>
      <c r="Y55" s="228">
        <f>Y56</f>
        <v>0</v>
      </c>
      <c r="Z55" s="227">
        <f>Z54</f>
        <v>0</v>
      </c>
      <c r="AA55" s="185">
        <f>IF(Z55=0,0,AA54)</f>
        <v>0</v>
      </c>
      <c r="AB55" s="185">
        <f t="shared" si="8"/>
        <v>0</v>
      </c>
      <c r="AC55" s="228">
        <f>AC56</f>
        <v>0</v>
      </c>
    </row>
    <row r="56" spans="1:29" ht="14.25" customHeight="1">
      <c r="B56" s="165" t="s">
        <v>22550</v>
      </c>
      <c r="C56" s="203" t="e">
        <f>IF(C54=0,0,C55*(((Kalk2_Eingabe!C19-0.5)/2)+Kalk2_Lastfallkombi!C55/(2*Kalk2_Lastfallkombi!C54)))</f>
        <v>#NUM!</v>
      </c>
      <c r="D56" s="203" t="e">
        <f>IF(D54=0,0,D55*(((Kalk2_Eingabe!C19-0.5)/2)+Kalk2_Lastfallkombi!D55/(2*Kalk2_Lastfallkombi!D54)))</f>
        <v>#NUM!</v>
      </c>
      <c r="E56" s="168" t="s">
        <v>22428</v>
      </c>
      <c r="H56" s="163"/>
      <c r="K56" s="152">
        <v>5</v>
      </c>
      <c r="L56" s="185">
        <f t="shared" si="5"/>
        <v>2.02</v>
      </c>
      <c r="M56" s="185">
        <f>M55</f>
        <v>0.21</v>
      </c>
      <c r="N56" s="227" t="e">
        <f>MAX($N$47/Kalk2_Eingabe!$C$18*(Kalk2_Eingabe!$C$18-Kalk2_Lastfallkombi!M56),0)</f>
        <v>#DIV/0!</v>
      </c>
      <c r="O56" s="185" t="e">
        <f t="shared" si="1"/>
        <v>#DIV/0!</v>
      </c>
      <c r="P56" s="185" t="e">
        <f t="shared" si="0"/>
        <v>#DIV/0!</v>
      </c>
      <c r="Q56" s="228" t="e">
        <f>AVERAGE(P56,P55)</f>
        <v>#DIV/0!</v>
      </c>
      <c r="R56" s="227" t="e">
        <f>MAX($R$47/Kalk2_Eingabe!$C$18*(Kalk2_Eingabe!$C$18-Kalk2_Lastfallkombi!M56),0)</f>
        <v>#DIV/0!</v>
      </c>
      <c r="S56" s="185" t="e">
        <f t="shared" si="2"/>
        <v>#DIV/0!</v>
      </c>
      <c r="T56" s="185" t="e">
        <f t="shared" si="6"/>
        <v>#DIV/0!</v>
      </c>
      <c r="U56" s="228" t="e">
        <f>AVERAGE(T56,T55)</f>
        <v>#DIV/0!</v>
      </c>
      <c r="V56" s="227">
        <f>MAX($V$47/Kalk2_Eingabe!$C$24*(Kalk2_Eingabe!$C$24-Kalk2_Lastfallkombi!M56),0)</f>
        <v>0</v>
      </c>
      <c r="W56" s="185">
        <f t="shared" si="3"/>
        <v>0</v>
      </c>
      <c r="X56" s="185">
        <f t="shared" si="7"/>
        <v>0</v>
      </c>
      <c r="Y56" s="228">
        <f>AVERAGE(X56,X55)</f>
        <v>0</v>
      </c>
      <c r="Z56" s="227">
        <f>MAX($Z$47/Kalk2_Eingabe!$C$24*(Kalk2_Eingabe!$C$24-Kalk2_Lastfallkombi!M56),0)</f>
        <v>0</v>
      </c>
      <c r="AA56" s="185">
        <f t="shared" si="4"/>
        <v>0</v>
      </c>
      <c r="AB56" s="185">
        <f t="shared" si="8"/>
        <v>0</v>
      </c>
      <c r="AC56" s="228">
        <f>AVERAGE(AB56,AB55)</f>
        <v>0</v>
      </c>
    </row>
    <row r="57" spans="1:29" ht="14.25" customHeight="1">
      <c r="B57" s="192" t="s">
        <v>22556</v>
      </c>
      <c r="C57" s="204"/>
      <c r="D57" s="204"/>
      <c r="H57" s="163"/>
      <c r="K57" s="152">
        <v>6</v>
      </c>
      <c r="L57" s="185">
        <f t="shared" si="5"/>
        <v>1.98</v>
      </c>
      <c r="M57" s="185">
        <f>M55+IF(K57&lt;=$L$36,$C$14/100,0)</f>
        <v>0.21</v>
      </c>
      <c r="N57" s="227" t="e">
        <f>N56</f>
        <v>#DIV/0!</v>
      </c>
      <c r="O57" s="185" t="e">
        <f>IF(N57=0,0,O56)</f>
        <v>#DIV/0!</v>
      </c>
      <c r="P57" s="185" t="e">
        <f t="shared" si="0"/>
        <v>#DIV/0!</v>
      </c>
      <c r="Q57" s="228" t="e">
        <f>Q58</f>
        <v>#DIV/0!</v>
      </c>
      <c r="R57" s="227" t="e">
        <f>R56</f>
        <v>#DIV/0!</v>
      </c>
      <c r="S57" s="185" t="e">
        <f>IF(R57=0,0,S56)</f>
        <v>#DIV/0!</v>
      </c>
      <c r="T57" s="185" t="e">
        <f t="shared" si="6"/>
        <v>#DIV/0!</v>
      </c>
      <c r="U57" s="228" t="e">
        <f>U58</f>
        <v>#DIV/0!</v>
      </c>
      <c r="V57" s="227">
        <f>V56</f>
        <v>0</v>
      </c>
      <c r="W57" s="185">
        <f>IF(V57=0,0,W56)</f>
        <v>0</v>
      </c>
      <c r="X57" s="185">
        <f t="shared" si="7"/>
        <v>0</v>
      </c>
      <c r="Y57" s="228">
        <f>Y58</f>
        <v>0</v>
      </c>
      <c r="Z57" s="227">
        <f>Z56</f>
        <v>0</v>
      </c>
      <c r="AA57" s="185">
        <f>IF(Z57=0,0,AA56)</f>
        <v>0</v>
      </c>
      <c r="AB57" s="185">
        <f t="shared" si="8"/>
        <v>0</v>
      </c>
      <c r="AC57" s="228">
        <f>AC58</f>
        <v>0</v>
      </c>
    </row>
    <row r="58" spans="1:29" ht="14.25" customHeight="1">
      <c r="B58" s="165" t="s">
        <v>22563</v>
      </c>
      <c r="C58" s="203">
        <f>C26*C14/100*Kalk2_Eingabe!C19/2</f>
        <v>0</v>
      </c>
      <c r="D58" s="203">
        <f>D26*C14/100*Kalk2_Eingabe!C19/2</f>
        <v>0</v>
      </c>
      <c r="E58" s="168" t="s">
        <v>22379</v>
      </c>
      <c r="H58" s="163"/>
      <c r="K58" s="152">
        <v>6</v>
      </c>
      <c r="L58" s="185">
        <f t="shared" si="5"/>
        <v>2.02</v>
      </c>
      <c r="M58" s="185">
        <f>M57</f>
        <v>0.21</v>
      </c>
      <c r="N58" s="227" t="e">
        <f>MAX($N$47/Kalk2_Eingabe!$C$18*(Kalk2_Eingabe!$C$18-Kalk2_Lastfallkombi!M58),0)</f>
        <v>#DIV/0!</v>
      </c>
      <c r="O58" s="185" t="e">
        <f t="shared" si="1"/>
        <v>#DIV/0!</v>
      </c>
      <c r="P58" s="185" t="e">
        <f t="shared" si="0"/>
        <v>#DIV/0!</v>
      </c>
      <c r="Q58" s="228" t="e">
        <f>AVERAGE(P58,P57)</f>
        <v>#DIV/0!</v>
      </c>
      <c r="R58" s="227" t="e">
        <f>MAX($R$47/Kalk2_Eingabe!$C$18*(Kalk2_Eingabe!$C$18-Kalk2_Lastfallkombi!M58),0)</f>
        <v>#DIV/0!</v>
      </c>
      <c r="S58" s="185" t="e">
        <f t="shared" si="2"/>
        <v>#DIV/0!</v>
      </c>
      <c r="T58" s="185" t="e">
        <f t="shared" si="6"/>
        <v>#DIV/0!</v>
      </c>
      <c r="U58" s="228" t="e">
        <f>AVERAGE(T58,T57)</f>
        <v>#DIV/0!</v>
      </c>
      <c r="V58" s="227">
        <f>MAX($V$47/Kalk2_Eingabe!$C$24*(Kalk2_Eingabe!$C$24-Kalk2_Lastfallkombi!M58),0)</f>
        <v>0</v>
      </c>
      <c r="W58" s="185">
        <f t="shared" si="3"/>
        <v>0</v>
      </c>
      <c r="X58" s="185">
        <f t="shared" si="7"/>
        <v>0</v>
      </c>
      <c r="Y58" s="228">
        <f>AVERAGE(X58,X57)</f>
        <v>0</v>
      </c>
      <c r="Z58" s="227">
        <f>MAX($Z$47/Kalk2_Eingabe!$C$24*(Kalk2_Eingabe!$C$24-Kalk2_Lastfallkombi!M58),0)</f>
        <v>0</v>
      </c>
      <c r="AA58" s="185">
        <f t="shared" si="4"/>
        <v>0</v>
      </c>
      <c r="AB58" s="185">
        <f t="shared" si="8"/>
        <v>0</v>
      </c>
      <c r="AC58" s="228">
        <f>AVERAGE(AB58,AB57)</f>
        <v>0</v>
      </c>
    </row>
    <row r="59" spans="1:29" ht="14.25" customHeight="1" thickBot="1">
      <c r="B59" s="165" t="s">
        <v>22564</v>
      </c>
      <c r="C59" s="203">
        <f>C26*C14/100*Kalk2_Eingabe!C19^2/8</f>
        <v>0</v>
      </c>
      <c r="D59" s="203">
        <f>D26*C14/100*Kalk2_Eingabe!C19^2/8</f>
        <v>0</v>
      </c>
      <c r="E59" s="168" t="s">
        <v>22428</v>
      </c>
      <c r="H59" s="163"/>
      <c r="K59" s="152">
        <v>7</v>
      </c>
      <c r="L59" s="185">
        <f t="shared" si="5"/>
        <v>1.98</v>
      </c>
      <c r="M59" s="185">
        <f>M57+IF(K59&lt;=$L$36,$C$14/100,0)</f>
        <v>0.21</v>
      </c>
      <c r="N59" s="227" t="e">
        <f>N58</f>
        <v>#DIV/0!</v>
      </c>
      <c r="O59" s="185" t="e">
        <f>IF(N59=0,0,O58)</f>
        <v>#DIV/0!</v>
      </c>
      <c r="P59" s="185" t="e">
        <f t="shared" si="0"/>
        <v>#DIV/0!</v>
      </c>
      <c r="Q59" s="228" t="e">
        <f>Q60</f>
        <v>#DIV/0!</v>
      </c>
      <c r="R59" s="227" t="e">
        <f>R58</f>
        <v>#DIV/0!</v>
      </c>
      <c r="S59" s="185" t="e">
        <f>IF(R59=0,0,S58)</f>
        <v>#DIV/0!</v>
      </c>
      <c r="T59" s="185" t="e">
        <f t="shared" si="6"/>
        <v>#DIV/0!</v>
      </c>
      <c r="U59" s="228" t="e">
        <f>U60</f>
        <v>#DIV/0!</v>
      </c>
      <c r="V59" s="227">
        <f>V58</f>
        <v>0</v>
      </c>
      <c r="W59" s="185">
        <f>IF(V59=0,0,W58)</f>
        <v>0</v>
      </c>
      <c r="X59" s="185">
        <f t="shared" si="7"/>
        <v>0</v>
      </c>
      <c r="Y59" s="228">
        <f>Y60</f>
        <v>0</v>
      </c>
      <c r="Z59" s="227">
        <f>Z58</f>
        <v>0</v>
      </c>
      <c r="AA59" s="185">
        <f>IF(Z59=0,0,AA58)</f>
        <v>0</v>
      </c>
      <c r="AB59" s="185">
        <f t="shared" si="8"/>
        <v>0</v>
      </c>
      <c r="AC59" s="228">
        <f>AC60</f>
        <v>0</v>
      </c>
    </row>
    <row r="60" spans="1:29" ht="14.25" customHeight="1" thickBot="1">
      <c r="A60" s="216" t="s">
        <v>22513</v>
      </c>
      <c r="B60" s="195" t="s">
        <v>22565</v>
      </c>
      <c r="C60" s="194" t="e">
        <f>C58+C55</f>
        <v>#NUM!</v>
      </c>
      <c r="D60" s="194" t="e">
        <f>D58+D55</f>
        <v>#NUM!</v>
      </c>
      <c r="E60" s="190" t="s">
        <v>22379</v>
      </c>
      <c r="H60" s="163"/>
      <c r="K60" s="152">
        <v>7</v>
      </c>
      <c r="L60" s="185">
        <f t="shared" si="5"/>
        <v>2.02</v>
      </c>
      <c r="M60" s="185">
        <f>M59</f>
        <v>0.21</v>
      </c>
      <c r="N60" s="227" t="e">
        <f>MAX($N$47/Kalk2_Eingabe!$C$18*(Kalk2_Eingabe!$C$18-Kalk2_Lastfallkombi!M60),0)</f>
        <v>#DIV/0!</v>
      </c>
      <c r="O60" s="185" t="e">
        <f t="shared" si="1"/>
        <v>#DIV/0!</v>
      </c>
      <c r="P60" s="185" t="e">
        <f t="shared" si="0"/>
        <v>#DIV/0!</v>
      </c>
      <c r="Q60" s="228" t="e">
        <f>AVERAGE(P60,P59)</f>
        <v>#DIV/0!</v>
      </c>
      <c r="R60" s="227" t="e">
        <f>MAX($R$47/Kalk2_Eingabe!$C$18*(Kalk2_Eingabe!$C$18-Kalk2_Lastfallkombi!M60),0)</f>
        <v>#DIV/0!</v>
      </c>
      <c r="S60" s="185" t="e">
        <f t="shared" si="2"/>
        <v>#DIV/0!</v>
      </c>
      <c r="T60" s="185" t="e">
        <f t="shared" si="6"/>
        <v>#DIV/0!</v>
      </c>
      <c r="U60" s="228" t="e">
        <f>AVERAGE(T60,T59)</f>
        <v>#DIV/0!</v>
      </c>
      <c r="V60" s="227">
        <f>MAX($V$47/Kalk2_Eingabe!$C$24*(Kalk2_Eingabe!$C$24-Kalk2_Lastfallkombi!M60),0)</f>
        <v>0</v>
      </c>
      <c r="W60" s="185">
        <f t="shared" si="3"/>
        <v>0</v>
      </c>
      <c r="X60" s="185">
        <f t="shared" si="7"/>
        <v>0</v>
      </c>
      <c r="Y60" s="228">
        <f>AVERAGE(X60,X59)</f>
        <v>0</v>
      </c>
      <c r="Z60" s="227">
        <f>MAX($Z$47/Kalk2_Eingabe!$C$24*(Kalk2_Eingabe!$C$24-Kalk2_Lastfallkombi!M60),0)</f>
        <v>0</v>
      </c>
      <c r="AA60" s="185">
        <f t="shared" si="4"/>
        <v>0</v>
      </c>
      <c r="AB60" s="185">
        <f t="shared" si="8"/>
        <v>0</v>
      </c>
      <c r="AC60" s="228">
        <f>AVERAGE(AB60,AB59)</f>
        <v>0</v>
      </c>
    </row>
    <row r="61" spans="1:29" ht="14.25" customHeight="1" thickBot="1">
      <c r="B61" s="195" t="s">
        <v>22566</v>
      </c>
      <c r="C61" s="194" t="e">
        <f>C56+C59</f>
        <v>#NUM!</v>
      </c>
      <c r="D61" s="194" t="e">
        <f>D56+D59</f>
        <v>#NUM!</v>
      </c>
      <c r="E61" s="190" t="s">
        <v>22428</v>
      </c>
      <c r="H61" s="163"/>
      <c r="K61" s="152">
        <v>8</v>
      </c>
      <c r="L61" s="185">
        <f t="shared" si="5"/>
        <v>1.98</v>
      </c>
      <c r="M61" s="185">
        <f>M59+IF(K61&lt;=$L$36,$C$14/100,0)</f>
        <v>0.21</v>
      </c>
      <c r="N61" s="227" t="e">
        <f>N60</f>
        <v>#DIV/0!</v>
      </c>
      <c r="O61" s="185" t="e">
        <f>IF(N61=0,0,O60)</f>
        <v>#DIV/0!</v>
      </c>
      <c r="P61" s="185" t="e">
        <f t="shared" si="0"/>
        <v>#DIV/0!</v>
      </c>
      <c r="Q61" s="228" t="e">
        <f>Q62</f>
        <v>#DIV/0!</v>
      </c>
      <c r="R61" s="227" t="e">
        <f>R60</f>
        <v>#DIV/0!</v>
      </c>
      <c r="S61" s="185" t="e">
        <f>IF(R61=0,0,S60)</f>
        <v>#DIV/0!</v>
      </c>
      <c r="T61" s="185" t="e">
        <f t="shared" si="6"/>
        <v>#DIV/0!</v>
      </c>
      <c r="U61" s="228" t="e">
        <f>U62</f>
        <v>#DIV/0!</v>
      </c>
      <c r="V61" s="227">
        <f>V60</f>
        <v>0</v>
      </c>
      <c r="W61" s="185">
        <f>IF(V61=0,0,W60)</f>
        <v>0</v>
      </c>
      <c r="X61" s="185">
        <f t="shared" si="7"/>
        <v>0</v>
      </c>
      <c r="Y61" s="228">
        <f>Y62</f>
        <v>0</v>
      </c>
      <c r="Z61" s="227">
        <f>Z60</f>
        <v>0</v>
      </c>
      <c r="AA61" s="185">
        <f>IF(Z61=0,0,AA60)</f>
        <v>0</v>
      </c>
      <c r="AB61" s="185">
        <f t="shared" si="8"/>
        <v>0</v>
      </c>
      <c r="AC61" s="228">
        <f>AC62</f>
        <v>0</v>
      </c>
    </row>
    <row r="62" spans="1:29" ht="5.0999999999999996" customHeight="1" thickBot="1">
      <c r="H62" s="163"/>
      <c r="K62" s="152">
        <v>8</v>
      </c>
      <c r="L62" s="185">
        <f t="shared" si="5"/>
        <v>2.02</v>
      </c>
      <c r="M62" s="185">
        <f>M61</f>
        <v>0.21</v>
      </c>
      <c r="N62" s="227" t="e">
        <f>MAX($N$47/Kalk2_Eingabe!$C$18*(Kalk2_Eingabe!$C$18-Kalk2_Lastfallkombi!M62),0)</f>
        <v>#DIV/0!</v>
      </c>
      <c r="O62" s="185" t="e">
        <f t="shared" si="1"/>
        <v>#DIV/0!</v>
      </c>
      <c r="P62" s="185" t="e">
        <f t="shared" si="0"/>
        <v>#DIV/0!</v>
      </c>
      <c r="Q62" s="228" t="e">
        <f>AVERAGE(P62,P61)</f>
        <v>#DIV/0!</v>
      </c>
      <c r="R62" s="227" t="e">
        <f>MAX($R$47/Kalk2_Eingabe!$C$18*(Kalk2_Eingabe!$C$18-Kalk2_Lastfallkombi!M62),0)</f>
        <v>#DIV/0!</v>
      </c>
      <c r="S62" s="185" t="e">
        <f t="shared" si="2"/>
        <v>#DIV/0!</v>
      </c>
      <c r="T62" s="185" t="e">
        <f t="shared" si="6"/>
        <v>#DIV/0!</v>
      </c>
      <c r="U62" s="228" t="e">
        <f>AVERAGE(T62,T61)</f>
        <v>#DIV/0!</v>
      </c>
      <c r="V62" s="227">
        <f>MAX($V$47/Kalk2_Eingabe!$C$24*(Kalk2_Eingabe!$C$24-Kalk2_Lastfallkombi!M62),0)</f>
        <v>0</v>
      </c>
      <c r="W62" s="185">
        <f t="shared" si="3"/>
        <v>0</v>
      </c>
      <c r="X62" s="185">
        <f t="shared" si="7"/>
        <v>0</v>
      </c>
      <c r="Y62" s="228">
        <f>AVERAGE(X62,X61)</f>
        <v>0</v>
      </c>
      <c r="Z62" s="227">
        <f>MAX($Z$47/Kalk2_Eingabe!$C$24*(Kalk2_Eingabe!$C$24-Kalk2_Lastfallkombi!M62),0)</f>
        <v>0</v>
      </c>
      <c r="AA62" s="185">
        <f t="shared" si="4"/>
        <v>0</v>
      </c>
      <c r="AB62" s="185">
        <f t="shared" si="8"/>
        <v>0</v>
      </c>
      <c r="AC62" s="228">
        <f>AVERAGE(AB62,AB61)</f>
        <v>0</v>
      </c>
    </row>
    <row r="63" spans="1:29" ht="14.25" customHeight="1" thickBot="1">
      <c r="A63" s="171" t="s">
        <v>22448</v>
      </c>
      <c r="B63" s="172" t="s">
        <v>22567</v>
      </c>
      <c r="C63" s="201" t="s">
        <v>22506</v>
      </c>
      <c r="D63" s="201" t="s">
        <v>22507</v>
      </c>
      <c r="H63" s="163"/>
      <c r="K63" s="152">
        <v>9</v>
      </c>
      <c r="L63" s="185">
        <f t="shared" si="5"/>
        <v>1.98</v>
      </c>
      <c r="M63" s="185">
        <f>M61+IF(K63&lt;=$L$36,$C$14/100,0)</f>
        <v>0.21</v>
      </c>
      <c r="N63" s="227" t="e">
        <f>N62</f>
        <v>#DIV/0!</v>
      </c>
      <c r="O63" s="185" t="e">
        <f>IF(N63=0,0,O62)</f>
        <v>#DIV/0!</v>
      </c>
      <c r="P63" s="185" t="e">
        <f t="shared" si="0"/>
        <v>#DIV/0!</v>
      </c>
      <c r="Q63" s="228" t="e">
        <f>Q64</f>
        <v>#DIV/0!</v>
      </c>
      <c r="R63" s="227" t="e">
        <f>R62</f>
        <v>#DIV/0!</v>
      </c>
      <c r="S63" s="185" t="e">
        <f>IF(R63=0,0,S62)</f>
        <v>#DIV/0!</v>
      </c>
      <c r="T63" s="185" t="e">
        <f t="shared" si="6"/>
        <v>#DIV/0!</v>
      </c>
      <c r="U63" s="228" t="e">
        <f>U64</f>
        <v>#DIV/0!</v>
      </c>
      <c r="V63" s="227">
        <f>V62</f>
        <v>0</v>
      </c>
      <c r="W63" s="185">
        <f>IF(V63=0,0,W62)</f>
        <v>0</v>
      </c>
      <c r="X63" s="185">
        <f t="shared" si="7"/>
        <v>0</v>
      </c>
      <c r="Y63" s="228">
        <f>Y64</f>
        <v>0</v>
      </c>
      <c r="Z63" s="227">
        <f>Z62</f>
        <v>0</v>
      </c>
      <c r="AA63" s="185">
        <f>IF(Z63=0,0,AA62)</f>
        <v>0</v>
      </c>
      <c r="AB63" s="185">
        <f t="shared" si="8"/>
        <v>0</v>
      </c>
      <c r="AC63" s="228">
        <f>AC64</f>
        <v>0</v>
      </c>
    </row>
    <row r="64" spans="1:29" ht="14.25" customHeight="1" thickBot="1">
      <c r="A64" s="219"/>
      <c r="B64" s="192" t="s">
        <v>22568</v>
      </c>
      <c r="C64" s="213"/>
      <c r="D64" s="213"/>
      <c r="H64" s="163"/>
      <c r="K64" s="152">
        <v>9</v>
      </c>
      <c r="L64" s="185">
        <f t="shared" si="5"/>
        <v>2.02</v>
      </c>
      <c r="M64" s="185">
        <f>M63</f>
        <v>0.21</v>
      </c>
      <c r="N64" s="227" t="e">
        <f>MAX($N$47/Kalk2_Eingabe!$C$18*(Kalk2_Eingabe!$C$18-Kalk2_Lastfallkombi!M64),0)</f>
        <v>#DIV/0!</v>
      </c>
      <c r="O64" s="185" t="e">
        <f t="shared" si="1"/>
        <v>#DIV/0!</v>
      </c>
      <c r="P64" s="185" t="e">
        <f t="shared" si="0"/>
        <v>#DIV/0!</v>
      </c>
      <c r="Q64" s="228" t="e">
        <f>AVERAGE(P64,P63)</f>
        <v>#DIV/0!</v>
      </c>
      <c r="R64" s="227" t="e">
        <f>MAX($R$47/Kalk2_Eingabe!$C$18*(Kalk2_Eingabe!$C$18-Kalk2_Lastfallkombi!M64),0)</f>
        <v>#DIV/0!</v>
      </c>
      <c r="S64" s="185" t="e">
        <f t="shared" si="2"/>
        <v>#DIV/0!</v>
      </c>
      <c r="T64" s="185" t="e">
        <f t="shared" si="6"/>
        <v>#DIV/0!</v>
      </c>
      <c r="U64" s="228" t="e">
        <f>AVERAGE(T64,T63)</f>
        <v>#DIV/0!</v>
      </c>
      <c r="V64" s="227">
        <f>MAX($V$47/Kalk2_Eingabe!$C$24*(Kalk2_Eingabe!$C$24-Kalk2_Lastfallkombi!M64),0)</f>
        <v>0</v>
      </c>
      <c r="W64" s="185">
        <f t="shared" si="3"/>
        <v>0</v>
      </c>
      <c r="X64" s="185">
        <f t="shared" si="7"/>
        <v>0</v>
      </c>
      <c r="Y64" s="228">
        <f>AVERAGE(X64,X63)</f>
        <v>0</v>
      </c>
      <c r="Z64" s="227">
        <f>MAX($Z$47/Kalk2_Eingabe!$C$24*(Kalk2_Eingabe!$C$24-Kalk2_Lastfallkombi!M64),0)</f>
        <v>0</v>
      </c>
      <c r="AA64" s="185">
        <f t="shared" si="4"/>
        <v>0</v>
      </c>
      <c r="AB64" s="185">
        <f t="shared" si="8"/>
        <v>0</v>
      </c>
      <c r="AC64" s="228">
        <f>AVERAGE(AB64,AB63)</f>
        <v>0</v>
      </c>
    </row>
    <row r="65" spans="1:29" ht="14.25" customHeight="1" thickBot="1">
      <c r="A65" s="216" t="s">
        <v>22528</v>
      </c>
      <c r="B65" s="195" t="s">
        <v>22569</v>
      </c>
      <c r="C65" s="194" t="e">
        <f>C36*C15/100*Kalk2_Eingabe!$C$19/2</f>
        <v>#DIV/0!</v>
      </c>
      <c r="D65" s="194" t="e">
        <f>D36*$C$15/100*Kalk2_Eingabe!$C$19/2</f>
        <v>#DIV/0!</v>
      </c>
      <c r="E65" s="190" t="s">
        <v>22379</v>
      </c>
      <c r="H65" s="163"/>
      <c r="K65" s="152">
        <v>10</v>
      </c>
      <c r="L65" s="185">
        <f t="shared" si="5"/>
        <v>1.98</v>
      </c>
      <c r="M65" s="185">
        <f>M63+IF(K65&lt;=$L$36,$C$14/100,0)</f>
        <v>0.21</v>
      </c>
      <c r="N65" s="227" t="e">
        <f>N64</f>
        <v>#DIV/0!</v>
      </c>
      <c r="O65" s="185" t="e">
        <f>IF(N65=0,0,O64)</f>
        <v>#DIV/0!</v>
      </c>
      <c r="P65" s="185" t="e">
        <f t="shared" si="0"/>
        <v>#DIV/0!</v>
      </c>
      <c r="Q65" s="228" t="e">
        <f>Q66</f>
        <v>#DIV/0!</v>
      </c>
      <c r="R65" s="227" t="e">
        <f>R64</f>
        <v>#DIV/0!</v>
      </c>
      <c r="S65" s="185" t="e">
        <f>IF(R65=0,0,S64)</f>
        <v>#DIV/0!</v>
      </c>
      <c r="T65" s="185" t="e">
        <f t="shared" si="6"/>
        <v>#DIV/0!</v>
      </c>
      <c r="U65" s="228" t="e">
        <f>U66</f>
        <v>#DIV/0!</v>
      </c>
      <c r="V65" s="227">
        <f>V64</f>
        <v>0</v>
      </c>
      <c r="W65" s="185">
        <f>IF(V65=0,0,W64)</f>
        <v>0</v>
      </c>
      <c r="X65" s="185">
        <f t="shared" si="7"/>
        <v>0</v>
      </c>
      <c r="Y65" s="228">
        <f>Y66</f>
        <v>0</v>
      </c>
      <c r="Z65" s="227">
        <f>Z64</f>
        <v>0</v>
      </c>
      <c r="AA65" s="185">
        <f>IF(Z65=0,0,AA64)</f>
        <v>0</v>
      </c>
      <c r="AB65" s="185">
        <f t="shared" si="8"/>
        <v>0</v>
      </c>
      <c r="AC65" s="228">
        <f>AC66</f>
        <v>0</v>
      </c>
    </row>
    <row r="66" spans="1:29" ht="14.25" customHeight="1" thickBot="1">
      <c r="B66" s="195" t="s">
        <v>22570</v>
      </c>
      <c r="C66" s="194" t="e">
        <f>C36*C15/100*Kalk2_Eingabe!$C$19^2/8</f>
        <v>#DIV/0!</v>
      </c>
      <c r="D66" s="194" t="e">
        <f>D36*$C$15/100*Kalk2_Eingabe!$C$19^2/8</f>
        <v>#DIV/0!</v>
      </c>
      <c r="E66" s="190" t="s">
        <v>22428</v>
      </c>
      <c r="K66" s="152">
        <v>10</v>
      </c>
      <c r="L66" s="185">
        <f t="shared" si="5"/>
        <v>2.02</v>
      </c>
      <c r="M66" s="185">
        <f>M65</f>
        <v>0.21</v>
      </c>
      <c r="N66" s="227" t="e">
        <f>MAX($N$47/Kalk2_Eingabe!$C$18*(Kalk2_Eingabe!$C$18-Kalk2_Lastfallkombi!M66),0)</f>
        <v>#DIV/0!</v>
      </c>
      <c r="O66" s="185" t="e">
        <f t="shared" si="1"/>
        <v>#DIV/0!</v>
      </c>
      <c r="P66" s="185" t="e">
        <f t="shared" si="0"/>
        <v>#DIV/0!</v>
      </c>
      <c r="Q66" s="228" t="e">
        <f>AVERAGE(P66,P65)</f>
        <v>#DIV/0!</v>
      </c>
      <c r="R66" s="227" t="e">
        <f>MAX($R$47/Kalk2_Eingabe!$C$18*(Kalk2_Eingabe!$C$18-Kalk2_Lastfallkombi!M66),0)</f>
        <v>#DIV/0!</v>
      </c>
      <c r="S66" s="185" t="e">
        <f t="shared" si="2"/>
        <v>#DIV/0!</v>
      </c>
      <c r="T66" s="185" t="e">
        <f t="shared" si="6"/>
        <v>#DIV/0!</v>
      </c>
      <c r="U66" s="228" t="e">
        <f>AVERAGE(T66,T65)</f>
        <v>#DIV/0!</v>
      </c>
      <c r="V66" s="227">
        <f>MAX($V$47/Kalk2_Eingabe!$C$24*(Kalk2_Eingabe!$C$24-Kalk2_Lastfallkombi!M66),0)</f>
        <v>0</v>
      </c>
      <c r="W66" s="185">
        <f t="shared" si="3"/>
        <v>0</v>
      </c>
      <c r="X66" s="185">
        <f t="shared" si="7"/>
        <v>0</v>
      </c>
      <c r="Y66" s="228">
        <f>AVERAGE(X66,X65)</f>
        <v>0</v>
      </c>
      <c r="Z66" s="227">
        <f>MAX($Z$47/Kalk2_Eingabe!$C$24*(Kalk2_Eingabe!$C$24-Kalk2_Lastfallkombi!M66),0)</f>
        <v>0</v>
      </c>
      <c r="AA66" s="185">
        <f t="shared" si="4"/>
        <v>0</v>
      </c>
      <c r="AB66" s="185">
        <f t="shared" si="8"/>
        <v>0</v>
      </c>
      <c r="AC66" s="228">
        <f>AVERAGE(AB66,AB65)</f>
        <v>0</v>
      </c>
    </row>
    <row r="67" spans="1:29" ht="5.0999999999999996" customHeight="1">
      <c r="E67" s="163"/>
      <c r="K67" s="152">
        <v>11</v>
      </c>
      <c r="L67" s="185">
        <f t="shared" si="5"/>
        <v>1.98</v>
      </c>
      <c r="M67" s="185">
        <f>M65+IF(K67&lt;=$L$36,$C$14/100,0)</f>
        <v>0.21</v>
      </c>
      <c r="N67" s="227" t="e">
        <f>N66</f>
        <v>#DIV/0!</v>
      </c>
      <c r="O67" s="185" t="e">
        <f>IF(N67=0,0,O66)</f>
        <v>#DIV/0!</v>
      </c>
      <c r="P67" s="185" t="e">
        <f t="shared" si="0"/>
        <v>#DIV/0!</v>
      </c>
      <c r="Q67" s="228" t="e">
        <f>Q68</f>
        <v>#DIV/0!</v>
      </c>
      <c r="R67" s="227" t="e">
        <f>R66</f>
        <v>#DIV/0!</v>
      </c>
      <c r="S67" s="185" t="e">
        <f>IF(R67=0,0,S66)</f>
        <v>#DIV/0!</v>
      </c>
      <c r="T67" s="185" t="e">
        <f t="shared" si="6"/>
        <v>#DIV/0!</v>
      </c>
      <c r="U67" s="228" t="e">
        <f>U68</f>
        <v>#DIV/0!</v>
      </c>
      <c r="V67" s="227">
        <f>V66</f>
        <v>0</v>
      </c>
      <c r="W67" s="185">
        <f>IF(V67=0,0,W66)</f>
        <v>0</v>
      </c>
      <c r="X67" s="185">
        <f t="shared" si="7"/>
        <v>0</v>
      </c>
      <c r="Y67" s="228">
        <f>Y68</f>
        <v>0</v>
      </c>
      <c r="Z67" s="227">
        <f>Z66</f>
        <v>0</v>
      </c>
      <c r="AA67" s="185">
        <f>IF(Z67=0,0,AA66)</f>
        <v>0</v>
      </c>
      <c r="AB67" s="185">
        <f t="shared" si="8"/>
        <v>0</v>
      </c>
      <c r="AC67" s="228">
        <f>AC68</f>
        <v>0</v>
      </c>
    </row>
    <row r="68" spans="1:29" ht="14.25" customHeight="1" thickBot="1">
      <c r="B68" s="192" t="s">
        <v>22571</v>
      </c>
      <c r="E68" s="163"/>
      <c r="K68" s="152">
        <v>11</v>
      </c>
      <c r="L68" s="185">
        <f t="shared" si="5"/>
        <v>2.02</v>
      </c>
      <c r="M68" s="185">
        <f>M67</f>
        <v>0.21</v>
      </c>
      <c r="N68" s="227" t="e">
        <f>MAX($N$47/Kalk2_Eingabe!$C$18*(Kalk2_Eingabe!$C$18-Kalk2_Lastfallkombi!M68),0)</f>
        <v>#DIV/0!</v>
      </c>
      <c r="O68" s="185" t="e">
        <f t="shared" si="1"/>
        <v>#DIV/0!</v>
      </c>
      <c r="P68" s="185" t="e">
        <f t="shared" si="0"/>
        <v>#DIV/0!</v>
      </c>
      <c r="Q68" s="228" t="e">
        <f>AVERAGE(P68,P67)</f>
        <v>#DIV/0!</v>
      </c>
      <c r="R68" s="227" t="e">
        <f>MAX($R$47/Kalk2_Eingabe!$C$18*(Kalk2_Eingabe!$C$18-Kalk2_Lastfallkombi!M68),0)</f>
        <v>#DIV/0!</v>
      </c>
      <c r="S68" s="185" t="e">
        <f t="shared" si="2"/>
        <v>#DIV/0!</v>
      </c>
      <c r="T68" s="185" t="e">
        <f t="shared" si="6"/>
        <v>#DIV/0!</v>
      </c>
      <c r="U68" s="228" t="e">
        <f>AVERAGE(T68,T67)</f>
        <v>#DIV/0!</v>
      </c>
      <c r="V68" s="227">
        <f>MAX($V$47/Kalk2_Eingabe!$C$24*(Kalk2_Eingabe!$C$24-Kalk2_Lastfallkombi!M68),0)</f>
        <v>0</v>
      </c>
      <c r="W68" s="185">
        <f t="shared" si="3"/>
        <v>0</v>
      </c>
      <c r="X68" s="185">
        <f t="shared" si="7"/>
        <v>0</v>
      </c>
      <c r="Y68" s="228">
        <f>AVERAGE(X68,X67)</f>
        <v>0</v>
      </c>
      <c r="Z68" s="227">
        <f>MAX($Z$47/Kalk2_Eingabe!$C$24*(Kalk2_Eingabe!$C$24-Kalk2_Lastfallkombi!M68),0)</f>
        <v>0</v>
      </c>
      <c r="AA68" s="185">
        <f t="shared" si="4"/>
        <v>0</v>
      </c>
      <c r="AB68" s="185">
        <f t="shared" si="8"/>
        <v>0</v>
      </c>
      <c r="AC68" s="228">
        <f>AVERAGE(AB68,AB67)</f>
        <v>0</v>
      </c>
    </row>
    <row r="69" spans="1:29" ht="14.25" customHeight="1" thickBot="1">
      <c r="A69" s="216" t="s">
        <v>22513</v>
      </c>
      <c r="B69" s="195" t="s">
        <v>22572</v>
      </c>
      <c r="C69" s="194">
        <f>C24*C15/100*Kalk2_Eingabe!$C$19/2</f>
        <v>0</v>
      </c>
      <c r="D69" s="194">
        <f>D24*$C$15/100*Kalk2_Eingabe!$C$19/2</f>
        <v>0</v>
      </c>
      <c r="E69" s="190" t="s">
        <v>22379</v>
      </c>
      <c r="K69" s="152">
        <v>12</v>
      </c>
      <c r="L69" s="185">
        <f t="shared" si="5"/>
        <v>1.98</v>
      </c>
      <c r="M69" s="185">
        <f>M67+IF(K69&lt;=$L$36,$C$14/100,0)</f>
        <v>0.21</v>
      </c>
      <c r="N69" s="227" t="e">
        <f>N68</f>
        <v>#DIV/0!</v>
      </c>
      <c r="O69" s="185" t="e">
        <f>IF(N69=0,0,O68)</f>
        <v>#DIV/0!</v>
      </c>
      <c r="P69" s="185" t="e">
        <f t="shared" si="0"/>
        <v>#DIV/0!</v>
      </c>
      <c r="Q69" s="228" t="e">
        <f>Q70</f>
        <v>#DIV/0!</v>
      </c>
      <c r="R69" s="227" t="e">
        <f>R68</f>
        <v>#DIV/0!</v>
      </c>
      <c r="S69" s="185" t="e">
        <f>IF(R69=0,0,S68)</f>
        <v>#DIV/0!</v>
      </c>
      <c r="T69" s="185" t="e">
        <f t="shared" si="6"/>
        <v>#DIV/0!</v>
      </c>
      <c r="U69" s="228" t="e">
        <f>U70</f>
        <v>#DIV/0!</v>
      </c>
      <c r="V69" s="227">
        <f>V68</f>
        <v>0</v>
      </c>
      <c r="W69" s="185">
        <f>IF(V69=0,0,W68)</f>
        <v>0</v>
      </c>
      <c r="X69" s="185">
        <f t="shared" si="7"/>
        <v>0</v>
      </c>
      <c r="Y69" s="228">
        <f>Y70</f>
        <v>0</v>
      </c>
      <c r="Z69" s="227">
        <f>Z68</f>
        <v>0</v>
      </c>
      <c r="AA69" s="185">
        <f>IF(Z69=0,0,AA68)</f>
        <v>0</v>
      </c>
      <c r="AB69" s="185">
        <f t="shared" si="8"/>
        <v>0</v>
      </c>
      <c r="AC69" s="228">
        <f>AC70</f>
        <v>0</v>
      </c>
    </row>
    <row r="70" spans="1:29" ht="14.25" customHeight="1" thickBot="1">
      <c r="B70" s="195" t="s">
        <v>22573</v>
      </c>
      <c r="C70" s="194">
        <f>C24*C15/100*Kalk2_Eingabe!$C$19^2/8</f>
        <v>0</v>
      </c>
      <c r="D70" s="194">
        <f>D24*$C$15/100*Kalk2_Eingabe!$C$19^2/8</f>
        <v>0</v>
      </c>
      <c r="E70" s="190" t="s">
        <v>22428</v>
      </c>
      <c r="K70" s="152">
        <v>12</v>
      </c>
      <c r="L70" s="185">
        <f t="shared" si="5"/>
        <v>2.02</v>
      </c>
      <c r="M70" s="185">
        <f>M69</f>
        <v>0.21</v>
      </c>
      <c r="N70" s="227" t="e">
        <f>MAX($N$47/Kalk2_Eingabe!$C$18*(Kalk2_Eingabe!$C$18-Kalk2_Lastfallkombi!M70),0)</f>
        <v>#DIV/0!</v>
      </c>
      <c r="O70" s="185" t="e">
        <f t="shared" si="1"/>
        <v>#DIV/0!</v>
      </c>
      <c r="P70" s="185" t="e">
        <f t="shared" si="0"/>
        <v>#DIV/0!</v>
      </c>
      <c r="Q70" s="228" t="e">
        <f>AVERAGE(P70,P69)</f>
        <v>#DIV/0!</v>
      </c>
      <c r="R70" s="227" t="e">
        <f>MAX($R$47/Kalk2_Eingabe!$C$18*(Kalk2_Eingabe!$C$18-Kalk2_Lastfallkombi!M70),0)</f>
        <v>#DIV/0!</v>
      </c>
      <c r="S70" s="185" t="e">
        <f t="shared" si="2"/>
        <v>#DIV/0!</v>
      </c>
      <c r="T70" s="185" t="e">
        <f t="shared" si="6"/>
        <v>#DIV/0!</v>
      </c>
      <c r="U70" s="228" t="e">
        <f>AVERAGE(T70,T69)</f>
        <v>#DIV/0!</v>
      </c>
      <c r="V70" s="227">
        <f>MAX($V$47/Kalk2_Eingabe!$C$24*(Kalk2_Eingabe!$C$24-Kalk2_Lastfallkombi!M70),0)</f>
        <v>0</v>
      </c>
      <c r="W70" s="185">
        <f t="shared" si="3"/>
        <v>0</v>
      </c>
      <c r="X70" s="185">
        <f t="shared" si="7"/>
        <v>0</v>
      </c>
      <c r="Y70" s="228">
        <f>AVERAGE(X70,X69)</f>
        <v>0</v>
      </c>
      <c r="Z70" s="227">
        <f>MAX($Z$47/Kalk2_Eingabe!$C$24*(Kalk2_Eingabe!$C$24-Kalk2_Lastfallkombi!M70),0)</f>
        <v>0</v>
      </c>
      <c r="AA70" s="185">
        <f t="shared" si="4"/>
        <v>0</v>
      </c>
      <c r="AB70" s="185">
        <f t="shared" si="8"/>
        <v>0</v>
      </c>
      <c r="AC70" s="228">
        <f>AVERAGE(AB70,AB69)</f>
        <v>0</v>
      </c>
    </row>
    <row r="71" spans="1:29" ht="14.25" customHeight="1">
      <c r="E71" s="163"/>
      <c r="K71" s="152">
        <v>13</v>
      </c>
      <c r="L71" s="185">
        <f t="shared" si="5"/>
        <v>1.98</v>
      </c>
      <c r="M71" s="185">
        <f>M69+IF(K71&lt;=$L$36,$C$14/100,0)</f>
        <v>0.21</v>
      </c>
      <c r="N71" s="227" t="e">
        <f>N70</f>
        <v>#DIV/0!</v>
      </c>
      <c r="O71" s="185" t="e">
        <f>IF(N71=0,0,O70)</f>
        <v>#DIV/0!</v>
      </c>
      <c r="P71" s="185" t="e">
        <f t="shared" si="0"/>
        <v>#DIV/0!</v>
      </c>
      <c r="Q71" s="228" t="e">
        <f>Q72</f>
        <v>#DIV/0!</v>
      </c>
      <c r="R71" s="227" t="e">
        <f>R70</f>
        <v>#DIV/0!</v>
      </c>
      <c r="S71" s="185" t="e">
        <f>IF(R71=0,0,S70)</f>
        <v>#DIV/0!</v>
      </c>
      <c r="T71" s="185" t="e">
        <f t="shared" si="6"/>
        <v>#DIV/0!</v>
      </c>
      <c r="U71" s="228" t="e">
        <f>U72</f>
        <v>#DIV/0!</v>
      </c>
      <c r="V71" s="227">
        <f>V70</f>
        <v>0</v>
      </c>
      <c r="W71" s="185">
        <f>IF(V71=0,0,W70)</f>
        <v>0</v>
      </c>
      <c r="X71" s="185">
        <f t="shared" si="7"/>
        <v>0</v>
      </c>
      <c r="Y71" s="228">
        <f>Y72</f>
        <v>0</v>
      </c>
      <c r="Z71" s="227">
        <f>Z70</f>
        <v>0</v>
      </c>
      <c r="AA71" s="185">
        <f>IF(Z71=0,0,AA70)</f>
        <v>0</v>
      </c>
      <c r="AB71" s="185">
        <f t="shared" si="8"/>
        <v>0</v>
      </c>
      <c r="AC71" s="228">
        <f>AC72</f>
        <v>0</v>
      </c>
    </row>
    <row r="72" spans="1:29" ht="14.25" customHeight="1">
      <c r="E72" s="163"/>
      <c r="K72" s="152">
        <v>13</v>
      </c>
      <c r="L72" s="185">
        <f t="shared" si="5"/>
        <v>2.02</v>
      </c>
      <c r="M72" s="185">
        <f>M71</f>
        <v>0.21</v>
      </c>
      <c r="N72" s="227" t="e">
        <f>MAX($N$47/Kalk2_Eingabe!$C$18*(Kalk2_Eingabe!$C$18-Kalk2_Lastfallkombi!M72),0)</f>
        <v>#DIV/0!</v>
      </c>
      <c r="O72" s="185" t="e">
        <f t="shared" si="1"/>
        <v>#DIV/0!</v>
      </c>
      <c r="P72" s="185" t="e">
        <f t="shared" si="0"/>
        <v>#DIV/0!</v>
      </c>
      <c r="Q72" s="228" t="e">
        <f>AVERAGE(P72,P71)</f>
        <v>#DIV/0!</v>
      </c>
      <c r="R72" s="227" t="e">
        <f>MAX($R$47/Kalk2_Eingabe!$C$18*(Kalk2_Eingabe!$C$18-Kalk2_Lastfallkombi!M72),0)</f>
        <v>#DIV/0!</v>
      </c>
      <c r="S72" s="185" t="e">
        <f t="shared" si="2"/>
        <v>#DIV/0!</v>
      </c>
      <c r="T72" s="185" t="e">
        <f t="shared" si="6"/>
        <v>#DIV/0!</v>
      </c>
      <c r="U72" s="228" t="e">
        <f>AVERAGE(T72,T71)</f>
        <v>#DIV/0!</v>
      </c>
      <c r="V72" s="227">
        <f>MAX($V$47/Kalk2_Eingabe!$C$24*(Kalk2_Eingabe!$C$24-Kalk2_Lastfallkombi!M72),0)</f>
        <v>0</v>
      </c>
      <c r="W72" s="185">
        <f t="shared" si="3"/>
        <v>0</v>
      </c>
      <c r="X72" s="185">
        <f t="shared" si="7"/>
        <v>0</v>
      </c>
      <c r="Y72" s="228">
        <f>AVERAGE(X72,X71)</f>
        <v>0</v>
      </c>
      <c r="Z72" s="227">
        <f>MAX($Z$47/Kalk2_Eingabe!$C$24*(Kalk2_Eingabe!$C$24-Kalk2_Lastfallkombi!M72),0)</f>
        <v>0</v>
      </c>
      <c r="AA72" s="185">
        <f t="shared" si="4"/>
        <v>0</v>
      </c>
      <c r="AB72" s="185">
        <f t="shared" si="8"/>
        <v>0</v>
      </c>
      <c r="AC72" s="228">
        <f>AVERAGE(AB72,AB71)</f>
        <v>0</v>
      </c>
    </row>
    <row r="73" spans="1:29" ht="14.25" customHeight="1">
      <c r="E73" s="163"/>
      <c r="K73" s="152">
        <v>14</v>
      </c>
      <c r="L73" s="185">
        <f t="shared" si="5"/>
        <v>1.98</v>
      </c>
      <c r="M73" s="185">
        <f>M71+IF(K73&lt;=$L$36,$C$14/100,0)</f>
        <v>0.21</v>
      </c>
      <c r="N73" s="227" t="e">
        <f>N72</f>
        <v>#DIV/0!</v>
      </c>
      <c r="O73" s="185" t="e">
        <f>IF(N73=0,0,O72)</f>
        <v>#DIV/0!</v>
      </c>
      <c r="P73" s="185" t="e">
        <f t="shared" si="0"/>
        <v>#DIV/0!</v>
      </c>
      <c r="Q73" s="228" t="e">
        <f>Q74</f>
        <v>#DIV/0!</v>
      </c>
      <c r="R73" s="227" t="e">
        <f>R72</f>
        <v>#DIV/0!</v>
      </c>
      <c r="S73" s="185" t="e">
        <f>IF(R73=0,0,S72)</f>
        <v>#DIV/0!</v>
      </c>
      <c r="T73" s="185" t="e">
        <f t="shared" si="6"/>
        <v>#DIV/0!</v>
      </c>
      <c r="U73" s="228" t="e">
        <f>U74</f>
        <v>#DIV/0!</v>
      </c>
      <c r="V73" s="227">
        <f>V72</f>
        <v>0</v>
      </c>
      <c r="W73" s="185">
        <f>IF(V73=0,0,W72)</f>
        <v>0</v>
      </c>
      <c r="X73" s="185">
        <f t="shared" si="7"/>
        <v>0</v>
      </c>
      <c r="Y73" s="228">
        <f>Y74</f>
        <v>0</v>
      </c>
      <c r="Z73" s="227">
        <f>Z72</f>
        <v>0</v>
      </c>
      <c r="AA73" s="185">
        <f>IF(Z73=0,0,AA72)</f>
        <v>0</v>
      </c>
      <c r="AB73" s="185">
        <f t="shared" si="8"/>
        <v>0</v>
      </c>
      <c r="AC73" s="228">
        <f>AC74</f>
        <v>0</v>
      </c>
    </row>
    <row r="74" spans="1:29" ht="14.25" customHeight="1">
      <c r="E74" s="163"/>
      <c r="K74" s="152">
        <v>14</v>
      </c>
      <c r="L74" s="185">
        <f t="shared" si="5"/>
        <v>2.02</v>
      </c>
      <c r="M74" s="185">
        <f>M73</f>
        <v>0.21</v>
      </c>
      <c r="N74" s="227" t="e">
        <f>MAX($N$47/Kalk2_Eingabe!$C$18*(Kalk2_Eingabe!$C$18-Kalk2_Lastfallkombi!M74),0)</f>
        <v>#DIV/0!</v>
      </c>
      <c r="O74" s="185" t="e">
        <f t="shared" si="1"/>
        <v>#DIV/0!</v>
      </c>
      <c r="P74" s="185" t="e">
        <f t="shared" si="0"/>
        <v>#DIV/0!</v>
      </c>
      <c r="Q74" s="228" t="e">
        <f>AVERAGE(P74,P73)</f>
        <v>#DIV/0!</v>
      </c>
      <c r="R74" s="227" t="e">
        <f>MAX($R$47/Kalk2_Eingabe!$C$18*(Kalk2_Eingabe!$C$18-Kalk2_Lastfallkombi!M74),0)</f>
        <v>#DIV/0!</v>
      </c>
      <c r="S74" s="185" t="e">
        <f t="shared" si="2"/>
        <v>#DIV/0!</v>
      </c>
      <c r="T74" s="185" t="e">
        <f t="shared" si="6"/>
        <v>#DIV/0!</v>
      </c>
      <c r="U74" s="228" t="e">
        <f>AVERAGE(T74,T73)</f>
        <v>#DIV/0!</v>
      </c>
      <c r="V74" s="227">
        <f>MAX($V$47/Kalk2_Eingabe!$C$24*(Kalk2_Eingabe!$C$24-Kalk2_Lastfallkombi!M74),0)</f>
        <v>0</v>
      </c>
      <c r="W74" s="185">
        <f t="shared" si="3"/>
        <v>0</v>
      </c>
      <c r="X74" s="185">
        <f t="shared" si="7"/>
        <v>0</v>
      </c>
      <c r="Y74" s="228">
        <f>AVERAGE(X74,X73)</f>
        <v>0</v>
      </c>
      <c r="Z74" s="227">
        <f>MAX($Z$47/Kalk2_Eingabe!$C$24*(Kalk2_Eingabe!$C$24-Kalk2_Lastfallkombi!M74),0)</f>
        <v>0</v>
      </c>
      <c r="AA74" s="185">
        <f t="shared" si="4"/>
        <v>0</v>
      </c>
      <c r="AB74" s="185">
        <f t="shared" si="8"/>
        <v>0</v>
      </c>
      <c r="AC74" s="228">
        <f>AVERAGE(AB74,AB73)</f>
        <v>0</v>
      </c>
    </row>
    <row r="75" spans="1:29" ht="14.25" customHeight="1">
      <c r="E75" s="163"/>
      <c r="K75" s="152">
        <v>15</v>
      </c>
      <c r="L75" s="185">
        <f t="shared" si="5"/>
        <v>1.98</v>
      </c>
      <c r="M75" s="185">
        <f>M73+IF(K75&lt;=$L$36,$C$14/100,0)</f>
        <v>0.21</v>
      </c>
      <c r="N75" s="227" t="e">
        <f>N74</f>
        <v>#DIV/0!</v>
      </c>
      <c r="O75" s="185" t="e">
        <f>IF(N75=0,0,O74)</f>
        <v>#DIV/0!</v>
      </c>
      <c r="P75" s="185" t="e">
        <f t="shared" si="0"/>
        <v>#DIV/0!</v>
      </c>
      <c r="Q75" s="228" t="e">
        <f>Q76</f>
        <v>#DIV/0!</v>
      </c>
      <c r="R75" s="227" t="e">
        <f>R74</f>
        <v>#DIV/0!</v>
      </c>
      <c r="S75" s="185" t="e">
        <f>IF(R75=0,0,S74)</f>
        <v>#DIV/0!</v>
      </c>
      <c r="T75" s="185" t="e">
        <f t="shared" si="6"/>
        <v>#DIV/0!</v>
      </c>
      <c r="U75" s="228" t="e">
        <f>U76</f>
        <v>#DIV/0!</v>
      </c>
      <c r="V75" s="227">
        <f>V74</f>
        <v>0</v>
      </c>
      <c r="W75" s="185">
        <f>IF(V75=0,0,W74)</f>
        <v>0</v>
      </c>
      <c r="X75" s="185">
        <f t="shared" si="7"/>
        <v>0</v>
      </c>
      <c r="Y75" s="228">
        <f>Y76</f>
        <v>0</v>
      </c>
      <c r="Z75" s="227">
        <f>Z74</f>
        <v>0</v>
      </c>
      <c r="AA75" s="185">
        <f>IF(Z75=0,0,AA74)</f>
        <v>0</v>
      </c>
      <c r="AB75" s="185">
        <f t="shared" si="8"/>
        <v>0</v>
      </c>
      <c r="AC75" s="228">
        <f>AC76</f>
        <v>0</v>
      </c>
    </row>
    <row r="76" spans="1:29" ht="14.25" customHeight="1">
      <c r="E76" s="163"/>
      <c r="K76" s="152">
        <v>15</v>
      </c>
      <c r="L76" s="185">
        <f t="shared" si="5"/>
        <v>2.02</v>
      </c>
      <c r="M76" s="185">
        <f>M75</f>
        <v>0.21</v>
      </c>
      <c r="N76" s="227" t="e">
        <f>MAX($N$47/Kalk2_Eingabe!$C$18*(Kalk2_Eingabe!$C$18-Kalk2_Lastfallkombi!M76),0)</f>
        <v>#DIV/0!</v>
      </c>
      <c r="O76" s="185" t="e">
        <f t="shared" si="1"/>
        <v>#DIV/0!</v>
      </c>
      <c r="P76" s="185" t="e">
        <f t="shared" si="0"/>
        <v>#DIV/0!</v>
      </c>
      <c r="Q76" s="228" t="e">
        <f>AVERAGE(P76,P75)</f>
        <v>#DIV/0!</v>
      </c>
      <c r="R76" s="227" t="e">
        <f>MAX($R$47/Kalk2_Eingabe!$C$18*(Kalk2_Eingabe!$C$18-Kalk2_Lastfallkombi!M76),0)</f>
        <v>#DIV/0!</v>
      </c>
      <c r="S76" s="185" t="e">
        <f t="shared" si="2"/>
        <v>#DIV/0!</v>
      </c>
      <c r="T76" s="185" t="e">
        <f t="shared" si="6"/>
        <v>#DIV/0!</v>
      </c>
      <c r="U76" s="228" t="e">
        <f>AVERAGE(T76,T75)</f>
        <v>#DIV/0!</v>
      </c>
      <c r="V76" s="227">
        <f>MAX($V$47/Kalk2_Eingabe!$C$24*(Kalk2_Eingabe!$C$24-Kalk2_Lastfallkombi!M76),0)</f>
        <v>0</v>
      </c>
      <c r="W76" s="185">
        <f t="shared" si="3"/>
        <v>0</v>
      </c>
      <c r="X76" s="185">
        <f t="shared" si="7"/>
        <v>0</v>
      </c>
      <c r="Y76" s="228">
        <f>AVERAGE(X76,X75)</f>
        <v>0</v>
      </c>
      <c r="Z76" s="227">
        <f>MAX($Z$47/Kalk2_Eingabe!$C$24*(Kalk2_Eingabe!$C$24-Kalk2_Lastfallkombi!M76),0)</f>
        <v>0</v>
      </c>
      <c r="AA76" s="185">
        <f t="shared" si="4"/>
        <v>0</v>
      </c>
      <c r="AB76" s="185">
        <f t="shared" si="8"/>
        <v>0</v>
      </c>
      <c r="AC76" s="228">
        <f>AVERAGE(AB76,AB75)</f>
        <v>0</v>
      </c>
    </row>
    <row r="77" spans="1:29" ht="14.25" customHeight="1">
      <c r="E77" s="163"/>
      <c r="K77" s="152">
        <v>16</v>
      </c>
      <c r="L77" s="185">
        <f t="shared" si="5"/>
        <v>1.98</v>
      </c>
      <c r="M77" s="185">
        <f>M75+IF(K77&lt;=$L$36,$C$14/100,0)</f>
        <v>0.21</v>
      </c>
      <c r="N77" s="227" t="e">
        <f>N76</f>
        <v>#DIV/0!</v>
      </c>
      <c r="O77" s="185" t="e">
        <f>IF(N77=0,0,O76)</f>
        <v>#DIV/0!</v>
      </c>
      <c r="P77" s="185" t="e">
        <f t="shared" si="0"/>
        <v>#DIV/0!</v>
      </c>
      <c r="Q77" s="228" t="e">
        <f>Q78</f>
        <v>#DIV/0!</v>
      </c>
      <c r="R77" s="227" t="e">
        <f>R76</f>
        <v>#DIV/0!</v>
      </c>
      <c r="S77" s="185" t="e">
        <f>IF(R77=0,0,S76)</f>
        <v>#DIV/0!</v>
      </c>
      <c r="T77" s="185" t="e">
        <f t="shared" si="6"/>
        <v>#DIV/0!</v>
      </c>
      <c r="U77" s="228" t="e">
        <f>U78</f>
        <v>#DIV/0!</v>
      </c>
      <c r="V77" s="227">
        <f>V76</f>
        <v>0</v>
      </c>
      <c r="W77" s="185">
        <f>IF(V77=0,0,W76)</f>
        <v>0</v>
      </c>
      <c r="X77" s="185">
        <f t="shared" si="7"/>
        <v>0</v>
      </c>
      <c r="Y77" s="228">
        <f>Y78</f>
        <v>0</v>
      </c>
      <c r="Z77" s="227">
        <f>Z76</f>
        <v>0</v>
      </c>
      <c r="AA77" s="185">
        <f>IF(Z77=0,0,AA76)</f>
        <v>0</v>
      </c>
      <c r="AB77" s="185">
        <f t="shared" si="8"/>
        <v>0</v>
      </c>
      <c r="AC77" s="228">
        <f>AC78</f>
        <v>0</v>
      </c>
    </row>
    <row r="78" spans="1:29" ht="14.25" customHeight="1">
      <c r="E78" s="163"/>
      <c r="K78" s="152">
        <v>16</v>
      </c>
      <c r="L78" s="185">
        <f t="shared" si="5"/>
        <v>2.02</v>
      </c>
      <c r="M78" s="185">
        <f>M77</f>
        <v>0.21</v>
      </c>
      <c r="N78" s="227" t="e">
        <f>MAX($N$47/Kalk2_Eingabe!$C$18*(Kalk2_Eingabe!$C$18-Kalk2_Lastfallkombi!M78),0)</f>
        <v>#DIV/0!</v>
      </c>
      <c r="O78" s="185" t="e">
        <f t="shared" si="1"/>
        <v>#DIV/0!</v>
      </c>
      <c r="P78" s="185" t="e">
        <f t="shared" si="0"/>
        <v>#DIV/0!</v>
      </c>
      <c r="Q78" s="228" t="e">
        <f>AVERAGE(P78,P77)</f>
        <v>#DIV/0!</v>
      </c>
      <c r="R78" s="227" t="e">
        <f>MAX($R$47/Kalk2_Eingabe!$C$18*(Kalk2_Eingabe!$C$18-Kalk2_Lastfallkombi!M78),0)</f>
        <v>#DIV/0!</v>
      </c>
      <c r="S78" s="185" t="e">
        <f t="shared" si="2"/>
        <v>#DIV/0!</v>
      </c>
      <c r="T78" s="185" t="e">
        <f t="shared" si="6"/>
        <v>#DIV/0!</v>
      </c>
      <c r="U78" s="228" t="e">
        <f>AVERAGE(T78,T77)</f>
        <v>#DIV/0!</v>
      </c>
      <c r="V78" s="227">
        <f>MAX($V$47/Kalk2_Eingabe!$C$24*(Kalk2_Eingabe!$C$24-Kalk2_Lastfallkombi!M78),0)</f>
        <v>0</v>
      </c>
      <c r="W78" s="185">
        <f t="shared" si="3"/>
        <v>0</v>
      </c>
      <c r="X78" s="185">
        <f t="shared" si="7"/>
        <v>0</v>
      </c>
      <c r="Y78" s="228">
        <f>AVERAGE(X78,X77)</f>
        <v>0</v>
      </c>
      <c r="Z78" s="227">
        <f>MAX($Z$47/Kalk2_Eingabe!$C$24*(Kalk2_Eingabe!$C$24-Kalk2_Lastfallkombi!M78),0)</f>
        <v>0</v>
      </c>
      <c r="AA78" s="185">
        <f t="shared" si="4"/>
        <v>0</v>
      </c>
      <c r="AB78" s="185">
        <f t="shared" si="8"/>
        <v>0</v>
      </c>
      <c r="AC78" s="228">
        <f>AVERAGE(AB78,AB77)</f>
        <v>0</v>
      </c>
    </row>
    <row r="79" spans="1:29" ht="14.25" customHeight="1">
      <c r="E79" s="163"/>
      <c r="K79" s="152">
        <v>17</v>
      </c>
      <c r="L79" s="185">
        <f t="shared" si="5"/>
        <v>1.98</v>
      </c>
      <c r="M79" s="185">
        <f>M77+IF(K79&lt;=$L$36,$C$14/100,0)</f>
        <v>0.21</v>
      </c>
      <c r="N79" s="227" t="e">
        <f>N78</f>
        <v>#DIV/0!</v>
      </c>
      <c r="O79" s="185" t="e">
        <f>IF(N79=0,0,O78)</f>
        <v>#DIV/0!</v>
      </c>
      <c r="P79" s="185" t="e">
        <f t="shared" si="0"/>
        <v>#DIV/0!</v>
      </c>
      <c r="Q79" s="228" t="e">
        <f>Q80</f>
        <v>#DIV/0!</v>
      </c>
      <c r="R79" s="227" t="e">
        <f>R78</f>
        <v>#DIV/0!</v>
      </c>
      <c r="S79" s="185" t="e">
        <f>IF(R79=0,0,S78)</f>
        <v>#DIV/0!</v>
      </c>
      <c r="T79" s="185" t="e">
        <f t="shared" si="6"/>
        <v>#DIV/0!</v>
      </c>
      <c r="U79" s="228" t="e">
        <f>U80</f>
        <v>#DIV/0!</v>
      </c>
      <c r="V79" s="227">
        <f>V78</f>
        <v>0</v>
      </c>
      <c r="W79" s="185">
        <f>IF(V79=0,0,W78)</f>
        <v>0</v>
      </c>
      <c r="X79" s="185">
        <f t="shared" si="7"/>
        <v>0</v>
      </c>
      <c r="Y79" s="228">
        <f>Y80</f>
        <v>0</v>
      </c>
      <c r="Z79" s="227">
        <f>Z78</f>
        <v>0</v>
      </c>
      <c r="AA79" s="185">
        <f>IF(Z79=0,0,AA78)</f>
        <v>0</v>
      </c>
      <c r="AB79" s="185">
        <f t="shared" si="8"/>
        <v>0</v>
      </c>
      <c r="AC79" s="228">
        <f>AC80</f>
        <v>0</v>
      </c>
    </row>
    <row r="80" spans="1:29" ht="14.25" customHeight="1">
      <c r="E80" s="163"/>
      <c r="K80" s="152">
        <v>17</v>
      </c>
      <c r="L80" s="185">
        <f t="shared" si="5"/>
        <v>2.02</v>
      </c>
      <c r="M80" s="185">
        <f>M79</f>
        <v>0.21</v>
      </c>
      <c r="N80" s="227" t="e">
        <f>MAX($N$47/Kalk2_Eingabe!$C$18*(Kalk2_Eingabe!$C$18-Kalk2_Lastfallkombi!M80),0)</f>
        <v>#DIV/0!</v>
      </c>
      <c r="O80" s="185" t="e">
        <f t="shared" si="1"/>
        <v>#DIV/0!</v>
      </c>
      <c r="P80" s="185" t="e">
        <f t="shared" si="0"/>
        <v>#DIV/0!</v>
      </c>
      <c r="Q80" s="228" t="e">
        <f>AVERAGE(P80,P79)</f>
        <v>#DIV/0!</v>
      </c>
      <c r="R80" s="227" t="e">
        <f>MAX($R$47/Kalk2_Eingabe!$C$18*(Kalk2_Eingabe!$C$18-Kalk2_Lastfallkombi!M80),0)</f>
        <v>#DIV/0!</v>
      </c>
      <c r="S80" s="185" t="e">
        <f t="shared" si="2"/>
        <v>#DIV/0!</v>
      </c>
      <c r="T80" s="185" t="e">
        <f t="shared" si="6"/>
        <v>#DIV/0!</v>
      </c>
      <c r="U80" s="228" t="e">
        <f>AVERAGE(T80,T79)</f>
        <v>#DIV/0!</v>
      </c>
      <c r="V80" s="227">
        <f>MAX($V$47/Kalk2_Eingabe!$C$24*(Kalk2_Eingabe!$C$24-Kalk2_Lastfallkombi!M80),0)</f>
        <v>0</v>
      </c>
      <c r="W80" s="185">
        <f t="shared" si="3"/>
        <v>0</v>
      </c>
      <c r="X80" s="185">
        <f t="shared" si="7"/>
        <v>0</v>
      </c>
      <c r="Y80" s="228">
        <f>AVERAGE(X80,X79)</f>
        <v>0</v>
      </c>
      <c r="Z80" s="227">
        <f>MAX($Z$47/Kalk2_Eingabe!$C$24*(Kalk2_Eingabe!$C$24-Kalk2_Lastfallkombi!M80),0)</f>
        <v>0</v>
      </c>
      <c r="AA80" s="185">
        <f t="shared" si="4"/>
        <v>0</v>
      </c>
      <c r="AB80" s="185">
        <f t="shared" si="8"/>
        <v>0</v>
      </c>
      <c r="AC80" s="228">
        <f>AVERAGE(AB80,AB79)</f>
        <v>0</v>
      </c>
    </row>
    <row r="81" spans="5:29" ht="14.25" customHeight="1">
      <c r="E81" s="163"/>
      <c r="K81" s="152">
        <v>18</v>
      </c>
      <c r="L81" s="185">
        <f t="shared" si="5"/>
        <v>1.98</v>
      </c>
      <c r="M81" s="185">
        <f>M79+IF(K81&lt;=$L$36,$C$14/100,0)</f>
        <v>0.21</v>
      </c>
      <c r="N81" s="227" t="e">
        <f>N80</f>
        <v>#DIV/0!</v>
      </c>
      <c r="O81" s="185" t="e">
        <f>IF(N81=0,0,O80)</f>
        <v>#DIV/0!</v>
      </c>
      <c r="P81" s="185" t="e">
        <f t="shared" si="0"/>
        <v>#DIV/0!</v>
      </c>
      <c r="Q81" s="228" t="e">
        <f>Q82</f>
        <v>#DIV/0!</v>
      </c>
      <c r="R81" s="227" t="e">
        <f>R80</f>
        <v>#DIV/0!</v>
      </c>
      <c r="S81" s="185" t="e">
        <f>IF(R81=0,0,S80)</f>
        <v>#DIV/0!</v>
      </c>
      <c r="T81" s="185" t="e">
        <f t="shared" si="6"/>
        <v>#DIV/0!</v>
      </c>
      <c r="U81" s="228" t="e">
        <f>U82</f>
        <v>#DIV/0!</v>
      </c>
      <c r="V81" s="227">
        <f>V80</f>
        <v>0</v>
      </c>
      <c r="W81" s="185">
        <f>IF(V81=0,0,W80)</f>
        <v>0</v>
      </c>
      <c r="X81" s="185">
        <f t="shared" si="7"/>
        <v>0</v>
      </c>
      <c r="Y81" s="228">
        <f>Y82</f>
        <v>0</v>
      </c>
      <c r="Z81" s="227">
        <f>Z80</f>
        <v>0</v>
      </c>
      <c r="AA81" s="185">
        <f>IF(Z81=0,0,AA80)</f>
        <v>0</v>
      </c>
      <c r="AB81" s="185">
        <f t="shared" si="8"/>
        <v>0</v>
      </c>
      <c r="AC81" s="228">
        <f>AC82</f>
        <v>0</v>
      </c>
    </row>
    <row r="82" spans="5:29" ht="14.25" customHeight="1">
      <c r="E82" s="163"/>
      <c r="K82" s="152">
        <v>18</v>
      </c>
      <c r="L82" s="185">
        <f t="shared" si="5"/>
        <v>2.02</v>
      </c>
      <c r="M82" s="185">
        <f>M81</f>
        <v>0.21</v>
      </c>
      <c r="N82" s="227" t="e">
        <f>MAX($N$47/Kalk2_Eingabe!$C$18*(Kalk2_Eingabe!$C$18-Kalk2_Lastfallkombi!M82),0)</f>
        <v>#DIV/0!</v>
      </c>
      <c r="O82" s="185" t="e">
        <f t="shared" si="1"/>
        <v>#DIV/0!</v>
      </c>
      <c r="P82" s="185" t="e">
        <f t="shared" si="0"/>
        <v>#DIV/0!</v>
      </c>
      <c r="Q82" s="228" t="e">
        <f>AVERAGE(P82,P81)</f>
        <v>#DIV/0!</v>
      </c>
      <c r="R82" s="227" t="e">
        <f>MAX($R$47/Kalk2_Eingabe!$C$18*(Kalk2_Eingabe!$C$18-Kalk2_Lastfallkombi!M82),0)</f>
        <v>#DIV/0!</v>
      </c>
      <c r="S82" s="185" t="e">
        <f t="shared" si="2"/>
        <v>#DIV/0!</v>
      </c>
      <c r="T82" s="185" t="e">
        <f t="shared" si="6"/>
        <v>#DIV/0!</v>
      </c>
      <c r="U82" s="228" t="e">
        <f>AVERAGE(T82,T81)</f>
        <v>#DIV/0!</v>
      </c>
      <c r="V82" s="227">
        <f>MAX($V$47/Kalk2_Eingabe!$C$24*(Kalk2_Eingabe!$C$24-Kalk2_Lastfallkombi!M82),0)</f>
        <v>0</v>
      </c>
      <c r="W82" s="185">
        <f t="shared" si="3"/>
        <v>0</v>
      </c>
      <c r="X82" s="185">
        <f t="shared" si="7"/>
        <v>0</v>
      </c>
      <c r="Y82" s="228">
        <f>AVERAGE(X82,X81)</f>
        <v>0</v>
      </c>
      <c r="Z82" s="227">
        <f>MAX($Z$47/Kalk2_Eingabe!$C$24*(Kalk2_Eingabe!$C$24-Kalk2_Lastfallkombi!M82),0)</f>
        <v>0</v>
      </c>
      <c r="AA82" s="185">
        <f t="shared" si="4"/>
        <v>0</v>
      </c>
      <c r="AB82" s="185">
        <f t="shared" si="8"/>
        <v>0</v>
      </c>
      <c r="AC82" s="228">
        <f>AVERAGE(AB82,AB81)</f>
        <v>0</v>
      </c>
    </row>
    <row r="83" spans="5:29" ht="14.25" customHeight="1">
      <c r="E83" s="163"/>
      <c r="K83" s="152">
        <v>19</v>
      </c>
      <c r="L83" s="185">
        <f t="shared" si="5"/>
        <v>1.98</v>
      </c>
      <c r="M83" s="185">
        <f>M81+IF(K83&lt;=$L$36,$C$14/100,0)</f>
        <v>0.21</v>
      </c>
      <c r="N83" s="227" t="e">
        <f>N82</f>
        <v>#DIV/0!</v>
      </c>
      <c r="O83" s="185" t="e">
        <f>IF(N83=0,0,O82)</f>
        <v>#DIV/0!</v>
      </c>
      <c r="P83" s="185" t="e">
        <f t="shared" si="0"/>
        <v>#DIV/0!</v>
      </c>
      <c r="Q83" s="228" t="e">
        <f>Q84</f>
        <v>#DIV/0!</v>
      </c>
      <c r="R83" s="227" t="e">
        <f>R82</f>
        <v>#DIV/0!</v>
      </c>
      <c r="S83" s="185" t="e">
        <f>IF(R83=0,0,S82)</f>
        <v>#DIV/0!</v>
      </c>
      <c r="T83" s="185" t="e">
        <f t="shared" si="6"/>
        <v>#DIV/0!</v>
      </c>
      <c r="U83" s="228" t="e">
        <f>U84</f>
        <v>#DIV/0!</v>
      </c>
      <c r="V83" s="227">
        <f>V82</f>
        <v>0</v>
      </c>
      <c r="W83" s="185">
        <f>IF(V83=0,0,W82)</f>
        <v>0</v>
      </c>
      <c r="X83" s="185">
        <f t="shared" si="7"/>
        <v>0</v>
      </c>
      <c r="Y83" s="228">
        <f>Y84</f>
        <v>0</v>
      </c>
      <c r="Z83" s="227">
        <f>Z82</f>
        <v>0</v>
      </c>
      <c r="AA83" s="185">
        <f>IF(Z83=0,0,AA82)</f>
        <v>0</v>
      </c>
      <c r="AB83" s="185">
        <f t="shared" si="8"/>
        <v>0</v>
      </c>
      <c r="AC83" s="228">
        <f>AC84</f>
        <v>0</v>
      </c>
    </row>
    <row r="84" spans="5:29" ht="14.25" customHeight="1">
      <c r="E84" s="163"/>
      <c r="K84" s="152">
        <v>19</v>
      </c>
      <c r="L84" s="185">
        <f t="shared" si="5"/>
        <v>2.02</v>
      </c>
      <c r="M84" s="185">
        <f>M83</f>
        <v>0.21</v>
      </c>
      <c r="N84" s="227" t="e">
        <f>MAX($N$47/Kalk2_Eingabe!$C$18*(Kalk2_Eingabe!$C$18-Kalk2_Lastfallkombi!M84),0)</f>
        <v>#DIV/0!</v>
      </c>
      <c r="O84" s="185" t="e">
        <f t="shared" si="1"/>
        <v>#DIV/0!</v>
      </c>
      <c r="P84" s="185" t="e">
        <f t="shared" si="0"/>
        <v>#DIV/0!</v>
      </c>
      <c r="Q84" s="228" t="e">
        <f>AVERAGE(P84,P83)</f>
        <v>#DIV/0!</v>
      </c>
      <c r="R84" s="227" t="e">
        <f>MAX($R$47/Kalk2_Eingabe!$C$18*(Kalk2_Eingabe!$C$18-Kalk2_Lastfallkombi!M84),0)</f>
        <v>#DIV/0!</v>
      </c>
      <c r="S84" s="185" t="e">
        <f t="shared" si="2"/>
        <v>#DIV/0!</v>
      </c>
      <c r="T84" s="185" t="e">
        <f t="shared" si="6"/>
        <v>#DIV/0!</v>
      </c>
      <c r="U84" s="228" t="e">
        <f>AVERAGE(T84,T83)</f>
        <v>#DIV/0!</v>
      </c>
      <c r="V84" s="227">
        <f>MAX($V$47/Kalk2_Eingabe!$C$24*(Kalk2_Eingabe!$C$24-Kalk2_Lastfallkombi!M84),0)</f>
        <v>0</v>
      </c>
      <c r="W84" s="185">
        <f t="shared" si="3"/>
        <v>0</v>
      </c>
      <c r="X84" s="185">
        <f t="shared" si="7"/>
        <v>0</v>
      </c>
      <c r="Y84" s="228">
        <f>AVERAGE(X84,X83)</f>
        <v>0</v>
      </c>
      <c r="Z84" s="227">
        <f>MAX($Z$47/Kalk2_Eingabe!$C$24*(Kalk2_Eingabe!$C$24-Kalk2_Lastfallkombi!M84),0)</f>
        <v>0</v>
      </c>
      <c r="AA84" s="185">
        <f t="shared" si="4"/>
        <v>0</v>
      </c>
      <c r="AB84" s="185">
        <f t="shared" si="8"/>
        <v>0</v>
      </c>
      <c r="AC84" s="228">
        <f>AVERAGE(AB84,AB83)</f>
        <v>0</v>
      </c>
    </row>
    <row r="85" spans="5:29" ht="14.25" customHeight="1">
      <c r="E85" s="163"/>
      <c r="K85" s="152">
        <v>20</v>
      </c>
      <c r="L85" s="185">
        <f t="shared" si="5"/>
        <v>1.98</v>
      </c>
      <c r="M85" s="185">
        <f>M83+IF(K85&lt;=$L$36,$C$14/100,0)</f>
        <v>0.21</v>
      </c>
      <c r="N85" s="227" t="e">
        <f>N84</f>
        <v>#DIV/0!</v>
      </c>
      <c r="O85" s="185" t="e">
        <f>IF(N85=0,0,O84)</f>
        <v>#DIV/0!</v>
      </c>
      <c r="P85" s="185" t="e">
        <f t="shared" si="0"/>
        <v>#DIV/0!</v>
      </c>
      <c r="Q85" s="228" t="e">
        <f>Q86</f>
        <v>#DIV/0!</v>
      </c>
      <c r="R85" s="227" t="e">
        <f>R84</f>
        <v>#DIV/0!</v>
      </c>
      <c r="S85" s="185" t="e">
        <f>IF(R85=0,0,S84)</f>
        <v>#DIV/0!</v>
      </c>
      <c r="T85" s="185" t="e">
        <f t="shared" si="6"/>
        <v>#DIV/0!</v>
      </c>
      <c r="U85" s="228" t="e">
        <f>U86</f>
        <v>#DIV/0!</v>
      </c>
      <c r="V85" s="227">
        <f>V84</f>
        <v>0</v>
      </c>
      <c r="W85" s="185">
        <f>IF(V85=0,0,W84)</f>
        <v>0</v>
      </c>
      <c r="X85" s="185">
        <f t="shared" si="7"/>
        <v>0</v>
      </c>
      <c r="Y85" s="228">
        <f>Y86</f>
        <v>0</v>
      </c>
      <c r="Z85" s="227">
        <f>Z84</f>
        <v>0</v>
      </c>
      <c r="AA85" s="185">
        <f>IF(Z85=0,0,AA84)</f>
        <v>0</v>
      </c>
      <c r="AB85" s="185">
        <f t="shared" si="8"/>
        <v>0</v>
      </c>
      <c r="AC85" s="228">
        <f>AC86</f>
        <v>0</v>
      </c>
    </row>
    <row r="86" spans="5:29" ht="14.25" customHeight="1">
      <c r="E86" s="163"/>
      <c r="K86" s="152">
        <v>20</v>
      </c>
      <c r="L86" s="185">
        <f t="shared" si="5"/>
        <v>2.02</v>
      </c>
      <c r="M86" s="185">
        <f>M85</f>
        <v>0.21</v>
      </c>
      <c r="N86" s="227" t="e">
        <f>MAX($N$47/Kalk2_Eingabe!$C$18*(Kalk2_Eingabe!$C$18-Kalk2_Lastfallkombi!M86),0)</f>
        <v>#DIV/0!</v>
      </c>
      <c r="O86" s="185" t="e">
        <f t="shared" si="1"/>
        <v>#DIV/0!</v>
      </c>
      <c r="P86" s="185" t="e">
        <f t="shared" si="0"/>
        <v>#DIV/0!</v>
      </c>
      <c r="Q86" s="228" t="e">
        <f>AVERAGE(P86,P85)</f>
        <v>#DIV/0!</v>
      </c>
      <c r="R86" s="227" t="e">
        <f>MAX($R$47/Kalk2_Eingabe!$C$18*(Kalk2_Eingabe!$C$18-Kalk2_Lastfallkombi!M86),0)</f>
        <v>#DIV/0!</v>
      </c>
      <c r="S86" s="185" t="e">
        <f t="shared" si="2"/>
        <v>#DIV/0!</v>
      </c>
      <c r="T86" s="185" t="e">
        <f t="shared" si="6"/>
        <v>#DIV/0!</v>
      </c>
      <c r="U86" s="228" t="e">
        <f>AVERAGE(T86,T85)</f>
        <v>#DIV/0!</v>
      </c>
      <c r="V86" s="227">
        <f>MAX($V$47/Kalk2_Eingabe!$C$24*(Kalk2_Eingabe!$C$24-Kalk2_Lastfallkombi!M86),0)</f>
        <v>0</v>
      </c>
      <c r="W86" s="185">
        <f t="shared" si="3"/>
        <v>0</v>
      </c>
      <c r="X86" s="185">
        <f t="shared" si="7"/>
        <v>0</v>
      </c>
      <c r="Y86" s="228">
        <f>AVERAGE(X86,X85)</f>
        <v>0</v>
      </c>
      <c r="Z86" s="227">
        <f>MAX($Z$47/Kalk2_Eingabe!$C$24*(Kalk2_Eingabe!$C$24-Kalk2_Lastfallkombi!M86),0)</f>
        <v>0</v>
      </c>
      <c r="AA86" s="185">
        <f t="shared" si="4"/>
        <v>0</v>
      </c>
      <c r="AB86" s="185">
        <f t="shared" si="8"/>
        <v>0</v>
      </c>
      <c r="AC86" s="228">
        <f>AVERAGE(AB86,AB85)</f>
        <v>0</v>
      </c>
    </row>
    <row r="87" spans="5:29" ht="14.25" customHeight="1">
      <c r="E87" s="163"/>
      <c r="K87" s="152">
        <v>21</v>
      </c>
      <c r="L87" s="185">
        <f t="shared" si="5"/>
        <v>1.98</v>
      </c>
      <c r="M87" s="185">
        <f>M85+IF(K87&lt;=$L$36,$C$14/100,0)</f>
        <v>0.21</v>
      </c>
      <c r="N87" s="227" t="e">
        <f>N86</f>
        <v>#DIV/0!</v>
      </c>
      <c r="O87" s="185" t="e">
        <f>IF(N87=0,0,O86)</f>
        <v>#DIV/0!</v>
      </c>
      <c r="P87" s="185" t="e">
        <f t="shared" si="0"/>
        <v>#DIV/0!</v>
      </c>
      <c r="Q87" s="228" t="e">
        <f>Q88</f>
        <v>#DIV/0!</v>
      </c>
      <c r="R87" s="227" t="e">
        <f>R86</f>
        <v>#DIV/0!</v>
      </c>
      <c r="S87" s="185" t="e">
        <f>IF(R87=0,0,S86)</f>
        <v>#DIV/0!</v>
      </c>
      <c r="T87" s="185" t="e">
        <f t="shared" si="6"/>
        <v>#DIV/0!</v>
      </c>
      <c r="U87" s="228" t="e">
        <f>U88</f>
        <v>#DIV/0!</v>
      </c>
      <c r="V87" s="227">
        <f>V86</f>
        <v>0</v>
      </c>
      <c r="W87" s="185">
        <f>IF(V87=0,0,W86)</f>
        <v>0</v>
      </c>
      <c r="X87" s="185">
        <f t="shared" si="7"/>
        <v>0</v>
      </c>
      <c r="Y87" s="228">
        <f>Y88</f>
        <v>0</v>
      </c>
      <c r="Z87" s="227">
        <f>Z86</f>
        <v>0</v>
      </c>
      <c r="AA87" s="185">
        <f>IF(Z87=0,0,AA86)</f>
        <v>0</v>
      </c>
      <c r="AB87" s="185">
        <f t="shared" si="8"/>
        <v>0</v>
      </c>
      <c r="AC87" s="228">
        <f>AC88</f>
        <v>0</v>
      </c>
    </row>
    <row r="88" spans="5:29" ht="14.25" customHeight="1">
      <c r="E88" s="163"/>
      <c r="K88" s="152">
        <v>21</v>
      </c>
      <c r="L88" s="185">
        <f t="shared" si="5"/>
        <v>2.02</v>
      </c>
      <c r="M88" s="185">
        <f>M87</f>
        <v>0.21</v>
      </c>
      <c r="N88" s="227" t="e">
        <f>MAX($N$47/Kalk2_Eingabe!$C$18*(Kalk2_Eingabe!$C$18-Kalk2_Lastfallkombi!M88),0)</f>
        <v>#DIV/0!</v>
      </c>
      <c r="O88" s="185" t="e">
        <f t="shared" si="1"/>
        <v>#DIV/0!</v>
      </c>
      <c r="P88" s="185" t="e">
        <f t="shared" si="0"/>
        <v>#DIV/0!</v>
      </c>
      <c r="Q88" s="228" t="e">
        <f t="shared" ref="Q88:Q94" si="9">AVERAGE(P88,P87)</f>
        <v>#DIV/0!</v>
      </c>
      <c r="R88" s="227" t="e">
        <f>MAX($R$47/Kalk2_Eingabe!$C$18*(Kalk2_Eingabe!$C$18-Kalk2_Lastfallkombi!M88),0)</f>
        <v>#DIV/0!</v>
      </c>
      <c r="S88" s="185" t="e">
        <f t="shared" si="2"/>
        <v>#DIV/0!</v>
      </c>
      <c r="T88" s="185" t="e">
        <f t="shared" si="6"/>
        <v>#DIV/0!</v>
      </c>
      <c r="U88" s="228" t="e">
        <f t="shared" ref="U88:U94" si="10">AVERAGE(T88,T87)</f>
        <v>#DIV/0!</v>
      </c>
      <c r="V88" s="227">
        <f>MAX($V$47/Kalk2_Eingabe!$C$24*(Kalk2_Eingabe!$C$24-Kalk2_Lastfallkombi!M88),0)</f>
        <v>0</v>
      </c>
      <c r="W88" s="185">
        <f t="shared" si="3"/>
        <v>0</v>
      </c>
      <c r="X88" s="185">
        <f t="shared" si="7"/>
        <v>0</v>
      </c>
      <c r="Y88" s="228">
        <f t="shared" ref="Y88:Y94" si="11">AVERAGE(X88,X87)</f>
        <v>0</v>
      </c>
      <c r="Z88" s="227">
        <f>MAX($Z$47/Kalk2_Eingabe!$C$24*(Kalk2_Eingabe!$C$24-Kalk2_Lastfallkombi!M88),0)</f>
        <v>0</v>
      </c>
      <c r="AA88" s="185">
        <f t="shared" si="4"/>
        <v>0</v>
      </c>
      <c r="AB88" s="185">
        <f t="shared" si="8"/>
        <v>0</v>
      </c>
      <c r="AC88" s="228">
        <f t="shared" ref="AC88:AC94" si="12">AVERAGE(AB88,AB87)</f>
        <v>0</v>
      </c>
    </row>
    <row r="89" spans="5:29" ht="14.25" customHeight="1">
      <c r="E89" s="163"/>
      <c r="K89" s="152">
        <v>22</v>
      </c>
      <c r="L89" s="185">
        <f t="shared" si="5"/>
        <v>1.98</v>
      </c>
      <c r="M89" s="185">
        <f>M87+IF(K89&lt;=$L$36,$C$14/100,0)</f>
        <v>0.21</v>
      </c>
      <c r="N89" s="227" t="e">
        <f>N88</f>
        <v>#DIV/0!</v>
      </c>
      <c r="O89" s="185" t="e">
        <f>IF(N89=0,0,O88)</f>
        <v>#DIV/0!</v>
      </c>
      <c r="P89" s="185" t="e">
        <f t="shared" si="0"/>
        <v>#DIV/0!</v>
      </c>
      <c r="Q89" s="228" t="e">
        <f>Q90</f>
        <v>#DIV/0!</v>
      </c>
      <c r="R89" s="227" t="e">
        <f>R88</f>
        <v>#DIV/0!</v>
      </c>
      <c r="S89" s="185" t="e">
        <f>IF(R89=0,0,S88)</f>
        <v>#DIV/0!</v>
      </c>
      <c r="T89" s="185" t="e">
        <f t="shared" si="6"/>
        <v>#DIV/0!</v>
      </c>
      <c r="U89" s="228" t="e">
        <f>U90</f>
        <v>#DIV/0!</v>
      </c>
      <c r="V89" s="227">
        <f>V88</f>
        <v>0</v>
      </c>
      <c r="W89" s="185">
        <f>IF(V89=0,0,W88)</f>
        <v>0</v>
      </c>
      <c r="X89" s="185">
        <f t="shared" si="7"/>
        <v>0</v>
      </c>
      <c r="Y89" s="228">
        <f>Y90</f>
        <v>0</v>
      </c>
      <c r="Z89" s="227">
        <f>Z88</f>
        <v>0</v>
      </c>
      <c r="AA89" s="185">
        <f>IF(Z89=0,0,AA88)</f>
        <v>0</v>
      </c>
      <c r="AB89" s="185">
        <f t="shared" si="8"/>
        <v>0</v>
      </c>
      <c r="AC89" s="228">
        <f>AC90</f>
        <v>0</v>
      </c>
    </row>
    <row r="90" spans="5:29" ht="14.25" customHeight="1">
      <c r="E90" s="163"/>
      <c r="K90" s="152">
        <v>22</v>
      </c>
      <c r="L90" s="185">
        <f t="shared" si="5"/>
        <v>2.02</v>
      </c>
      <c r="M90" s="185">
        <f>M89</f>
        <v>0.21</v>
      </c>
      <c r="N90" s="227" t="e">
        <f>MAX($N$47/Kalk2_Eingabe!$C$18*(Kalk2_Eingabe!$C$18-Kalk2_Lastfallkombi!M90),0)</f>
        <v>#DIV/0!</v>
      </c>
      <c r="O90" s="185" t="e">
        <f t="shared" si="1"/>
        <v>#DIV/0!</v>
      </c>
      <c r="P90" s="185" t="e">
        <f t="shared" si="0"/>
        <v>#DIV/0!</v>
      </c>
      <c r="Q90" s="228" t="e">
        <f t="shared" si="9"/>
        <v>#DIV/0!</v>
      </c>
      <c r="R90" s="227" t="e">
        <f>MAX($R$47/Kalk2_Eingabe!$C$18*(Kalk2_Eingabe!$C$18-Kalk2_Lastfallkombi!M90),0)</f>
        <v>#DIV/0!</v>
      </c>
      <c r="S90" s="185" t="e">
        <f t="shared" si="2"/>
        <v>#DIV/0!</v>
      </c>
      <c r="T90" s="185" t="e">
        <f t="shared" si="6"/>
        <v>#DIV/0!</v>
      </c>
      <c r="U90" s="228" t="e">
        <f t="shared" si="10"/>
        <v>#DIV/0!</v>
      </c>
      <c r="V90" s="227">
        <f>MAX($V$47/Kalk2_Eingabe!$C$24*(Kalk2_Eingabe!$C$24-Kalk2_Lastfallkombi!M90),0)</f>
        <v>0</v>
      </c>
      <c r="W90" s="185">
        <f t="shared" si="3"/>
        <v>0</v>
      </c>
      <c r="X90" s="185">
        <f t="shared" si="7"/>
        <v>0</v>
      </c>
      <c r="Y90" s="228">
        <f t="shared" si="11"/>
        <v>0</v>
      </c>
      <c r="Z90" s="227">
        <f>MAX($Z$47/Kalk2_Eingabe!$C$24*(Kalk2_Eingabe!$C$24-Kalk2_Lastfallkombi!M90),0)</f>
        <v>0</v>
      </c>
      <c r="AA90" s="185">
        <f t="shared" si="4"/>
        <v>0</v>
      </c>
      <c r="AB90" s="185">
        <f t="shared" si="8"/>
        <v>0</v>
      </c>
      <c r="AC90" s="228">
        <f t="shared" si="12"/>
        <v>0</v>
      </c>
    </row>
    <row r="91" spans="5:29" ht="14.25" customHeight="1">
      <c r="E91" s="163"/>
      <c r="K91" s="152">
        <v>23</v>
      </c>
      <c r="L91" s="185">
        <f t="shared" si="5"/>
        <v>1.98</v>
      </c>
      <c r="M91" s="185">
        <f>M89+IF(K91&lt;=$L$36,$C$14/100,0)</f>
        <v>0.21</v>
      </c>
      <c r="N91" s="227" t="e">
        <f>N90</f>
        <v>#DIV/0!</v>
      </c>
      <c r="O91" s="185" t="e">
        <f>IF(N91=0,0,O90)</f>
        <v>#DIV/0!</v>
      </c>
      <c r="P91" s="185" t="e">
        <f t="shared" si="0"/>
        <v>#DIV/0!</v>
      </c>
      <c r="Q91" s="228" t="e">
        <f>Q92</f>
        <v>#DIV/0!</v>
      </c>
      <c r="R91" s="227" t="e">
        <f>R90</f>
        <v>#DIV/0!</v>
      </c>
      <c r="S91" s="185" t="e">
        <f>IF(R91=0,0,S90)</f>
        <v>#DIV/0!</v>
      </c>
      <c r="T91" s="185" t="e">
        <f t="shared" si="6"/>
        <v>#DIV/0!</v>
      </c>
      <c r="U91" s="228" t="e">
        <f>U92</f>
        <v>#DIV/0!</v>
      </c>
      <c r="V91" s="227">
        <f>V90</f>
        <v>0</v>
      </c>
      <c r="W91" s="185">
        <f>IF(V91=0,0,W90)</f>
        <v>0</v>
      </c>
      <c r="X91" s="185">
        <f t="shared" si="7"/>
        <v>0</v>
      </c>
      <c r="Y91" s="228">
        <f>Y92</f>
        <v>0</v>
      </c>
      <c r="Z91" s="227">
        <f>Z90</f>
        <v>0</v>
      </c>
      <c r="AA91" s="185">
        <f>IF(Z91=0,0,AA90)</f>
        <v>0</v>
      </c>
      <c r="AB91" s="185">
        <f t="shared" si="8"/>
        <v>0</v>
      </c>
      <c r="AC91" s="228">
        <f>AC92</f>
        <v>0</v>
      </c>
    </row>
    <row r="92" spans="5:29" ht="14.25" customHeight="1">
      <c r="E92" s="163"/>
      <c r="K92" s="152">
        <v>23</v>
      </c>
      <c r="L92" s="185">
        <f t="shared" si="5"/>
        <v>2.02</v>
      </c>
      <c r="M92" s="185">
        <f>M91</f>
        <v>0.21</v>
      </c>
      <c r="N92" s="227" t="e">
        <f>MAX($N$47/Kalk2_Eingabe!$C$18*(Kalk2_Eingabe!$C$18-Kalk2_Lastfallkombi!M92),0)</f>
        <v>#DIV/0!</v>
      </c>
      <c r="O92" s="185" t="e">
        <f t="shared" si="1"/>
        <v>#DIV/0!</v>
      </c>
      <c r="P92" s="185" t="e">
        <f t="shared" si="0"/>
        <v>#DIV/0!</v>
      </c>
      <c r="Q92" s="228" t="e">
        <f t="shared" si="9"/>
        <v>#DIV/0!</v>
      </c>
      <c r="R92" s="227" t="e">
        <f>MAX($R$47/Kalk2_Eingabe!$C$18*(Kalk2_Eingabe!$C$18-Kalk2_Lastfallkombi!M92),0)</f>
        <v>#DIV/0!</v>
      </c>
      <c r="S92" s="185" t="e">
        <f t="shared" si="2"/>
        <v>#DIV/0!</v>
      </c>
      <c r="T92" s="185" t="e">
        <f t="shared" si="6"/>
        <v>#DIV/0!</v>
      </c>
      <c r="U92" s="228" t="e">
        <f t="shared" si="10"/>
        <v>#DIV/0!</v>
      </c>
      <c r="V92" s="227">
        <f>MAX($V$47/Kalk2_Eingabe!$C$24*(Kalk2_Eingabe!$C$24-Kalk2_Lastfallkombi!M92),0)</f>
        <v>0</v>
      </c>
      <c r="W92" s="185">
        <f t="shared" si="3"/>
        <v>0</v>
      </c>
      <c r="X92" s="185">
        <f t="shared" si="7"/>
        <v>0</v>
      </c>
      <c r="Y92" s="228">
        <f t="shared" si="11"/>
        <v>0</v>
      </c>
      <c r="Z92" s="227">
        <f>MAX($Z$47/Kalk2_Eingabe!$C$24*(Kalk2_Eingabe!$C$24-Kalk2_Lastfallkombi!M92),0)</f>
        <v>0</v>
      </c>
      <c r="AA92" s="185">
        <f t="shared" si="4"/>
        <v>0</v>
      </c>
      <c r="AB92" s="185">
        <f t="shared" si="8"/>
        <v>0</v>
      </c>
      <c r="AC92" s="228">
        <f t="shared" si="12"/>
        <v>0</v>
      </c>
    </row>
    <row r="93" spans="5:29" ht="14.25" customHeight="1">
      <c r="E93" s="163"/>
      <c r="K93" s="152">
        <v>24</v>
      </c>
      <c r="L93" s="185">
        <f t="shared" si="5"/>
        <v>1.98</v>
      </c>
      <c r="M93" s="185">
        <f>M91+IF(K93&lt;=$L$36,$C$14/100,0)</f>
        <v>0.21</v>
      </c>
      <c r="N93" s="227" t="e">
        <f>N92</f>
        <v>#DIV/0!</v>
      </c>
      <c r="O93" s="185" t="e">
        <f>IF(N93=0,0,O92)</f>
        <v>#DIV/0!</v>
      </c>
      <c r="P93" s="185" t="e">
        <f t="shared" si="0"/>
        <v>#DIV/0!</v>
      </c>
      <c r="Q93" s="228" t="e">
        <f>Q94</f>
        <v>#DIV/0!</v>
      </c>
      <c r="R93" s="227" t="e">
        <f>R92</f>
        <v>#DIV/0!</v>
      </c>
      <c r="S93" s="185" t="e">
        <f>IF(R93=0,0,S92)</f>
        <v>#DIV/0!</v>
      </c>
      <c r="T93" s="185" t="e">
        <f t="shared" si="6"/>
        <v>#DIV/0!</v>
      </c>
      <c r="U93" s="228" t="e">
        <f>U94</f>
        <v>#DIV/0!</v>
      </c>
      <c r="V93" s="227">
        <f>V92</f>
        <v>0</v>
      </c>
      <c r="W93" s="185">
        <f>IF(V93=0,0,W92)</f>
        <v>0</v>
      </c>
      <c r="X93" s="185">
        <f t="shared" si="7"/>
        <v>0</v>
      </c>
      <c r="Y93" s="228">
        <f>Y94</f>
        <v>0</v>
      </c>
      <c r="Z93" s="227">
        <f>Z92</f>
        <v>0</v>
      </c>
      <c r="AA93" s="185">
        <f>IF(Z93=0,0,AA92)</f>
        <v>0</v>
      </c>
      <c r="AB93" s="185">
        <f t="shared" si="8"/>
        <v>0</v>
      </c>
      <c r="AC93" s="228">
        <f>AC94</f>
        <v>0</v>
      </c>
    </row>
    <row r="94" spans="5:29" ht="14.25" customHeight="1">
      <c r="E94" s="163"/>
      <c r="K94" s="152">
        <v>24</v>
      </c>
      <c r="L94" s="185">
        <f t="shared" si="5"/>
        <v>2.02</v>
      </c>
      <c r="M94" s="185">
        <f>M93</f>
        <v>0.21</v>
      </c>
      <c r="N94" s="232" t="e">
        <f>MAX($N$47/Kalk2_Eingabe!$C$18*(Kalk2_Eingabe!$C$18-Kalk2_Lastfallkombi!M94),0)</f>
        <v>#DIV/0!</v>
      </c>
      <c r="O94" s="233" t="e">
        <f t="shared" si="1"/>
        <v>#DIV/0!</v>
      </c>
      <c r="P94" s="233" t="e">
        <f t="shared" si="0"/>
        <v>#DIV/0!</v>
      </c>
      <c r="Q94" s="234" t="e">
        <f t="shared" si="9"/>
        <v>#DIV/0!</v>
      </c>
      <c r="R94" s="232" t="e">
        <f>MAX($R$47/Kalk2_Eingabe!$C$18*(Kalk2_Eingabe!$C$18-Kalk2_Lastfallkombi!M94),0)</f>
        <v>#DIV/0!</v>
      </c>
      <c r="S94" s="233" t="e">
        <f t="shared" si="2"/>
        <v>#DIV/0!</v>
      </c>
      <c r="T94" s="233" t="e">
        <f t="shared" si="6"/>
        <v>#DIV/0!</v>
      </c>
      <c r="U94" s="234" t="e">
        <f t="shared" si="10"/>
        <v>#DIV/0!</v>
      </c>
      <c r="V94" s="232">
        <f>MAX($V$47/Kalk2_Eingabe!$C$24*(Kalk2_Eingabe!$C$24-Kalk2_Lastfallkombi!M94),0)</f>
        <v>0</v>
      </c>
      <c r="W94" s="233">
        <f t="shared" si="3"/>
        <v>0</v>
      </c>
      <c r="X94" s="233">
        <f t="shared" si="7"/>
        <v>0</v>
      </c>
      <c r="Y94" s="234">
        <f t="shared" si="11"/>
        <v>0</v>
      </c>
      <c r="Z94" s="232">
        <f>MAX($Z$47/Kalk2_Eingabe!$C$24*(Kalk2_Eingabe!$C$24-Kalk2_Lastfallkombi!M94),0)</f>
        <v>0</v>
      </c>
      <c r="AA94" s="233">
        <f t="shared" si="4"/>
        <v>0</v>
      </c>
      <c r="AB94" s="233">
        <f t="shared" si="8"/>
        <v>0</v>
      </c>
      <c r="AC94" s="234">
        <f t="shared" si="12"/>
        <v>0</v>
      </c>
    </row>
    <row r="95" spans="5:29" ht="14.25" customHeight="1">
      <c r="E95" s="163"/>
    </row>
    <row r="96" spans="5:29" ht="14.25" customHeight="1">
      <c r="E96" s="163"/>
      <c r="O96" s="152" t="s">
        <v>22574</v>
      </c>
      <c r="P96" s="185"/>
    </row>
    <row r="97" spans="5:18" ht="14.25" customHeight="1">
      <c r="E97" s="163"/>
      <c r="K97" s="152" t="s">
        <v>22575</v>
      </c>
      <c r="L97" s="185"/>
      <c r="M97" s="185"/>
      <c r="O97" s="185">
        <f>(M44+0.25-C15/100)/(C14/100)+1</f>
        <v>1.2</v>
      </c>
      <c r="P97" s="185">
        <f>IF(O97&gt;Kalk2_Lastfallkombi!L36,Kalk2_Lastfallkombi!L36,ROUNDUP(O97,0))</f>
        <v>0</v>
      </c>
      <c r="Q97" s="185">
        <f>C15/100+(P97-1)*C14/100</f>
        <v>9.9999999999999811E-3</v>
      </c>
      <c r="R97" s="185">
        <f>IF(Q97&gt;Kalk2_Eingabe!C24,Kalk2_Eingabe!C24,Q97)</f>
        <v>9.9999999999999811E-3</v>
      </c>
    </row>
    <row r="98" spans="5:18" ht="14.25" customHeight="1">
      <c r="E98" s="163"/>
      <c r="L98" s="185">
        <f>L42-0.2</f>
        <v>1.8</v>
      </c>
      <c r="M98" s="185">
        <f>M42</f>
        <v>0</v>
      </c>
      <c r="O98" s="185">
        <f>IF((M44-0.25-C15/100)/(C14/100)+1&lt;0,0,(M44-0.25-C15/100)/(C14/100)+1)</f>
        <v>0</v>
      </c>
      <c r="P98" s="185">
        <f>ROUNDDOWN(O98,0)</f>
        <v>0</v>
      </c>
      <c r="Q98" s="185"/>
      <c r="R98" s="185"/>
    </row>
    <row r="99" spans="5:18" ht="14.25" customHeight="1">
      <c r="E99" s="163"/>
      <c r="L99" s="185">
        <f>L98</f>
        <v>1.8</v>
      </c>
      <c r="M99" s="185">
        <f>M100</f>
        <v>0</v>
      </c>
      <c r="P99" s="152">
        <f>P97-P98</f>
        <v>0</v>
      </c>
      <c r="Q99" s="152" t="s">
        <v>20892</v>
      </c>
    </row>
    <row r="100" spans="5:18" ht="14.25" customHeight="1">
      <c r="E100" s="163"/>
      <c r="L100" s="185">
        <f>L98-C32/100</f>
        <v>1.8</v>
      </c>
      <c r="M100" s="185">
        <f>M44</f>
        <v>0</v>
      </c>
      <c r="O100" s="152" t="s">
        <v>22576</v>
      </c>
      <c r="P100" s="185"/>
    </row>
    <row r="101" spans="5:18" ht="14.25" customHeight="1">
      <c r="E101" s="163"/>
      <c r="L101" s="185">
        <f>L100-(C31/100+C32/100)</f>
        <v>1.8</v>
      </c>
      <c r="M101" s="185">
        <f>M98</f>
        <v>0</v>
      </c>
      <c r="O101" s="185">
        <f>Kalk2_Lastfallkombi!L36</f>
        <v>0</v>
      </c>
      <c r="P101" s="185">
        <f>O101</f>
        <v>0</v>
      </c>
      <c r="Q101" s="185"/>
      <c r="R101" s="185"/>
    </row>
    <row r="102" spans="5:18" ht="14.25" customHeight="1">
      <c r="E102" s="163"/>
      <c r="K102" s="152" t="s">
        <v>22577</v>
      </c>
      <c r="O102" s="185">
        <f>IF(O101-Kalk2_Eingabe!C48&lt;0,0,O101-Kalk2_Eingabe!C48)</f>
        <v>0</v>
      </c>
      <c r="P102" s="185">
        <f>ROUNDDOWN(O102,0)</f>
        <v>0</v>
      </c>
      <c r="Q102" s="185"/>
      <c r="R102" s="185"/>
    </row>
    <row r="103" spans="5:18" ht="14.25" customHeight="1">
      <c r="E103" s="163"/>
      <c r="L103" s="185">
        <f>L101-0.1</f>
        <v>1.7</v>
      </c>
      <c r="M103" s="152">
        <v>0</v>
      </c>
      <c r="P103" s="152">
        <f>P101-P102</f>
        <v>0</v>
      </c>
      <c r="Q103" s="152" t="s">
        <v>20892</v>
      </c>
    </row>
    <row r="104" spans="5:18" ht="14.25" customHeight="1">
      <c r="E104" s="163"/>
      <c r="L104" s="185">
        <f>L103</f>
        <v>1.7</v>
      </c>
      <c r="M104" s="185">
        <f>M44+0.25</f>
        <v>0.25</v>
      </c>
    </row>
    <row r="105" spans="5:18" ht="14.25" customHeight="1">
      <c r="E105" s="163"/>
      <c r="L105" s="185">
        <f>L104-0.05</f>
        <v>1.65</v>
      </c>
      <c r="M105" s="185">
        <f>M104</f>
        <v>0.25</v>
      </c>
    </row>
    <row r="106" spans="5:18" ht="14.25" customHeight="1">
      <c r="E106" s="163"/>
      <c r="L106" s="185">
        <f>L105</f>
        <v>1.65</v>
      </c>
      <c r="M106" s="185">
        <f>M104-0.5</f>
        <v>-0.25</v>
      </c>
      <c r="N106" s="152">
        <f>(M106-C15/100)/(C14/100)</f>
        <v>-2.2999999999999998</v>
      </c>
    </row>
    <row r="107" spans="5:18" ht="14.25" customHeight="1">
      <c r="E107" s="163"/>
      <c r="L107" s="185">
        <f>L104</f>
        <v>1.7</v>
      </c>
      <c r="M107" s="185">
        <f>M106</f>
        <v>-0.25</v>
      </c>
    </row>
    <row r="108" spans="5:18" ht="14.25" customHeight="1">
      <c r="E108" s="163"/>
      <c r="K108" s="152" t="s">
        <v>21191</v>
      </c>
      <c r="L108" s="152">
        <v>0</v>
      </c>
      <c r="M108" s="185">
        <f>Kalk2_Eingabe!C24</f>
        <v>2.5000000000000001E-2</v>
      </c>
    </row>
    <row r="109" spans="5:18" ht="14.25" customHeight="1">
      <c r="E109" s="163"/>
      <c r="L109" s="152">
        <f>L45</f>
        <v>2</v>
      </c>
      <c r="M109" s="185">
        <f>M108</f>
        <v>2.5000000000000001E-2</v>
      </c>
    </row>
    <row r="110" spans="5:18" ht="14.25" customHeight="1">
      <c r="E110" s="163"/>
      <c r="K110" s="152" t="s">
        <v>22578</v>
      </c>
      <c r="L110" s="185"/>
      <c r="M110" s="185"/>
    </row>
    <row r="111" spans="5:18" ht="14.25" customHeight="1">
      <c r="E111" s="163"/>
      <c r="L111" s="185">
        <f>L103-0.4</f>
        <v>1.2999999999999998</v>
      </c>
      <c r="M111" s="185">
        <v>0</v>
      </c>
    </row>
    <row r="112" spans="5:18" ht="14.25" customHeight="1">
      <c r="E112" s="163"/>
      <c r="L112" s="185">
        <f>L111</f>
        <v>1.2999999999999998</v>
      </c>
      <c r="M112" s="185">
        <f>Kalk2_Eingabe!C24</f>
        <v>2.5000000000000001E-2</v>
      </c>
    </row>
    <row r="113" spans="5:13" ht="14.25" customHeight="1">
      <c r="E113" s="163"/>
      <c r="L113" s="185">
        <f>L111-C20/100</f>
        <v>1.2999999999999998</v>
      </c>
      <c r="M113" s="185">
        <f>M112</f>
        <v>2.5000000000000001E-2</v>
      </c>
    </row>
    <row r="114" spans="5:13" ht="14.25" customHeight="1">
      <c r="E114" s="163"/>
      <c r="L114" s="185">
        <f>L113-(C19/100+C20/100)</f>
        <v>1.2969624999999998</v>
      </c>
      <c r="M114" s="185">
        <f>M111</f>
        <v>0</v>
      </c>
    </row>
    <row r="115" spans="5:13" ht="14.25" customHeight="1">
      <c r="E115" s="163"/>
      <c r="K115" s="152" t="s">
        <v>22579</v>
      </c>
    </row>
    <row r="116" spans="5:13" ht="14.25" customHeight="1">
      <c r="L116" s="185">
        <f>L114-0.1</f>
        <v>1.1969624999999997</v>
      </c>
      <c r="M116" s="152">
        <v>0</v>
      </c>
    </row>
    <row r="117" spans="5:13" ht="14.25" customHeight="1">
      <c r="L117" s="185">
        <f>L116</f>
        <v>1.1969624999999997</v>
      </c>
      <c r="M117" s="185">
        <f>Kalk2_Eingabe!C24</f>
        <v>2.5000000000000001E-2</v>
      </c>
    </row>
    <row r="118" spans="5:13" ht="14.25" customHeight="1">
      <c r="L118" s="185">
        <f>L117-0.05</f>
        <v>1.1469624999999997</v>
      </c>
      <c r="M118" s="185">
        <f>M117</f>
        <v>2.5000000000000001E-2</v>
      </c>
    </row>
    <row r="119" spans="5:13" ht="14.25" customHeight="1">
      <c r="L119" s="185">
        <f>L118</f>
        <v>1.1469624999999997</v>
      </c>
      <c r="M119" s="185">
        <f>M117-0.5</f>
        <v>-0.47499999999999998</v>
      </c>
    </row>
    <row r="120" spans="5:13" ht="14.25" customHeight="1">
      <c r="L120" s="185">
        <f>L117</f>
        <v>1.1969624999999997</v>
      </c>
      <c r="M120" s="185">
        <f>M119</f>
        <v>-0.47499999999999998</v>
      </c>
    </row>
    <row r="121" spans="5:13" ht="14.25" customHeight="1"/>
    <row r="122" spans="5:13" ht="14.25" customHeight="1"/>
    <row r="123" spans="5:13" ht="14.25" customHeight="1"/>
    <row r="124" spans="5:13" ht="14.25" customHeight="1"/>
    <row r="125" spans="5:13" ht="14.25" customHeight="1"/>
    <row r="126" spans="5:13" ht="14.25" customHeight="1"/>
    <row r="127" spans="5:13" ht="14.25" customHeight="1"/>
    <row r="128" spans="5:13"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sheetData>
  <mergeCells count="7">
    <mergeCell ref="Z44:AC44"/>
    <mergeCell ref="B1:C1"/>
    <mergeCell ref="C4:E4"/>
    <mergeCell ref="C5:E5"/>
    <mergeCell ref="N44:Q44"/>
    <mergeCell ref="R44:U44"/>
    <mergeCell ref="V44:Y44"/>
  </mergeCells>
  <pageMargins left="0.7" right="0.7" top="0.78740157499999996" bottom="0.78740157499999996" header="0.3" footer="0.3"/>
  <pageSetup paperSize="9" scale="33"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4FC1B-8850-47D1-9FF5-BBBA35948D03}">
  <sheetPr codeName="Tabelle37"/>
  <dimension ref="A1:R584"/>
  <sheetViews>
    <sheetView workbookViewId="0"/>
  </sheetViews>
  <sheetFormatPr baseColWidth="10" defaultColWidth="11.42578125" defaultRowHeight="12.75"/>
  <cols>
    <col min="1" max="1" width="4.28515625" style="152" customWidth="1"/>
    <col min="2" max="2" width="43.7109375" style="152" customWidth="1"/>
    <col min="3" max="3" width="20.7109375" style="152" customWidth="1"/>
    <col min="4" max="8" width="15.7109375" style="152" customWidth="1"/>
    <col min="9" max="9" width="6" style="152" customWidth="1"/>
    <col min="10" max="10" width="8.7109375" style="152" bestFit="1" customWidth="1"/>
    <col min="11" max="16384" width="11.42578125" style="152"/>
  </cols>
  <sheetData>
    <row r="1" spans="1:18" ht="42" customHeight="1">
      <c r="A1" s="148"/>
      <c r="B1" s="546"/>
      <c r="C1" s="546"/>
      <c r="D1" s="150"/>
      <c r="E1" s="151"/>
      <c r="F1" s="150"/>
      <c r="G1" s="150"/>
      <c r="H1" s="150"/>
      <c r="I1" s="150"/>
    </row>
    <row r="2" spans="1:18" ht="16.5" customHeight="1">
      <c r="A2" s="148"/>
      <c r="B2" s="149"/>
      <c r="C2" s="149"/>
      <c r="D2" s="150"/>
      <c r="E2" s="151"/>
      <c r="F2" s="153" t="s">
        <v>22309</v>
      </c>
      <c r="G2" s="154"/>
      <c r="H2" s="153" t="s">
        <v>22310</v>
      </c>
      <c r="I2" s="154" t="s">
        <v>22311</v>
      </c>
    </row>
    <row r="3" spans="1:18" ht="16.5" customHeight="1">
      <c r="A3" s="148"/>
      <c r="B3" s="155"/>
      <c r="C3" s="148"/>
      <c r="D3" s="150"/>
      <c r="E3" s="151"/>
      <c r="F3" s="156" t="s">
        <v>3225</v>
      </c>
      <c r="G3" s="157">
        <v>44894</v>
      </c>
      <c r="H3" s="156" t="s">
        <v>22312</v>
      </c>
      <c r="I3" s="158" t="s">
        <v>22313</v>
      </c>
      <c r="N3" s="159" t="s">
        <v>22314</v>
      </c>
      <c r="O3" s="159" t="s">
        <v>22315</v>
      </c>
    </row>
    <row r="4" spans="1:18" ht="16.5" customHeight="1">
      <c r="A4" s="148"/>
      <c r="B4" s="160" t="s">
        <v>22316</v>
      </c>
      <c r="C4" s="547" t="s">
        <v>22289</v>
      </c>
      <c r="D4" s="547"/>
      <c r="E4" s="548"/>
      <c r="F4" s="150"/>
      <c r="G4" s="150"/>
      <c r="H4" s="151"/>
      <c r="I4" s="148"/>
      <c r="N4" s="161" t="s">
        <v>22317</v>
      </c>
      <c r="O4" s="161" t="s">
        <v>22317</v>
      </c>
      <c r="Q4" s="162" t="s">
        <v>22314</v>
      </c>
      <c r="R4" s="163" t="s">
        <v>22318</v>
      </c>
    </row>
    <row r="5" spans="1:18" ht="16.5" customHeight="1">
      <c r="A5" s="148"/>
      <c r="B5" s="164" t="s">
        <v>22319</v>
      </c>
      <c r="C5" s="549" t="s">
        <v>22320</v>
      </c>
      <c r="D5" s="549"/>
      <c r="E5" s="550"/>
      <c r="F5" s="150"/>
      <c r="G5" s="150"/>
      <c r="H5" s="151"/>
      <c r="I5" s="148"/>
      <c r="L5" s="165" t="s">
        <v>22321</v>
      </c>
      <c r="M5" s="166" t="s">
        <v>22322</v>
      </c>
      <c r="N5" s="167">
        <v>15</v>
      </c>
      <c r="O5" s="167">
        <v>16</v>
      </c>
      <c r="Q5" s="162" t="s">
        <v>22315</v>
      </c>
      <c r="R5" s="163" t="s">
        <v>22323</v>
      </c>
    </row>
    <row r="6" spans="1:18" ht="16.5" customHeight="1">
      <c r="A6" s="148"/>
      <c r="B6" s="148"/>
      <c r="C6" s="148"/>
      <c r="D6" s="168"/>
      <c r="E6" s="168"/>
      <c r="F6" s="148"/>
      <c r="G6" s="148"/>
      <c r="H6" s="148"/>
      <c r="I6" s="148"/>
      <c r="L6" s="165" t="s">
        <v>22324</v>
      </c>
      <c r="M6" s="166" t="s">
        <v>22325</v>
      </c>
      <c r="N6" s="167">
        <v>20</v>
      </c>
      <c r="O6" s="167">
        <v>21</v>
      </c>
    </row>
    <row r="7" spans="1:18" ht="16.5" customHeight="1">
      <c r="A7" s="148"/>
      <c r="B7" s="169" t="s">
        <v>22326</v>
      </c>
      <c r="C7" s="148"/>
      <c r="D7" s="168"/>
      <c r="E7" s="168"/>
      <c r="F7" s="148"/>
      <c r="G7" s="148"/>
      <c r="H7" s="148"/>
      <c r="I7" s="148"/>
      <c r="L7" s="165" t="s">
        <v>22593</v>
      </c>
      <c r="M7" s="166" t="s">
        <v>22594</v>
      </c>
      <c r="N7" s="167">
        <v>20</v>
      </c>
      <c r="O7" s="167">
        <v>21</v>
      </c>
    </row>
    <row r="8" spans="1:18" ht="16.5" customHeight="1">
      <c r="A8" s="148"/>
      <c r="B8" s="170"/>
      <c r="C8" s="148"/>
      <c r="D8" s="168"/>
      <c r="E8" s="168"/>
      <c r="F8" s="148"/>
      <c r="G8" s="148"/>
      <c r="H8" s="148"/>
      <c r="I8" s="148"/>
      <c r="L8" s="165" t="s">
        <v>22614</v>
      </c>
      <c r="M8" s="166" t="s">
        <v>22615</v>
      </c>
      <c r="N8" s="167">
        <v>20.2</v>
      </c>
      <c r="O8" s="167">
        <v>22.9</v>
      </c>
    </row>
    <row r="9" spans="1:18" ht="14.25" customHeight="1">
      <c r="A9" s="148"/>
      <c r="B9" s="148"/>
      <c r="C9" s="148"/>
      <c r="D9" s="168"/>
      <c r="E9" s="168"/>
      <c r="F9" s="148"/>
      <c r="G9" s="148"/>
      <c r="H9" s="148"/>
      <c r="I9" s="148"/>
    </row>
    <row r="10" spans="1:18" ht="14.25" customHeight="1">
      <c r="A10" s="171" t="s">
        <v>22327</v>
      </c>
      <c r="B10" s="172" t="s">
        <v>22328</v>
      </c>
      <c r="C10" s="148"/>
      <c r="D10" s="168"/>
      <c r="E10" s="168"/>
      <c r="F10" s="148"/>
      <c r="G10" s="148"/>
      <c r="H10" s="148"/>
      <c r="I10" s="148"/>
    </row>
    <row r="11" spans="1:18" ht="14.25" customHeight="1">
      <c r="A11" s="148"/>
      <c r="B11" s="173"/>
      <c r="C11" s="174" t="s">
        <v>22329</v>
      </c>
      <c r="D11" s="168"/>
      <c r="E11" s="168"/>
      <c r="F11" s="148"/>
      <c r="G11" s="148"/>
      <c r="H11" s="148"/>
      <c r="I11" s="148"/>
    </row>
    <row r="12" spans="1:18" ht="14.25" customHeight="1">
      <c r="A12" s="148"/>
      <c r="B12" s="175" t="s">
        <v>22330</v>
      </c>
      <c r="C12" s="176">
        <f>Haftungsausschluß!L31/100</f>
        <v>10</v>
      </c>
      <c r="D12" s="168" t="s">
        <v>19775</v>
      </c>
      <c r="E12" s="163" t="s">
        <v>22331</v>
      </c>
      <c r="F12" s="177"/>
      <c r="G12" s="148"/>
      <c r="H12" s="148"/>
      <c r="I12" s="148"/>
    </row>
    <row r="13" spans="1:18" ht="14.25" customHeight="1">
      <c r="A13" s="148"/>
      <c r="B13" s="175" t="s">
        <v>22332</v>
      </c>
      <c r="C13" s="176">
        <f>Haftungsausschluß!L32</f>
        <v>4</v>
      </c>
      <c r="D13" s="168" t="s">
        <v>19893</v>
      </c>
      <c r="E13" s="163" t="s">
        <v>22333</v>
      </c>
      <c r="F13" s="177"/>
      <c r="G13" s="148"/>
      <c r="H13" s="148"/>
      <c r="I13" s="148"/>
    </row>
    <row r="14" spans="1:18" ht="14.25" customHeight="1">
      <c r="A14" s="148"/>
      <c r="B14" s="175" t="s">
        <v>22334</v>
      </c>
      <c r="C14" s="176">
        <f>Haftungsausschluß!L33</f>
        <v>0.4</v>
      </c>
      <c r="D14" s="168" t="s">
        <v>20987</v>
      </c>
      <c r="E14" s="163" t="s">
        <v>22335</v>
      </c>
      <c r="F14" s="177"/>
      <c r="G14" s="148"/>
      <c r="H14" s="148"/>
      <c r="I14" s="148"/>
    </row>
    <row r="15" spans="1:18" ht="14.25" customHeight="1">
      <c r="A15" s="148"/>
      <c r="B15" s="175" t="s">
        <v>22336</v>
      </c>
      <c r="C15" s="176">
        <f>Kalk3!H32</f>
        <v>0</v>
      </c>
      <c r="D15" s="168" t="s">
        <v>22337</v>
      </c>
      <c r="E15" s="163" t="s">
        <v>22338</v>
      </c>
      <c r="F15" s="177"/>
      <c r="G15" s="148"/>
      <c r="H15" s="148"/>
      <c r="I15" s="148"/>
    </row>
    <row r="16" spans="1:18" ht="5.0999999999999996" customHeight="1">
      <c r="F16" s="178"/>
      <c r="H16" s="148"/>
      <c r="I16" s="148"/>
    </row>
    <row r="17" spans="1:11" ht="14.25" customHeight="1">
      <c r="A17" s="179" t="s">
        <v>22339</v>
      </c>
      <c r="B17" s="180" t="s">
        <v>22340</v>
      </c>
      <c r="F17" s="178"/>
      <c r="G17" s="181"/>
      <c r="H17" s="148" t="s">
        <v>22347</v>
      </c>
      <c r="I17" s="148"/>
    </row>
    <row r="18" spans="1:11" ht="14.25" customHeight="1">
      <c r="A18" s="148"/>
      <c r="B18" s="182" t="s">
        <v>22341</v>
      </c>
      <c r="C18" s="176">
        <f>Kalk3!H29/1000</f>
        <v>0</v>
      </c>
      <c r="D18" s="168" t="s">
        <v>6945</v>
      </c>
      <c r="E18" s="183" t="s">
        <v>22342</v>
      </c>
      <c r="F18" s="177"/>
      <c r="G18" s="148"/>
      <c r="H18" s="148" t="s">
        <v>22602</v>
      </c>
      <c r="I18" s="148"/>
      <c r="K18" s="152" t="str">
        <f>IF(AND(OR(Kalk3!AA19=2,Kalk3!AA19=3),Kalk3!AA20=1),H17,IF(AND(Kalk3!AA19=4,Kalk3!AA20=1),H18,IF(AND(Kalk3!AA19=4,Kalk3!AA20=2),H19,H17)))</f>
        <v>System 50</v>
      </c>
    </row>
    <row r="19" spans="1:11" ht="14.25" customHeight="1">
      <c r="B19" s="182" t="s">
        <v>22343</v>
      </c>
      <c r="C19" s="176">
        <f>Kalk3!AH38/1000</f>
        <v>0</v>
      </c>
      <c r="D19" s="168" t="s">
        <v>6945</v>
      </c>
      <c r="E19" s="163" t="s">
        <v>22344</v>
      </c>
      <c r="H19" s="152" t="s">
        <v>22595</v>
      </c>
    </row>
    <row r="20" spans="1:11" ht="14.25" customHeight="1">
      <c r="B20" s="175" t="s">
        <v>22345</v>
      </c>
      <c r="C20" s="176">
        <f>Kalk3!H31/1000</f>
        <v>0</v>
      </c>
      <c r="D20" s="168" t="s">
        <v>6945</v>
      </c>
      <c r="E20" s="183" t="s">
        <v>21854</v>
      </c>
    </row>
    <row r="21" spans="1:11" ht="14.25" customHeight="1">
      <c r="B21" s="175" t="s">
        <v>22346</v>
      </c>
      <c r="C21" s="261" t="str">
        <f>K18</f>
        <v>System 50</v>
      </c>
      <c r="D21" s="168"/>
      <c r="E21" s="183"/>
      <c r="H21" s="152" t="s">
        <v>21827</v>
      </c>
    </row>
    <row r="22" spans="1:11" ht="14.25" customHeight="1">
      <c r="B22" s="175" t="s">
        <v>18752</v>
      </c>
      <c r="C22" s="261" t="str">
        <f>K23</f>
        <v>50/200</v>
      </c>
      <c r="D22" s="168"/>
      <c r="E22" s="183"/>
      <c r="H22" s="152" t="s">
        <v>21828</v>
      </c>
    </row>
    <row r="23" spans="1:11" ht="14.25" customHeight="1">
      <c r="B23" s="175" t="s">
        <v>22348</v>
      </c>
      <c r="C23" s="184" t="s">
        <v>22349</v>
      </c>
      <c r="D23" s="168"/>
      <c r="E23" s="183" t="s">
        <v>22350</v>
      </c>
      <c r="H23" s="152" t="s">
        <v>21829</v>
      </c>
      <c r="K23" s="152" t="str">
        <f>IF(Kalk3!AA19=1,H21,IF(Kalk3!AA19=2,H22,IF(Kalk3!AA19=3,H23,IF(Kalk3!AA19=4,H24,0))))</f>
        <v>50/200</v>
      </c>
    </row>
    <row r="24" spans="1:11" ht="14.25" customHeight="1">
      <c r="B24" s="175" t="s">
        <v>22351</v>
      </c>
      <c r="C24" s="185">
        <f>IF(C22="50/150",'Kalk3_DB_50-150'!C16,IF(C22="50/200",'Kalk3_DB_50-200'!C16,IF(C22="80/200",'Kalk3_DB_50-200'!C16,IF(C22="25/200",'Kalk3_DB_25-200'!C16))))</f>
        <v>2.5000000000000001E-2</v>
      </c>
      <c r="D24" s="168" t="s">
        <v>6945</v>
      </c>
      <c r="E24" s="183" t="s">
        <v>22352</v>
      </c>
      <c r="H24" s="152" t="s">
        <v>21830</v>
      </c>
    </row>
    <row r="25" spans="1:11" ht="5.0999999999999996" customHeight="1">
      <c r="D25" s="168"/>
    </row>
    <row r="26" spans="1:11" ht="14.25" customHeight="1">
      <c r="A26" s="171" t="s">
        <v>22353</v>
      </c>
      <c r="B26" s="172" t="s">
        <v>22354</v>
      </c>
      <c r="D26" s="168"/>
    </row>
    <row r="27" spans="1:11" ht="14.25" customHeight="1">
      <c r="A27" s="179" t="s">
        <v>22355</v>
      </c>
      <c r="B27" s="180" t="s">
        <v>22356</v>
      </c>
      <c r="D27" s="168"/>
    </row>
    <row r="28" spans="1:11" ht="14.25" customHeight="1">
      <c r="B28" s="165" t="s">
        <v>22357</v>
      </c>
      <c r="C28" s="185">
        <f>C18*C12</f>
        <v>0</v>
      </c>
      <c r="D28" s="168" t="s">
        <v>22358</v>
      </c>
      <c r="E28" s="163" t="s">
        <v>22359</v>
      </c>
    </row>
    <row r="29" spans="1:11" ht="14.25" customHeight="1">
      <c r="B29" s="165" t="s">
        <v>22360</v>
      </c>
      <c r="C29" s="185">
        <f>C24*C12</f>
        <v>0.25</v>
      </c>
      <c r="D29" s="168" t="s">
        <v>22358</v>
      </c>
      <c r="E29" s="163" t="s">
        <v>22361</v>
      </c>
    </row>
    <row r="30" spans="1:11" ht="5.0999999999999996" customHeight="1">
      <c r="B30" s="165"/>
      <c r="C30" s="185"/>
      <c r="D30" s="168"/>
      <c r="E30" s="163"/>
    </row>
    <row r="31" spans="1:11" ht="14.25" customHeight="1">
      <c r="A31" s="179" t="s">
        <v>22362</v>
      </c>
      <c r="B31" s="180" t="s">
        <v>22363</v>
      </c>
      <c r="D31" s="168"/>
      <c r="E31" s="163"/>
      <c r="H31" s="186"/>
    </row>
    <row r="32" spans="1:11" ht="14.25" customHeight="1">
      <c r="B32" s="165" t="s">
        <v>22364</v>
      </c>
      <c r="C32" s="185">
        <f>C12*100*(C13*SIN(RADIANS(C15)))^2/1000</f>
        <v>0</v>
      </c>
      <c r="D32" s="168" t="s">
        <v>22358</v>
      </c>
      <c r="E32" s="163" t="s">
        <v>22365</v>
      </c>
      <c r="H32" s="186"/>
    </row>
    <row r="33" spans="1:8" ht="5.0999999999999996" customHeight="1">
      <c r="B33" s="165"/>
      <c r="C33" s="185"/>
      <c r="D33" s="168"/>
      <c r="E33" s="163"/>
    </row>
    <row r="34" spans="1:8" ht="14.25" customHeight="1">
      <c r="A34" s="179" t="s">
        <v>22366</v>
      </c>
      <c r="B34" s="180" t="s">
        <v>22367</v>
      </c>
      <c r="C34" s="185"/>
      <c r="D34" s="168"/>
      <c r="E34" s="163"/>
      <c r="H34" s="186"/>
    </row>
    <row r="35" spans="1:8" ht="14.25" customHeight="1">
      <c r="B35" s="165" t="s">
        <v>22368</v>
      </c>
      <c r="C35" s="185" t="e">
        <f>1/(((C18*100)^3/(3*Kalk3_Sys_50!C18*Kalk3_Eingabe!C38)/2)+(Kalk3_Eingabe!C19*100)^3/(48*Kalk3_Sys_50!C18*Kalk3_Eingabe!C36))</f>
        <v>#DIV/0!</v>
      </c>
      <c r="D35" s="168" t="s">
        <v>22369</v>
      </c>
      <c r="E35" s="163" t="s">
        <v>22370</v>
      </c>
    </row>
    <row r="36" spans="1:8" ht="14.25" customHeight="1">
      <c r="B36" s="165" t="s">
        <v>22371</v>
      </c>
      <c r="C36" s="185">
        <f>IF(C22="50/150",'Kalk3_DB_50-150'!C12,IF(Kalk3_Eingabe!C22="50/200",'Kalk3_DB_50-200'!C12,IF(Kalk3_Eingabe!C22="80/200",'Kalk3_DB_80-200'!C12,IF(Kalk3_Eingabe!C22="25/200",'Kalk3_DB_25-200'!C12))))</f>
        <v>62.14</v>
      </c>
      <c r="D36" s="151" t="s">
        <v>22372</v>
      </c>
      <c r="E36" s="163" t="s">
        <v>22373</v>
      </c>
    </row>
    <row r="37" spans="1:8" ht="14.25" customHeight="1">
      <c r="B37" s="165" t="s">
        <v>22374</v>
      </c>
      <c r="C37" s="185" t="e">
        <f>3*Kalk3_Sys_50!C18*Kalk3_Eingabe!C38/(Kalk3_Eingabe!C18*100)^3</f>
        <v>#DIV/0!</v>
      </c>
      <c r="D37" s="168" t="s">
        <v>22369</v>
      </c>
      <c r="E37" s="163" t="s">
        <v>22375</v>
      </c>
    </row>
    <row r="38" spans="1:8" ht="14.25" customHeight="1">
      <c r="B38" s="165" t="s">
        <v>22376</v>
      </c>
      <c r="C38" s="185">
        <f>IF(C21="System 50",Kalk3_Sys_50!C13,IF(C21="System 80 (Klein)",Kalk3_Sys_80k!C13,IF(Kalk3_Eingabe!C21="System 80 (Gross)",Kalk3_Sys_80g!C13)))</f>
        <v>723.81</v>
      </c>
      <c r="D38" s="151" t="s">
        <v>22372</v>
      </c>
      <c r="E38" s="163" t="s">
        <v>22377</v>
      </c>
    </row>
    <row r="39" spans="1:8" ht="14.25" customHeight="1">
      <c r="B39" s="165" t="s">
        <v>22378</v>
      </c>
      <c r="C39" s="185" t="e">
        <f>C13*SIN(RADIANS(C15))*(C14*C35*100)^0.5</f>
        <v>#DIV/0!</v>
      </c>
      <c r="D39" s="168" t="s">
        <v>22379</v>
      </c>
      <c r="E39" s="163" t="s">
        <v>22380</v>
      </c>
      <c r="H39" s="185"/>
    </row>
    <row r="40" spans="1:8" ht="14.25" customHeight="1">
      <c r="B40" s="165" t="s">
        <v>22381</v>
      </c>
      <c r="C40" s="185" t="e">
        <f>C13*SIN(RADIANS(C15))*(C14*(C37*100))^0.5</f>
        <v>#DIV/0!</v>
      </c>
      <c r="D40" s="168" t="s">
        <v>22379</v>
      </c>
      <c r="E40" s="163" t="s">
        <v>22382</v>
      </c>
    </row>
    <row r="41" spans="1:8" ht="14.25" customHeight="1">
      <c r="B41" s="165" t="s">
        <v>22383</v>
      </c>
      <c r="C41" s="152">
        <f>Kalk3_Lastfallkombi!P99</f>
        <v>0</v>
      </c>
      <c r="E41" s="163" t="s">
        <v>22384</v>
      </c>
    </row>
    <row r="42" spans="1:8" ht="5.0999999999999996" customHeight="1">
      <c r="B42" s="165"/>
      <c r="C42" s="185"/>
      <c r="D42" s="168"/>
      <c r="E42" s="163"/>
    </row>
    <row r="43" spans="1:8" ht="14.25" customHeight="1">
      <c r="A43" s="179" t="s">
        <v>22385</v>
      </c>
      <c r="B43" s="180" t="s">
        <v>22386</v>
      </c>
      <c r="C43" s="185"/>
      <c r="D43" s="168"/>
      <c r="E43" s="163"/>
    </row>
    <row r="44" spans="1:8" ht="14.25" customHeight="1">
      <c r="B44" s="165" t="s">
        <v>22387</v>
      </c>
      <c r="C44" s="185">
        <f>1/((((C24-0.25)*100)^3/(3*Kalk3_Sys_50!C18*Kalk3_Eingabe!C38)/2)+(Kalk3_Eingabe!C19*100)^3/(48*Kalk3_Sys_50!C18*Kalk3_Eingabe!C36))</f>
        <v>-2668.8632098765429</v>
      </c>
      <c r="D44" s="168" t="s">
        <v>22369</v>
      </c>
      <c r="E44" s="163" t="s">
        <v>22370</v>
      </c>
    </row>
    <row r="45" spans="1:8" ht="14.25" customHeight="1">
      <c r="B45" s="165" t="s">
        <v>22388</v>
      </c>
      <c r="C45" s="185">
        <f>3*Kalk3_Sys_50!C18*Kalk3_Eingabe!C38/((Kalk3_Eingabe!C24-0.25)*100)^3</f>
        <v>-1334.4316049382714</v>
      </c>
      <c r="D45" s="168" t="s">
        <v>22369</v>
      </c>
      <c r="E45" s="163" t="s">
        <v>22375</v>
      </c>
    </row>
    <row r="46" spans="1:8" ht="14.25" customHeight="1">
      <c r="B46" s="165" t="s">
        <v>22378</v>
      </c>
      <c r="C46" s="185" t="e">
        <f>C13*SIN(RADIANS(C15))*(C14*C44*100)^0.5</f>
        <v>#NUM!</v>
      </c>
      <c r="D46" s="168" t="s">
        <v>22379</v>
      </c>
      <c r="E46" s="163" t="s">
        <v>22380</v>
      </c>
    </row>
    <row r="47" spans="1:8" ht="14.25" customHeight="1">
      <c r="B47" s="165" t="s">
        <v>22381</v>
      </c>
      <c r="C47" s="185" t="e">
        <f>C13*SIN(RADIANS(C15))*(C14*(C45*100))^0.5</f>
        <v>#NUM!</v>
      </c>
      <c r="D47" s="168" t="s">
        <v>22379</v>
      </c>
      <c r="E47" s="163" t="s">
        <v>22382</v>
      </c>
    </row>
    <row r="48" spans="1:8" ht="14.25" customHeight="1">
      <c r="B48" s="165" t="s">
        <v>22389</v>
      </c>
      <c r="C48" s="152">
        <f>ROUNDUP(50/Kalk3_Lastfallkombi!C14,0)</f>
        <v>3</v>
      </c>
      <c r="E48" s="163" t="s">
        <v>22384</v>
      </c>
    </row>
    <row r="49" spans="7:11" ht="14.25" customHeight="1"/>
    <row r="50" spans="7:11" ht="14.25" customHeight="1"/>
    <row r="51" spans="7:11" ht="14.25" customHeight="1"/>
    <row r="52" spans="7:11" ht="14.25" customHeight="1"/>
    <row r="53" spans="7:11" ht="14.25" customHeight="1">
      <c r="G53" s="545" t="s">
        <v>22591</v>
      </c>
      <c r="H53" s="545"/>
      <c r="I53" s="545"/>
      <c r="J53" s="545"/>
    </row>
    <row r="54" spans="7:11" ht="14.25" customHeight="1">
      <c r="G54" s="545" t="s">
        <v>21042</v>
      </c>
      <c r="H54" s="545"/>
      <c r="I54" s="443" t="e">
        <f>IF(C22=H24,MAX('Kalk3_DB_80-200'!C33,'Kalk3_DB_80-200'!C41),IF(C22=H23,MAX('Kalk3_DB_50-200'!C33,'Kalk3_DB_50-200'!C41),IF(C22=H22,MAX('Kalk3_DB_50-150'!C33,'Kalk3_DB_50-150'!C41),IF(C22=H21,MAX('Kalk3_DB_25-200'!C33,'Kalk3_DB_25-200'!C41),0))))</f>
        <v>#DIV/0!</v>
      </c>
      <c r="J54" s="443"/>
    </row>
    <row r="55" spans="7:11" ht="14.25" customHeight="1">
      <c r="G55" s="545" t="s">
        <v>19090</v>
      </c>
      <c r="H55" s="545"/>
      <c r="I55" s="260" t="s">
        <v>22590</v>
      </c>
      <c r="J55" s="252">
        <f>IF(C22=H24,Haftungsausschluß!L34/'Kalk3_DB_80-200'!C48,IF(C22=H23,Haftungsausschluß!L34/'Kalk3_DB_50-200'!C48,IF(C22=H22,Haftungsausschluß!L34/'Kalk3_DB_50-150'!C48,IF(C22=H21,Haftungsausschluß!L34/'Kalk3_DB_25-200'!C48,0))))</f>
        <v>176753777.77777779</v>
      </c>
      <c r="K55" s="259"/>
    </row>
    <row r="56" spans="7:11" ht="14.25" customHeight="1">
      <c r="G56" s="545" t="s">
        <v>19950</v>
      </c>
      <c r="H56" s="545"/>
      <c r="I56" s="443" t="e">
        <f>IF(C22=H24,'Kalk3_DB_80-200'!C57,IF(C22=H23,'Kalk3_DB_50-200'!C57,IF(C22=H22,'Kalk3_DB_50-150'!C57,IF(C22=H21,'Kalk3_DB_25-200'!C57,0))))</f>
        <v>#DIV/0!</v>
      </c>
      <c r="J56" s="443"/>
    </row>
    <row r="57" spans="7:11" ht="14.25" customHeight="1">
      <c r="H57" s="165"/>
      <c r="I57" s="257"/>
      <c r="J57" s="258"/>
    </row>
    <row r="58" spans="7:11" ht="14.25" customHeight="1">
      <c r="G58" s="545" t="s">
        <v>22589</v>
      </c>
      <c r="H58" s="545"/>
      <c r="I58" s="545"/>
      <c r="J58" s="545"/>
    </row>
    <row r="59" spans="7:11" ht="14.25" customHeight="1">
      <c r="G59" s="545" t="s">
        <v>21042</v>
      </c>
      <c r="H59" s="545"/>
      <c r="I59" s="443" t="e">
        <f>IF(C21=H18,MAX(Kalk3_Sys_80k!C42,Kalk3_Sys_80k!C51),IF(C21=H19,MAX(Kalk3_Sys_80g!C42,Kalk3_Sys_80g!C51),IF(C21=H17,MAX(Kalk3_Sys_50!C42,Kalk3_Sys_50!C51),0)))</f>
        <v>#NUM!</v>
      </c>
      <c r="J59" s="443"/>
    </row>
    <row r="60" spans="7:11" ht="14.25" customHeight="1">
      <c r="G60" s="545" t="s">
        <v>19090</v>
      </c>
      <c r="H60" s="545"/>
      <c r="I60" s="260" t="s">
        <v>22590</v>
      </c>
      <c r="J60" s="252" t="e">
        <f>IF(C21=H18,Haftungsausschluß!L34/Kalk3_Sys_80k!C70,IF(C21=H19,Haftungsausschluß!L34/Kalk3_Sys_80g!C70,IF(C21=H17,Haftungsausschluß!L34/Kalk3_Sys_50!C70,0)))</f>
        <v>#DIV/0!</v>
      </c>
      <c r="K60" s="259"/>
    </row>
    <row r="61" spans="7:11" ht="14.25" customHeight="1">
      <c r="G61" s="545" t="s">
        <v>19950</v>
      </c>
      <c r="H61" s="545"/>
      <c r="I61" s="443" t="e">
        <f>IF(C21=H18,MAX(Kalk3_Sys_80k!C41,Kalk3_Sys_80k!C50),IF(C21=H19,MAX(Kalk3_Sys_80g!C41,Kalk3_Sys_80g!C50),IF(C21=H17,MAX(Kalk3_Sys_50!C41,Kalk3_Sys_50!C50),0)))</f>
        <v>#NUM!</v>
      </c>
      <c r="J61" s="443"/>
    </row>
    <row r="62" spans="7:11" ht="14.25" customHeight="1"/>
    <row r="63" spans="7:11" ht="14.25" customHeight="1"/>
    <row r="64" spans="7: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sheetData>
  <mergeCells count="15">
    <mergeCell ref="G60:H60"/>
    <mergeCell ref="G61:H61"/>
    <mergeCell ref="I61:J61"/>
    <mergeCell ref="G55:H55"/>
    <mergeCell ref="G56:H56"/>
    <mergeCell ref="I56:J56"/>
    <mergeCell ref="G58:J58"/>
    <mergeCell ref="G59:H59"/>
    <mergeCell ref="I59:J59"/>
    <mergeCell ref="B1:C1"/>
    <mergeCell ref="C4:E4"/>
    <mergeCell ref="C5:E5"/>
    <mergeCell ref="G53:J53"/>
    <mergeCell ref="G54:H54"/>
    <mergeCell ref="I54:J54"/>
  </mergeCells>
  <dataValidations count="1">
    <dataValidation type="list" allowBlank="1" showInputMessage="1" showErrorMessage="1" sqref="C23" xr:uid="{510267D1-E5FA-433F-91C2-F00D9794B0C1}">
      <formula1>"1/150,1/300"</formula1>
    </dataValidation>
  </dataValidations>
  <pageMargins left="0.7" right="0.7" top="0.78740157499999996" bottom="0.78740157499999996"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81A19-6AC3-4A7B-A022-AE5A3CA37844}">
  <sheetPr codeName="Tabelle41"/>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44894</v>
      </c>
      <c r="H3" s="156" t="s">
        <v>22312</v>
      </c>
      <c r="I3" s="158" t="s">
        <v>22313</v>
      </c>
    </row>
    <row r="4" spans="1:9" ht="16.5" customHeight="1">
      <c r="A4" s="148"/>
      <c r="B4" s="160" t="s">
        <v>22316</v>
      </c>
      <c r="C4" s="547" t="str">
        <f>Kalk3_Eingabe!C4</f>
        <v>PREFA</v>
      </c>
      <c r="D4" s="547"/>
      <c r="E4" s="548"/>
      <c r="F4" s="150"/>
      <c r="G4" s="150"/>
      <c r="H4" s="151"/>
      <c r="I4" s="148"/>
    </row>
    <row r="5" spans="1:9" ht="16.5" customHeight="1">
      <c r="A5" s="148"/>
      <c r="B5" s="164" t="s">
        <v>22319</v>
      </c>
      <c r="C5" s="549" t="str">
        <f>Kalk3_Eingabe!C5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22390</v>
      </c>
      <c r="C7" s="148"/>
      <c r="D7" s="168"/>
      <c r="E7" s="168"/>
      <c r="F7" s="148"/>
      <c r="G7" s="148"/>
      <c r="H7" s="148"/>
      <c r="I7" s="148"/>
    </row>
    <row r="8" spans="1:9" ht="16.5" customHeight="1">
      <c r="A8" s="148"/>
      <c r="B8" s="170" t="s">
        <v>22391</v>
      </c>
      <c r="C8" s="148"/>
      <c r="D8" s="168"/>
      <c r="E8" s="168"/>
      <c r="F8" s="148"/>
      <c r="G8" s="148"/>
      <c r="H8" s="148"/>
      <c r="I8" s="148"/>
    </row>
    <row r="9" spans="1:9" ht="14.25" customHeight="1">
      <c r="A9" s="148"/>
      <c r="B9" s="148"/>
      <c r="C9" s="148"/>
      <c r="D9" s="168"/>
      <c r="E9" s="168"/>
      <c r="F9" s="148"/>
      <c r="G9" s="148"/>
      <c r="H9" s="148"/>
      <c r="I9" s="148"/>
    </row>
    <row r="10" spans="1:9" ht="14.25" customHeight="1">
      <c r="A10" s="171" t="s">
        <v>22327</v>
      </c>
      <c r="B10" s="172" t="s">
        <v>22392</v>
      </c>
      <c r="C10" s="148"/>
      <c r="D10" s="168"/>
      <c r="E10" s="168"/>
      <c r="F10" s="148"/>
      <c r="G10" s="148"/>
      <c r="H10" s="148"/>
      <c r="I10" s="148"/>
    </row>
    <row r="11" spans="1:9" ht="14.25" customHeight="1">
      <c r="A11" s="148"/>
      <c r="B11" s="175" t="s">
        <v>22393</v>
      </c>
      <c r="C11" s="187">
        <v>38.46</v>
      </c>
      <c r="D11" s="168" t="s">
        <v>22394</v>
      </c>
      <c r="E11" s="163" t="s">
        <v>22395</v>
      </c>
      <c r="F11" s="177"/>
      <c r="G11" s="148"/>
      <c r="H11" s="148"/>
      <c r="I11" s="148"/>
    </row>
    <row r="12" spans="1:9" ht="14.25" customHeight="1">
      <c r="A12" s="148"/>
      <c r="B12" s="175" t="s">
        <v>22396</v>
      </c>
      <c r="C12" s="187">
        <v>7.13</v>
      </c>
      <c r="D12" s="151" t="s">
        <v>22394</v>
      </c>
      <c r="E12" s="163" t="s">
        <v>22397</v>
      </c>
      <c r="F12" s="177"/>
      <c r="G12" s="148"/>
      <c r="H12" s="148"/>
      <c r="I12" s="148"/>
    </row>
    <row r="13" spans="1:9" ht="14.25" customHeight="1">
      <c r="A13" s="179"/>
      <c r="B13" s="175" t="s">
        <v>22398</v>
      </c>
      <c r="C13" s="187">
        <v>723.81</v>
      </c>
      <c r="D13" s="151" t="s">
        <v>22372</v>
      </c>
      <c r="E13" s="163" t="s">
        <v>22399</v>
      </c>
      <c r="F13" s="178"/>
      <c r="G13" s="181"/>
      <c r="H13" s="148"/>
      <c r="I13" s="148"/>
    </row>
    <row r="14" spans="1:9" ht="14.25" customHeight="1">
      <c r="A14" s="148"/>
      <c r="B14" s="162" t="s">
        <v>22400</v>
      </c>
      <c r="C14" s="187">
        <v>101.99</v>
      </c>
      <c r="D14" s="168" t="s">
        <v>22401</v>
      </c>
      <c r="E14" s="183" t="s">
        <v>22402</v>
      </c>
      <c r="F14" s="177"/>
      <c r="G14" s="148"/>
      <c r="H14" s="148"/>
      <c r="I14" s="148"/>
    </row>
    <row r="15" spans="1:9" ht="14.25" customHeight="1">
      <c r="B15" s="162" t="s">
        <v>22403</v>
      </c>
      <c r="C15" s="187">
        <v>150.66999999999999</v>
      </c>
      <c r="D15" s="168" t="s">
        <v>22401</v>
      </c>
      <c r="E15" s="183" t="s">
        <v>22404</v>
      </c>
    </row>
    <row r="16" spans="1:9"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20</v>
      </c>
      <c r="D19" s="168" t="s">
        <v>22408</v>
      </c>
      <c r="E19" s="183"/>
    </row>
    <row r="20" spans="1:18" ht="14.25" customHeight="1">
      <c r="B20" s="165" t="s">
        <v>22410</v>
      </c>
      <c r="C20" s="185">
        <v>24.5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Kalk3_Lastfallkombi!C31*Kalk3_Eingabe!C18/2*Kalk3_Eingabe!C19</f>
        <v>0</v>
      </c>
      <c r="D27" s="191">
        <f>Kalk3_Lastfallkombi!C19*Kalk3_Eingabe!C24/2*Kalk3_Eingabe!C19</f>
        <v>0</v>
      </c>
      <c r="E27" s="168" t="s">
        <v>22379</v>
      </c>
      <c r="F27" s="183" t="s">
        <v>22425</v>
      </c>
      <c r="O27" s="188" t="s">
        <v>22414</v>
      </c>
      <c r="P27" s="189"/>
      <c r="Q27" s="189"/>
      <c r="R27" s="190"/>
    </row>
    <row r="28" spans="1:18" ht="14.25" customHeight="1">
      <c r="B28" s="178" t="s">
        <v>22427</v>
      </c>
      <c r="C28" s="191">
        <f>Kalk3_Lastfallkombi!C31*Kalk3_Eingabe!C18/2*(Kalk3_Eingabe!C18/3+Kalk3_Sys_50!C25/100)*Kalk3_Eingabe!C19</f>
        <v>0</v>
      </c>
      <c r="D28" s="191">
        <f>Kalk3_Lastfallkombi!C19*Kalk3_Eingabe!C24/2*(Kalk3_Eingabe!C24/3+Kalk3_Sys_50!C25/100)*Kalk3_Eingabe!C19</f>
        <v>0</v>
      </c>
      <c r="E28" s="168" t="s">
        <v>22428</v>
      </c>
      <c r="F28" s="183" t="s">
        <v>22429</v>
      </c>
      <c r="O28" s="178" t="s">
        <v>22418</v>
      </c>
      <c r="P28" s="191">
        <f>(Kalk3_Lastfallkombi!C31*Kalk3_Eingabe!C18/2*(Kalk3_Eingabe!C18/3+Kalk3_Sys_50!C25/100)*Kalk3_Eingabe!C19)/(P26/100)</f>
        <v>0</v>
      </c>
      <c r="Q28" s="189"/>
      <c r="R28" s="168" t="s">
        <v>22379</v>
      </c>
    </row>
    <row r="29" spans="1:18" ht="14.25" customHeight="1">
      <c r="B29" s="178" t="s">
        <v>22431</v>
      </c>
      <c r="C29" s="191">
        <f>Kalk3_Lastfallkombi!C32*Kalk3_Eingabe!C18*Kalk3_Eingabe!C19</f>
        <v>0</v>
      </c>
      <c r="D29" s="191">
        <f>Kalk3_Lastfallkombi!C20*Kalk3_Eingabe!C24*Kalk3_Eingabe!C19</f>
        <v>0</v>
      </c>
      <c r="E29" s="168" t="s">
        <v>22379</v>
      </c>
      <c r="F29" s="183" t="s">
        <v>22432</v>
      </c>
      <c r="O29" s="178" t="s">
        <v>22421</v>
      </c>
      <c r="P29" s="191">
        <f>P28+C27</f>
        <v>0</v>
      </c>
      <c r="Q29" s="189"/>
      <c r="R29" s="168" t="s">
        <v>22379</v>
      </c>
    </row>
    <row r="30" spans="1:18" ht="14.25" customHeight="1">
      <c r="B30" s="178" t="s">
        <v>22434</v>
      </c>
      <c r="C30" s="191">
        <f>Kalk3_Lastfallkombi!C32*Kalk3_Eingabe!C18*(Kalk3_Eingabe!C18/2+C25/100)*Kalk3_Eingabe!C19</f>
        <v>0</v>
      </c>
      <c r="D30" s="191">
        <f>Kalk3_Lastfallkombi!C20*Kalk3_Eingabe!C24*(Kalk3_Eingabe!C24/2+C25/100)*Kalk3_Eingabe!C19</f>
        <v>0</v>
      </c>
      <c r="E30" s="168" t="s">
        <v>22428</v>
      </c>
      <c r="F30" s="183" t="s">
        <v>22435</v>
      </c>
      <c r="O30" s="178" t="s">
        <v>22423</v>
      </c>
      <c r="P30" s="191">
        <f>Kalk3_Lastfallkombi!C32*Kalk3_Eingabe!C18*Kalk3_Eingabe!C19/(P26/100)</f>
        <v>0</v>
      </c>
      <c r="Q30" s="189"/>
      <c r="R30" s="168" t="s">
        <v>22379</v>
      </c>
    </row>
    <row r="31" spans="1:18" ht="14.25" customHeight="1">
      <c r="B31" s="178" t="s">
        <v>22436</v>
      </c>
      <c r="C31" s="191" t="e">
        <f>Kalk3_Lastfallkombi!C40</f>
        <v>#DIV/0!</v>
      </c>
      <c r="D31" s="191" t="e">
        <f>Kalk3_Lastfallkombi!C28</f>
        <v>#NUM!</v>
      </c>
      <c r="E31" s="168" t="s">
        <v>22379</v>
      </c>
      <c r="F31" s="183" t="s">
        <v>22437</v>
      </c>
      <c r="O31" s="178" t="s">
        <v>22426</v>
      </c>
      <c r="P31" s="191">
        <f>P30+C29</f>
        <v>0</v>
      </c>
      <c r="Q31" s="189"/>
      <c r="R31" s="168" t="s">
        <v>22379</v>
      </c>
    </row>
    <row r="32" spans="1:18" ht="14.25" customHeight="1" thickBot="1">
      <c r="B32" s="178" t="s">
        <v>22438</v>
      </c>
      <c r="C32" s="191" t="e">
        <f>C31*(Kalk3_Eingabe!C18+C25/100)</f>
        <v>#DIV/0!</v>
      </c>
      <c r="D32" s="191" t="e">
        <f>D31*(Kalk3_Eingabe!C24-0.25+C25/100)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74.845589442218753</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1.4773016962447298</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19.990039999999997</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Kalk3_Lastfallkombi!D31*Kalk3_Eingabe!C19</f>
        <v>0</v>
      </c>
      <c r="D55" s="185">
        <f>Kalk3_Lastfallkombi!D19*Kalk3_Eingabe!C19</f>
        <v>0</v>
      </c>
      <c r="E55" s="168" t="s">
        <v>22469</v>
      </c>
    </row>
    <row r="56" spans="1:7" ht="14.25" customHeight="1">
      <c r="B56" s="178" t="s">
        <v>22470</v>
      </c>
      <c r="C56" s="185">
        <f>C55/100*(Kalk3_Eingabe!C18*100)^4/(30*Kalk3_Sys_50!C13*Kalk3_Sys_50!C18)</f>
        <v>0</v>
      </c>
      <c r="D56" s="185">
        <f>D55/100*(Kalk3_Eingabe!C24*100)^4/(30*Kalk3_Sys_50!C13*Kalk3_Sys_50!C18)</f>
        <v>0</v>
      </c>
      <c r="E56" s="168" t="s">
        <v>22416</v>
      </c>
    </row>
    <row r="57" spans="1:7" ht="14.25" customHeight="1">
      <c r="B57" s="178" t="s">
        <v>22471</v>
      </c>
      <c r="C57" s="185">
        <f>Kalk3_Lastfallkombi!D32*Kalk3_Eingabe!C19</f>
        <v>0</v>
      </c>
      <c r="D57" s="185">
        <f>Kalk3_Lastfallkombi!D20*Kalk3_Eingabe!C19</f>
        <v>0</v>
      </c>
      <c r="E57" s="168" t="s">
        <v>22469</v>
      </c>
    </row>
    <row r="58" spans="1:7" ht="14.25" customHeight="1">
      <c r="B58" s="178" t="s">
        <v>22472</v>
      </c>
      <c r="C58" s="185">
        <f>C57/100*(Kalk3_Eingabe!C18*100)^4/(8*Kalk3_Sys_50!C13*Kalk3_Sys_50!C18)</f>
        <v>0</v>
      </c>
      <c r="D58" s="185">
        <f>D57/100*(Kalk3_Eingabe!C24*100)^4/(8*Kalk3_Sys_50!C13*Kalk3_Sys_50!C18)</f>
        <v>0</v>
      </c>
      <c r="E58" s="168" t="s">
        <v>22416</v>
      </c>
      <c r="G58" s="185"/>
    </row>
    <row r="59" spans="1:7" ht="14.25" customHeight="1" thickBot="1">
      <c r="B59" s="178" t="s">
        <v>22473</v>
      </c>
      <c r="C59" s="185">
        <f>IF(Kalk3_Eingabe!C23="1/150",Kalk3_Eingabe!C18*100/150,IF(Kalk3_Eingabe!C23="1/300",Kalk3_Eingabe!C18*100/300))</f>
        <v>0</v>
      </c>
      <c r="D59" s="185">
        <f>IF(Kalk3_Eingabe!C23="1/150",Kalk3_Eingabe!C24*100/150,IF(Kalk3_Eingabe!C23="1/300",Kalk3_Eingabe!C24*100/300))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Kalk3_Lastfallkombi!D31*Kalk3_Eingabe!C19</f>
        <v>0</v>
      </c>
      <c r="D62" s="185">
        <f>Kalk3_Lastfallkombi!D19*Kalk3_Eingabe!C19</f>
        <v>0</v>
      </c>
      <c r="E62" s="168" t="s">
        <v>22469</v>
      </c>
    </row>
    <row r="63" spans="1:7" ht="14.25" customHeight="1">
      <c r="B63" s="178" t="s">
        <v>22470</v>
      </c>
      <c r="C63" s="185">
        <f>C62/100*(Kalk3_Eingabe!C18*100)^4/(30*Kalk3_Sys_50!C13*Kalk3_Sys_50!C18)</f>
        <v>0</v>
      </c>
      <c r="D63" s="185">
        <f>D62/100*(Kalk3_Eingabe!C24*100)^4/(30*Kalk3_Sys_50!C13*Kalk3_Sys_50!C18)</f>
        <v>0</v>
      </c>
      <c r="E63" s="168" t="s">
        <v>22416</v>
      </c>
    </row>
    <row r="64" spans="1:7" ht="14.25" customHeight="1">
      <c r="B64" s="178" t="s">
        <v>22471</v>
      </c>
      <c r="C64" s="185">
        <f>Kalk3_Lastfallkombi!D32*Kalk3_Eingabe!C19</f>
        <v>0</v>
      </c>
      <c r="D64" s="185">
        <f>Kalk3_Lastfallkombi!D20*Kalk3_Eingabe!C19</f>
        <v>0</v>
      </c>
      <c r="E64" s="168" t="s">
        <v>22469</v>
      </c>
    </row>
    <row r="65" spans="2:5" ht="14.25" customHeight="1">
      <c r="B65" s="178" t="s">
        <v>22472</v>
      </c>
      <c r="C65" s="185">
        <f>C64/100*(Kalk3_Eingabe!C18*100)^4/(8*Kalk3_Sys_50!C13*Kalk3_Sys_50!C18)</f>
        <v>0</v>
      </c>
      <c r="D65" s="185">
        <f>D64/100*(Kalk3_Eingabe!C24*100)^4/(8*Kalk3_Sys_50!C13*Kalk3_Sys_50!C18)</f>
        <v>0</v>
      </c>
      <c r="E65" s="168" t="s">
        <v>22416</v>
      </c>
    </row>
    <row r="66" spans="2:5" ht="14.25" customHeight="1">
      <c r="B66" s="165" t="s">
        <v>22476</v>
      </c>
      <c r="C66" s="185" t="e">
        <f>Kalk3_Lastfallkombi!D40</f>
        <v>#DIV/0!</v>
      </c>
      <c r="D66" s="185" t="e">
        <f>Kalk3_Lastfallkombi!D28</f>
        <v>#NUM!</v>
      </c>
      <c r="E66" s="168" t="s">
        <v>22379</v>
      </c>
    </row>
    <row r="67" spans="2:5" ht="14.25" customHeight="1">
      <c r="B67" s="165" t="s">
        <v>22477</v>
      </c>
      <c r="C67" s="185" t="e">
        <f>C66*(Kalk3_Eingabe!C18*100)^3/(3*Kalk3_Sys_50!C18*Kalk3_Sys_50!C13)</f>
        <v>#DIV/0!</v>
      </c>
      <c r="D67" s="185" t="e">
        <f>D66*((Kalk3_Eingabe!C24-0.25)*100)^3/(3*Kalk3_Sys_50!C18*Kalk3_Sys_50!C13)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Kalk3_Eingabe!C18*100/150</f>
        <v>0</v>
      </c>
      <c r="D69" s="185">
        <f>Kalk3_Eingabe!C24*100/150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83" priority="10" operator="greaterThan">
      <formula>1</formula>
    </cfRule>
    <cfRule type="dataBar" priority="11">
      <dataBar>
        <cfvo type="num" val="0"/>
        <cfvo type="num" val="0.99"/>
        <color rgb="FF638EC6"/>
      </dataBar>
      <extLst>
        <ext xmlns:x14="http://schemas.microsoft.com/office/spreadsheetml/2009/9/main" uri="{B025F937-C7B1-47D3-B67F-A62EFF666E3E}">
          <x14:id>{AFC17407-8EC4-48E3-B501-C28B14D2F5CE}</x14:id>
        </ext>
      </extLst>
    </cfRule>
    <cfRule type="dataBar" priority="12">
      <dataBar>
        <cfvo type="num" val="0"/>
        <cfvo type="num" val="1"/>
        <color rgb="FF638EC6"/>
      </dataBar>
      <extLst>
        <ext xmlns:x14="http://schemas.microsoft.com/office/spreadsheetml/2009/9/main" uri="{B025F937-C7B1-47D3-B67F-A62EFF666E3E}">
          <x14:id>{75E57663-5A12-49C7-9B1F-990154525327}</x14:id>
        </ext>
      </extLst>
    </cfRule>
  </conditionalFormatting>
  <conditionalFormatting sqref="C50:C51">
    <cfRule type="cellIs" dxfId="82" priority="7" operator="greaterThan">
      <formula>1</formula>
    </cfRule>
    <cfRule type="dataBar" priority="8">
      <dataBar>
        <cfvo type="num" val="0"/>
        <cfvo type="num" val="0.99"/>
        <color rgb="FF638EC6"/>
      </dataBar>
      <extLst>
        <ext xmlns:x14="http://schemas.microsoft.com/office/spreadsheetml/2009/9/main" uri="{B025F937-C7B1-47D3-B67F-A62EFF666E3E}">
          <x14:id>{3C83518B-6350-4210-9BC4-1152A62AB8DC}</x14:id>
        </ext>
      </extLst>
    </cfRule>
    <cfRule type="dataBar" priority="9">
      <dataBar>
        <cfvo type="num" val="0"/>
        <cfvo type="num" val="1"/>
        <color rgb="FF638EC6"/>
      </dataBar>
      <extLst>
        <ext xmlns:x14="http://schemas.microsoft.com/office/spreadsheetml/2009/9/main" uri="{B025F937-C7B1-47D3-B67F-A62EFF666E3E}">
          <x14:id>{D53A687F-5C5C-40D3-820E-221EBF35FE15}</x14:id>
        </ext>
      </extLst>
    </cfRule>
  </conditionalFormatting>
  <conditionalFormatting sqref="C60">
    <cfRule type="cellIs" dxfId="81" priority="4" operator="greaterThan">
      <formula>1</formula>
    </cfRule>
    <cfRule type="dataBar" priority="5">
      <dataBar>
        <cfvo type="num" val="0"/>
        <cfvo type="num" val="0.99"/>
        <color rgb="FF638EC6"/>
      </dataBar>
      <extLst>
        <ext xmlns:x14="http://schemas.microsoft.com/office/spreadsheetml/2009/9/main" uri="{B025F937-C7B1-47D3-B67F-A62EFF666E3E}">
          <x14:id>{CB6AC91C-1F42-49F3-8DAE-2203E2B24AF1}</x14:id>
        </ext>
      </extLst>
    </cfRule>
    <cfRule type="dataBar" priority="6">
      <dataBar>
        <cfvo type="num" val="0"/>
        <cfvo type="num" val="1"/>
        <color rgb="FF638EC6"/>
      </dataBar>
      <extLst>
        <ext xmlns:x14="http://schemas.microsoft.com/office/spreadsheetml/2009/9/main" uri="{B025F937-C7B1-47D3-B67F-A62EFF666E3E}">
          <x14:id>{950613F9-2586-46FB-9124-3774587E59E7}</x14:id>
        </ext>
      </extLst>
    </cfRule>
  </conditionalFormatting>
  <conditionalFormatting sqref="C70">
    <cfRule type="cellIs" dxfId="80" priority="1" operator="greaterThan">
      <formula>1</formula>
    </cfRule>
    <cfRule type="dataBar" priority="2">
      <dataBar>
        <cfvo type="num" val="0"/>
        <cfvo type="num" val="0.99"/>
        <color rgb="FF638EC6"/>
      </dataBar>
      <extLst>
        <ext xmlns:x14="http://schemas.microsoft.com/office/spreadsheetml/2009/9/main" uri="{B025F937-C7B1-47D3-B67F-A62EFF666E3E}">
          <x14:id>{EF0B289F-001E-48AC-BF01-970EE0AE11A0}</x14:id>
        </ext>
      </extLst>
    </cfRule>
    <cfRule type="dataBar" priority="3">
      <dataBar>
        <cfvo type="num" val="0"/>
        <cfvo type="num" val="1"/>
        <color rgb="FF638EC6"/>
      </dataBar>
      <extLst>
        <ext xmlns:x14="http://schemas.microsoft.com/office/spreadsheetml/2009/9/main" uri="{B025F937-C7B1-47D3-B67F-A62EFF666E3E}">
          <x14:id>{990D07D2-D064-4108-8374-E93CDFB66F2F}</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AFC17407-8EC4-48E3-B501-C28B14D2F5CE}">
            <x14:dataBar minLength="0" maxLength="100">
              <x14:cfvo type="num">
                <xm:f>0</xm:f>
              </x14:cfvo>
              <x14:cfvo type="num">
                <xm:f>0.99</xm:f>
              </x14:cfvo>
              <x14:negativeFillColor rgb="FFFF0000"/>
              <x14:axisColor rgb="FF000000"/>
            </x14:dataBar>
          </x14:cfRule>
          <x14:cfRule type="dataBar" id="{75E57663-5A12-49C7-9B1F-990154525327}">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3C83518B-6350-4210-9BC4-1152A62AB8DC}">
            <x14:dataBar minLength="0" maxLength="100">
              <x14:cfvo type="num">
                <xm:f>0</xm:f>
              </x14:cfvo>
              <x14:cfvo type="num">
                <xm:f>0.99</xm:f>
              </x14:cfvo>
              <x14:negativeFillColor rgb="FFFF0000"/>
              <x14:axisColor rgb="FF000000"/>
            </x14:dataBar>
          </x14:cfRule>
          <x14:cfRule type="dataBar" id="{D53A687F-5C5C-40D3-820E-221EBF35FE15}">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CB6AC91C-1F42-49F3-8DAE-2203E2B24AF1}">
            <x14:dataBar minLength="0" maxLength="100">
              <x14:cfvo type="num">
                <xm:f>0</xm:f>
              </x14:cfvo>
              <x14:cfvo type="num">
                <xm:f>0.99</xm:f>
              </x14:cfvo>
              <x14:negativeFillColor rgb="FFFF0000"/>
              <x14:axisColor rgb="FF000000"/>
            </x14:dataBar>
          </x14:cfRule>
          <x14:cfRule type="dataBar" id="{950613F9-2586-46FB-9124-3774587E59E7}">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EF0B289F-001E-48AC-BF01-970EE0AE11A0}">
            <x14:dataBar minLength="0" maxLength="100">
              <x14:cfvo type="num">
                <xm:f>0</xm:f>
              </x14:cfvo>
              <x14:cfvo type="num">
                <xm:f>0.99</xm:f>
              </x14:cfvo>
              <x14:negativeFillColor rgb="FFFF0000"/>
              <x14:axisColor rgb="FF000000"/>
            </x14:dataBar>
          </x14:cfRule>
          <x14:cfRule type="dataBar" id="{990D07D2-D064-4108-8374-E93CDFB66F2F}">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BC9F1-E2CB-4F41-BE87-755B1DB36861}">
  <sheetPr codeName="Tabelle42"/>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44894</v>
      </c>
      <c r="H3" s="156" t="s">
        <v>22312</v>
      </c>
      <c r="I3" s="158" t="s">
        <v>22313</v>
      </c>
    </row>
    <row r="4" spans="1:9" ht="16.5" customHeight="1">
      <c r="A4" s="148"/>
      <c r="B4" s="160" t="s">
        <v>22316</v>
      </c>
      <c r="C4" s="547" t="str">
        <f>Kalk3_Eingabe!C4</f>
        <v>PREFA</v>
      </c>
      <c r="D4" s="547"/>
      <c r="E4" s="548"/>
      <c r="F4" s="150"/>
      <c r="G4" s="150"/>
      <c r="H4" s="151"/>
      <c r="I4" s="148"/>
    </row>
    <row r="5" spans="1:9" ht="16.5" customHeight="1">
      <c r="A5" s="148"/>
      <c r="B5" s="164" t="s">
        <v>22319</v>
      </c>
      <c r="C5" s="549" t="str">
        <f>Kalk3_Eingabe!C5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22596</v>
      </c>
      <c r="C7" s="148"/>
      <c r="D7" s="168"/>
      <c r="E7" s="168"/>
      <c r="F7" s="148"/>
      <c r="G7" s="148"/>
      <c r="H7" s="148"/>
      <c r="I7" s="148"/>
    </row>
    <row r="8" spans="1:9" ht="16.5" customHeight="1">
      <c r="A8" s="148"/>
      <c r="B8" s="170" t="s">
        <v>22391</v>
      </c>
      <c r="C8" s="148"/>
      <c r="D8" s="168"/>
      <c r="E8" s="168"/>
      <c r="F8" s="148"/>
      <c r="G8" s="148"/>
      <c r="H8" s="148"/>
      <c r="I8" s="148"/>
    </row>
    <row r="9" spans="1:9" ht="14.25" customHeight="1">
      <c r="A9" s="148"/>
      <c r="B9" s="148"/>
      <c r="C9" s="148"/>
      <c r="D9" s="168"/>
      <c r="E9" s="168"/>
      <c r="F9" s="148"/>
      <c r="G9" s="148"/>
      <c r="H9" s="148"/>
      <c r="I9" s="148"/>
    </row>
    <row r="10" spans="1:9" ht="14.25" customHeight="1">
      <c r="A10" s="171" t="s">
        <v>22327</v>
      </c>
      <c r="B10" s="172" t="s">
        <v>22392</v>
      </c>
      <c r="C10" s="148"/>
      <c r="D10" s="168"/>
      <c r="E10" s="168"/>
      <c r="F10" s="148"/>
      <c r="G10" s="148"/>
      <c r="H10" s="148"/>
      <c r="I10" s="148"/>
    </row>
    <row r="11" spans="1:9" ht="14.25" customHeight="1">
      <c r="A11" s="148"/>
      <c r="B11" s="175" t="s">
        <v>22393</v>
      </c>
      <c r="C11" s="187">
        <v>38.74</v>
      </c>
      <c r="D11" s="168" t="s">
        <v>22394</v>
      </c>
      <c r="E11" s="163" t="s">
        <v>22395</v>
      </c>
      <c r="F11" s="177"/>
      <c r="G11" s="148"/>
      <c r="H11" s="148"/>
      <c r="I11" s="148"/>
    </row>
    <row r="12" spans="1:9" ht="14.25" customHeight="1">
      <c r="A12" s="148"/>
      <c r="B12" s="175" t="s">
        <v>22396</v>
      </c>
      <c r="C12" s="187">
        <v>7.58</v>
      </c>
      <c r="D12" s="151" t="s">
        <v>22394</v>
      </c>
      <c r="E12" s="163" t="s">
        <v>22397</v>
      </c>
      <c r="F12" s="177"/>
      <c r="G12" s="148"/>
      <c r="H12" s="148"/>
      <c r="I12" s="148"/>
    </row>
    <row r="13" spans="1:9" ht="14.25" customHeight="1">
      <c r="A13" s="179"/>
      <c r="B13" s="175" t="s">
        <v>22398</v>
      </c>
      <c r="C13" s="187">
        <v>1047.58</v>
      </c>
      <c r="D13" s="151" t="s">
        <v>22372</v>
      </c>
      <c r="E13" s="163" t="s">
        <v>22399</v>
      </c>
      <c r="F13" s="178"/>
      <c r="G13" s="181"/>
      <c r="H13" s="148"/>
      <c r="I13" s="148"/>
    </row>
    <row r="14" spans="1:9" ht="14.25" customHeight="1">
      <c r="A14" s="148"/>
      <c r="B14" s="162" t="s">
        <v>22400</v>
      </c>
      <c r="C14" s="187">
        <v>147.32</v>
      </c>
      <c r="D14" s="168" t="s">
        <v>22401</v>
      </c>
      <c r="E14" s="183" t="s">
        <v>22402</v>
      </c>
      <c r="F14" s="177"/>
      <c r="G14" s="148"/>
      <c r="H14" s="148"/>
      <c r="I14" s="148"/>
    </row>
    <row r="15" spans="1:9" ht="14.25" customHeight="1">
      <c r="B15" s="162" t="s">
        <v>22403</v>
      </c>
      <c r="C15" s="187">
        <v>192.51</v>
      </c>
      <c r="D15" s="168" t="s">
        <v>22401</v>
      </c>
      <c r="E15" s="183" t="s">
        <v>22404</v>
      </c>
    </row>
    <row r="16" spans="1:9"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18</v>
      </c>
      <c r="D19" s="168" t="s">
        <v>22408</v>
      </c>
      <c r="E19" s="183"/>
    </row>
    <row r="20" spans="1:18" ht="14.25" customHeight="1">
      <c r="B20" s="165" t="s">
        <v>22410</v>
      </c>
      <c r="C20" s="185">
        <v>22.5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Kalk3_Lastfallkombi!C31*Kalk3_Eingabe!C18/2*Kalk3_Eingabe!C19</f>
        <v>0</v>
      </c>
      <c r="D27" s="191">
        <f>Kalk3_Lastfallkombi!C19*Kalk3_Eingabe!C24/2*Kalk3_Eingabe!C19</f>
        <v>0</v>
      </c>
      <c r="E27" s="168" t="s">
        <v>22379</v>
      </c>
      <c r="F27" s="183" t="s">
        <v>22425</v>
      </c>
      <c r="O27" s="188" t="s">
        <v>22414</v>
      </c>
      <c r="P27" s="189"/>
      <c r="Q27" s="189"/>
      <c r="R27" s="190"/>
    </row>
    <row r="28" spans="1:18" ht="14.25" customHeight="1">
      <c r="B28" s="178" t="s">
        <v>22427</v>
      </c>
      <c r="C28" s="191">
        <f>Kalk3_Lastfallkombi!C31*Kalk3_Eingabe!C18/2*(Kalk3_Eingabe!C18/3+Kalk3_Sys_80k!C25/100)*Kalk3_Eingabe!C19</f>
        <v>0</v>
      </c>
      <c r="D28" s="191">
        <f>Kalk3_Lastfallkombi!C19*Kalk3_Eingabe!C24/2*(Kalk3_Eingabe!C24/3+Kalk3_Sys_80k!C25/100)*Kalk3_Eingabe!C19</f>
        <v>0</v>
      </c>
      <c r="E28" s="168" t="s">
        <v>22428</v>
      </c>
      <c r="F28" s="183" t="s">
        <v>22429</v>
      </c>
      <c r="O28" s="178" t="s">
        <v>22418</v>
      </c>
      <c r="P28" s="191">
        <f>(Kalk3_Lastfallkombi!C31*Kalk3_Eingabe!C18/2*(Kalk3_Eingabe!C18/3+Kalk3_Sys_80k!C25/100)*Kalk3_Eingabe!C19)/(P26/100)</f>
        <v>0</v>
      </c>
      <c r="Q28" s="189"/>
      <c r="R28" s="168" t="s">
        <v>22379</v>
      </c>
    </row>
    <row r="29" spans="1:18" ht="14.25" customHeight="1">
      <c r="B29" s="178" t="s">
        <v>22431</v>
      </c>
      <c r="C29" s="191">
        <f>Kalk3_Lastfallkombi!C32*Kalk3_Eingabe!C18*Kalk3_Eingabe!C19</f>
        <v>0</v>
      </c>
      <c r="D29" s="191">
        <f>Kalk3_Lastfallkombi!C20*Kalk3_Eingabe!C24*Kalk3_Eingabe!C19</f>
        <v>0</v>
      </c>
      <c r="E29" s="168" t="s">
        <v>22379</v>
      </c>
      <c r="F29" s="183" t="s">
        <v>22432</v>
      </c>
      <c r="O29" s="178" t="s">
        <v>22421</v>
      </c>
      <c r="P29" s="191">
        <f>P28+C27</f>
        <v>0</v>
      </c>
      <c r="Q29" s="189"/>
      <c r="R29" s="168" t="s">
        <v>22379</v>
      </c>
    </row>
    <row r="30" spans="1:18" ht="14.25" customHeight="1">
      <c r="B30" s="178" t="s">
        <v>22434</v>
      </c>
      <c r="C30" s="191">
        <f>Kalk3_Lastfallkombi!C32*Kalk3_Eingabe!C18*(Kalk3_Eingabe!C18/2+C25/100)*Kalk3_Eingabe!C19</f>
        <v>0</v>
      </c>
      <c r="D30" s="191">
        <f>Kalk3_Lastfallkombi!C20*Kalk3_Eingabe!C24*(Kalk3_Eingabe!C24/2+C25/100)*Kalk3_Eingabe!C19</f>
        <v>0</v>
      </c>
      <c r="E30" s="168" t="s">
        <v>22428</v>
      </c>
      <c r="F30" s="183" t="s">
        <v>22435</v>
      </c>
      <c r="O30" s="178" t="s">
        <v>22423</v>
      </c>
      <c r="P30" s="191">
        <f>Kalk3_Lastfallkombi!C32*Kalk3_Eingabe!C18*Kalk3_Eingabe!C19/(P26/100)</f>
        <v>0</v>
      </c>
      <c r="Q30" s="189"/>
      <c r="R30" s="168" t="s">
        <v>22379</v>
      </c>
    </row>
    <row r="31" spans="1:18" ht="14.25" customHeight="1">
      <c r="B31" s="178" t="s">
        <v>22436</v>
      </c>
      <c r="C31" s="191" t="e">
        <f>Kalk3_Lastfallkombi!C40</f>
        <v>#DIV/0!</v>
      </c>
      <c r="D31" s="191" t="e">
        <f>Kalk3_Lastfallkombi!C28</f>
        <v>#NUM!</v>
      </c>
      <c r="E31" s="168" t="s">
        <v>22379</v>
      </c>
      <c r="F31" s="183" t="s">
        <v>22437</v>
      </c>
      <c r="O31" s="178" t="s">
        <v>22426</v>
      </c>
      <c r="P31" s="191">
        <f>P30+C29</f>
        <v>0</v>
      </c>
      <c r="Q31" s="189"/>
      <c r="R31" s="168" t="s">
        <v>22379</v>
      </c>
    </row>
    <row r="32" spans="1:18" ht="14.25" customHeight="1" thickBot="1">
      <c r="B32" s="178" t="s">
        <v>22438</v>
      </c>
      <c r="C32" s="191" t="e">
        <f>C31*(Kalk3_Eingabe!C18+C25/100)</f>
        <v>#DIV/0!</v>
      </c>
      <c r="D32" s="191" t="e">
        <f>D31*(Kalk3_Eingabe!C24-0.25+C25/100)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71.612427934756852</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1.3067472169427097</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26.517599999999998</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Kalk3_Lastfallkombi!D31*Kalk3_Eingabe!C19</f>
        <v>0</v>
      </c>
      <c r="D55" s="185">
        <f>Kalk3_Lastfallkombi!D19*Kalk3_Eingabe!C19</f>
        <v>0</v>
      </c>
      <c r="E55" s="168" t="s">
        <v>22469</v>
      </c>
    </row>
    <row r="56" spans="1:7" ht="14.25" customHeight="1">
      <c r="B56" s="178" t="s">
        <v>22470</v>
      </c>
      <c r="C56" s="185">
        <f>C55/100*(Kalk3_Eingabe!C18*100)^4/(30*Kalk3_Sys_80k!C13*Kalk3_Sys_80k!C18)</f>
        <v>0</v>
      </c>
      <c r="D56" s="185">
        <f>D55/100*(Kalk3_Eingabe!C24*100)^4/(30*Kalk3_Sys_80k!C13*Kalk3_Sys_80k!C18)</f>
        <v>0</v>
      </c>
      <c r="E56" s="168" t="s">
        <v>22416</v>
      </c>
    </row>
    <row r="57" spans="1:7" ht="14.25" customHeight="1">
      <c r="B57" s="178" t="s">
        <v>22471</v>
      </c>
      <c r="C57" s="185">
        <f>Kalk3_Lastfallkombi!D32*Kalk3_Eingabe!C19</f>
        <v>0</v>
      </c>
      <c r="D57" s="185">
        <f>Kalk3_Lastfallkombi!D20*Kalk3_Eingabe!C19</f>
        <v>0</v>
      </c>
      <c r="E57" s="168" t="s">
        <v>22469</v>
      </c>
    </row>
    <row r="58" spans="1:7" ht="14.25" customHeight="1">
      <c r="B58" s="178" t="s">
        <v>22472</v>
      </c>
      <c r="C58" s="185">
        <f>C57/100*(Kalk3_Eingabe!C18*100)^4/(8*Kalk3_Sys_80k!C13*Kalk3_Sys_80k!C18)</f>
        <v>0</v>
      </c>
      <c r="D58" s="185">
        <f>D57/100*(Kalk3_Eingabe!C24*100)^4/(8*Kalk3_Sys_80k!C13*Kalk3_Sys_80k!C18)</f>
        <v>0</v>
      </c>
      <c r="E58" s="168" t="s">
        <v>22416</v>
      </c>
      <c r="G58" s="185"/>
    </row>
    <row r="59" spans="1:7" ht="14.25" customHeight="1" thickBot="1">
      <c r="B59" s="178" t="s">
        <v>22473</v>
      </c>
      <c r="C59" s="185">
        <f>IF(Kalk3_Eingabe!C23="1/150",Kalk3_Eingabe!C18*100/150,IF(Kalk3_Eingabe!C23="1/300",Kalk3_Eingabe!C18*100/300))</f>
        <v>0</v>
      </c>
      <c r="D59" s="185">
        <f>IF(Kalk3_Eingabe!C23="1/150",Kalk3_Eingabe!C24*100/150,IF(Kalk3_Eingabe!C23="1/300",Kalk3_Eingabe!C24*100/300))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Kalk3_Lastfallkombi!D31*Kalk3_Eingabe!C19</f>
        <v>0</v>
      </c>
      <c r="D62" s="185">
        <f>Kalk3_Lastfallkombi!D19*Kalk3_Eingabe!C19</f>
        <v>0</v>
      </c>
      <c r="E62" s="168" t="s">
        <v>22469</v>
      </c>
    </row>
    <row r="63" spans="1:7" ht="14.25" customHeight="1">
      <c r="B63" s="178" t="s">
        <v>22470</v>
      </c>
      <c r="C63" s="185">
        <f>C62/100*(Kalk3_Eingabe!C18*100)^4/(30*Kalk3_Sys_80k!C13*Kalk3_Sys_80k!C18)</f>
        <v>0</v>
      </c>
      <c r="D63" s="185">
        <f>D62/100*(Kalk3_Eingabe!C24*100)^4/(30*Kalk3_Sys_80k!C13*Kalk3_Sys_80k!C18)</f>
        <v>0</v>
      </c>
      <c r="E63" s="168" t="s">
        <v>22416</v>
      </c>
    </row>
    <row r="64" spans="1:7" ht="14.25" customHeight="1">
      <c r="B64" s="178" t="s">
        <v>22471</v>
      </c>
      <c r="C64" s="185">
        <f>Kalk3_Lastfallkombi!D32*Kalk3_Eingabe!C19</f>
        <v>0</v>
      </c>
      <c r="D64" s="185">
        <f>Kalk3_Lastfallkombi!D20*Kalk3_Eingabe!C19</f>
        <v>0</v>
      </c>
      <c r="E64" s="168" t="s">
        <v>22469</v>
      </c>
    </row>
    <row r="65" spans="2:5" ht="14.25" customHeight="1">
      <c r="B65" s="178" t="s">
        <v>22472</v>
      </c>
      <c r="C65" s="185">
        <f>C64/100*(Kalk3_Eingabe!C18*100)^4/(8*Kalk3_Sys_80k!C13*Kalk3_Sys_80k!C18)</f>
        <v>0</v>
      </c>
      <c r="D65" s="185">
        <f>D64/100*(Kalk3_Eingabe!C24*100)^4/(8*Kalk3_Sys_80k!C13*Kalk3_Sys_80k!C18)</f>
        <v>0</v>
      </c>
      <c r="E65" s="168" t="s">
        <v>22416</v>
      </c>
    </row>
    <row r="66" spans="2:5" ht="14.25" customHeight="1">
      <c r="B66" s="165" t="s">
        <v>22476</v>
      </c>
      <c r="C66" s="185" t="e">
        <f>Kalk3_Lastfallkombi!D40</f>
        <v>#DIV/0!</v>
      </c>
      <c r="D66" s="185" t="e">
        <f>Kalk3_Lastfallkombi!D28</f>
        <v>#NUM!</v>
      </c>
      <c r="E66" s="168" t="s">
        <v>22379</v>
      </c>
    </row>
    <row r="67" spans="2:5" ht="14.25" customHeight="1">
      <c r="B67" s="165" t="s">
        <v>22477</v>
      </c>
      <c r="C67" s="185" t="e">
        <f>C66*(Kalk3_Eingabe!C18*100)^3/(3*Kalk3_Sys_80k!C18*Kalk3_Sys_80k!C13)</f>
        <v>#DIV/0!</v>
      </c>
      <c r="D67" s="185" t="e">
        <f>D66*((Kalk3_Eingabe!C24-0.25)*100)^3/(3*Kalk3_Sys_80k!C18*Kalk3_Sys_80k!C13)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Kalk3_Eingabe!C18*100/150</f>
        <v>0</v>
      </c>
      <c r="D69" s="185">
        <f>Kalk3_Eingabe!C24*100/150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79" priority="10" operator="greaterThan">
      <formula>1</formula>
    </cfRule>
    <cfRule type="dataBar" priority="11">
      <dataBar>
        <cfvo type="num" val="0"/>
        <cfvo type="num" val="0.99"/>
        <color rgb="FF638EC6"/>
      </dataBar>
      <extLst>
        <ext xmlns:x14="http://schemas.microsoft.com/office/spreadsheetml/2009/9/main" uri="{B025F937-C7B1-47D3-B67F-A62EFF666E3E}">
          <x14:id>{680F584E-F2F8-4D5C-8210-47A261AA90E7}</x14:id>
        </ext>
      </extLst>
    </cfRule>
    <cfRule type="dataBar" priority="12">
      <dataBar>
        <cfvo type="num" val="0"/>
        <cfvo type="num" val="1"/>
        <color rgb="FF638EC6"/>
      </dataBar>
      <extLst>
        <ext xmlns:x14="http://schemas.microsoft.com/office/spreadsheetml/2009/9/main" uri="{B025F937-C7B1-47D3-B67F-A62EFF666E3E}">
          <x14:id>{DEAE709D-592F-4B36-8AE8-2A7DDD29997B}</x14:id>
        </ext>
      </extLst>
    </cfRule>
  </conditionalFormatting>
  <conditionalFormatting sqref="C50:C51">
    <cfRule type="cellIs" dxfId="78" priority="7" operator="greaterThan">
      <formula>1</formula>
    </cfRule>
    <cfRule type="dataBar" priority="8">
      <dataBar>
        <cfvo type="num" val="0"/>
        <cfvo type="num" val="0.99"/>
        <color rgb="FF638EC6"/>
      </dataBar>
      <extLst>
        <ext xmlns:x14="http://schemas.microsoft.com/office/spreadsheetml/2009/9/main" uri="{B025F937-C7B1-47D3-B67F-A62EFF666E3E}">
          <x14:id>{9D191B91-AE8B-4D8E-BFF8-2B3EB81242C4}</x14:id>
        </ext>
      </extLst>
    </cfRule>
    <cfRule type="dataBar" priority="9">
      <dataBar>
        <cfvo type="num" val="0"/>
        <cfvo type="num" val="1"/>
        <color rgb="FF638EC6"/>
      </dataBar>
      <extLst>
        <ext xmlns:x14="http://schemas.microsoft.com/office/spreadsheetml/2009/9/main" uri="{B025F937-C7B1-47D3-B67F-A62EFF666E3E}">
          <x14:id>{87069C65-14AA-412A-B727-059CC13C6661}</x14:id>
        </ext>
      </extLst>
    </cfRule>
  </conditionalFormatting>
  <conditionalFormatting sqref="C60">
    <cfRule type="cellIs" dxfId="77" priority="4" operator="greaterThan">
      <formula>1</formula>
    </cfRule>
    <cfRule type="dataBar" priority="5">
      <dataBar>
        <cfvo type="num" val="0"/>
        <cfvo type="num" val="0.99"/>
        <color rgb="FF638EC6"/>
      </dataBar>
      <extLst>
        <ext xmlns:x14="http://schemas.microsoft.com/office/spreadsheetml/2009/9/main" uri="{B025F937-C7B1-47D3-B67F-A62EFF666E3E}">
          <x14:id>{56049F74-E41C-4DE7-B0BF-2C5958F28A15}</x14:id>
        </ext>
      </extLst>
    </cfRule>
    <cfRule type="dataBar" priority="6">
      <dataBar>
        <cfvo type="num" val="0"/>
        <cfvo type="num" val="1"/>
        <color rgb="FF638EC6"/>
      </dataBar>
      <extLst>
        <ext xmlns:x14="http://schemas.microsoft.com/office/spreadsheetml/2009/9/main" uri="{B025F937-C7B1-47D3-B67F-A62EFF666E3E}">
          <x14:id>{AB7A10F6-A140-48FA-851A-18760FDB84D9}</x14:id>
        </ext>
      </extLst>
    </cfRule>
  </conditionalFormatting>
  <conditionalFormatting sqref="C70">
    <cfRule type="cellIs" dxfId="76" priority="1" operator="greaterThan">
      <formula>1</formula>
    </cfRule>
    <cfRule type="dataBar" priority="2">
      <dataBar>
        <cfvo type="num" val="0"/>
        <cfvo type="num" val="0.99"/>
        <color rgb="FF638EC6"/>
      </dataBar>
      <extLst>
        <ext xmlns:x14="http://schemas.microsoft.com/office/spreadsheetml/2009/9/main" uri="{B025F937-C7B1-47D3-B67F-A62EFF666E3E}">
          <x14:id>{EE21AAF1-4BE6-4611-8D83-D672F121AFA0}</x14:id>
        </ext>
      </extLst>
    </cfRule>
    <cfRule type="dataBar" priority="3">
      <dataBar>
        <cfvo type="num" val="0"/>
        <cfvo type="num" val="1"/>
        <color rgb="FF638EC6"/>
      </dataBar>
      <extLst>
        <ext xmlns:x14="http://schemas.microsoft.com/office/spreadsheetml/2009/9/main" uri="{B025F937-C7B1-47D3-B67F-A62EFF666E3E}">
          <x14:id>{7045C8F3-1CBF-4D19-A63A-D878FBA9E419}</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680F584E-F2F8-4D5C-8210-47A261AA90E7}">
            <x14:dataBar minLength="0" maxLength="100">
              <x14:cfvo type="num">
                <xm:f>0</xm:f>
              </x14:cfvo>
              <x14:cfvo type="num">
                <xm:f>0.99</xm:f>
              </x14:cfvo>
              <x14:negativeFillColor rgb="FFFF0000"/>
              <x14:axisColor rgb="FF000000"/>
            </x14:dataBar>
          </x14:cfRule>
          <x14:cfRule type="dataBar" id="{DEAE709D-592F-4B36-8AE8-2A7DDD29997B}">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9D191B91-AE8B-4D8E-BFF8-2B3EB81242C4}">
            <x14:dataBar minLength="0" maxLength="100">
              <x14:cfvo type="num">
                <xm:f>0</xm:f>
              </x14:cfvo>
              <x14:cfvo type="num">
                <xm:f>0.99</xm:f>
              </x14:cfvo>
              <x14:negativeFillColor rgb="FFFF0000"/>
              <x14:axisColor rgb="FF000000"/>
            </x14:dataBar>
          </x14:cfRule>
          <x14:cfRule type="dataBar" id="{87069C65-14AA-412A-B727-059CC13C6661}">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56049F74-E41C-4DE7-B0BF-2C5958F28A15}">
            <x14:dataBar minLength="0" maxLength="100">
              <x14:cfvo type="num">
                <xm:f>0</xm:f>
              </x14:cfvo>
              <x14:cfvo type="num">
                <xm:f>0.99</xm:f>
              </x14:cfvo>
              <x14:negativeFillColor rgb="FFFF0000"/>
              <x14:axisColor rgb="FF000000"/>
            </x14:dataBar>
          </x14:cfRule>
          <x14:cfRule type="dataBar" id="{AB7A10F6-A140-48FA-851A-18760FDB84D9}">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EE21AAF1-4BE6-4611-8D83-D672F121AFA0}">
            <x14:dataBar minLength="0" maxLength="100">
              <x14:cfvo type="num">
                <xm:f>0</xm:f>
              </x14:cfvo>
              <x14:cfvo type="num">
                <xm:f>0.99</xm:f>
              </x14:cfvo>
              <x14:negativeFillColor rgb="FFFF0000"/>
              <x14:axisColor rgb="FF000000"/>
            </x14:dataBar>
          </x14:cfRule>
          <x14:cfRule type="dataBar" id="{7045C8F3-1CBF-4D19-A63A-D878FBA9E419}">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4EFD5-4BD4-4BCA-ABE8-4C3B3CA3D16A}">
  <sheetPr codeName="Tabelle43"/>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14" ht="42" customHeight="1">
      <c r="A1" s="148"/>
      <c r="B1" s="546"/>
      <c r="C1" s="546"/>
      <c r="D1" s="150"/>
      <c r="E1" s="151"/>
      <c r="F1" s="150"/>
      <c r="G1" s="150"/>
      <c r="H1" s="150"/>
      <c r="I1" s="150"/>
    </row>
    <row r="2" spans="1:14" ht="16.5" customHeight="1">
      <c r="A2" s="148"/>
      <c r="B2" s="149"/>
      <c r="C2" s="149"/>
      <c r="D2" s="150"/>
      <c r="E2" s="151"/>
      <c r="F2" s="153" t="s">
        <v>22309</v>
      </c>
      <c r="G2" s="154"/>
      <c r="H2" s="153" t="s">
        <v>22310</v>
      </c>
      <c r="I2" s="154" t="s">
        <v>22311</v>
      </c>
    </row>
    <row r="3" spans="1:14" ht="16.5" customHeight="1">
      <c r="A3" s="148"/>
      <c r="B3" s="155"/>
      <c r="C3" s="148"/>
      <c r="D3" s="150"/>
      <c r="E3" s="151"/>
      <c r="F3" s="156" t="s">
        <v>3225</v>
      </c>
      <c r="G3" s="157">
        <v>44894</v>
      </c>
      <c r="H3" s="156" t="s">
        <v>22312</v>
      </c>
      <c r="I3" s="158" t="s">
        <v>22313</v>
      </c>
    </row>
    <row r="4" spans="1:14" ht="16.5" customHeight="1">
      <c r="A4" s="148"/>
      <c r="B4" s="160" t="s">
        <v>22316</v>
      </c>
      <c r="C4" s="547" t="str">
        <f>Kalk3_Eingabe!C4</f>
        <v>PREFA</v>
      </c>
      <c r="D4" s="547"/>
      <c r="E4" s="548"/>
      <c r="F4" s="150"/>
      <c r="G4" s="150"/>
      <c r="H4" s="151"/>
      <c r="I4" s="148"/>
    </row>
    <row r="5" spans="1:14" ht="16.5" customHeight="1">
      <c r="A5" s="148"/>
      <c r="B5" s="164" t="s">
        <v>22319</v>
      </c>
      <c r="C5" s="549" t="str">
        <f>Kalk3_Eingabe!C5</f>
        <v>Dammblaken 50/150 - H = 1,50 m</v>
      </c>
      <c r="D5" s="549"/>
      <c r="E5" s="550"/>
      <c r="F5" s="150"/>
      <c r="G5" s="150"/>
      <c r="H5" s="151"/>
      <c r="I5" s="148"/>
    </row>
    <row r="6" spans="1:14" ht="16.5" customHeight="1">
      <c r="A6" s="148"/>
      <c r="B6" s="148"/>
      <c r="C6" s="148"/>
      <c r="D6" s="168"/>
      <c r="E6" s="168"/>
      <c r="F6" s="148"/>
      <c r="G6" s="148"/>
      <c r="H6" s="148"/>
      <c r="I6" s="148"/>
    </row>
    <row r="7" spans="1:14" ht="16.5" customHeight="1">
      <c r="A7" s="148"/>
      <c r="B7" s="169" t="s">
        <v>22597</v>
      </c>
      <c r="C7" s="148"/>
      <c r="D7" s="168"/>
      <c r="E7" s="168"/>
      <c r="F7" s="148"/>
      <c r="G7" s="148"/>
      <c r="H7" s="148"/>
      <c r="I7" s="148"/>
    </row>
    <row r="8" spans="1:14" ht="16.5" customHeight="1">
      <c r="A8" s="148"/>
      <c r="B8" s="170" t="s">
        <v>22391</v>
      </c>
      <c r="C8" s="148"/>
      <c r="D8" s="168"/>
      <c r="E8" s="168"/>
      <c r="F8" s="148"/>
      <c r="G8" s="148"/>
      <c r="H8" s="148"/>
      <c r="I8" s="148"/>
    </row>
    <row r="9" spans="1:14" ht="14.25" customHeight="1">
      <c r="A9" s="148"/>
      <c r="B9" s="148"/>
      <c r="C9" s="148"/>
      <c r="D9" s="168"/>
      <c r="E9" s="168"/>
      <c r="F9" s="148"/>
      <c r="G9" s="148"/>
      <c r="H9" s="148"/>
      <c r="I9" s="148"/>
      <c r="N9" s="152">
        <f>1786/86.29</f>
        <v>20.697647467841001</v>
      </c>
    </row>
    <row r="10" spans="1:14" ht="14.25" customHeight="1">
      <c r="A10" s="171" t="s">
        <v>22327</v>
      </c>
      <c r="B10" s="172" t="s">
        <v>22392</v>
      </c>
      <c r="C10" s="148"/>
      <c r="D10" s="168"/>
      <c r="E10" s="168"/>
      <c r="F10" s="148"/>
      <c r="G10" s="148"/>
      <c r="H10" s="148"/>
      <c r="I10" s="148"/>
    </row>
    <row r="11" spans="1:14" ht="14.25" customHeight="1">
      <c r="A11" s="148"/>
      <c r="B11" s="175" t="s">
        <v>22393</v>
      </c>
      <c r="C11" s="187">
        <v>51.41</v>
      </c>
      <c r="D11" s="168" t="s">
        <v>22394</v>
      </c>
      <c r="E11" s="163" t="s">
        <v>22395</v>
      </c>
      <c r="F11" s="177"/>
      <c r="G11" s="148"/>
      <c r="H11" s="148"/>
      <c r="I11" s="148"/>
      <c r="N11" s="152">
        <f>1534.43/86.29</f>
        <v>17.782245914937999</v>
      </c>
    </row>
    <row r="12" spans="1:14" ht="14.25" customHeight="1">
      <c r="A12" s="148"/>
      <c r="B12" s="175" t="s">
        <v>22396</v>
      </c>
      <c r="C12" s="187">
        <v>7.77</v>
      </c>
      <c r="D12" s="151" t="s">
        <v>22394</v>
      </c>
      <c r="E12" s="163" t="s">
        <v>22397</v>
      </c>
      <c r="F12" s="177"/>
      <c r="G12" s="148"/>
      <c r="H12" s="148"/>
      <c r="I12" s="148"/>
    </row>
    <row r="13" spans="1:14" ht="14.25" customHeight="1">
      <c r="A13" s="179"/>
      <c r="B13" s="175" t="s">
        <v>22398</v>
      </c>
      <c r="C13" s="187">
        <v>2073.15</v>
      </c>
      <c r="D13" s="151" t="s">
        <v>22372</v>
      </c>
      <c r="E13" s="163" t="s">
        <v>22399</v>
      </c>
      <c r="F13" s="178"/>
      <c r="G13" s="181"/>
      <c r="H13" s="148"/>
      <c r="I13" s="148"/>
    </row>
    <row r="14" spans="1:14" ht="14.25" customHeight="1">
      <c r="A14" s="148"/>
      <c r="B14" s="162" t="s">
        <v>22400</v>
      </c>
      <c r="C14" s="187">
        <v>223.56</v>
      </c>
      <c r="D14" s="168" t="s">
        <v>22401</v>
      </c>
      <c r="E14" s="183" t="s">
        <v>22402</v>
      </c>
      <c r="F14" s="177"/>
      <c r="G14" s="148"/>
      <c r="H14" s="148"/>
      <c r="I14" s="148"/>
    </row>
    <row r="15" spans="1:14" ht="14.25" customHeight="1">
      <c r="B15" s="162" t="s">
        <v>22403</v>
      </c>
      <c r="C15" s="187">
        <v>309.02</v>
      </c>
      <c r="D15" s="168" t="s">
        <v>22401</v>
      </c>
      <c r="E15" s="183" t="s">
        <v>22404</v>
      </c>
    </row>
    <row r="16" spans="1:14"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20</v>
      </c>
      <c r="D19" s="168" t="s">
        <v>22408</v>
      </c>
      <c r="E19" s="183"/>
    </row>
    <row r="20" spans="1:18" ht="14.25" customHeight="1">
      <c r="B20" s="165" t="s">
        <v>22410</v>
      </c>
      <c r="C20" s="185">
        <v>24.5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Kalk3_Lastfallkombi!C31*Kalk3_Eingabe!C18/2*Kalk3_Eingabe!C19</f>
        <v>0</v>
      </c>
      <c r="D27" s="191">
        <f>Kalk3_Lastfallkombi!C19*Kalk3_Eingabe!C24/2*Kalk3_Eingabe!C19</f>
        <v>0</v>
      </c>
      <c r="E27" s="168" t="s">
        <v>22379</v>
      </c>
      <c r="F27" s="183" t="s">
        <v>22425</v>
      </c>
      <c r="O27" s="188" t="s">
        <v>22414</v>
      </c>
      <c r="P27" s="189"/>
      <c r="Q27" s="189"/>
      <c r="R27" s="190"/>
    </row>
    <row r="28" spans="1:18" ht="14.25" customHeight="1">
      <c r="B28" s="178" t="s">
        <v>22427</v>
      </c>
      <c r="C28" s="191">
        <f>Kalk3_Lastfallkombi!C31*Kalk3_Eingabe!C18/2*(Kalk3_Eingabe!C18/3+Kalk3_Sys_80g!C25/100)*Kalk3_Eingabe!C19</f>
        <v>0</v>
      </c>
      <c r="D28" s="191">
        <f>Kalk3_Lastfallkombi!C19*Kalk3_Eingabe!C24/2*(Kalk3_Eingabe!C24/3+Kalk3_Sys_80g!C25/100)*Kalk3_Eingabe!C19</f>
        <v>0</v>
      </c>
      <c r="E28" s="168" t="s">
        <v>22428</v>
      </c>
      <c r="F28" s="183" t="s">
        <v>22429</v>
      </c>
      <c r="O28" s="178" t="s">
        <v>22418</v>
      </c>
      <c r="P28" s="191">
        <f>(Kalk3_Lastfallkombi!C31*Kalk3_Eingabe!C18/2*(Kalk3_Eingabe!C18/3+Kalk3_Sys_80g!C25/100)*Kalk3_Eingabe!C19)/(P26/100)</f>
        <v>0</v>
      </c>
      <c r="Q28" s="189"/>
      <c r="R28" s="168" t="s">
        <v>22379</v>
      </c>
    </row>
    <row r="29" spans="1:18" ht="14.25" customHeight="1">
      <c r="B29" s="178" t="s">
        <v>22431</v>
      </c>
      <c r="C29" s="191">
        <f>Kalk3_Lastfallkombi!C32*Kalk3_Eingabe!C18*Kalk3_Eingabe!C19</f>
        <v>0</v>
      </c>
      <c r="D29" s="191">
        <f>Kalk3_Lastfallkombi!C20*Kalk3_Eingabe!C24*Kalk3_Eingabe!C19</f>
        <v>0</v>
      </c>
      <c r="E29" s="168" t="s">
        <v>22379</v>
      </c>
      <c r="F29" s="183" t="s">
        <v>22432</v>
      </c>
      <c r="O29" s="178" t="s">
        <v>22421</v>
      </c>
      <c r="P29" s="191">
        <f>P28+C27</f>
        <v>0</v>
      </c>
      <c r="Q29" s="189"/>
      <c r="R29" s="168" t="s">
        <v>22379</v>
      </c>
    </row>
    <row r="30" spans="1:18" ht="14.25" customHeight="1">
      <c r="B30" s="178" t="s">
        <v>22434</v>
      </c>
      <c r="C30" s="191">
        <f>Kalk3_Lastfallkombi!C32*Kalk3_Eingabe!C18*(Kalk3_Eingabe!C18/2+C25/100)*Kalk3_Eingabe!C19</f>
        <v>0</v>
      </c>
      <c r="D30" s="191">
        <f>Kalk3_Lastfallkombi!C20*Kalk3_Eingabe!C24*(Kalk3_Eingabe!C24/2+C25/100)*Kalk3_Eingabe!C19</f>
        <v>0</v>
      </c>
      <c r="E30" s="168" t="s">
        <v>22428</v>
      </c>
      <c r="F30" s="183" t="s">
        <v>22435</v>
      </c>
      <c r="O30" s="178" t="s">
        <v>22423</v>
      </c>
      <c r="P30" s="191">
        <f>Kalk3_Lastfallkombi!C32*Kalk3_Eingabe!C18*Kalk3_Eingabe!C19/(P26/100)</f>
        <v>0</v>
      </c>
      <c r="Q30" s="189"/>
      <c r="R30" s="168" t="s">
        <v>22379</v>
      </c>
    </row>
    <row r="31" spans="1:18" ht="14.25" customHeight="1">
      <c r="B31" s="178" t="s">
        <v>22436</v>
      </c>
      <c r="C31" s="191" t="e">
        <f>Kalk3_Lastfallkombi!C40</f>
        <v>#DIV/0!</v>
      </c>
      <c r="D31" s="191" t="e">
        <f>Kalk3_Lastfallkombi!C28</f>
        <v>#NUM!</v>
      </c>
      <c r="E31" s="168" t="s">
        <v>22379</v>
      </c>
      <c r="F31" s="183" t="s">
        <v>22437</v>
      </c>
      <c r="O31" s="178" t="s">
        <v>22426</v>
      </c>
      <c r="P31" s="191">
        <f>P30+C29</f>
        <v>0</v>
      </c>
      <c r="Q31" s="189"/>
      <c r="R31" s="168" t="s">
        <v>22379</v>
      </c>
    </row>
    <row r="32" spans="1:18" ht="14.25" customHeight="1" thickBot="1">
      <c r="B32" s="178" t="s">
        <v>22438</v>
      </c>
      <c r="C32" s="191" t="e">
        <f>C31*(Kalk3_Eingabe!C18+C25/100)</f>
        <v>#DIV/0!</v>
      </c>
      <c r="D32" s="191" t="e">
        <f>D31*(Kalk3_Eingabe!C24-0.25+C25/100)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81.563847120061666</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1.3822687421721238</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43.81776</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Kalk3_Lastfallkombi!D31*Kalk3_Eingabe!C19</f>
        <v>0</v>
      </c>
      <c r="D55" s="185">
        <f>Kalk3_Lastfallkombi!D19*Kalk3_Eingabe!C19</f>
        <v>0</v>
      </c>
      <c r="E55" s="168" t="s">
        <v>22469</v>
      </c>
    </row>
    <row r="56" spans="1:7" ht="14.25" customHeight="1">
      <c r="B56" s="178" t="s">
        <v>22470</v>
      </c>
      <c r="C56" s="185">
        <f>C55/100*(Kalk3_Eingabe!C18*100)^4/(30*Kalk3_Sys_80g!C13*Kalk3_Sys_80g!C18)</f>
        <v>0</v>
      </c>
      <c r="D56" s="185">
        <f>D55/100*(Kalk3_Eingabe!C24*100)^4/(30*Kalk3_Sys_80g!C13*Kalk3_Sys_80g!C18)</f>
        <v>0</v>
      </c>
      <c r="E56" s="168" t="s">
        <v>22416</v>
      </c>
    </row>
    <row r="57" spans="1:7" ht="14.25" customHeight="1">
      <c r="B57" s="178" t="s">
        <v>22471</v>
      </c>
      <c r="C57" s="185">
        <f>Kalk3_Lastfallkombi!D32*Kalk3_Eingabe!C19</f>
        <v>0</v>
      </c>
      <c r="D57" s="185">
        <f>Kalk3_Lastfallkombi!D20*Kalk3_Eingabe!C19</f>
        <v>0</v>
      </c>
      <c r="E57" s="168" t="s">
        <v>22469</v>
      </c>
    </row>
    <row r="58" spans="1:7" ht="14.25" customHeight="1">
      <c r="B58" s="178" t="s">
        <v>22472</v>
      </c>
      <c r="C58" s="185">
        <f>C57/100*(Kalk3_Eingabe!C18*100)^4/(8*Kalk3_Sys_80g!C13*Kalk3_Sys_80g!C18)</f>
        <v>0</v>
      </c>
      <c r="D58" s="185">
        <f>D57/100*(Kalk3_Eingabe!C24*100)^4/(8*Kalk3_Sys_80g!C13*Kalk3_Sys_80g!C18)</f>
        <v>0</v>
      </c>
      <c r="E58" s="168" t="s">
        <v>22416</v>
      </c>
      <c r="G58" s="185"/>
    </row>
    <row r="59" spans="1:7" ht="14.25" customHeight="1" thickBot="1">
      <c r="B59" s="178" t="s">
        <v>22473</v>
      </c>
      <c r="C59" s="185">
        <f>IF(Kalk3_Eingabe!C23="1/150",Kalk3_Eingabe!C18*100/150,IF(Kalk3_Eingabe!C23="1/300",Kalk3_Eingabe!C18*100/300))</f>
        <v>0</v>
      </c>
      <c r="D59" s="185">
        <f>IF(Kalk3_Eingabe!C23="1/150",Kalk3_Eingabe!C24*100/150,IF(Kalk3_Eingabe!C23="1/300",Kalk3_Eingabe!C24*100/300))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Kalk3_Lastfallkombi!D31*Kalk3_Eingabe!C19</f>
        <v>0</v>
      </c>
      <c r="D62" s="185">
        <f>Kalk3_Lastfallkombi!D19*Kalk3_Eingabe!C19</f>
        <v>0</v>
      </c>
      <c r="E62" s="168" t="s">
        <v>22469</v>
      </c>
    </row>
    <row r="63" spans="1:7" ht="14.25" customHeight="1">
      <c r="B63" s="178" t="s">
        <v>22470</v>
      </c>
      <c r="C63" s="185">
        <f>C62/100*(Kalk3_Eingabe!C18*100)^4/(30*Kalk3_Sys_80g!C13*Kalk3_Sys_80g!C18)</f>
        <v>0</v>
      </c>
      <c r="D63" s="185">
        <f>D62/100*(Kalk3_Eingabe!C24*100)^4/(30*Kalk3_Sys_80g!C13*Kalk3_Sys_80g!C18)</f>
        <v>0</v>
      </c>
      <c r="E63" s="168" t="s">
        <v>22416</v>
      </c>
    </row>
    <row r="64" spans="1:7" ht="14.25" customHeight="1">
      <c r="B64" s="178" t="s">
        <v>22471</v>
      </c>
      <c r="C64" s="185">
        <f>Kalk3_Lastfallkombi!D32*Kalk3_Eingabe!C19</f>
        <v>0</v>
      </c>
      <c r="D64" s="185">
        <f>Kalk3_Lastfallkombi!D20*Kalk3_Eingabe!C19</f>
        <v>0</v>
      </c>
      <c r="E64" s="168" t="s">
        <v>22469</v>
      </c>
    </row>
    <row r="65" spans="2:5" ht="14.25" customHeight="1">
      <c r="B65" s="178" t="s">
        <v>22472</v>
      </c>
      <c r="C65" s="185">
        <f>C64/100*(Kalk3_Eingabe!C18*100)^4/(8*Kalk3_Sys_80g!C13*Kalk3_Sys_80g!C18)</f>
        <v>0</v>
      </c>
      <c r="D65" s="185">
        <f>D64/100*(Kalk3_Eingabe!C24*100)^4/(8*Kalk3_Sys_80g!C13*Kalk3_Sys_80g!C18)</f>
        <v>0</v>
      </c>
      <c r="E65" s="168" t="s">
        <v>22416</v>
      </c>
    </row>
    <row r="66" spans="2:5" ht="14.25" customHeight="1">
      <c r="B66" s="165" t="s">
        <v>22476</v>
      </c>
      <c r="C66" s="185" t="e">
        <f>Kalk3_Lastfallkombi!D40</f>
        <v>#DIV/0!</v>
      </c>
      <c r="D66" s="185" t="e">
        <f>Kalk3_Lastfallkombi!D28</f>
        <v>#NUM!</v>
      </c>
      <c r="E66" s="168" t="s">
        <v>22379</v>
      </c>
    </row>
    <row r="67" spans="2:5" ht="14.25" customHeight="1">
      <c r="B67" s="165" t="s">
        <v>22477</v>
      </c>
      <c r="C67" s="185" t="e">
        <f>C66*(Kalk3_Eingabe!C18*100)^3/(3*Kalk3_Sys_80g!C18*Kalk3_Sys_80g!C13)</f>
        <v>#DIV/0!</v>
      </c>
      <c r="D67" s="185" t="e">
        <f>D66*((Kalk3_Eingabe!C24-0.25)*100)^3/(3*Kalk3_Sys_80g!C18*Kalk3_Sys_80g!C13)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Kalk3_Eingabe!C18*100/150</f>
        <v>0</v>
      </c>
      <c r="D69" s="185">
        <f>Kalk3_Eingabe!C24*100/150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75" priority="10" operator="greaterThan">
      <formula>1</formula>
    </cfRule>
    <cfRule type="dataBar" priority="11">
      <dataBar>
        <cfvo type="num" val="0"/>
        <cfvo type="num" val="0.99"/>
        <color rgb="FF638EC6"/>
      </dataBar>
      <extLst>
        <ext xmlns:x14="http://schemas.microsoft.com/office/spreadsheetml/2009/9/main" uri="{B025F937-C7B1-47D3-B67F-A62EFF666E3E}">
          <x14:id>{FEC585AE-0BBE-4122-9209-206AA50883E0}</x14:id>
        </ext>
      </extLst>
    </cfRule>
    <cfRule type="dataBar" priority="12">
      <dataBar>
        <cfvo type="num" val="0"/>
        <cfvo type="num" val="1"/>
        <color rgb="FF638EC6"/>
      </dataBar>
      <extLst>
        <ext xmlns:x14="http://schemas.microsoft.com/office/spreadsheetml/2009/9/main" uri="{B025F937-C7B1-47D3-B67F-A62EFF666E3E}">
          <x14:id>{0EDF9AD6-E46C-4CEC-BCDA-0F3E2308D088}</x14:id>
        </ext>
      </extLst>
    </cfRule>
  </conditionalFormatting>
  <conditionalFormatting sqref="C50:C51">
    <cfRule type="cellIs" dxfId="74" priority="7" operator="greaterThan">
      <formula>1</formula>
    </cfRule>
    <cfRule type="dataBar" priority="8">
      <dataBar>
        <cfvo type="num" val="0"/>
        <cfvo type="num" val="0.99"/>
        <color rgb="FF638EC6"/>
      </dataBar>
      <extLst>
        <ext xmlns:x14="http://schemas.microsoft.com/office/spreadsheetml/2009/9/main" uri="{B025F937-C7B1-47D3-B67F-A62EFF666E3E}">
          <x14:id>{79DC4623-F1D4-43E5-B7F3-D05323A7AD4C}</x14:id>
        </ext>
      </extLst>
    </cfRule>
    <cfRule type="dataBar" priority="9">
      <dataBar>
        <cfvo type="num" val="0"/>
        <cfvo type="num" val="1"/>
        <color rgb="FF638EC6"/>
      </dataBar>
      <extLst>
        <ext xmlns:x14="http://schemas.microsoft.com/office/spreadsheetml/2009/9/main" uri="{B025F937-C7B1-47D3-B67F-A62EFF666E3E}">
          <x14:id>{836C3752-6664-4B75-995E-86E6460B71B8}</x14:id>
        </ext>
      </extLst>
    </cfRule>
  </conditionalFormatting>
  <conditionalFormatting sqref="C60">
    <cfRule type="cellIs" dxfId="73" priority="4" operator="greaterThan">
      <formula>1</formula>
    </cfRule>
    <cfRule type="dataBar" priority="5">
      <dataBar>
        <cfvo type="num" val="0"/>
        <cfvo type="num" val="0.99"/>
        <color rgb="FF638EC6"/>
      </dataBar>
      <extLst>
        <ext xmlns:x14="http://schemas.microsoft.com/office/spreadsheetml/2009/9/main" uri="{B025F937-C7B1-47D3-B67F-A62EFF666E3E}">
          <x14:id>{4F0ED2E1-4859-4747-836D-E3C37805F71E}</x14:id>
        </ext>
      </extLst>
    </cfRule>
    <cfRule type="dataBar" priority="6">
      <dataBar>
        <cfvo type="num" val="0"/>
        <cfvo type="num" val="1"/>
        <color rgb="FF638EC6"/>
      </dataBar>
      <extLst>
        <ext xmlns:x14="http://schemas.microsoft.com/office/spreadsheetml/2009/9/main" uri="{B025F937-C7B1-47D3-B67F-A62EFF666E3E}">
          <x14:id>{9ED1BD4F-3D49-410F-B16C-7050A1F66EE5}</x14:id>
        </ext>
      </extLst>
    </cfRule>
  </conditionalFormatting>
  <conditionalFormatting sqref="C70">
    <cfRule type="cellIs" dxfId="72" priority="1" operator="greaterThan">
      <formula>1</formula>
    </cfRule>
    <cfRule type="dataBar" priority="2">
      <dataBar>
        <cfvo type="num" val="0"/>
        <cfvo type="num" val="0.99"/>
        <color rgb="FF638EC6"/>
      </dataBar>
      <extLst>
        <ext xmlns:x14="http://schemas.microsoft.com/office/spreadsheetml/2009/9/main" uri="{B025F937-C7B1-47D3-B67F-A62EFF666E3E}">
          <x14:id>{E4F53CAD-5E3F-4D53-AC00-21434AF47154}</x14:id>
        </ext>
      </extLst>
    </cfRule>
    <cfRule type="dataBar" priority="3">
      <dataBar>
        <cfvo type="num" val="0"/>
        <cfvo type="num" val="1"/>
        <color rgb="FF638EC6"/>
      </dataBar>
      <extLst>
        <ext xmlns:x14="http://schemas.microsoft.com/office/spreadsheetml/2009/9/main" uri="{B025F937-C7B1-47D3-B67F-A62EFF666E3E}">
          <x14:id>{CC6A7CD5-F6C6-476A-BDF1-A3FA01CCEBC0}</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FEC585AE-0BBE-4122-9209-206AA50883E0}">
            <x14:dataBar minLength="0" maxLength="100">
              <x14:cfvo type="num">
                <xm:f>0</xm:f>
              </x14:cfvo>
              <x14:cfvo type="num">
                <xm:f>0.99</xm:f>
              </x14:cfvo>
              <x14:negativeFillColor rgb="FFFF0000"/>
              <x14:axisColor rgb="FF000000"/>
            </x14:dataBar>
          </x14:cfRule>
          <x14:cfRule type="dataBar" id="{0EDF9AD6-E46C-4CEC-BCDA-0F3E2308D088}">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79DC4623-F1D4-43E5-B7F3-D05323A7AD4C}">
            <x14:dataBar minLength="0" maxLength="100">
              <x14:cfvo type="num">
                <xm:f>0</xm:f>
              </x14:cfvo>
              <x14:cfvo type="num">
                <xm:f>0.99</xm:f>
              </x14:cfvo>
              <x14:negativeFillColor rgb="FFFF0000"/>
              <x14:axisColor rgb="FF000000"/>
            </x14:dataBar>
          </x14:cfRule>
          <x14:cfRule type="dataBar" id="{836C3752-6664-4B75-995E-86E6460B71B8}">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4F0ED2E1-4859-4747-836D-E3C37805F71E}">
            <x14:dataBar minLength="0" maxLength="100">
              <x14:cfvo type="num">
                <xm:f>0</xm:f>
              </x14:cfvo>
              <x14:cfvo type="num">
                <xm:f>0.99</xm:f>
              </x14:cfvo>
              <x14:negativeFillColor rgb="FFFF0000"/>
              <x14:axisColor rgb="FF000000"/>
            </x14:dataBar>
          </x14:cfRule>
          <x14:cfRule type="dataBar" id="{9ED1BD4F-3D49-410F-B16C-7050A1F66EE5}">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E4F53CAD-5E3F-4D53-AC00-21434AF47154}">
            <x14:dataBar minLength="0" maxLength="100">
              <x14:cfvo type="num">
                <xm:f>0</xm:f>
              </x14:cfvo>
              <x14:cfvo type="num">
                <xm:f>0.99</xm:f>
              </x14:cfvo>
              <x14:negativeFillColor rgb="FFFF0000"/>
              <x14:axisColor rgb="FF000000"/>
            </x14:dataBar>
          </x14:cfRule>
          <x14:cfRule type="dataBar" id="{CC6A7CD5-F6C6-476A-BDF1-A3FA01CCEBC0}">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BAB88-A8C6-4E2C-9CF5-CB4B1DF9AEA1}">
  <sheetPr codeName="Tabelle44">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Kalk3_Eingabe!C4</f>
        <v>PREFA</v>
      </c>
      <c r="D4" s="547"/>
      <c r="E4" s="548"/>
      <c r="F4" s="150"/>
      <c r="G4" s="150"/>
      <c r="H4" s="151"/>
      <c r="I4" s="148"/>
    </row>
    <row r="5" spans="1:11" ht="16.5" customHeight="1">
      <c r="A5" s="148"/>
      <c r="B5" s="164" t="s">
        <v>22319</v>
      </c>
      <c r="C5" s="549" t="str">
        <f>Kalk3_Eingabe!C5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22606</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0.79</v>
      </c>
      <c r="D11" s="151" t="s">
        <v>22394</v>
      </c>
      <c r="E11" s="163" t="s">
        <v>22397</v>
      </c>
      <c r="F11" s="177"/>
      <c r="G11" s="148"/>
      <c r="H11" s="148"/>
      <c r="I11" s="148"/>
    </row>
    <row r="12" spans="1:11" ht="14.25" customHeight="1">
      <c r="A12" s="179"/>
      <c r="B12" s="175" t="s">
        <v>22398</v>
      </c>
      <c r="C12" s="187">
        <v>11.84</v>
      </c>
      <c r="D12" s="151" t="s">
        <v>22372</v>
      </c>
      <c r="E12" s="163" t="s">
        <v>22399</v>
      </c>
      <c r="F12" s="178"/>
      <c r="G12" s="181"/>
      <c r="H12" s="148"/>
      <c r="I12" s="148"/>
    </row>
    <row r="13" spans="1:11" ht="14.25" customHeight="1">
      <c r="A13" s="148"/>
      <c r="B13" s="162" t="s">
        <v>22400</v>
      </c>
      <c r="C13" s="187">
        <v>9.89</v>
      </c>
      <c r="D13" s="168" t="s">
        <v>22401</v>
      </c>
      <c r="E13" s="183" t="s">
        <v>22402</v>
      </c>
      <c r="F13" s="177"/>
      <c r="G13" s="148"/>
      <c r="H13" s="148"/>
      <c r="I13" s="148"/>
    </row>
    <row r="14" spans="1:11" ht="14.25" customHeight="1">
      <c r="B14" s="162" t="s">
        <v>22502</v>
      </c>
      <c r="C14" s="187">
        <v>8.1199999999999992</v>
      </c>
      <c r="D14" s="168" t="s">
        <v>22401</v>
      </c>
      <c r="E14" s="183" t="s">
        <v>22503</v>
      </c>
      <c r="H14" s="152" t="s">
        <v>24944</v>
      </c>
    </row>
    <row r="15" spans="1:11" ht="14.25" customHeight="1">
      <c r="B15" s="165" t="s">
        <v>22504</v>
      </c>
      <c r="C15" s="185">
        <f>ROUNDUP((Kalk3_Eingabe!C18+Kalk3_Eingabe!C20)/0.202,0)</f>
        <v>0</v>
      </c>
      <c r="D15" s="168" t="s">
        <v>20892</v>
      </c>
      <c r="E15" s="183" t="s">
        <v>22484</v>
      </c>
      <c r="H15" s="165" t="s">
        <v>22504</v>
      </c>
      <c r="I15" s="185">
        <f>ROUNDUP((Kalk3_Eingabe!C18+Kalk3_Eingabe!C20)/0.202,0)</f>
        <v>0</v>
      </c>
      <c r="J15" s="168" t="s">
        <v>20892</v>
      </c>
      <c r="K15" s="183" t="s">
        <v>22484</v>
      </c>
    </row>
    <row r="16" spans="1:11" ht="14.25" customHeight="1">
      <c r="B16" s="165" t="s">
        <v>22607</v>
      </c>
      <c r="C16" s="185">
        <f>(17+Kalk3!H29+10)/1000</f>
        <v>2.7E-2</v>
      </c>
      <c r="D16" s="168" t="s">
        <v>6945</v>
      </c>
      <c r="E16" s="183" t="s">
        <v>22352</v>
      </c>
      <c r="H16" s="165" t="s">
        <v>22607</v>
      </c>
      <c r="I16" s="185">
        <f>(17+C15*202+10)/1000</f>
        <v>2.7E-2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22610</v>
      </c>
    </row>
    <row r="27" spans="1:8" ht="14.25" customHeight="1" thickBot="1">
      <c r="B27" s="193" t="s">
        <v>22486</v>
      </c>
      <c r="C27" s="194" t="e">
        <f>MAX(Kalk3_Lastfallkombi!C50,Kalk3_Lastfallkombi!C60,Kalk3_Lastfallkombi!C65,Kalk3_Lastfallkombi!C69)</f>
        <v>#DIV/0!</v>
      </c>
      <c r="D27" s="190" t="s">
        <v>22379</v>
      </c>
      <c r="E27" s="183" t="s">
        <v>22487</v>
      </c>
    </row>
    <row r="28" spans="1:8" ht="14.25" customHeight="1" thickBot="1">
      <c r="B28" s="193" t="s">
        <v>22488</v>
      </c>
      <c r="C28" s="194" t="e">
        <f>MAX(Kalk3_Lastfallkombi!C51,Kalk3_Lastfallkombi!C61,Kalk3_Lastfallkombi!C66,Kalk3_Lastfallkombi!C70)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8.2928493210873526</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0.82103134479271977</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1.5915199999999998</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Kalk3_Lastfallkombi!D24*Kalk3_Lastfallkombi!C15/100</f>
        <v>-0.1512</v>
      </c>
      <c r="D45" s="168" t="s">
        <v>22469</v>
      </c>
    </row>
    <row r="46" spans="1:4" ht="14.25" customHeight="1">
      <c r="B46" s="178" t="s">
        <v>22492</v>
      </c>
      <c r="C46" s="185">
        <f>5*C45/100*(Kalk3_Eingabe!C19*100-5)^4/(384*'Kalk3_DB_25-200'!C19*'Kalk3_DB_25-200'!C12)</f>
        <v>-1.4846389358108107E-7</v>
      </c>
      <c r="D46" s="168" t="s">
        <v>22416</v>
      </c>
    </row>
    <row r="47" spans="1:4" ht="14.25" customHeight="1" thickBot="1">
      <c r="B47" s="178" t="s">
        <v>22473</v>
      </c>
      <c r="C47" s="185">
        <f>(Kalk3_Eingabe!C19*100-5)/Haftungsausschluß!L34</f>
        <v>-3.3333333333333333E-2</v>
      </c>
      <c r="D47" s="168" t="s">
        <v>22416</v>
      </c>
    </row>
    <row r="48" spans="1:4" ht="14.25" customHeight="1" thickBot="1">
      <c r="B48" s="193" t="s">
        <v>22474</v>
      </c>
      <c r="C48" s="196">
        <f>C46/C47</f>
        <v>4.4539168074324327E-6</v>
      </c>
    </row>
    <row r="49" spans="2:5" ht="14.25" customHeight="1">
      <c r="B49" s="200" t="s">
        <v>22493</v>
      </c>
      <c r="C49" s="199" t="s">
        <v>22422</v>
      </c>
      <c r="D49" s="199" t="s">
        <v>21191</v>
      </c>
    </row>
    <row r="50" spans="2:5" ht="14.25" customHeight="1">
      <c r="B50" s="178" t="s">
        <v>22494</v>
      </c>
      <c r="C50" s="185" t="e">
        <f>Kalk3_Lastfallkombi!D38*Kalk3_Lastfallkombi!C14/100</f>
        <v>#DIV/0!</v>
      </c>
      <c r="D50" s="185">
        <f>Kalk3_Lastfallkombi!D26*Kalk3_Lastfallkombi!C14/100</f>
        <v>-0.14399999999999999</v>
      </c>
      <c r="E50" s="168" t="s">
        <v>22469</v>
      </c>
    </row>
    <row r="51" spans="2:5" ht="14.25" customHeight="1">
      <c r="B51" s="178" t="s">
        <v>22495</v>
      </c>
      <c r="C51" s="185" t="e">
        <f>5*C50/100*(Kalk3_Eingabe!C19*100-5)^4/(384*'Kalk3_DB_25-200'!C19*'Kalk3_DB_25-200'!C12)</f>
        <v>#DIV/0!</v>
      </c>
      <c r="D51" s="185">
        <f>5*D50/100*(Kalk3_Eingabe!C19*100-5)^4/(384*'Kalk3_DB_25-200'!C19*'Kalk3_DB_25-200'!C12)</f>
        <v>-1.4139418436293436E-7</v>
      </c>
      <c r="E51" s="168" t="s">
        <v>22416</v>
      </c>
    </row>
    <row r="52" spans="2:5" ht="14.25" customHeight="1">
      <c r="B52" s="165" t="s">
        <v>22496</v>
      </c>
      <c r="C52" s="185" t="e">
        <f>Kalk3_Lastfallkombi!D44</f>
        <v>#DIV/0!</v>
      </c>
      <c r="D52" s="185" t="e">
        <f>Kalk3_Lastfallkombi!D54</f>
        <v>#NUM!</v>
      </c>
      <c r="E52" s="168" t="s">
        <v>22469</v>
      </c>
    </row>
    <row r="53" spans="2:5" ht="14.25" customHeight="1">
      <c r="B53" s="165" t="s">
        <v>22497</v>
      </c>
      <c r="C53" s="185">
        <f>(Kalk3_Eingabe!C19-0.5-0.05)/2</f>
        <v>-0.27500000000000002</v>
      </c>
      <c r="D53" s="185">
        <f>C53</f>
        <v>-0.27500000000000002</v>
      </c>
      <c r="E53" s="168" t="s">
        <v>6945</v>
      </c>
    </row>
    <row r="54" spans="2:5" ht="14.25" customHeight="1">
      <c r="B54" s="165" t="s">
        <v>22498</v>
      </c>
      <c r="C54" s="185" t="e">
        <f>C52/100*(Kalk3_Eingabe!C19*100-5)^4/(384*'Kalk3_DB_25-200'!C19*'Kalk3_DB_25-200'!C12)*(5-24*('Kalk3_DB_25-200'!C53*100)^2/(Kalk3_Eingabe!C19*100-5)^2+16*('Kalk3_DB_25-200'!C53*100)^4/(Kalk3_Eingabe!C19*100-5)^4)</f>
        <v>#DIV/0!</v>
      </c>
      <c r="D54" s="185" t="e">
        <f>D52/100*(Kalk3_Eingabe!C19*100-5)^4/(384*'Kalk3_DB_25-200'!C19*'Kalk3_DB_25-200'!C12)*(5-24*('Kalk3_DB_25-200'!C53*100)^2/(Kalk3_Eingabe!C19*100-5)^2+16*('Kalk3_DB_25-200'!C53*100)^4/(Kalk3_Eingabe!C19*100-5)^4)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(Kalk3_Eingabe!C19*100-5)/150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71" priority="10" operator="greaterThan">
      <formula>1</formula>
    </cfRule>
    <cfRule type="dataBar" priority="11">
      <dataBar>
        <cfvo type="num" val="0"/>
        <cfvo type="num" val="0.99"/>
        <color rgb="FF638EC6"/>
      </dataBar>
      <extLst>
        <ext xmlns:x14="http://schemas.microsoft.com/office/spreadsheetml/2009/9/main" uri="{B025F937-C7B1-47D3-B67F-A62EFF666E3E}">
          <x14:id>{904F40F4-E016-4941-A172-14BC5938145F}</x14:id>
        </ext>
      </extLst>
    </cfRule>
    <cfRule type="dataBar" priority="12">
      <dataBar>
        <cfvo type="num" val="0"/>
        <cfvo type="num" val="1"/>
        <color rgb="FF638EC6"/>
      </dataBar>
      <extLst>
        <ext xmlns:x14="http://schemas.microsoft.com/office/spreadsheetml/2009/9/main" uri="{B025F937-C7B1-47D3-B67F-A62EFF666E3E}">
          <x14:id>{3237D832-F5C6-4AE4-8FA6-546F9EB9D444}</x14:id>
        </ext>
      </extLst>
    </cfRule>
  </conditionalFormatting>
  <conditionalFormatting sqref="C41">
    <cfRule type="cellIs" dxfId="70" priority="7" operator="greaterThan">
      <formula>1</formula>
    </cfRule>
    <cfRule type="dataBar" priority="8">
      <dataBar>
        <cfvo type="num" val="0"/>
        <cfvo type="num" val="0.99"/>
        <color rgb="FF638EC6"/>
      </dataBar>
      <extLst>
        <ext xmlns:x14="http://schemas.microsoft.com/office/spreadsheetml/2009/9/main" uri="{B025F937-C7B1-47D3-B67F-A62EFF666E3E}">
          <x14:id>{D567C35B-B67F-4598-8524-7A17FBEEA38E}</x14:id>
        </ext>
      </extLst>
    </cfRule>
    <cfRule type="dataBar" priority="9">
      <dataBar>
        <cfvo type="num" val="0"/>
        <cfvo type="num" val="1"/>
        <color rgb="FF638EC6"/>
      </dataBar>
      <extLst>
        <ext xmlns:x14="http://schemas.microsoft.com/office/spreadsheetml/2009/9/main" uri="{B025F937-C7B1-47D3-B67F-A62EFF666E3E}">
          <x14:id>{9F21B3DC-FF7F-4AAB-8327-D2C0D0BDBB80}</x14:id>
        </ext>
      </extLst>
    </cfRule>
  </conditionalFormatting>
  <conditionalFormatting sqref="C48">
    <cfRule type="cellIs" dxfId="69" priority="4" operator="greaterThan">
      <formula>1</formula>
    </cfRule>
    <cfRule type="dataBar" priority="5">
      <dataBar>
        <cfvo type="num" val="0"/>
        <cfvo type="num" val="0.99"/>
        <color rgb="FF638EC6"/>
      </dataBar>
      <extLst>
        <ext xmlns:x14="http://schemas.microsoft.com/office/spreadsheetml/2009/9/main" uri="{B025F937-C7B1-47D3-B67F-A62EFF666E3E}">
          <x14:id>{2FC9FED8-E49C-471F-9835-144C463FD201}</x14:id>
        </ext>
      </extLst>
    </cfRule>
    <cfRule type="dataBar" priority="6">
      <dataBar>
        <cfvo type="num" val="0"/>
        <cfvo type="num" val="1"/>
        <color rgb="FF638EC6"/>
      </dataBar>
      <extLst>
        <ext xmlns:x14="http://schemas.microsoft.com/office/spreadsheetml/2009/9/main" uri="{B025F937-C7B1-47D3-B67F-A62EFF666E3E}">
          <x14:id>{15591AB3-578F-44EF-A13D-2E8FC1A81A17}</x14:id>
        </ext>
      </extLst>
    </cfRule>
  </conditionalFormatting>
  <conditionalFormatting sqref="C57">
    <cfRule type="cellIs" dxfId="68" priority="1" operator="greaterThan">
      <formula>1</formula>
    </cfRule>
    <cfRule type="dataBar" priority="2">
      <dataBar>
        <cfvo type="num" val="0"/>
        <cfvo type="num" val="0.99"/>
        <color rgb="FF638EC6"/>
      </dataBar>
      <extLst>
        <ext xmlns:x14="http://schemas.microsoft.com/office/spreadsheetml/2009/9/main" uri="{B025F937-C7B1-47D3-B67F-A62EFF666E3E}">
          <x14:id>{76B3A48E-1F26-4285-B4C6-E6E893D17349}</x14:id>
        </ext>
      </extLst>
    </cfRule>
    <cfRule type="dataBar" priority="3">
      <dataBar>
        <cfvo type="num" val="0"/>
        <cfvo type="num" val="1"/>
        <color rgb="FF638EC6"/>
      </dataBar>
      <extLst>
        <ext xmlns:x14="http://schemas.microsoft.com/office/spreadsheetml/2009/9/main" uri="{B025F937-C7B1-47D3-B67F-A62EFF666E3E}">
          <x14:id>{E7751207-50DE-4643-B7CD-277ACE4CA5E7}</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904F40F4-E016-4941-A172-14BC5938145F}">
            <x14:dataBar minLength="0" maxLength="100">
              <x14:cfvo type="num">
                <xm:f>0</xm:f>
              </x14:cfvo>
              <x14:cfvo type="num">
                <xm:f>0.99</xm:f>
              </x14:cfvo>
              <x14:negativeFillColor rgb="FFFF0000"/>
              <x14:axisColor rgb="FF000000"/>
            </x14:dataBar>
          </x14:cfRule>
          <x14:cfRule type="dataBar" id="{3237D832-F5C6-4AE4-8FA6-546F9EB9D444}">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D567C35B-B67F-4598-8524-7A17FBEEA38E}">
            <x14:dataBar minLength="0" maxLength="100">
              <x14:cfvo type="num">
                <xm:f>0</xm:f>
              </x14:cfvo>
              <x14:cfvo type="num">
                <xm:f>0.99</xm:f>
              </x14:cfvo>
              <x14:negativeFillColor rgb="FFFF0000"/>
              <x14:axisColor rgb="FF000000"/>
            </x14:dataBar>
          </x14:cfRule>
          <x14:cfRule type="dataBar" id="{9F21B3DC-FF7F-4AAB-8327-D2C0D0BDBB80}">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2FC9FED8-E49C-471F-9835-144C463FD201}">
            <x14:dataBar minLength="0" maxLength="100">
              <x14:cfvo type="num">
                <xm:f>0</xm:f>
              </x14:cfvo>
              <x14:cfvo type="num">
                <xm:f>0.99</xm:f>
              </x14:cfvo>
              <x14:negativeFillColor rgb="FFFF0000"/>
              <x14:axisColor rgb="FF000000"/>
            </x14:dataBar>
          </x14:cfRule>
          <x14:cfRule type="dataBar" id="{15591AB3-578F-44EF-A13D-2E8FC1A81A17}">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76B3A48E-1F26-4285-B4C6-E6E893D17349}">
            <x14:dataBar minLength="0" maxLength="100">
              <x14:cfvo type="num">
                <xm:f>0</xm:f>
              </x14:cfvo>
              <x14:cfvo type="num">
                <xm:f>0.99</xm:f>
              </x14:cfvo>
              <x14:negativeFillColor rgb="FFFF0000"/>
              <x14:axisColor rgb="FF000000"/>
            </x14:dataBar>
          </x14:cfRule>
          <x14:cfRule type="dataBar" id="{E7751207-50DE-4643-B7CD-277ACE4CA5E7}">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8FF4F-9CEB-43EF-B99E-A33E5A501E0F}">
  <sheetPr codeName="Tabelle45">
    <pageSetUpPr fitToPage="1"/>
  </sheetPr>
  <dimension ref="A1:K57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Kalk3_Eingabe!C4</f>
        <v>PREFA</v>
      </c>
      <c r="D4" s="547"/>
      <c r="E4" s="548"/>
      <c r="F4" s="150"/>
      <c r="G4" s="150"/>
      <c r="H4" s="151"/>
      <c r="I4" s="148"/>
    </row>
    <row r="5" spans="1:11" ht="16.5" customHeight="1">
      <c r="A5" s="148"/>
      <c r="B5" s="164" t="s">
        <v>22319</v>
      </c>
      <c r="C5" s="549" t="str">
        <f>Kalk3_Eingabe!C5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22481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3.13</v>
      </c>
      <c r="D11" s="151" t="s">
        <v>22394</v>
      </c>
      <c r="E11" s="163" t="s">
        <v>22397</v>
      </c>
      <c r="F11" s="177"/>
      <c r="G11" s="148"/>
      <c r="H11" s="148"/>
      <c r="I11" s="148"/>
    </row>
    <row r="12" spans="1:11" ht="14.25" customHeight="1">
      <c r="A12" s="179"/>
      <c r="B12" s="175" t="s">
        <v>22398</v>
      </c>
      <c r="C12" s="187">
        <v>82.62</v>
      </c>
      <c r="D12" s="151" t="s">
        <v>22372</v>
      </c>
      <c r="E12" s="163" t="s">
        <v>22399</v>
      </c>
      <c r="F12" s="178"/>
      <c r="G12" s="181"/>
      <c r="H12" s="148"/>
      <c r="I12" s="148"/>
    </row>
    <row r="13" spans="1:11" ht="14.25" customHeight="1">
      <c r="A13" s="148"/>
      <c r="B13" s="162" t="s">
        <v>22400</v>
      </c>
      <c r="C13" s="187">
        <v>33.049999999999997</v>
      </c>
      <c r="D13" s="168" t="s">
        <v>22401</v>
      </c>
      <c r="E13" s="183" t="s">
        <v>22402</v>
      </c>
      <c r="F13" s="177"/>
      <c r="G13" s="148"/>
      <c r="H13" s="148"/>
      <c r="I13" s="148"/>
    </row>
    <row r="14" spans="1:11" ht="14.25" customHeight="1">
      <c r="B14" s="162" t="s">
        <v>22403</v>
      </c>
      <c r="C14" s="187">
        <v>39.35</v>
      </c>
      <c r="D14" s="168" t="s">
        <v>22401</v>
      </c>
      <c r="E14" s="183" t="s">
        <v>22404</v>
      </c>
      <c r="H14" s="152" t="s">
        <v>24944</v>
      </c>
    </row>
    <row r="15" spans="1:11" ht="14.25" customHeight="1">
      <c r="B15" s="165" t="s">
        <v>22483</v>
      </c>
      <c r="C15" s="185">
        <f>ROUNDUP((Kalk3_Eingabe!C18+Kalk3_Eingabe!C20)/0.15,0)</f>
        <v>0</v>
      </c>
      <c r="D15" s="168" t="s">
        <v>20892</v>
      </c>
      <c r="E15" s="183" t="s">
        <v>22484</v>
      </c>
      <c r="H15" s="165" t="s">
        <v>22483</v>
      </c>
      <c r="I15" s="185">
        <f>ROUNDUP((Kalk3_Eingabe!C18+Kalk3_Eingabe!C20)/0.15,0)</f>
        <v>0</v>
      </c>
      <c r="J15" s="168" t="s">
        <v>20892</v>
      </c>
      <c r="K15" s="183" t="s">
        <v>22484</v>
      </c>
    </row>
    <row r="16" spans="1:11" ht="14.25" customHeight="1">
      <c r="B16" s="165" t="s">
        <v>22598</v>
      </c>
      <c r="C16" s="185">
        <f>(15+Kalk3!H29+10)/1000</f>
        <v>2.5000000000000001E-2</v>
      </c>
      <c r="D16" s="168" t="s">
        <v>6945</v>
      </c>
      <c r="E16" s="183" t="s">
        <v>22352</v>
      </c>
      <c r="H16" s="165" t="s">
        <v>22598</v>
      </c>
      <c r="I16" s="185">
        <f>(15+C15*150+10)/1000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MAX(Kalk3_Lastfallkombi!C50,Kalk3_Lastfallkombi!C60,Kalk3_Lastfallkombi!C65,Kalk3_Lastfallkombi!C69)</f>
        <v>#DIV/0!</v>
      </c>
      <c r="D27" s="190" t="s">
        <v>22379</v>
      </c>
      <c r="E27" s="183" t="s">
        <v>22487</v>
      </c>
    </row>
    <row r="28" spans="1:8" ht="14.25" customHeight="1" thickBot="1">
      <c r="B28" s="193" t="s">
        <v>22488</v>
      </c>
      <c r="C28" s="194" t="e">
        <f>MAX(Kalk3_Lastfallkombi!C51,Kalk3_Lastfallkombi!C61,Kalk3_Lastfallkombi!C66,Kalk3_Lastfallkombi!C70)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32.856478955700517</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1.1906202723146748</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7.7126000000000001</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Kalk3_Lastfallkombi!D24*Kalk3_Lastfallkombi!C15/100</f>
        <v>-0.1512</v>
      </c>
      <c r="D45" s="168" t="s">
        <v>22469</v>
      </c>
    </row>
    <row r="46" spans="1:4" ht="14.25" customHeight="1">
      <c r="B46" s="178" t="s">
        <v>22492</v>
      </c>
      <c r="C46" s="185">
        <f>5*C45/100*(Kalk3_Eingabe!C19*100-5)^4/(384*'Kalk3_DB_50-150'!C19*'Kalk3_DB_50-150'!C12)</f>
        <v>-2.1275871459694988E-8</v>
      </c>
      <c r="D46" s="168" t="s">
        <v>22416</v>
      </c>
    </row>
    <row r="47" spans="1:4" ht="14.25" customHeight="1" thickBot="1">
      <c r="B47" s="178" t="s">
        <v>22473</v>
      </c>
      <c r="C47" s="185">
        <f>(Kalk3_Eingabe!C19*100-5)/Haftungsausschluß!L34</f>
        <v>-3.3333333333333333E-2</v>
      </c>
      <c r="D47" s="168" t="s">
        <v>22416</v>
      </c>
    </row>
    <row r="48" spans="1:4" ht="14.25" customHeight="1" thickBot="1">
      <c r="B48" s="193" t="s">
        <v>22474</v>
      </c>
      <c r="C48" s="196">
        <f>C46/C47</f>
        <v>6.3827614379084963E-7</v>
      </c>
    </row>
    <row r="49" spans="2:5" ht="14.25" customHeight="1">
      <c r="B49" s="200" t="s">
        <v>22493</v>
      </c>
      <c r="C49" s="199" t="s">
        <v>22422</v>
      </c>
      <c r="D49" s="199" t="s">
        <v>21191</v>
      </c>
    </row>
    <row r="50" spans="2:5" ht="14.25" customHeight="1">
      <c r="B50" s="178" t="s">
        <v>22494</v>
      </c>
      <c r="C50" s="185" t="e">
        <f>Kalk3_Lastfallkombi!D38*Kalk3_Lastfallkombi!C14/100</f>
        <v>#DIV/0!</v>
      </c>
      <c r="D50" s="185">
        <f>Kalk3_Lastfallkombi!D26*Kalk3_Lastfallkombi!C14/100</f>
        <v>-0.14399999999999999</v>
      </c>
      <c r="E50" s="168" t="s">
        <v>22469</v>
      </c>
    </row>
    <row r="51" spans="2:5" ht="14.25" customHeight="1">
      <c r="B51" s="178" t="s">
        <v>22495</v>
      </c>
      <c r="C51" s="185" t="e">
        <f>5*C50/100*(Kalk3_Eingabe!C19*100-5)^4/(384*'Kalk3_DB_50-150'!C19*'Kalk3_DB_50-150'!C12)</f>
        <v>#DIV/0!</v>
      </c>
      <c r="D51" s="185">
        <f>5*D50/100*(Kalk3_Eingabe!C19*100-5)^4/(384*'Kalk3_DB_50-150'!C19*'Kalk3_DB_50-150'!C12)</f>
        <v>-2.0262734723519038E-8</v>
      </c>
      <c r="E51" s="168" t="s">
        <v>22416</v>
      </c>
    </row>
    <row r="52" spans="2:5" ht="14.25" customHeight="1">
      <c r="B52" s="165" t="s">
        <v>22496</v>
      </c>
      <c r="C52" s="185" t="e">
        <f>Kalk3_Lastfallkombi!D44</f>
        <v>#DIV/0!</v>
      </c>
      <c r="D52" s="185" t="e">
        <f>Kalk3_Lastfallkombi!D54</f>
        <v>#NUM!</v>
      </c>
      <c r="E52" s="168" t="s">
        <v>22469</v>
      </c>
    </row>
    <row r="53" spans="2:5" ht="14.25" customHeight="1">
      <c r="B53" s="165" t="s">
        <v>22497</v>
      </c>
      <c r="C53" s="185">
        <f>(Kalk3_Eingabe!C19-0.5-0.05)/2</f>
        <v>-0.27500000000000002</v>
      </c>
      <c r="D53" s="185">
        <f>C53</f>
        <v>-0.27500000000000002</v>
      </c>
      <c r="E53" s="168" t="s">
        <v>6945</v>
      </c>
    </row>
    <row r="54" spans="2:5" ht="14.25" customHeight="1">
      <c r="B54" s="165" t="s">
        <v>22498</v>
      </c>
      <c r="C54" s="185" t="e">
        <f>C52/100*(Kalk3_Eingabe!C19*100-5)^4/(384*'Kalk3_DB_50-150'!C19*'Kalk3_DB_50-150'!C12)*(5-24*('Kalk3_DB_50-150'!C53*100)^2/(Kalk3_Eingabe!C19*100-5)^2+16*('Kalk3_DB_50-150'!C53*100)^4/(Kalk3_Eingabe!C19*100-5)^4)</f>
        <v>#DIV/0!</v>
      </c>
      <c r="D54" s="185" t="e">
        <f>D52/100*(Kalk3_Eingabe!C19*100-5)^4/(384*'Kalk3_DB_50-150'!C19*'Kalk3_DB_50-150'!C12)*(5-24*('Kalk3_DB_50-150'!C53*100)^2/(Kalk3_Eingabe!C19*100-5)^2+16*('Kalk3_DB_50-150'!C53*100)^4/(Kalk3_Eingabe!C19*100-5)^4)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(Kalk3_Eingabe!C19*100-5)/150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sheetData>
  <mergeCells count="3">
    <mergeCell ref="B1:C1"/>
    <mergeCell ref="C4:E4"/>
    <mergeCell ref="C5:E5"/>
  </mergeCells>
  <conditionalFormatting sqref="C33:C34">
    <cfRule type="cellIs" dxfId="67" priority="10" operator="greaterThan">
      <formula>1</formula>
    </cfRule>
    <cfRule type="dataBar" priority="11">
      <dataBar>
        <cfvo type="num" val="0"/>
        <cfvo type="num" val="0.99"/>
        <color rgb="FF638EC6"/>
      </dataBar>
      <extLst>
        <ext xmlns:x14="http://schemas.microsoft.com/office/spreadsheetml/2009/9/main" uri="{B025F937-C7B1-47D3-B67F-A62EFF666E3E}">
          <x14:id>{71AD8F00-52A3-4BFF-8150-8F5190F29604}</x14:id>
        </ext>
      </extLst>
    </cfRule>
    <cfRule type="dataBar" priority="12">
      <dataBar>
        <cfvo type="num" val="0"/>
        <cfvo type="num" val="1"/>
        <color rgb="FF638EC6"/>
      </dataBar>
      <extLst>
        <ext xmlns:x14="http://schemas.microsoft.com/office/spreadsheetml/2009/9/main" uri="{B025F937-C7B1-47D3-B67F-A62EFF666E3E}">
          <x14:id>{834688A4-551C-4335-8FDD-1AF35451C302}</x14:id>
        </ext>
      </extLst>
    </cfRule>
  </conditionalFormatting>
  <conditionalFormatting sqref="C41">
    <cfRule type="cellIs" dxfId="66" priority="7" operator="greaterThan">
      <formula>1</formula>
    </cfRule>
    <cfRule type="dataBar" priority="8">
      <dataBar>
        <cfvo type="num" val="0"/>
        <cfvo type="num" val="0.99"/>
        <color rgb="FF638EC6"/>
      </dataBar>
      <extLst>
        <ext xmlns:x14="http://schemas.microsoft.com/office/spreadsheetml/2009/9/main" uri="{B025F937-C7B1-47D3-B67F-A62EFF666E3E}">
          <x14:id>{9B85AA22-3C11-4E83-863B-D46876C2CDA7}</x14:id>
        </ext>
      </extLst>
    </cfRule>
    <cfRule type="dataBar" priority="9">
      <dataBar>
        <cfvo type="num" val="0"/>
        <cfvo type="num" val="1"/>
        <color rgb="FF638EC6"/>
      </dataBar>
      <extLst>
        <ext xmlns:x14="http://schemas.microsoft.com/office/spreadsheetml/2009/9/main" uri="{B025F937-C7B1-47D3-B67F-A62EFF666E3E}">
          <x14:id>{181888BF-6079-4578-8548-C9B2C63EFF5B}</x14:id>
        </ext>
      </extLst>
    </cfRule>
  </conditionalFormatting>
  <conditionalFormatting sqref="C48">
    <cfRule type="cellIs" dxfId="65" priority="4" operator="greaterThan">
      <formula>1</formula>
    </cfRule>
    <cfRule type="dataBar" priority="5">
      <dataBar>
        <cfvo type="num" val="0"/>
        <cfvo type="num" val="0.99"/>
        <color rgb="FF638EC6"/>
      </dataBar>
      <extLst>
        <ext xmlns:x14="http://schemas.microsoft.com/office/spreadsheetml/2009/9/main" uri="{B025F937-C7B1-47D3-B67F-A62EFF666E3E}">
          <x14:id>{93945C88-F6CA-457B-BEDA-F56E29BB626D}</x14:id>
        </ext>
      </extLst>
    </cfRule>
    <cfRule type="dataBar" priority="6">
      <dataBar>
        <cfvo type="num" val="0"/>
        <cfvo type="num" val="1"/>
        <color rgb="FF638EC6"/>
      </dataBar>
      <extLst>
        <ext xmlns:x14="http://schemas.microsoft.com/office/spreadsheetml/2009/9/main" uri="{B025F937-C7B1-47D3-B67F-A62EFF666E3E}">
          <x14:id>{EFE69C7E-1504-4FF8-BE2F-2B9A20439C8F}</x14:id>
        </ext>
      </extLst>
    </cfRule>
  </conditionalFormatting>
  <conditionalFormatting sqref="C57">
    <cfRule type="cellIs" dxfId="64" priority="1" operator="greaterThan">
      <formula>1</formula>
    </cfRule>
    <cfRule type="dataBar" priority="2">
      <dataBar>
        <cfvo type="num" val="0"/>
        <cfvo type="num" val="0.99"/>
        <color rgb="FF638EC6"/>
      </dataBar>
      <extLst>
        <ext xmlns:x14="http://schemas.microsoft.com/office/spreadsheetml/2009/9/main" uri="{B025F937-C7B1-47D3-B67F-A62EFF666E3E}">
          <x14:id>{C42802FD-47D8-4629-BB70-7DE79D058447}</x14:id>
        </ext>
      </extLst>
    </cfRule>
    <cfRule type="dataBar" priority="3">
      <dataBar>
        <cfvo type="num" val="0"/>
        <cfvo type="num" val="1"/>
        <color rgb="FF638EC6"/>
      </dataBar>
      <extLst>
        <ext xmlns:x14="http://schemas.microsoft.com/office/spreadsheetml/2009/9/main" uri="{B025F937-C7B1-47D3-B67F-A62EFF666E3E}">
          <x14:id>{218E3C94-9AF6-4387-88F4-1939DE33FDAD}</x14:id>
        </ext>
      </extLst>
    </cfRule>
  </conditionalFormatting>
  <pageMargins left="0.39370078740157483" right="0.39370078740157483" top="0.39370078740157483" bottom="0.39370078740157483" header="0.31496062992125984" footer="0.31496062992125984"/>
  <pageSetup paperSize="9" scale="79"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71AD8F00-52A3-4BFF-8150-8F5190F29604}">
            <x14:dataBar minLength="0" maxLength="100">
              <x14:cfvo type="num">
                <xm:f>0</xm:f>
              </x14:cfvo>
              <x14:cfvo type="num">
                <xm:f>0.99</xm:f>
              </x14:cfvo>
              <x14:negativeFillColor rgb="FFFF0000"/>
              <x14:axisColor rgb="FF000000"/>
            </x14:dataBar>
          </x14:cfRule>
          <x14:cfRule type="dataBar" id="{834688A4-551C-4335-8FDD-1AF35451C302}">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9B85AA22-3C11-4E83-863B-D46876C2CDA7}">
            <x14:dataBar minLength="0" maxLength="100">
              <x14:cfvo type="num">
                <xm:f>0</xm:f>
              </x14:cfvo>
              <x14:cfvo type="num">
                <xm:f>0.99</xm:f>
              </x14:cfvo>
              <x14:negativeFillColor rgb="FFFF0000"/>
              <x14:axisColor rgb="FF000000"/>
            </x14:dataBar>
          </x14:cfRule>
          <x14:cfRule type="dataBar" id="{181888BF-6079-4578-8548-C9B2C63EFF5B}">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93945C88-F6CA-457B-BEDA-F56E29BB626D}">
            <x14:dataBar minLength="0" maxLength="100">
              <x14:cfvo type="num">
                <xm:f>0</xm:f>
              </x14:cfvo>
              <x14:cfvo type="num">
                <xm:f>0.99</xm:f>
              </x14:cfvo>
              <x14:negativeFillColor rgb="FFFF0000"/>
              <x14:axisColor rgb="FF000000"/>
            </x14:dataBar>
          </x14:cfRule>
          <x14:cfRule type="dataBar" id="{EFE69C7E-1504-4FF8-BE2F-2B9A20439C8F}">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C42802FD-47D8-4629-BB70-7DE79D058447}">
            <x14:dataBar minLength="0" maxLength="100">
              <x14:cfvo type="num">
                <xm:f>0</xm:f>
              </x14:cfvo>
              <x14:cfvo type="num">
                <xm:f>0.99</xm:f>
              </x14:cfvo>
              <x14:negativeFillColor rgb="FFFF0000"/>
              <x14:axisColor rgb="FF000000"/>
            </x14:dataBar>
          </x14:cfRule>
          <x14:cfRule type="dataBar" id="{218E3C94-9AF6-4387-88F4-1939DE33FDAD}">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D23F9-11F3-49C5-B1E7-FD84A959C502}">
  <sheetPr codeName="Tabelle47">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Kalk3_Eingabe!C4</f>
        <v>PREFA</v>
      </c>
      <c r="D4" s="547"/>
      <c r="E4" s="548"/>
      <c r="F4" s="150"/>
      <c r="G4" s="150"/>
      <c r="H4" s="151"/>
      <c r="I4" s="148"/>
    </row>
    <row r="5" spans="1:11" ht="16.5" customHeight="1">
      <c r="A5" s="148"/>
      <c r="B5" s="164" t="s">
        <v>22319</v>
      </c>
      <c r="C5" s="549" t="str">
        <f>Kalk3_Eingabe!C5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22501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2.11</v>
      </c>
      <c r="D11" s="151" t="s">
        <v>22394</v>
      </c>
      <c r="E11" s="163" t="s">
        <v>22397</v>
      </c>
      <c r="F11" s="177"/>
      <c r="G11" s="148"/>
      <c r="H11" s="148"/>
      <c r="I11" s="148"/>
    </row>
    <row r="12" spans="1:11" ht="14.25" customHeight="1">
      <c r="A12" s="179"/>
      <c r="B12" s="175" t="s">
        <v>22398</v>
      </c>
      <c r="C12" s="187">
        <v>62.14</v>
      </c>
      <c r="D12" s="151" t="s">
        <v>22372</v>
      </c>
      <c r="E12" s="163" t="s">
        <v>22399</v>
      </c>
      <c r="F12" s="178"/>
      <c r="G12" s="181"/>
      <c r="H12" s="148"/>
      <c r="I12" s="148"/>
    </row>
    <row r="13" spans="1:11" ht="14.25" customHeight="1">
      <c r="A13" s="148"/>
      <c r="B13" s="162" t="s">
        <v>22400</v>
      </c>
      <c r="C13" s="187">
        <v>25.78</v>
      </c>
      <c r="D13" s="168" t="s">
        <v>22401</v>
      </c>
      <c r="E13" s="183" t="s">
        <v>22402</v>
      </c>
      <c r="F13" s="177"/>
      <c r="G13" s="148"/>
      <c r="H13" s="148"/>
      <c r="I13" s="148"/>
    </row>
    <row r="14" spans="1:11" ht="14.25" customHeight="1">
      <c r="B14" s="162" t="s">
        <v>22502</v>
      </c>
      <c r="C14" s="187">
        <v>21.34</v>
      </c>
      <c r="D14" s="168" t="s">
        <v>22401</v>
      </c>
      <c r="E14" s="183" t="s">
        <v>22503</v>
      </c>
      <c r="H14" s="152" t="s">
        <v>24944</v>
      </c>
    </row>
    <row r="15" spans="1:11" ht="14.25" customHeight="1">
      <c r="B15" s="165" t="s">
        <v>22504</v>
      </c>
      <c r="C15" s="185">
        <f>ROUNDUP((Kalk3_Eingabe!C18+Kalk3_Eingabe!C20)/0.2,0)</f>
        <v>0</v>
      </c>
      <c r="D15" s="168" t="s">
        <v>20892</v>
      </c>
      <c r="E15" s="183" t="s">
        <v>22484</v>
      </c>
      <c r="H15" s="165" t="s">
        <v>22504</v>
      </c>
      <c r="I15" s="185">
        <f>ROUNDUP((Kalk3_Eingabe!C18+Kalk3_Eingabe!C20)/0.2,0)</f>
        <v>0</v>
      </c>
      <c r="J15" s="168" t="s">
        <v>20892</v>
      </c>
      <c r="K15" s="183" t="s">
        <v>22484</v>
      </c>
    </row>
    <row r="16" spans="1:11" ht="14.25" customHeight="1">
      <c r="B16" s="165" t="s">
        <v>22599</v>
      </c>
      <c r="C16" s="185">
        <f>(15+Kalk3!H29+10)/1000</f>
        <v>2.5000000000000001E-2</v>
      </c>
      <c r="D16" s="168" t="s">
        <v>6945</v>
      </c>
      <c r="E16" s="183" t="s">
        <v>22352</v>
      </c>
      <c r="H16" s="165" t="s">
        <v>22599</v>
      </c>
      <c r="I16" s="185">
        <f>(15+C15*200+10)/1000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MAX(Kalk3_Lastfallkombi!C50,Kalk3_Lastfallkombi!C60,Kalk3_Lastfallkombi!C65,Kalk3_Lastfallkombi!C69)</f>
        <v>#DIV/0!</v>
      </c>
      <c r="D27" s="190" t="s">
        <v>22379</v>
      </c>
      <c r="E27" s="183" t="s">
        <v>22487</v>
      </c>
    </row>
    <row r="28" spans="1:8" ht="14.25" customHeight="1" thickBot="1">
      <c r="B28" s="193" t="s">
        <v>22488</v>
      </c>
      <c r="C28" s="194" t="e">
        <f>MAX(Kalk3_Lastfallkombi!C51,Kalk3_Lastfallkombi!C61,Kalk3_Lastfallkombi!C66,Kalk3_Lastfallkombi!C70)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22.149255781638367</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0.82777346780449956</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4.1826400000000001</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Kalk3_Lastfallkombi!D24*Kalk3_Lastfallkombi!C15/100</f>
        <v>-0.1512</v>
      </c>
      <c r="D45" s="168" t="s">
        <v>22469</v>
      </c>
    </row>
    <row r="46" spans="1:4" ht="14.25" customHeight="1">
      <c r="B46" s="178" t="s">
        <v>22492</v>
      </c>
      <c r="C46" s="185">
        <f>5*C45/100*(Kalk3_Eingabe!C19*100-5)^4/(384*'Kalk3_DB_50-200'!C19*'Kalk3_DB_50-200'!C12)</f>
        <v>-2.8287938525909236E-8</v>
      </c>
      <c r="D46" s="168" t="s">
        <v>22416</v>
      </c>
    </row>
    <row r="47" spans="1:4" ht="14.25" customHeight="1" thickBot="1">
      <c r="B47" s="178" t="s">
        <v>22473</v>
      </c>
      <c r="C47" s="185">
        <f>(Kalk3_Eingabe!C19*100-5)/Haftungsausschluß!L34</f>
        <v>-3.3333333333333333E-2</v>
      </c>
      <c r="D47" s="168" t="s">
        <v>22416</v>
      </c>
    </row>
    <row r="48" spans="1:4" ht="14.25" customHeight="1" thickBot="1">
      <c r="B48" s="193" t="s">
        <v>22474</v>
      </c>
      <c r="C48" s="196">
        <f>C46/C47</f>
        <v>8.4863815577727707E-7</v>
      </c>
    </row>
    <row r="49" spans="2:5" ht="14.25" customHeight="1">
      <c r="B49" s="200" t="s">
        <v>22493</v>
      </c>
      <c r="C49" s="199" t="s">
        <v>22422</v>
      </c>
      <c r="D49" s="199" t="s">
        <v>21191</v>
      </c>
    </row>
    <row r="50" spans="2:5" ht="14.25" customHeight="1">
      <c r="B50" s="178" t="s">
        <v>22494</v>
      </c>
      <c r="C50" s="185" t="e">
        <f>Kalk3_Lastfallkombi!D38*Kalk3_Lastfallkombi!C14/100</f>
        <v>#DIV/0!</v>
      </c>
      <c r="D50" s="185">
        <f>Kalk3_Lastfallkombi!D26*Kalk3_Lastfallkombi!C14/100</f>
        <v>-0.14399999999999999</v>
      </c>
      <c r="E50" s="168" t="s">
        <v>22469</v>
      </c>
    </row>
    <row r="51" spans="2:5" ht="14.25" customHeight="1">
      <c r="B51" s="178" t="s">
        <v>22495</v>
      </c>
      <c r="C51" s="185" t="e">
        <f>5*C50/100*(Kalk3_Eingabe!C19*100-5)^4/(384*'Kalk3_DB_50-200'!C19*'Kalk3_DB_50-200'!C12)</f>
        <v>#DIV/0!</v>
      </c>
      <c r="D51" s="185">
        <f>5*D50/100*(Kalk3_Eingabe!C19*100-5)^4/(384*'Kalk3_DB_50-200'!C19*'Kalk3_DB_50-200'!C12)</f>
        <v>-2.6940893834199275E-8</v>
      </c>
      <c r="E51" s="168" t="s">
        <v>22416</v>
      </c>
    </row>
    <row r="52" spans="2:5" ht="14.25" customHeight="1">
      <c r="B52" s="165" t="s">
        <v>22496</v>
      </c>
      <c r="C52" s="185" t="e">
        <f>Kalk3_Lastfallkombi!D44</f>
        <v>#DIV/0!</v>
      </c>
      <c r="D52" s="185" t="e">
        <f>Kalk3_Lastfallkombi!D54</f>
        <v>#NUM!</v>
      </c>
      <c r="E52" s="168" t="s">
        <v>22469</v>
      </c>
    </row>
    <row r="53" spans="2:5" ht="14.25" customHeight="1">
      <c r="B53" s="165" t="s">
        <v>22497</v>
      </c>
      <c r="C53" s="185">
        <f>(Kalk3_Eingabe!C19-0.5-0.05)/2</f>
        <v>-0.27500000000000002</v>
      </c>
      <c r="D53" s="185">
        <f>C53</f>
        <v>-0.27500000000000002</v>
      </c>
      <c r="E53" s="168" t="s">
        <v>6945</v>
      </c>
    </row>
    <row r="54" spans="2:5" ht="14.25" customHeight="1">
      <c r="B54" s="165" t="s">
        <v>22498</v>
      </c>
      <c r="C54" s="185" t="e">
        <f>C52/100*(Kalk3_Eingabe!C19*100-5)^4/(384*'Kalk3_DB_50-200'!C19*'Kalk3_DB_50-200'!C12)*(5-24*('Kalk3_DB_50-200'!C53*100)^2/(Kalk3_Eingabe!C19*100-5)^2+16*('Kalk3_DB_50-200'!C53*100)^4/(Kalk3_Eingabe!C19*100-5)^4)</f>
        <v>#DIV/0!</v>
      </c>
      <c r="D54" s="185" t="e">
        <f>D52/100*(Kalk3_Eingabe!C19*100-5)^4/(384*'Kalk3_DB_50-200'!C19*'Kalk3_DB_50-200'!C12)*(5-24*('Kalk3_DB_50-200'!C53*100)^2/(Kalk3_Eingabe!C19*100-5)^2+16*('Kalk3_DB_50-200'!C53*100)^4/(Kalk3_Eingabe!C19*100-5)^4)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(Kalk3_Eingabe!C19*100-5)/150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63" priority="10" operator="greaterThan">
      <formula>1</formula>
    </cfRule>
    <cfRule type="dataBar" priority="11">
      <dataBar>
        <cfvo type="num" val="0"/>
        <cfvo type="num" val="0.99"/>
        <color rgb="FF638EC6"/>
      </dataBar>
      <extLst>
        <ext xmlns:x14="http://schemas.microsoft.com/office/spreadsheetml/2009/9/main" uri="{B025F937-C7B1-47D3-B67F-A62EFF666E3E}">
          <x14:id>{AD29485B-341C-4C22-BCE3-6E68076F6AE1}</x14:id>
        </ext>
      </extLst>
    </cfRule>
    <cfRule type="dataBar" priority="12">
      <dataBar>
        <cfvo type="num" val="0"/>
        <cfvo type="num" val="1"/>
        <color rgb="FF638EC6"/>
      </dataBar>
      <extLst>
        <ext xmlns:x14="http://schemas.microsoft.com/office/spreadsheetml/2009/9/main" uri="{B025F937-C7B1-47D3-B67F-A62EFF666E3E}">
          <x14:id>{B3BDF633-5380-4F31-B5AD-F157D70B577B}</x14:id>
        </ext>
      </extLst>
    </cfRule>
  </conditionalFormatting>
  <conditionalFormatting sqref="C41">
    <cfRule type="cellIs" dxfId="62" priority="7" operator="greaterThan">
      <formula>1</formula>
    </cfRule>
    <cfRule type="dataBar" priority="8">
      <dataBar>
        <cfvo type="num" val="0"/>
        <cfvo type="num" val="0.99"/>
        <color rgb="FF638EC6"/>
      </dataBar>
      <extLst>
        <ext xmlns:x14="http://schemas.microsoft.com/office/spreadsheetml/2009/9/main" uri="{B025F937-C7B1-47D3-B67F-A62EFF666E3E}">
          <x14:id>{C16BA090-ADCB-4DB6-98B7-57009E0B2853}</x14:id>
        </ext>
      </extLst>
    </cfRule>
    <cfRule type="dataBar" priority="9">
      <dataBar>
        <cfvo type="num" val="0"/>
        <cfvo type="num" val="1"/>
        <color rgb="FF638EC6"/>
      </dataBar>
      <extLst>
        <ext xmlns:x14="http://schemas.microsoft.com/office/spreadsheetml/2009/9/main" uri="{B025F937-C7B1-47D3-B67F-A62EFF666E3E}">
          <x14:id>{AAABE28C-1B43-4E6E-A9F1-BC72BD0159F5}</x14:id>
        </ext>
      </extLst>
    </cfRule>
  </conditionalFormatting>
  <conditionalFormatting sqref="C48">
    <cfRule type="cellIs" dxfId="61" priority="4" operator="greaterThan">
      <formula>1</formula>
    </cfRule>
    <cfRule type="dataBar" priority="5">
      <dataBar>
        <cfvo type="num" val="0"/>
        <cfvo type="num" val="0.99"/>
        <color rgb="FF638EC6"/>
      </dataBar>
      <extLst>
        <ext xmlns:x14="http://schemas.microsoft.com/office/spreadsheetml/2009/9/main" uri="{B025F937-C7B1-47D3-B67F-A62EFF666E3E}">
          <x14:id>{A876DB61-3D7C-48AE-95A9-684E59D51356}</x14:id>
        </ext>
      </extLst>
    </cfRule>
    <cfRule type="dataBar" priority="6">
      <dataBar>
        <cfvo type="num" val="0"/>
        <cfvo type="num" val="1"/>
        <color rgb="FF638EC6"/>
      </dataBar>
      <extLst>
        <ext xmlns:x14="http://schemas.microsoft.com/office/spreadsheetml/2009/9/main" uri="{B025F937-C7B1-47D3-B67F-A62EFF666E3E}">
          <x14:id>{A6D8EC1D-D69B-4196-A076-F9A261B748F3}</x14:id>
        </ext>
      </extLst>
    </cfRule>
  </conditionalFormatting>
  <conditionalFormatting sqref="C57">
    <cfRule type="cellIs" dxfId="60" priority="1" operator="greaterThan">
      <formula>1</formula>
    </cfRule>
    <cfRule type="dataBar" priority="2">
      <dataBar>
        <cfvo type="num" val="0"/>
        <cfvo type="num" val="0.99"/>
        <color rgb="FF638EC6"/>
      </dataBar>
      <extLst>
        <ext xmlns:x14="http://schemas.microsoft.com/office/spreadsheetml/2009/9/main" uri="{B025F937-C7B1-47D3-B67F-A62EFF666E3E}">
          <x14:id>{A7160B0E-0CAC-4248-9B5A-D22224DFD460}</x14:id>
        </ext>
      </extLst>
    </cfRule>
    <cfRule type="dataBar" priority="3">
      <dataBar>
        <cfvo type="num" val="0"/>
        <cfvo type="num" val="1"/>
        <color rgb="FF638EC6"/>
      </dataBar>
      <extLst>
        <ext xmlns:x14="http://schemas.microsoft.com/office/spreadsheetml/2009/9/main" uri="{B025F937-C7B1-47D3-B67F-A62EFF666E3E}">
          <x14:id>{6CAB0332-9CB9-40FD-B38C-9337CC897F3C}</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AD29485B-341C-4C22-BCE3-6E68076F6AE1}">
            <x14:dataBar minLength="0" maxLength="100">
              <x14:cfvo type="num">
                <xm:f>0</xm:f>
              </x14:cfvo>
              <x14:cfvo type="num">
                <xm:f>0.99</xm:f>
              </x14:cfvo>
              <x14:negativeFillColor rgb="FFFF0000"/>
              <x14:axisColor rgb="FF000000"/>
            </x14:dataBar>
          </x14:cfRule>
          <x14:cfRule type="dataBar" id="{B3BDF633-5380-4F31-B5AD-F157D70B577B}">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C16BA090-ADCB-4DB6-98B7-57009E0B2853}">
            <x14:dataBar minLength="0" maxLength="100">
              <x14:cfvo type="num">
                <xm:f>0</xm:f>
              </x14:cfvo>
              <x14:cfvo type="num">
                <xm:f>0.99</xm:f>
              </x14:cfvo>
              <x14:negativeFillColor rgb="FFFF0000"/>
              <x14:axisColor rgb="FF000000"/>
            </x14:dataBar>
          </x14:cfRule>
          <x14:cfRule type="dataBar" id="{AAABE28C-1B43-4E6E-A9F1-BC72BD0159F5}">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A876DB61-3D7C-48AE-95A9-684E59D51356}">
            <x14:dataBar minLength="0" maxLength="100">
              <x14:cfvo type="num">
                <xm:f>0</xm:f>
              </x14:cfvo>
              <x14:cfvo type="num">
                <xm:f>0.99</xm:f>
              </x14:cfvo>
              <x14:negativeFillColor rgb="FFFF0000"/>
              <x14:axisColor rgb="FF000000"/>
            </x14:dataBar>
          </x14:cfRule>
          <x14:cfRule type="dataBar" id="{A6D8EC1D-D69B-4196-A076-F9A261B748F3}">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A7160B0E-0CAC-4248-9B5A-D22224DFD460}">
            <x14:dataBar minLength="0" maxLength="100">
              <x14:cfvo type="num">
                <xm:f>0</xm:f>
              </x14:cfvo>
              <x14:cfvo type="num">
                <xm:f>0.99</xm:f>
              </x14:cfvo>
              <x14:negativeFillColor rgb="FFFF0000"/>
              <x14:axisColor rgb="FF000000"/>
            </x14:dataBar>
          </x14:cfRule>
          <x14:cfRule type="dataBar" id="{6CAB0332-9CB9-40FD-B38C-9337CC897F3C}">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0D9A9-AF5D-4F01-8D03-7C315F7DD358}">
  <sheetPr codeName="Tabelle48">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Kalk3_Eingabe!C4</f>
        <v>PREFA</v>
      </c>
      <c r="D4" s="547"/>
      <c r="E4" s="548"/>
      <c r="F4" s="150"/>
      <c r="G4" s="150"/>
      <c r="H4" s="151"/>
      <c r="I4" s="148"/>
    </row>
    <row r="5" spans="1:11" ht="16.5" customHeight="1">
      <c r="A5" s="148"/>
      <c r="B5" s="164" t="s">
        <v>22319</v>
      </c>
      <c r="C5" s="549" t="str">
        <f>Kalk3_Eingabe!C5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22501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5.51</v>
      </c>
      <c r="D11" s="151" t="s">
        <v>22394</v>
      </c>
      <c r="E11" s="163" t="s">
        <v>22397</v>
      </c>
      <c r="F11" s="177"/>
      <c r="G11" s="148"/>
      <c r="H11" s="148"/>
      <c r="I11" s="148"/>
    </row>
    <row r="12" spans="1:11" ht="14.25" customHeight="1">
      <c r="A12" s="179"/>
      <c r="B12" s="175" t="s">
        <v>22398</v>
      </c>
      <c r="C12" s="187">
        <v>309.92</v>
      </c>
      <c r="D12" s="151" t="s">
        <v>22372</v>
      </c>
      <c r="E12" s="163" t="s">
        <v>22399</v>
      </c>
      <c r="F12" s="178"/>
      <c r="G12" s="181"/>
      <c r="H12" s="148"/>
      <c r="I12" s="148"/>
    </row>
    <row r="13" spans="1:11" ht="14.25" customHeight="1">
      <c r="A13" s="148"/>
      <c r="B13" s="162" t="s">
        <v>22400</v>
      </c>
      <c r="C13" s="187">
        <v>77.48</v>
      </c>
      <c r="D13" s="168" t="s">
        <v>22401</v>
      </c>
      <c r="E13" s="183" t="s">
        <v>22402</v>
      </c>
      <c r="F13" s="177"/>
      <c r="G13" s="148"/>
      <c r="H13" s="148"/>
      <c r="I13" s="148"/>
    </row>
    <row r="14" spans="1:11" ht="14.25" customHeight="1">
      <c r="B14" s="162" t="s">
        <v>22403</v>
      </c>
      <c r="C14" s="187">
        <v>88.67</v>
      </c>
      <c r="D14" s="168" t="s">
        <v>22401</v>
      </c>
      <c r="E14" s="183" t="s">
        <v>22404</v>
      </c>
      <c r="H14" s="152" t="s">
        <v>24944</v>
      </c>
    </row>
    <row r="15" spans="1:11" ht="14.25" customHeight="1">
      <c r="B15" s="165" t="s">
        <v>22504</v>
      </c>
      <c r="C15" s="185">
        <f>ROUNDUP((Kalk3_Eingabe!C18+Kalk3_Eingabe!C20)/0.2,0)</f>
        <v>0</v>
      </c>
      <c r="D15" s="168" t="s">
        <v>20892</v>
      </c>
      <c r="E15" s="183" t="s">
        <v>22484</v>
      </c>
      <c r="H15" s="165" t="s">
        <v>22504</v>
      </c>
      <c r="I15" s="185">
        <f>ROUNDUP((Kalk3_Eingabe!C18+Kalk3_Eingabe!C20)/0.2,0)</f>
        <v>0</v>
      </c>
      <c r="J15" s="168" t="s">
        <v>20892</v>
      </c>
      <c r="K15" s="183" t="s">
        <v>22484</v>
      </c>
    </row>
    <row r="16" spans="1:11" ht="14.25" customHeight="1">
      <c r="B16" s="165" t="s">
        <v>22599</v>
      </c>
      <c r="C16" s="185">
        <f>(15+Kalk3!H29+10)/1000</f>
        <v>2.5000000000000001E-2</v>
      </c>
      <c r="D16" s="168" t="s">
        <v>6945</v>
      </c>
      <c r="E16" s="183" t="s">
        <v>22352</v>
      </c>
      <c r="H16" s="165" t="s">
        <v>22599</v>
      </c>
      <c r="I16" s="185">
        <f>(15+C15*200+10)/1000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MAX(Kalk3_Lastfallkombi!C50,Kalk3_Lastfallkombi!C60,Kalk3_Lastfallkombi!C65,Kalk3_Lastfallkombi!C69)</f>
        <v>#DIV/0!</v>
      </c>
      <c r="D27" s="190" t="s">
        <v>22379</v>
      </c>
      <c r="E27" s="183" t="s">
        <v>22487</v>
      </c>
    </row>
    <row r="28" spans="1:8" ht="14.25" customHeight="1" thickBot="1">
      <c r="B28" s="193" t="s">
        <v>22488</v>
      </c>
      <c r="C28" s="194" t="e">
        <f>MAX(Kalk3_Lastfallkombi!C51,Kalk3_Lastfallkombi!C61,Kalk3_Lastfallkombi!C66,Kalk3_Lastfallkombi!C70)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57.839999695178861</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22600</v>
      </c>
      <c r="C36" s="185">
        <v>1.0900000000000001</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22601</v>
      </c>
      <c r="C39" s="185">
        <f>C13*C21/C23/100</f>
        <v>15.186079999999999</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Kalk3_Lastfallkombi!D24*Kalk3_Lastfallkombi!C15/100</f>
        <v>-0.1512</v>
      </c>
      <c r="D45" s="168" t="s">
        <v>22469</v>
      </c>
    </row>
    <row r="46" spans="1:4" ht="14.25" customHeight="1">
      <c r="B46" s="178" t="s">
        <v>22492</v>
      </c>
      <c r="C46" s="185">
        <f>5*C45/100*(Kalk3_Eingabe!C19*100-5)^4/(384*'Kalk3_DB_80-200'!C19*'Kalk3_DB_80-200'!C12)</f>
        <v>-5.6718266004130092E-9</v>
      </c>
      <c r="D46" s="168" t="s">
        <v>22416</v>
      </c>
    </row>
    <row r="47" spans="1:4" ht="14.25" customHeight="1" thickBot="1">
      <c r="B47" s="178" t="s">
        <v>22473</v>
      </c>
      <c r="C47" s="185">
        <f>(Kalk3_Eingabe!C19*100-5)/Haftungsausschluß!L34</f>
        <v>-3.3333333333333333E-2</v>
      </c>
      <c r="D47" s="168" t="s">
        <v>22416</v>
      </c>
    </row>
    <row r="48" spans="1:4" ht="14.25" customHeight="1" thickBot="1">
      <c r="B48" s="193" t="s">
        <v>22474</v>
      </c>
      <c r="C48" s="196">
        <f>C46/C47</f>
        <v>1.7015479801239028E-7</v>
      </c>
    </row>
    <row r="49" spans="2:5" ht="14.25" customHeight="1">
      <c r="B49" s="200" t="s">
        <v>22493</v>
      </c>
      <c r="C49" s="199" t="s">
        <v>22422</v>
      </c>
      <c r="D49" s="199" t="s">
        <v>21191</v>
      </c>
    </row>
    <row r="50" spans="2:5" ht="14.25" customHeight="1">
      <c r="B50" s="178" t="s">
        <v>22494</v>
      </c>
      <c r="C50" s="185" t="e">
        <f>Kalk3_Lastfallkombi!D38*Kalk3_Lastfallkombi!C14/100</f>
        <v>#DIV/0!</v>
      </c>
      <c r="D50" s="185">
        <f>Kalk3_Lastfallkombi!D26*Kalk3_Lastfallkombi!C14/100</f>
        <v>-0.14399999999999999</v>
      </c>
      <c r="E50" s="168" t="s">
        <v>22469</v>
      </c>
    </row>
    <row r="51" spans="2:5" ht="14.25" customHeight="1">
      <c r="B51" s="178" t="s">
        <v>22495</v>
      </c>
      <c r="C51" s="185" t="e">
        <f>5*C50/100*(Kalk3_Eingabe!C19*100-5)^4/(384*'Kalk3_DB_80-200'!C19*'Kalk3_DB_80-200'!C12)</f>
        <v>#DIV/0!</v>
      </c>
      <c r="D51" s="185">
        <f>5*D50/100*(Kalk3_Eingabe!C19*100-5)^4/(384*'Kalk3_DB_80-200'!C19*'Kalk3_DB_80-200'!C12)</f>
        <v>-5.4017396194409619E-9</v>
      </c>
      <c r="E51" s="168" t="s">
        <v>22416</v>
      </c>
    </row>
    <row r="52" spans="2:5" ht="14.25" customHeight="1">
      <c r="B52" s="165" t="s">
        <v>22496</v>
      </c>
      <c r="C52" s="185" t="e">
        <f>Kalk3_Lastfallkombi!D44</f>
        <v>#DIV/0!</v>
      </c>
      <c r="D52" s="185" t="e">
        <f>Kalk3_Lastfallkombi!D54</f>
        <v>#NUM!</v>
      </c>
      <c r="E52" s="168" t="s">
        <v>22469</v>
      </c>
    </row>
    <row r="53" spans="2:5" ht="14.25" customHeight="1">
      <c r="B53" s="165" t="s">
        <v>22497</v>
      </c>
      <c r="C53" s="185">
        <f>(Kalk3_Eingabe!C19-0.5-0.05)/2</f>
        <v>-0.27500000000000002</v>
      </c>
      <c r="D53" s="185">
        <f>C53</f>
        <v>-0.27500000000000002</v>
      </c>
      <c r="E53" s="168" t="s">
        <v>6945</v>
      </c>
    </row>
    <row r="54" spans="2:5" ht="14.25" customHeight="1">
      <c r="B54" s="165" t="s">
        <v>22498</v>
      </c>
      <c r="C54" s="185" t="e">
        <f>C52/100*(Kalk3_Eingabe!C19*100-5)^4/(384*'Kalk3_DB_80-200'!C19*'Kalk3_DB_80-200'!C12)*(5-24*('Kalk3_DB_80-200'!C53*100)^2/(Kalk3_Eingabe!C19*100-5)^2+16*('Kalk3_DB_80-200'!C53*100)^4/(Kalk3_Eingabe!C19*100-5)^4)</f>
        <v>#DIV/0!</v>
      </c>
      <c r="D54" s="185" t="e">
        <f>D52/100*(Kalk3_Eingabe!C19*100-5)^4/(384*'Kalk3_DB_80-200'!C19*'Kalk3_DB_80-200'!C12)*(5-24*('Kalk3_DB_80-200'!C53*100)^2/(Kalk3_Eingabe!C19*100-5)^2+16*('Kalk3_DB_80-200'!C53*100)^4/(Kalk3_Eingabe!C19*100-5)^4)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(Kalk3_Eingabe!C19*100-5)/150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59" priority="10" operator="greaterThan">
      <formula>1</formula>
    </cfRule>
    <cfRule type="dataBar" priority="11">
      <dataBar>
        <cfvo type="num" val="0"/>
        <cfvo type="num" val="0.99"/>
        <color rgb="FF638EC6"/>
      </dataBar>
      <extLst>
        <ext xmlns:x14="http://schemas.microsoft.com/office/spreadsheetml/2009/9/main" uri="{B025F937-C7B1-47D3-B67F-A62EFF666E3E}">
          <x14:id>{22FF5049-F7D3-4C09-97E5-1824AFBD8690}</x14:id>
        </ext>
      </extLst>
    </cfRule>
    <cfRule type="dataBar" priority="12">
      <dataBar>
        <cfvo type="num" val="0"/>
        <cfvo type="num" val="1"/>
        <color rgb="FF638EC6"/>
      </dataBar>
      <extLst>
        <ext xmlns:x14="http://schemas.microsoft.com/office/spreadsheetml/2009/9/main" uri="{B025F937-C7B1-47D3-B67F-A62EFF666E3E}">
          <x14:id>{138B0246-E3B5-4AA6-90EC-45E22225656B}</x14:id>
        </ext>
      </extLst>
    </cfRule>
  </conditionalFormatting>
  <conditionalFormatting sqref="C41">
    <cfRule type="cellIs" dxfId="58" priority="7" operator="greaterThan">
      <formula>1</formula>
    </cfRule>
    <cfRule type="dataBar" priority="8">
      <dataBar>
        <cfvo type="num" val="0"/>
        <cfvo type="num" val="0.99"/>
        <color rgb="FF638EC6"/>
      </dataBar>
      <extLst>
        <ext xmlns:x14="http://schemas.microsoft.com/office/spreadsheetml/2009/9/main" uri="{B025F937-C7B1-47D3-B67F-A62EFF666E3E}">
          <x14:id>{584F4EB0-E295-4EAE-8C5A-DB880BD0BE01}</x14:id>
        </ext>
      </extLst>
    </cfRule>
    <cfRule type="dataBar" priority="9">
      <dataBar>
        <cfvo type="num" val="0"/>
        <cfvo type="num" val="1"/>
        <color rgb="FF638EC6"/>
      </dataBar>
      <extLst>
        <ext xmlns:x14="http://schemas.microsoft.com/office/spreadsheetml/2009/9/main" uri="{B025F937-C7B1-47D3-B67F-A62EFF666E3E}">
          <x14:id>{F6564625-5978-4733-88D0-BC1E58841D55}</x14:id>
        </ext>
      </extLst>
    </cfRule>
  </conditionalFormatting>
  <conditionalFormatting sqref="C48">
    <cfRule type="cellIs" dxfId="57" priority="4" operator="greaterThan">
      <formula>1</formula>
    </cfRule>
    <cfRule type="dataBar" priority="5">
      <dataBar>
        <cfvo type="num" val="0"/>
        <cfvo type="num" val="0.99"/>
        <color rgb="FF638EC6"/>
      </dataBar>
      <extLst>
        <ext xmlns:x14="http://schemas.microsoft.com/office/spreadsheetml/2009/9/main" uri="{B025F937-C7B1-47D3-B67F-A62EFF666E3E}">
          <x14:id>{24DB20A1-CDA1-4DC5-B970-7F1F4475F7D6}</x14:id>
        </ext>
      </extLst>
    </cfRule>
    <cfRule type="dataBar" priority="6">
      <dataBar>
        <cfvo type="num" val="0"/>
        <cfvo type="num" val="1"/>
        <color rgb="FF638EC6"/>
      </dataBar>
      <extLst>
        <ext xmlns:x14="http://schemas.microsoft.com/office/spreadsheetml/2009/9/main" uri="{B025F937-C7B1-47D3-B67F-A62EFF666E3E}">
          <x14:id>{EB46AED1-F3A7-4726-859D-01F2CAFA6CCB}</x14:id>
        </ext>
      </extLst>
    </cfRule>
  </conditionalFormatting>
  <conditionalFormatting sqref="C57">
    <cfRule type="cellIs" dxfId="56" priority="1" operator="greaterThan">
      <formula>1</formula>
    </cfRule>
    <cfRule type="dataBar" priority="2">
      <dataBar>
        <cfvo type="num" val="0"/>
        <cfvo type="num" val="0.99"/>
        <color rgb="FF638EC6"/>
      </dataBar>
      <extLst>
        <ext xmlns:x14="http://schemas.microsoft.com/office/spreadsheetml/2009/9/main" uri="{B025F937-C7B1-47D3-B67F-A62EFF666E3E}">
          <x14:id>{B54909C2-0587-44E2-B614-3FF732C4863B}</x14:id>
        </ext>
      </extLst>
    </cfRule>
    <cfRule type="dataBar" priority="3">
      <dataBar>
        <cfvo type="num" val="0"/>
        <cfvo type="num" val="1"/>
        <color rgb="FF638EC6"/>
      </dataBar>
      <extLst>
        <ext xmlns:x14="http://schemas.microsoft.com/office/spreadsheetml/2009/9/main" uri="{B025F937-C7B1-47D3-B67F-A62EFF666E3E}">
          <x14:id>{57ECDEA5-5D73-48C7-ADA3-EF227FB9C3FE}</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22FF5049-F7D3-4C09-97E5-1824AFBD8690}">
            <x14:dataBar minLength="0" maxLength="100">
              <x14:cfvo type="num">
                <xm:f>0</xm:f>
              </x14:cfvo>
              <x14:cfvo type="num">
                <xm:f>0.99</xm:f>
              </x14:cfvo>
              <x14:negativeFillColor rgb="FFFF0000"/>
              <x14:axisColor rgb="FF000000"/>
            </x14:dataBar>
          </x14:cfRule>
          <x14:cfRule type="dataBar" id="{138B0246-E3B5-4AA6-90EC-45E22225656B}">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584F4EB0-E295-4EAE-8C5A-DB880BD0BE01}">
            <x14:dataBar minLength="0" maxLength="100">
              <x14:cfvo type="num">
                <xm:f>0</xm:f>
              </x14:cfvo>
              <x14:cfvo type="num">
                <xm:f>0.99</xm:f>
              </x14:cfvo>
              <x14:negativeFillColor rgb="FFFF0000"/>
              <x14:axisColor rgb="FF000000"/>
            </x14:dataBar>
          </x14:cfRule>
          <x14:cfRule type="dataBar" id="{F6564625-5978-4733-88D0-BC1E58841D55}">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24DB20A1-CDA1-4DC5-B970-7F1F4475F7D6}">
            <x14:dataBar minLength="0" maxLength="100">
              <x14:cfvo type="num">
                <xm:f>0</xm:f>
              </x14:cfvo>
              <x14:cfvo type="num">
                <xm:f>0.99</xm:f>
              </x14:cfvo>
              <x14:negativeFillColor rgb="FFFF0000"/>
              <x14:axisColor rgb="FF000000"/>
            </x14:dataBar>
          </x14:cfRule>
          <x14:cfRule type="dataBar" id="{EB46AED1-F3A7-4726-859D-01F2CAFA6CCB}">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B54909C2-0587-44E2-B614-3FF732C4863B}">
            <x14:dataBar minLength="0" maxLength="100">
              <x14:cfvo type="num">
                <xm:f>0</xm:f>
              </x14:cfvo>
              <x14:cfvo type="num">
                <xm:f>0.99</xm:f>
              </x14:cfvo>
              <x14:negativeFillColor rgb="FFFF0000"/>
              <x14:axisColor rgb="FF000000"/>
            </x14:dataBar>
          </x14:cfRule>
          <x14:cfRule type="dataBar" id="{57ECDEA5-5D73-48C7-ADA3-EF227FB9C3FE}">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D365D-08C3-4EA8-A541-C53B425C18D4}">
  <sheetPr codeName="Tabelle4"/>
  <dimension ref="A1:AP56"/>
  <sheetViews>
    <sheetView showGridLines="0" workbookViewId="0">
      <selection activeCell="D16" sqref="D16:I16"/>
    </sheetView>
  </sheetViews>
  <sheetFormatPr baseColWidth="10" defaultColWidth="0" defaultRowHeight="12.75" zeroHeight="1"/>
  <cols>
    <col min="1" max="25" width="5.7109375" style="21" customWidth="1"/>
    <col min="26" max="26" width="255.7109375" style="21" hidden="1" customWidth="1"/>
    <col min="27" max="27" width="9.140625" style="21" hidden="1" customWidth="1"/>
    <col min="28" max="28" width="11.85546875" style="21" hidden="1" customWidth="1"/>
    <col min="29" max="31" width="5.7109375" style="21" hidden="1" customWidth="1"/>
    <col min="32" max="32" width="11.42578125" style="21" hidden="1" customWidth="1"/>
    <col min="33" max="33" width="22.42578125" style="21" hidden="1" customWidth="1"/>
    <col min="34" max="34" width="11.42578125" style="21" hidden="1" customWidth="1"/>
    <col min="35" max="36" width="6.28515625" style="21" hidden="1" customWidth="1"/>
    <col min="37" max="37" width="5" style="21" hidden="1" customWidth="1"/>
    <col min="38" max="38" width="2.85546875" style="21" hidden="1" customWidth="1"/>
    <col min="39" max="16384" width="11.42578125" style="21" hidden="1"/>
  </cols>
  <sheetData>
    <row r="1" spans="3:35" ht="20.25">
      <c r="Y1" s="47" t="str">
        <f>VLOOKUP(1780,Sprachindex!$A:$Z,Erhebungsbogen!$Y$20,FALSE)</f>
        <v>PREFA HOCHWASSERSCHUTZ SYSTEM</v>
      </c>
    </row>
    <row r="2" spans="3:35">
      <c r="Y2" s="41" t="str">
        <f>VLOOKUP(1741,Sprachindex!$A:$Z,Erhebungsbogen!$Y$20,FALSE) &amp; " 1"</f>
        <v>KALKULATION 1</v>
      </c>
    </row>
    <row r="3" spans="3:35" ht="15" customHeight="1">
      <c r="Y3" s="41"/>
    </row>
    <row r="4" spans="3:35">
      <c r="D4" s="104" t="str">
        <f>VLOOKUP(393,Sprachindex!$A:$Z,Erhebungsbogen!$Y$20,FALSE)</f>
        <v>Firma / Besteller:</v>
      </c>
      <c r="K4" s="423" t="str">
        <f>VLOOKUP(1646,Sprachindex!$A:$Z,Erhebungsbogen!$Y$20,FALSE)</f>
        <v>Beschichtung</v>
      </c>
      <c r="L4" s="424"/>
      <c r="M4" s="424"/>
      <c r="N4" s="424"/>
      <c r="O4" s="424"/>
      <c r="P4" s="424"/>
      <c r="Q4" s="425"/>
      <c r="S4" s="423" t="str">
        <f>VLOOKUP(1657,Sprachindex!$A:$Z,Erhebungsbogen!$Y$20,FALSE)</f>
        <v>Bodenhülsendeckel</v>
      </c>
      <c r="T4" s="424"/>
      <c r="U4" s="424"/>
      <c r="V4" s="424"/>
      <c r="W4" s="424"/>
      <c r="X4" s="425"/>
      <c r="AA4" s="273"/>
    </row>
    <row r="5" spans="3:35">
      <c r="C5" s="105" t="str">
        <f>VLOOKUP(622,Sprachindex!$A:$Z,Erhebungsbogen!$Y$20,FALSE)</f>
        <v>Name:</v>
      </c>
      <c r="D5" s="472">
        <f>Erhebungsbogen!F8</f>
        <v>0</v>
      </c>
      <c r="E5" s="472"/>
      <c r="F5" s="472"/>
      <c r="G5" s="472"/>
      <c r="H5" s="472"/>
      <c r="I5" s="472"/>
      <c r="K5" s="470" t="str">
        <f>VLOOKUP(625,Sprachindex!$A:$Z,Erhebungsbogen!$Y$20,FALSE)</f>
        <v>nein</v>
      </c>
      <c r="L5" s="470"/>
      <c r="M5" s="470"/>
      <c r="N5" s="470" t="str">
        <f>VLOOKUP(498,Sprachindex!$A:$Z,Erhebungsbogen!$Y$20,FALSE)</f>
        <v>ja</v>
      </c>
      <c r="O5" s="470"/>
      <c r="P5" s="470"/>
      <c r="Q5" s="470"/>
      <c r="S5" s="470" t="str">
        <f>VLOOKUP(1617,Sprachindex!$A:$Z,Erhebungsbogen!$Y$20,FALSE)</f>
        <v>Aluminium</v>
      </c>
      <c r="T5" s="470"/>
      <c r="U5" s="470"/>
      <c r="V5" s="470" t="str">
        <f>VLOOKUP(1696,Sprachindex!$A:$Z,Erhebungsbogen!$Y$20,FALSE)</f>
        <v>Edelstahl</v>
      </c>
      <c r="W5" s="470"/>
      <c r="X5" s="470"/>
      <c r="AA5" s="273">
        <f>Erhebungsbogen!S35</f>
        <v>1</v>
      </c>
      <c r="AB5" s="142" t="s">
        <v>18593</v>
      </c>
    </row>
    <row r="6" spans="3:35" ht="2.1" customHeight="1">
      <c r="C6" s="105"/>
      <c r="D6" s="27"/>
      <c r="E6" s="27"/>
      <c r="F6" s="27"/>
      <c r="G6" s="27"/>
      <c r="H6" s="27"/>
      <c r="I6" s="27"/>
      <c r="K6" s="33"/>
      <c r="L6" s="34"/>
      <c r="M6" s="34"/>
      <c r="N6" s="34"/>
      <c r="O6" s="34"/>
      <c r="P6" s="34"/>
      <c r="Q6" s="35"/>
      <c r="AA6" s="273"/>
    </row>
    <row r="7" spans="3:35">
      <c r="C7" s="105" t="str">
        <f>VLOOKUP(884,Sprachindex!$A:$Z,Erhebungsbogen!$Y$20,FALSE)</f>
        <v>Straße:</v>
      </c>
      <c r="D7" s="472">
        <f>Erhebungsbogen!F10</f>
        <v>0</v>
      </c>
      <c r="E7" s="472"/>
      <c r="F7" s="472"/>
      <c r="G7" s="472"/>
      <c r="H7" s="472"/>
      <c r="I7" s="472"/>
      <c r="K7" s="110" t="str">
        <f>VLOOKUP(1791,Sprachindex!$A:$Z,Erhebungsbogen!$Y$20,FALSE)</f>
        <v>RAL oder PREFA Farbe:</v>
      </c>
      <c r="Q7" s="37"/>
      <c r="AA7" s="273">
        <f>Erhebungsbogen!S26</f>
        <v>1</v>
      </c>
      <c r="AB7" s="142" t="s">
        <v>22065</v>
      </c>
      <c r="AH7" s="49"/>
    </row>
    <row r="8" spans="3:35" ht="2.1" customHeight="1">
      <c r="C8" s="105"/>
      <c r="D8" s="27"/>
      <c r="E8" s="27"/>
      <c r="F8" s="27"/>
      <c r="G8" s="27"/>
      <c r="H8" s="27"/>
      <c r="I8" s="27"/>
      <c r="K8" s="36"/>
      <c r="Q8" s="37"/>
      <c r="AA8" s="273"/>
    </row>
    <row r="9" spans="3:35">
      <c r="C9" s="105" t="str">
        <f>VLOOKUP(641,Sprachindex!$A:$Z,Erhebungsbogen!$Y$20,FALSE)</f>
        <v>Ort:</v>
      </c>
      <c r="D9" s="472">
        <f>Erhebungsbogen!F12</f>
        <v>0</v>
      </c>
      <c r="E9" s="472"/>
      <c r="F9" s="472"/>
      <c r="G9" s="472"/>
      <c r="H9" s="472"/>
      <c r="I9" s="472"/>
      <c r="K9" s="471" t="str">
        <f>IF(Erhebungsbogen!D36&gt;"",Erhebungsbogen!D36,"")</f>
        <v/>
      </c>
      <c r="L9" s="472"/>
      <c r="M9" s="472"/>
      <c r="N9" s="472"/>
      <c r="O9" s="472"/>
      <c r="P9" s="472"/>
      <c r="Q9" s="473"/>
      <c r="S9" s="423" t="str">
        <f>VLOOKUP(1608,Sprachindex!$A:$Z,Erhebungsbogen!$Y$20,FALSE)</f>
        <v>Abdeckung</v>
      </c>
      <c r="T9" s="424"/>
      <c r="U9" s="424"/>
      <c r="V9" s="424"/>
      <c r="W9" s="424"/>
      <c r="X9" s="425"/>
      <c r="AA9" s="273">
        <f>Erhebungsbogen!S26</f>
        <v>1</v>
      </c>
      <c r="AB9" s="142" t="s">
        <v>22066</v>
      </c>
      <c r="AH9" s="49"/>
      <c r="AI9" s="49"/>
    </row>
    <row r="10" spans="3:35" ht="2.1" customHeight="1">
      <c r="C10" s="105"/>
      <c r="D10" s="27"/>
      <c r="E10" s="27"/>
      <c r="F10" s="27"/>
      <c r="G10" s="27"/>
      <c r="H10" s="27"/>
      <c r="I10" s="27"/>
      <c r="K10" s="36"/>
      <c r="Q10" s="37"/>
      <c r="S10" s="33"/>
      <c r="T10" s="35"/>
      <c r="U10" s="33"/>
      <c r="V10" s="35"/>
      <c r="W10" s="33"/>
      <c r="X10" s="35"/>
      <c r="AA10" s="273"/>
      <c r="AH10" s="49"/>
      <c r="AI10" s="49"/>
    </row>
    <row r="11" spans="3:35">
      <c r="C11" s="105" t="str">
        <f>VLOOKUP(901,Sprachindex!$A:$Z,Erhebungsbogen!$Y$20,FALSE)</f>
        <v>Telefon:</v>
      </c>
      <c r="D11" s="476">
        <f>Erhebungsbogen!F14</f>
        <v>0</v>
      </c>
      <c r="E11" s="476"/>
      <c r="F11" s="476"/>
      <c r="G11" s="476"/>
      <c r="H11" s="476"/>
      <c r="I11" s="476"/>
      <c r="K11" s="491" t="str">
        <f>VLOOKUP(2117,Sprachindex!$A:$Z,Erhebungsbogen!$Y$20,FALSE)</f>
        <v>Beschichtungsteile</v>
      </c>
      <c r="L11" s="492"/>
      <c r="M11" s="492"/>
      <c r="N11" s="492"/>
      <c r="O11" s="492"/>
      <c r="P11" s="492"/>
      <c r="Q11" s="493"/>
      <c r="S11" s="36"/>
      <c r="T11" s="37"/>
      <c r="U11" s="474" t="str">
        <f>VLOOKUP(1755,Sprachindex!$A:$Z,Erhebungsbogen!$Y$20,FALSE)</f>
        <v>Links</v>
      </c>
      <c r="V11" s="475"/>
      <c r="W11" s="474" t="str">
        <f>VLOOKUP(1792,Sprachindex!$A:$Z,Erhebungsbogen!$Y$20,FALSE)</f>
        <v>Rechts</v>
      </c>
      <c r="X11" s="475"/>
      <c r="AA11" s="273" t="b">
        <f>Erhebungsbogen!S38</f>
        <v>0</v>
      </c>
      <c r="AB11" s="142" t="s">
        <v>22067</v>
      </c>
      <c r="AH11" s="49"/>
      <c r="AI11" s="49"/>
    </row>
    <row r="12" spans="3:35" ht="2.1" customHeight="1">
      <c r="C12" s="105"/>
      <c r="D12" s="27"/>
      <c r="E12" s="27"/>
      <c r="F12" s="27"/>
      <c r="G12" s="27"/>
      <c r="H12" s="27"/>
      <c r="I12" s="27"/>
      <c r="K12" s="36"/>
      <c r="Q12" s="37"/>
      <c r="S12" s="43"/>
      <c r="T12" s="38"/>
      <c r="U12" s="43"/>
      <c r="V12" s="38"/>
      <c r="W12" s="43"/>
      <c r="X12" s="38"/>
      <c r="AA12" s="273"/>
    </row>
    <row r="13" spans="3:35">
      <c r="C13" s="105" t="str">
        <f>VLOOKUP(1698,Sprachindex!$A:$Z,Erhebungsbogen!$Y$20,FALSE)</f>
        <v>eMail:</v>
      </c>
      <c r="D13" s="472">
        <f>Erhebungsbogen!F16</f>
        <v>0</v>
      </c>
      <c r="E13" s="472"/>
      <c r="F13" s="472"/>
      <c r="G13" s="472"/>
      <c r="H13" s="472"/>
      <c r="I13" s="472"/>
      <c r="K13" s="494" t="str">
        <f>VLOOKUP(1608,Sprachindex!$A:$Z,Erhebungsbogen!$Y$20,FALSE)</f>
        <v>Abdeckung</v>
      </c>
      <c r="L13" s="494"/>
      <c r="M13" s="495"/>
      <c r="N13" s="498" t="str">
        <f>VLOOKUP(1659,Sprachindex!$A:$Z,Erhebungsbogen!$Y$20,FALSE) &amp; " (≤ 3 m)"</f>
        <v>Dammbalken (≤ 3 m)</v>
      </c>
      <c r="O13" s="494"/>
      <c r="P13" s="494"/>
      <c r="Q13" s="494"/>
      <c r="S13" s="110" t="str">
        <f>VLOOKUP(1742,Sprachindex!$A:$Z,Erhebungsbogen!$Y$20,FALSE)</f>
        <v>keine</v>
      </c>
      <c r="T13" s="329"/>
      <c r="U13" s="110"/>
      <c r="V13" s="329"/>
      <c r="W13" s="110"/>
      <c r="X13" s="329"/>
      <c r="AA13" s="273" t="b">
        <f>Erhebungsbogen!S39</f>
        <v>0</v>
      </c>
      <c r="AB13" s="142" t="s">
        <v>22068</v>
      </c>
      <c r="AH13" s="49"/>
      <c r="AI13" s="49"/>
    </row>
    <row r="14" spans="3:35" ht="2.1" customHeight="1">
      <c r="C14" s="105"/>
      <c r="D14" s="27"/>
      <c r="E14" s="27"/>
      <c r="F14" s="27"/>
      <c r="G14" s="27"/>
      <c r="H14" s="27"/>
      <c r="I14" s="27"/>
      <c r="K14" s="62"/>
      <c r="L14" s="63"/>
      <c r="M14" s="63"/>
      <c r="N14" s="63"/>
      <c r="O14" s="63"/>
      <c r="P14" s="103"/>
      <c r="Q14" s="64"/>
      <c r="S14" s="36"/>
      <c r="T14" s="37"/>
      <c r="U14" s="36"/>
      <c r="V14" s="37"/>
      <c r="W14" s="36"/>
      <c r="X14" s="37"/>
      <c r="AA14" s="273"/>
      <c r="AH14" s="49"/>
      <c r="AI14" s="49"/>
    </row>
    <row r="15" spans="3:35">
      <c r="C15" s="105" t="str">
        <f>VLOOKUP(203,Sprachindex!$A:$Z,Erhebungsbogen!$Y$20,FALSE)</f>
        <v>Bauvorhaben:</v>
      </c>
      <c r="D15" s="472">
        <f>Erhebungsbogen!F18</f>
        <v>0</v>
      </c>
      <c r="E15" s="472"/>
      <c r="F15" s="472"/>
      <c r="G15" s="472"/>
      <c r="H15" s="472"/>
      <c r="I15" s="472"/>
      <c r="K15" s="496" t="str">
        <f>VLOOKUP(1811,Sprachindex!$A:$Z,Erhebungsbogen!$Y$20,FALSE)</f>
        <v>Seitenteile</v>
      </c>
      <c r="L15" s="496"/>
      <c r="M15" s="497"/>
      <c r="N15" s="499" t="str">
        <f>VLOOKUP(1751,Sprachindex!$A:$Z,Erhebungsbogen!$Y$20,FALSE)</f>
        <v>Lagerabdeckung</v>
      </c>
      <c r="O15" s="496"/>
      <c r="P15" s="496"/>
      <c r="Q15" s="496"/>
      <c r="S15" s="110" t="str">
        <f>VLOOKUP(1715,Sprachindex!$A:$Z,Erhebungsbogen!$Y$20,FALSE)</f>
        <v>Gerade V</v>
      </c>
      <c r="T15" s="329"/>
      <c r="U15" s="110"/>
      <c r="V15" s="329"/>
      <c r="W15" s="110"/>
      <c r="X15" s="329"/>
      <c r="AA15" s="273" t="b">
        <f>Erhebungsbogen!S40</f>
        <v>0</v>
      </c>
      <c r="AB15" s="142" t="s">
        <v>22069</v>
      </c>
      <c r="AH15" s="49"/>
      <c r="AI15" s="49"/>
    </row>
    <row r="16" spans="3:35">
      <c r="C16" s="105" t="str">
        <f>VLOOKUP(660,Sprachindex!$A:$Z,Erhebungsbogen!$Y$20,FALSE)</f>
        <v>Pos.</v>
      </c>
      <c r="D16" s="477"/>
      <c r="E16" s="477"/>
      <c r="F16" s="477"/>
      <c r="G16" s="477"/>
      <c r="H16" s="477"/>
      <c r="I16" s="477"/>
      <c r="S16" s="327" t="str">
        <f>VLOOKUP(1022,Sprachindex!$A:$Z,Erhebungsbogen!$Y$20,FALSE) &amp; " VO"</f>
        <v>Winkel VO</v>
      </c>
      <c r="T16" s="328"/>
      <c r="U16" s="327"/>
      <c r="V16" s="328"/>
      <c r="W16" s="327"/>
      <c r="X16" s="328"/>
      <c r="AA16" s="273" t="b">
        <f>Erhebungsbogen!S41</f>
        <v>0</v>
      </c>
      <c r="AB16" s="142" t="s">
        <v>22070</v>
      </c>
      <c r="AG16" s="67"/>
      <c r="AH16" s="49"/>
      <c r="AI16" s="49"/>
    </row>
    <row r="17" spans="2:38">
      <c r="B17" s="423" t="str">
        <f>VLOOKUP(1768,Sprachindex!$A:$Z,Erhebungsbogen!$Y$20,FALSE)</f>
        <v>Montageart</v>
      </c>
      <c r="C17" s="424"/>
      <c r="D17" s="424"/>
      <c r="E17" s="424"/>
      <c r="F17" s="424"/>
      <c r="G17" s="424"/>
      <c r="H17" s="424"/>
      <c r="I17" s="425"/>
      <c r="K17" s="423" t="str">
        <f>VLOOKUP(1793,Sprachindex!$A:$Z,Erhebungsbogen!$Y$20,FALSE)</f>
        <v>Rundprofil</v>
      </c>
      <c r="L17" s="424"/>
      <c r="M17" s="424"/>
      <c r="N17" s="424"/>
      <c r="O17" s="424"/>
      <c r="P17" s="424"/>
      <c r="Q17" s="425"/>
      <c r="AA17" s="273">
        <f>Erhebungsbogen!X42</f>
        <v>1</v>
      </c>
      <c r="AB17" s="142" t="s">
        <v>22071</v>
      </c>
      <c r="AH17" s="49"/>
      <c r="AI17" s="68"/>
    </row>
    <row r="18" spans="2:38" ht="12.75" customHeight="1">
      <c r="B18" s="478" t="str">
        <f>VLOOKUP(1755,Sprachindex!$A:$Z,Erhebungsbogen!$Y$20,FALSE)</f>
        <v>Links</v>
      </c>
      <c r="C18" s="478"/>
      <c r="D18" s="478"/>
      <c r="E18" s="478"/>
      <c r="F18" s="478" t="str">
        <f>VLOOKUP(1792,Sprachindex!$A:$Z,Erhebungsbogen!$Y$20,FALSE)</f>
        <v>Rechts</v>
      </c>
      <c r="G18" s="478"/>
      <c r="H18" s="478"/>
      <c r="I18" s="478"/>
      <c r="K18" s="458" t="str">
        <f>VLOOKUP(1793,Sprachindex!$A:$Z,Erhebungsbogen!$Y$20,FALSE)</f>
        <v>Rundprofil</v>
      </c>
      <c r="L18" s="459"/>
      <c r="M18" s="459"/>
      <c r="N18" s="459"/>
      <c r="O18" s="37"/>
      <c r="Q18" s="37"/>
      <c r="S18" s="423" t="str">
        <f>VLOOKUP(2119,Sprachindex!$A:$Z,Erhebungsbogen!$Y$20,FALSE)</f>
        <v>Systemwahl</v>
      </c>
      <c r="T18" s="424"/>
      <c r="U18" s="424"/>
      <c r="V18" s="424"/>
      <c r="W18" s="424"/>
      <c r="X18" s="425"/>
      <c r="AA18" s="322">
        <f>Erhebungsbogen!S27</f>
        <v>1</v>
      </c>
      <c r="AB18" s="323" t="s">
        <v>22639</v>
      </c>
      <c r="AC18" s="324"/>
      <c r="AD18" s="324"/>
      <c r="AE18" s="324"/>
      <c r="AF18" s="325">
        <f>Erhebungsbogen!S27</f>
        <v>1</v>
      </c>
      <c r="AG18" s="326" t="s">
        <v>22640</v>
      </c>
    </row>
    <row r="19" spans="2:38">
      <c r="B19" s="33"/>
      <c r="C19" s="34"/>
      <c r="D19" s="34"/>
      <c r="E19" s="35"/>
      <c r="F19" s="33"/>
      <c r="G19" s="34"/>
      <c r="H19" s="34"/>
      <c r="I19" s="35"/>
      <c r="K19" s="500" t="str">
        <f>VLOOKUP(1809,Sprachindex!$A:$Z,Erhebungsbogen!$Y$20,FALSE)</f>
        <v>Rundprofil Groß</v>
      </c>
      <c r="L19" s="501"/>
      <c r="M19" s="501"/>
      <c r="N19" s="501"/>
      <c r="O19" s="38"/>
      <c r="Q19" s="37"/>
      <c r="S19" s="478" t="str">
        <f>VLOOKUP(1844,Sprachindex!$A:$Z,Erhebungsbogen!$Y$20,FALSE)</f>
        <v>System 25:</v>
      </c>
      <c r="T19" s="478"/>
      <c r="U19" s="478" t="str">
        <f>VLOOKUP(1846,Sprachindex!$A:$Z,Erhebungsbogen!$Y$20,FALSE)</f>
        <v>System 50:</v>
      </c>
      <c r="V19" s="478"/>
      <c r="W19" s="478" t="str">
        <f>VLOOKUP(1847,Sprachindex!$A:$Z,Erhebungsbogen!$Y$20,FALSE)</f>
        <v>System 80:</v>
      </c>
      <c r="X19" s="478"/>
      <c r="AA19" s="273">
        <v>3</v>
      </c>
      <c r="AB19" s="21" t="s">
        <v>22072</v>
      </c>
    </row>
    <row r="20" spans="2:38">
      <c r="B20" s="36"/>
      <c r="E20" s="37"/>
      <c r="F20" s="36"/>
      <c r="I20" s="37"/>
      <c r="K20" s="467" t="str">
        <f>VLOOKUP(1808,Sprachindex!$A:$Z,Erhebungsbogen!$Y$20,FALSE)</f>
        <v>Rundprofil 90°</v>
      </c>
      <c r="L20" s="468"/>
      <c r="M20" s="468"/>
      <c r="N20" s="469"/>
      <c r="O20" s="267"/>
      <c r="Q20" s="37"/>
      <c r="S20" s="460" t="s">
        <v>21826</v>
      </c>
      <c r="T20" s="460"/>
      <c r="U20" s="460" t="s">
        <v>21828</v>
      </c>
      <c r="V20" s="460"/>
      <c r="W20" s="460" t="s">
        <v>21826</v>
      </c>
      <c r="X20" s="460"/>
      <c r="AA20" s="273">
        <v>1</v>
      </c>
      <c r="AB20" s="21" t="s">
        <v>22073</v>
      </c>
    </row>
    <row r="21" spans="2:38">
      <c r="B21" s="36"/>
      <c r="E21" s="37"/>
      <c r="F21" s="36"/>
      <c r="I21" s="37"/>
      <c r="K21" s="464" t="str">
        <f>VLOOKUP(1810,Sprachindex!$A:$Z,Erhebungsbogen!$Y$20,FALSE)</f>
        <v>Rundprofil Vario</v>
      </c>
      <c r="L21" s="465"/>
      <c r="M21" s="466"/>
      <c r="N21" s="266"/>
      <c r="O21" s="268"/>
      <c r="P21" s="39"/>
      <c r="Q21" s="38"/>
      <c r="S21" s="460" t="s">
        <v>21827</v>
      </c>
      <c r="T21" s="460"/>
      <c r="U21" s="460" t="s">
        <v>21829</v>
      </c>
      <c r="V21" s="460"/>
      <c r="W21" s="460" t="s">
        <v>21830</v>
      </c>
      <c r="X21" s="460"/>
      <c r="AA21" s="273" t="b">
        <v>0</v>
      </c>
      <c r="AB21" s="21" t="s">
        <v>22074</v>
      </c>
      <c r="AG21" s="42" t="s">
        <v>21831</v>
      </c>
    </row>
    <row r="22" spans="2:38">
      <c r="B22" s="43"/>
      <c r="C22" s="39"/>
      <c r="D22" s="39"/>
      <c r="E22" s="38"/>
      <c r="F22" s="43"/>
      <c r="G22" s="39"/>
      <c r="H22" s="39"/>
      <c r="I22" s="38"/>
      <c r="AA22" s="273" t="b">
        <v>0</v>
      </c>
      <c r="AB22" s="21" t="s">
        <v>22075</v>
      </c>
      <c r="AG22" s="44" t="str">
        <f>IF(AA19=1,"","15°")</f>
        <v>15°</v>
      </c>
    </row>
    <row r="23" spans="2:38">
      <c r="B23" s="338" t="str">
        <f>VLOOKUP(1867,Sprachindex!$A:$Z,Erhebungsbogen!$Y$20,FALSE)</f>
        <v>Vor der Leibung</v>
      </c>
      <c r="C23" s="34"/>
      <c r="D23" s="34"/>
      <c r="E23" s="35"/>
      <c r="F23" s="339" t="str">
        <f>VLOOKUP(1867,Sprachindex!$A:$Z,Erhebungsbogen!$Y$20,FALSE)</f>
        <v>Vor der Leibung</v>
      </c>
      <c r="I23" s="37"/>
      <c r="K23" s="423" t="str">
        <f>VLOOKUP(1815,Sprachindex!$A:$Z,Erhebungsbogen!$Y$20,FALSE)</f>
        <v>Sonderkosten</v>
      </c>
      <c r="L23" s="424"/>
      <c r="M23" s="424"/>
      <c r="N23" s="424"/>
      <c r="O23" s="424"/>
      <c r="P23" s="424"/>
      <c r="Q23" s="424"/>
      <c r="R23" s="424"/>
      <c r="S23" s="424"/>
      <c r="T23" s="424"/>
      <c r="U23" s="424"/>
      <c r="V23" s="424"/>
      <c r="W23" s="424"/>
      <c r="X23" s="425"/>
      <c r="AA23" s="273" t="b">
        <v>0</v>
      </c>
      <c r="AB23" s="21" t="s">
        <v>22076</v>
      </c>
      <c r="AG23" s="44" t="str">
        <f>IF(AA19=1,"","30°")</f>
        <v>30°</v>
      </c>
    </row>
    <row r="24" spans="2:38">
      <c r="B24" s="102" t="str">
        <f>VLOOKUP(1739,Sprachindex!$A:$Z,Erhebungsbogen!$Y$20,FALSE)</f>
        <v>In der Leibung</v>
      </c>
      <c r="C24" s="45"/>
      <c r="D24" s="45"/>
      <c r="E24" s="46"/>
      <c r="F24" s="99" t="str">
        <f>VLOOKUP(1739,Sprachindex!$A:$Z,Erhebungsbogen!$Y$20,FALSE)</f>
        <v>In der Leibung</v>
      </c>
      <c r="G24" s="45"/>
      <c r="H24" s="45"/>
      <c r="I24" s="46"/>
      <c r="K24" s="445" t="str">
        <f>VLOOKUP(2259,Sprachindex!$A:$Z,Erhebungsbogen!$Y$20,FALSE)</f>
        <v>Ausfräsungen Dammbalken</v>
      </c>
      <c r="L24" s="446"/>
      <c r="M24" s="446"/>
      <c r="N24" s="446"/>
      <c r="O24" s="446"/>
      <c r="P24" s="253" t="s">
        <v>20872</v>
      </c>
      <c r="Q24" s="280"/>
      <c r="R24" s="462" t="str">
        <f>VLOOKUP(1629,Sprachindex!$A:$Z,Erhebungsbogen!$Y$20,FALSE)</f>
        <v>Ausfräsung Seitenteile für DB</v>
      </c>
      <c r="S24" s="463"/>
      <c r="T24" s="463"/>
      <c r="U24" s="463"/>
      <c r="V24" s="463"/>
      <c r="W24" s="109" t="s">
        <v>20872</v>
      </c>
      <c r="X24" s="270"/>
      <c r="AA24" s="273" t="b">
        <v>0</v>
      </c>
      <c r="AB24" s="21" t="s">
        <v>22077</v>
      </c>
      <c r="AG24" s="32" t="str">
        <f>IF(AA19=1,"","45°")</f>
        <v>45°</v>
      </c>
    </row>
    <row r="25" spans="2:38">
      <c r="B25" s="101" t="str">
        <f>VLOOKUP(1658,Sprachindex!$A:$Z,Erhebungsbogen!$Y$20,FALSE)</f>
        <v>Bündig</v>
      </c>
      <c r="C25" s="39"/>
      <c r="D25" s="39"/>
      <c r="E25" s="38"/>
      <c r="F25" s="100" t="str">
        <f>VLOOKUP(1658,Sprachindex!$A:$Z,Erhebungsbogen!$Y$20,FALSE)</f>
        <v>Bündig</v>
      </c>
      <c r="G25" s="39"/>
      <c r="H25" s="39"/>
      <c r="I25" s="38"/>
      <c r="K25" s="434" t="str">
        <f>VLOOKUP(1753,Sprachindex!$A:$Z,Erhebungsbogen!$Y$20,FALSE)</f>
        <v>Längenänderung Seitenteile</v>
      </c>
      <c r="L25" s="435"/>
      <c r="M25" s="435"/>
      <c r="N25" s="435"/>
      <c r="O25" s="435"/>
      <c r="P25" s="108" t="s">
        <v>20872</v>
      </c>
      <c r="Q25" s="269"/>
      <c r="R25" s="434" t="str">
        <f>VLOOKUP(1627,Sprachindex!$A:$Z,Erhebungsbogen!$Y$20,FALSE)</f>
        <v>Aufpreis Planungsstunde</v>
      </c>
      <c r="S25" s="435"/>
      <c r="T25" s="435"/>
      <c r="U25" s="435"/>
      <c r="V25" s="435"/>
      <c r="W25" s="108" t="s">
        <v>20848</v>
      </c>
      <c r="X25" s="268"/>
      <c r="AA25" s="273" t="b">
        <v>0</v>
      </c>
      <c r="AB25" s="21" t="s">
        <v>21834</v>
      </c>
      <c r="AG25" s="32" t="str">
        <f>IF(AA19=1,"","60°")</f>
        <v>60°</v>
      </c>
    </row>
    <row r="26" spans="2:38">
      <c r="AA26" s="273" t="b">
        <v>0</v>
      </c>
      <c r="AB26" s="21" t="s">
        <v>21835</v>
      </c>
      <c r="AG26" s="32" t="str">
        <f>IF(OR(AA19=2,AA19=3),"75°","")</f>
        <v>75°</v>
      </c>
      <c r="AI26" s="95">
        <f>26+$AA$7</f>
        <v>27</v>
      </c>
      <c r="AJ26" s="95"/>
      <c r="AK26" s="95"/>
      <c r="AL26" s="95"/>
    </row>
    <row r="27" spans="2:38">
      <c r="B27" s="423" t="str">
        <f>VLOOKUP(1671,Sprachindex!$A:$Z,Erhebungsbogen!$Y$20,FALSE)</f>
        <v>Dateneingabe</v>
      </c>
      <c r="C27" s="424"/>
      <c r="D27" s="424"/>
      <c r="E27" s="424"/>
      <c r="F27" s="424"/>
      <c r="G27" s="424"/>
      <c r="H27" s="424"/>
      <c r="I27" s="425"/>
      <c r="K27" s="423" t="str">
        <f>VLOOKUP(1872,Sprachindex!$A:$Z,Erhebungsbogen!$Y$20,FALSE)</f>
        <v>Zubehör</v>
      </c>
      <c r="L27" s="424"/>
      <c r="M27" s="424"/>
      <c r="N27" s="424"/>
      <c r="O27" s="424"/>
      <c r="P27" s="424"/>
      <c r="Q27" s="425"/>
      <c r="AA27" s="273" t="b">
        <f>IF(AA37=1,TRUE,FALSE)</f>
        <v>1</v>
      </c>
      <c r="AB27" s="142" t="s">
        <v>20650</v>
      </c>
      <c r="AJ27" s="21">
        <v>58.4</v>
      </c>
    </row>
    <row r="28" spans="2:38">
      <c r="B28" s="482" t="str">
        <f>VLOOKUP(1754,Sprachindex!$A:$Z,Erhebungsbogen!$Y$20,FALSE)</f>
        <v>Lichteweite [mm]:</v>
      </c>
      <c r="C28" s="483"/>
      <c r="D28" s="483"/>
      <c r="E28" s="483"/>
      <c r="F28" s="483"/>
      <c r="G28" s="484"/>
      <c r="H28" s="449">
        <f>Erhebungsbogen!D24</f>
        <v>0</v>
      </c>
      <c r="I28" s="450"/>
      <c r="K28" s="445" t="str">
        <f>VLOOKUP(1814,Sprachindex!$A:$Z,Erhebungsbogen!$Y$20,FALSE)</f>
        <v>Sicherungsschraube für Abdeckung</v>
      </c>
      <c r="L28" s="446"/>
      <c r="M28" s="446"/>
      <c r="N28" s="446"/>
      <c r="O28" s="446"/>
      <c r="P28" s="447"/>
      <c r="Q28" s="448"/>
      <c r="S28" s="444" t="s">
        <v>22591</v>
      </c>
      <c r="T28" s="444"/>
      <c r="U28" s="444"/>
      <c r="V28" s="444"/>
      <c r="W28" s="444"/>
      <c r="X28" s="444"/>
      <c r="Z28" s="319" t="e">
        <f>IF(AND(W29&lt;100%,W31&lt;100%,X30&gt;=Haftungsausschluß!L34),1,0)</f>
        <v>#DIV/0!</v>
      </c>
      <c r="AA28" s="273" t="b">
        <f>IF(AA37=2,TRUE,FALSE)</f>
        <v>0</v>
      </c>
      <c r="AB28" s="142" t="s">
        <v>20623</v>
      </c>
    </row>
    <row r="29" spans="2:38">
      <c r="B29" s="452" t="str">
        <f>VLOOKUP(1834,Sprachindex!$A:$Z,Erhebungsbogen!$Y$20,FALSE)</f>
        <v>Stauhöhe (BHW) [mm]:</v>
      </c>
      <c r="C29" s="453"/>
      <c r="D29" s="453"/>
      <c r="E29" s="453"/>
      <c r="F29" s="453"/>
      <c r="G29" s="454"/>
      <c r="H29" s="485">
        <f>Erhebungsbogen!D21</f>
        <v>0</v>
      </c>
      <c r="I29" s="486"/>
      <c r="K29" s="421" t="str">
        <f>VLOOKUP(2120,Sprachindex!$A:$Z,Erhebungsbogen!$Y$20,FALSE)</f>
        <v>Niederhalter Dammbalken</v>
      </c>
      <c r="L29" s="422"/>
      <c r="M29" s="422"/>
      <c r="N29" s="422"/>
      <c r="O29" s="422"/>
      <c r="P29" s="106" t="s">
        <v>20872</v>
      </c>
      <c r="Q29" s="271"/>
      <c r="S29" s="432" t="str">
        <f>VLOOKUP(1853,Sprachindex!$A:$Z,Erhebungsbogen!$Y$20,FALSE)</f>
        <v>Tragsicherheitsauslastung</v>
      </c>
      <c r="T29" s="432"/>
      <c r="U29" s="432"/>
      <c r="V29" s="432"/>
      <c r="W29" s="443" t="e">
        <f>Kalk1_Eingabe!I54</f>
        <v>#DIV/0!</v>
      </c>
      <c r="X29" s="443"/>
      <c r="AA29" s="273" t="b">
        <f>Erhebungsbogen!S43</f>
        <v>0</v>
      </c>
      <c r="AB29" s="142" t="s">
        <v>21822</v>
      </c>
    </row>
    <row r="30" spans="2:38">
      <c r="B30" s="317"/>
      <c r="C30" s="45"/>
      <c r="D30" s="45"/>
      <c r="E30" s="45"/>
      <c r="F30" s="45"/>
      <c r="G30" s="45"/>
      <c r="H30" s="318"/>
      <c r="I30" s="46"/>
      <c r="K30" s="421" t="str">
        <f>VLOOKUP(1819,Sprachindex!$A:$Z,Erhebungsbogen!$Y$20,FALSE)</f>
        <v>Spannstück mit Sterngriff</v>
      </c>
      <c r="L30" s="422"/>
      <c r="M30" s="422"/>
      <c r="N30" s="422"/>
      <c r="O30" s="422"/>
      <c r="P30" s="446"/>
      <c r="Q30" s="451"/>
      <c r="S30" s="427" t="str">
        <f>VLOOKUP(1688,Sprachindex!$A:$Z,Erhebungsbogen!$Y$20,FALSE)</f>
        <v>Durchbiegung</v>
      </c>
      <c r="T30" s="427"/>
      <c r="U30" s="427"/>
      <c r="V30" s="427"/>
      <c r="W30" s="251" t="s">
        <v>22590</v>
      </c>
      <c r="X30" s="252">
        <f>Kalk1_Eingabe!J55</f>
        <v>176753777.77777779</v>
      </c>
      <c r="AA30" s="273" t="b">
        <f>Erhebungsbogen!S44</f>
        <v>0</v>
      </c>
      <c r="AB30" s="142" t="s">
        <v>21836</v>
      </c>
    </row>
    <row r="31" spans="2:38">
      <c r="B31" s="452" t="str">
        <f>VLOOKUP(1714,Sprachindex!$A:$Z,Erhebungsbogen!$Y$20,FALSE)</f>
        <v>Freibord [mm]:</v>
      </c>
      <c r="C31" s="453"/>
      <c r="D31" s="453"/>
      <c r="E31" s="453"/>
      <c r="F31" s="453"/>
      <c r="G31" s="454"/>
      <c r="H31" s="485"/>
      <c r="I31" s="486"/>
      <c r="K31" s="421" t="str">
        <f>VLOOKUP(1817,Sprachindex!$A:$Z,Erhebungsbogen!$Y$20,FALSE)</f>
        <v>Spannstück mit 6-Kantschraube</v>
      </c>
      <c r="L31" s="422"/>
      <c r="M31" s="422"/>
      <c r="N31" s="422"/>
      <c r="O31" s="422"/>
      <c r="P31" s="422"/>
      <c r="Q31" s="451"/>
      <c r="S31" s="427" t="str">
        <f>VLOOKUP(1761,Sprachindex!$A:$Z,Erhebungsbogen!$Y$20,FALSE)</f>
        <v>mit Treibgut</v>
      </c>
      <c r="T31" s="427"/>
      <c r="U31" s="427"/>
      <c r="V31" s="427"/>
      <c r="W31" s="443" t="e">
        <f>Kalk1_Eingabe!I56</f>
        <v>#DIV/0!</v>
      </c>
      <c r="X31" s="443"/>
      <c r="AA31" s="273" t="b">
        <f>Erhebungsbogen!S45</f>
        <v>0</v>
      </c>
      <c r="AB31" s="142" t="s">
        <v>19831</v>
      </c>
      <c r="AG31" s="27" t="s">
        <v>21837</v>
      </c>
      <c r="AH31" s="27"/>
      <c r="AI31" s="27"/>
      <c r="AJ31" s="27"/>
      <c r="AK31" s="27"/>
    </row>
    <row r="32" spans="2:38">
      <c r="B32" s="452" t="str">
        <f>VLOOKUP(1621,Sprachindex!$A:$Z,Erhebungsbogen!$Y$20,FALSE)</f>
        <v>Anströmwinkel [°]:</v>
      </c>
      <c r="C32" s="453"/>
      <c r="D32" s="453"/>
      <c r="E32" s="453"/>
      <c r="F32" s="453"/>
      <c r="G32" s="454"/>
      <c r="H32" s="485"/>
      <c r="I32" s="486"/>
      <c r="K32" s="421" t="str">
        <f>VLOOKUP(1675,Sprachindex!$A:$Z,Erhebungsbogen!$Y$20,FALSE)</f>
        <v>Dauerbodendichtung:</v>
      </c>
      <c r="L32" s="422"/>
      <c r="M32" s="422"/>
      <c r="N32" s="422"/>
      <c r="O32" s="422"/>
      <c r="P32" s="422"/>
      <c r="Q32" s="451"/>
      <c r="S32" s="27"/>
      <c r="T32" s="27"/>
      <c r="U32" s="27"/>
      <c r="V32" s="27"/>
      <c r="W32" s="27"/>
      <c r="X32" s="27"/>
      <c r="AA32" s="273" t="b">
        <f>IF(H33&gt;1,TRUE,FALSE)</f>
        <v>0</v>
      </c>
      <c r="AB32" s="21" t="s">
        <v>22064</v>
      </c>
      <c r="AG32" s="27" t="s">
        <v>21844</v>
      </c>
      <c r="AH32" s="27"/>
      <c r="AI32" s="27"/>
      <c r="AJ32" s="27"/>
      <c r="AK32" s="27"/>
    </row>
    <row r="33" spans="1:39">
      <c r="B33" s="455" t="str">
        <f>VLOOKUP(1623,Sprachindex!$A:$Z,Erhebungsbogen!$Y$20,FALSE)</f>
        <v>Anzahl der Felder:</v>
      </c>
      <c r="C33" s="456"/>
      <c r="D33" s="456"/>
      <c r="E33" s="456"/>
      <c r="F33" s="456"/>
      <c r="G33" s="457"/>
      <c r="H33" s="489">
        <v>1</v>
      </c>
      <c r="I33" s="490"/>
      <c r="K33" s="421" t="str">
        <f>VLOOKUP(1724,Sprachindex!$A:$Z,Erhebungsbogen!$Y$20,FALSE)</f>
        <v>Halterung für Dammbalken</v>
      </c>
      <c r="L33" s="422"/>
      <c r="M33" s="422"/>
      <c r="N33" s="422"/>
      <c r="O33" s="422"/>
      <c r="P33" s="422"/>
      <c r="Q33" s="451"/>
      <c r="S33" s="444" t="s">
        <v>22589</v>
      </c>
      <c r="T33" s="444"/>
      <c r="U33" s="444"/>
      <c r="V33" s="444"/>
      <c r="W33" s="444"/>
      <c r="X33" s="444"/>
      <c r="Y33" s="243"/>
      <c r="AA33" s="273" t="b">
        <v>0</v>
      </c>
      <c r="AB33" s="21" t="s">
        <v>19014</v>
      </c>
      <c r="AG33" s="27" t="s">
        <v>21843</v>
      </c>
      <c r="AH33" s="51">
        <f>H28</f>
        <v>0</v>
      </c>
      <c r="AI33" s="345" t="s">
        <v>25455</v>
      </c>
      <c r="AJ33" s="345" t="s">
        <v>25454</v>
      </c>
      <c r="AK33" s="345" t="s">
        <v>25453</v>
      </c>
    </row>
    <row r="34" spans="1:39">
      <c r="B34" s="479" t="str">
        <f>VLOOKUP(1702,Sprachindex!$A:$Z,Erhebungsbogen!$Y$20,FALSE)</f>
        <v>erf. Profilhöhe f. Spanner:</v>
      </c>
      <c r="C34" s="480"/>
      <c r="D34" s="480"/>
      <c r="E34" s="480"/>
      <c r="F34" s="480"/>
      <c r="G34" s="481"/>
      <c r="H34" s="487">
        <f>AH50</f>
        <v>120</v>
      </c>
      <c r="I34" s="488"/>
      <c r="K34" s="421" t="str">
        <f>VLOOKUP(1751,Sprachindex!$A:$Z,Erhebungsbogen!$Y$20,FALSE)</f>
        <v>Lagerabdeckung</v>
      </c>
      <c r="L34" s="422"/>
      <c r="M34" s="422"/>
      <c r="N34" s="422"/>
      <c r="O34" s="422"/>
      <c r="P34" s="461"/>
      <c r="Q34" s="451"/>
      <c r="S34" s="432" t="str">
        <f>VLOOKUP(1853,Sprachindex!$A:$Z,Erhebungsbogen!$Y$20,FALSE)</f>
        <v>Tragsicherheitsauslastung</v>
      </c>
      <c r="T34" s="432"/>
      <c r="U34" s="432"/>
      <c r="V34" s="432"/>
      <c r="W34" s="443" t="e">
        <f>Kalk1_Eingabe!I59</f>
        <v>#NUM!</v>
      </c>
      <c r="X34" s="443"/>
      <c r="Y34" s="243"/>
      <c r="Z34" s="319" t="e">
        <f>IF(AND(W34&lt;100%,W36&lt;100%,X35&gt;=Haftungsausschluß!L35),1,0)</f>
        <v>#NUM!</v>
      </c>
      <c r="AA34" s="273" t="b">
        <v>0</v>
      </c>
      <c r="AB34" s="21" t="s">
        <v>19027</v>
      </c>
      <c r="AG34" s="27" t="s">
        <v>21840</v>
      </c>
      <c r="AH34" s="51">
        <f>IF(AA7=1,AI34,IF(AA7=2,AJ34,IF(AA7=3,AK34)))</f>
        <v>39</v>
      </c>
      <c r="AI34" s="343">
        <f>IF(AA19=1,33.5,39)</f>
        <v>39</v>
      </c>
      <c r="AJ34" s="343">
        <f>IF(AA19=1,-21.5,-30)</f>
        <v>-30</v>
      </c>
      <c r="AK34" s="343">
        <f>IF(AA19=1,28.5,34)</f>
        <v>34</v>
      </c>
      <c r="AL34" s="344"/>
      <c r="AM34" s="344"/>
    </row>
    <row r="35" spans="1:39">
      <c r="H35" s="426">
        <f>IF(AA19=1,1,H33)</f>
        <v>1</v>
      </c>
      <c r="I35" s="426"/>
      <c r="K35" s="421" t="str">
        <f>VLOOKUP(1727,Sprachindex!$A:$Z,Erhebungsbogen!$Y$20,FALSE)</f>
        <v>Hebehilfe</v>
      </c>
      <c r="L35" s="422"/>
      <c r="M35" s="422"/>
      <c r="N35" s="422"/>
      <c r="O35" s="422"/>
      <c r="P35" s="106" t="s">
        <v>20872</v>
      </c>
      <c r="Q35" s="271">
        <v>1</v>
      </c>
      <c r="S35" s="427" t="str">
        <f>VLOOKUP(1688,Sprachindex!$A:$Z,Erhebungsbogen!$Y$20,FALSE)</f>
        <v>Durchbiegung</v>
      </c>
      <c r="T35" s="427"/>
      <c r="U35" s="427"/>
      <c r="V35" s="427"/>
      <c r="W35" s="251" t="s">
        <v>22590</v>
      </c>
      <c r="X35" s="252" t="e">
        <f>Kalk1_Eingabe!J60</f>
        <v>#DIV/0!</v>
      </c>
      <c r="AG35" s="27" t="s">
        <v>21841</v>
      </c>
      <c r="AH35" s="51">
        <f>IF(AA9=1,AI35,IF(AA9=2,AJ35,IF(AA9=3,AK35)))</f>
        <v>39</v>
      </c>
      <c r="AI35" s="343">
        <f>IF(AA19=1,33.5,39)</f>
        <v>39</v>
      </c>
      <c r="AJ35" s="343">
        <f>IF(AA19=1,-21.5,-30)</f>
        <v>-30</v>
      </c>
      <c r="AK35" s="343">
        <f>IF(AA19=1,28.5,34)</f>
        <v>34</v>
      </c>
      <c r="AL35" s="344"/>
      <c r="AM35" s="344"/>
    </row>
    <row r="36" spans="1:39">
      <c r="B36" s="423" t="str">
        <f>VLOOKUP(1771,Sprachindex!$A:$Z,Erhebungsbogen!$Y$20,FALSE)</f>
        <v>Multiplikator</v>
      </c>
      <c r="C36" s="424"/>
      <c r="D36" s="424"/>
      <c r="E36" s="424"/>
      <c r="F36" s="424"/>
      <c r="G36" s="424"/>
      <c r="H36" s="424"/>
      <c r="I36" s="425"/>
      <c r="K36" s="421" t="str">
        <f>VLOOKUP(1681,Sprachindex!$A:$Z,Erhebungsbogen!$Y$20,FALSE)</f>
        <v>Dichtungsroller 25/50</v>
      </c>
      <c r="L36" s="422"/>
      <c r="M36" s="422"/>
      <c r="N36" s="422"/>
      <c r="O36" s="422"/>
      <c r="P36" s="106" t="s">
        <v>20872</v>
      </c>
      <c r="Q36" s="271"/>
      <c r="S36" s="427" t="str">
        <f>VLOOKUP(1761,Sprachindex!$A:$Z,Erhebungsbogen!$Y$20,FALSE)</f>
        <v>mit Treibgut</v>
      </c>
      <c r="T36" s="427"/>
      <c r="U36" s="427"/>
      <c r="V36" s="427"/>
      <c r="W36" s="443" t="e">
        <f>Kalk1_Eingabe!I61</f>
        <v>#NUM!</v>
      </c>
      <c r="X36" s="443"/>
      <c r="AG36" s="27" t="s">
        <v>21842</v>
      </c>
      <c r="AH36" s="51">
        <f>(H35-1)*AI36</f>
        <v>0</v>
      </c>
      <c r="AI36" s="343">
        <v>-58</v>
      </c>
      <c r="AJ36" s="98"/>
      <c r="AK36" s="98"/>
    </row>
    <row r="37" spans="1:39">
      <c r="B37" s="432" t="str">
        <f>VLOOKUP(1624,Sprachindex!$A:$Z,Erhebungsbogen!$Y$20,FALSE)</f>
        <v>Anzahl der gleichen Systeme:</v>
      </c>
      <c r="C37" s="432"/>
      <c r="D37" s="432"/>
      <c r="E37" s="432"/>
      <c r="F37" s="432"/>
      <c r="G37" s="432"/>
      <c r="H37" s="433">
        <f>Erhebungsbogen!D32</f>
        <v>1</v>
      </c>
      <c r="I37" s="433"/>
      <c r="K37" s="434" t="str">
        <f>VLOOKUP(1682,Sprachindex!$A:$Z,Erhebungsbogen!$Y$20,FALSE)</f>
        <v>Dichtungsroller 80</v>
      </c>
      <c r="L37" s="435"/>
      <c r="M37" s="435"/>
      <c r="N37" s="435"/>
      <c r="O37" s="435"/>
      <c r="P37" s="107" t="s">
        <v>20872</v>
      </c>
      <c r="Q37" s="272"/>
      <c r="AA37" s="273">
        <f>Erhebungsbogen!S28</f>
        <v>1</v>
      </c>
      <c r="AB37" s="21" t="s">
        <v>22630</v>
      </c>
      <c r="AG37" s="27" t="s">
        <v>21846</v>
      </c>
      <c r="AH37" s="51">
        <f>IF(AND(H28&gt;0,H29&gt;0),AH33+AH34+AH35+AH36,0)</f>
        <v>0</v>
      </c>
      <c r="AI37" s="98"/>
      <c r="AJ37" s="98"/>
      <c r="AK37" s="98"/>
    </row>
    <row r="38" spans="1:39">
      <c r="S38" s="385" t="e">
        <f>IF(AND(W29&lt;100%,W31&lt;100%,X30&gt;=Haftungsausschluß!L34,IF(H33=1,TRUE,W34&lt;100%),IF(H33=1,TRUE,W36&lt;100%),IF(H33=1,TRUE,X35&gt;=Haftungsausschluß!L35)),"Gewünschte Eingabe                      statisch in Ordnung","Gewünschte Eingabe                      statisch nicht in Ordnung")</f>
        <v>#DIV/0!</v>
      </c>
      <c r="T38" s="385"/>
      <c r="U38" s="385"/>
      <c r="V38" s="385"/>
      <c r="W38" s="385"/>
      <c r="X38" s="385"/>
      <c r="AG38" s="27" t="s">
        <v>21845</v>
      </c>
      <c r="AH38" s="52">
        <f>AH37/H35</f>
        <v>0</v>
      </c>
      <c r="AI38" s="343"/>
      <c r="AJ38" s="343"/>
      <c r="AK38" s="98"/>
    </row>
    <row r="39" spans="1:39">
      <c r="B39" s="439" t="str">
        <f>VLOOKUP(1667,Sprachindex!$A:$Z,Erhebungsbogen!$Y$20,FALSE) &amp; " [mm]"</f>
        <v>Dammbalkenlänge: [mm]</v>
      </c>
      <c r="C39" s="440"/>
      <c r="D39" s="440"/>
      <c r="E39" s="440"/>
      <c r="F39" s="440"/>
      <c r="G39" s="441"/>
      <c r="H39" s="437" t="str">
        <f>IF(AH38=0,"",AH38)</f>
        <v/>
      </c>
      <c r="I39" s="438"/>
      <c r="S39" s="385"/>
      <c r="T39" s="385"/>
      <c r="U39" s="385"/>
      <c r="V39" s="385"/>
      <c r="W39" s="385"/>
      <c r="X39" s="385"/>
      <c r="AG39" s="27" t="s">
        <v>21847</v>
      </c>
      <c r="AH39" s="51">
        <f>IF(AA19=2,150,200)</f>
        <v>200</v>
      </c>
      <c r="AI39" s="98"/>
      <c r="AJ39" s="98"/>
      <c r="AK39" s="98"/>
    </row>
    <row r="40" spans="1:39" ht="8.1" customHeight="1">
      <c r="AG40" s="27" t="s">
        <v>22115</v>
      </c>
      <c r="AH40" s="52">
        <f>ROUNDUP((AH47+AH48)/AH39,0)</f>
        <v>0</v>
      </c>
      <c r="AI40" s="98" t="s">
        <v>20872</v>
      </c>
      <c r="AJ40" s="98"/>
      <c r="AK40" s="98"/>
    </row>
    <row r="41" spans="1:39">
      <c r="H41" s="442" t="str">
        <f>H39</f>
        <v/>
      </c>
      <c r="I41" s="442"/>
      <c r="AG41" s="27" t="s">
        <v>21848</v>
      </c>
      <c r="AH41" s="52">
        <f>ROUNDUP(H29/AH39,0)*H35*H37</f>
        <v>0</v>
      </c>
      <c r="AI41" s="98" t="s">
        <v>20872</v>
      </c>
      <c r="AJ41" s="98"/>
      <c r="AK41" s="98"/>
    </row>
    <row r="42" spans="1:39" ht="12.75" customHeight="1">
      <c r="AG42" s="27" t="s">
        <v>21838</v>
      </c>
      <c r="AH42" s="51">
        <f>IF(AH41&gt;1,(AH38*AH41*2)/1000,0)</f>
        <v>0</v>
      </c>
      <c r="AI42" s="98" t="s">
        <v>17115</v>
      </c>
      <c r="AJ42" s="98"/>
      <c r="AK42" s="98"/>
    </row>
    <row r="43" spans="1:39" ht="12.75" customHeight="1">
      <c r="K43" s="27"/>
      <c r="T43" s="313" t="str">
        <f>VLOOKUP(1429,Sprachindex!$A:$Z,Erhebungsbogen!$Y$20,FALSE)</f>
        <v>Bearbeiter:</v>
      </c>
      <c r="U43" s="436">
        <f>Erhebungsbogen!P52</f>
        <v>0</v>
      </c>
      <c r="V43" s="436"/>
      <c r="W43" s="436"/>
      <c r="X43" s="436"/>
      <c r="AG43" s="27" t="s">
        <v>21838</v>
      </c>
      <c r="AH43" s="52">
        <f>ROUNDUP(AH42/25,0)</f>
        <v>0</v>
      </c>
      <c r="AI43" s="98" t="s">
        <v>21857</v>
      </c>
      <c r="AJ43" s="98"/>
      <c r="AK43" s="98"/>
    </row>
    <row r="44" spans="1:39">
      <c r="Z44" s="319" t="e">
        <f>IF(H33=1,IF(Z28=1,1,0),IF(H33&gt;1,IF(OR(Z28=0,Z34=0),0,1)))</f>
        <v>#DIV/0!</v>
      </c>
      <c r="AG44" s="27" t="s">
        <v>21839</v>
      </c>
      <c r="AH44" s="51">
        <f>(AH38*H35*H37)/1000</f>
        <v>0</v>
      </c>
      <c r="AI44" s="98" t="s">
        <v>17115</v>
      </c>
      <c r="AJ44" s="98"/>
      <c r="AK44" s="98"/>
    </row>
    <row r="45" spans="1:39">
      <c r="A45" s="428" t="s">
        <v>22603</v>
      </c>
      <c r="B45" s="428"/>
      <c r="C45" s="428"/>
      <c r="D45" s="428"/>
      <c r="E45" s="428"/>
      <c r="F45" s="429" t="str" cm="1">
        <f t="array" aca="1" ref="F45" ca="1">MID(CELL("Dateiname"),FIND("[",CELL("Dateiname"))+1,FIND("]",CELL("Dateiname"))-FIND("[",CELL("Dateiname"))-1)</f>
        <v>02110307_CH-de_Vorlage_Erhebungsbogen Hochwasserschutz_PREFA_2024-4.xlsx</v>
      </c>
      <c r="G45" s="429"/>
      <c r="H45" s="429"/>
      <c r="I45" s="429"/>
      <c r="J45" s="429"/>
      <c r="K45" s="429"/>
      <c r="L45" s="429"/>
      <c r="M45" s="429"/>
      <c r="N45" s="429"/>
      <c r="O45" s="429"/>
      <c r="P45" s="429"/>
      <c r="Q45" s="429"/>
      <c r="R45" s="429"/>
      <c r="S45" s="429"/>
      <c r="T45" s="429"/>
      <c r="U45" s="429"/>
      <c r="V45" s="430" t="s">
        <v>10443</v>
      </c>
      <c r="W45" s="430"/>
      <c r="X45" s="431">
        <f>Erhebungsbogen!W63</f>
        <v>45398</v>
      </c>
      <c r="Y45" s="429"/>
      <c r="AG45" s="27" t="s">
        <v>21839</v>
      </c>
      <c r="AH45" s="52">
        <f>ROUNDUP(AH44,0)</f>
        <v>0</v>
      </c>
      <c r="AI45" s="98" t="s">
        <v>21858</v>
      </c>
      <c r="AJ45" s="98"/>
      <c r="AK45" s="98"/>
    </row>
    <row r="46" spans="1:39" hidden="1">
      <c r="AG46" s="27" t="s">
        <v>21850</v>
      </c>
      <c r="AH46" s="27"/>
      <c r="AI46" s="27"/>
      <c r="AJ46" s="27"/>
      <c r="AK46" s="27"/>
    </row>
    <row r="47" spans="1:39" hidden="1">
      <c r="AG47" s="27" t="s">
        <v>21851</v>
      </c>
      <c r="AH47" s="51">
        <f>H29</f>
        <v>0</v>
      </c>
      <c r="AI47" s="27"/>
      <c r="AJ47" s="27"/>
      <c r="AK47" s="27"/>
    </row>
    <row r="48" spans="1:39" hidden="1">
      <c r="AG48" s="27" t="s">
        <v>21854</v>
      </c>
      <c r="AH48" s="51">
        <f>H31</f>
        <v>0</v>
      </c>
      <c r="AI48" s="27"/>
      <c r="AJ48" s="27"/>
      <c r="AK48" s="27"/>
    </row>
    <row r="49" spans="33:42" hidden="1">
      <c r="AG49" s="27" t="s">
        <v>21852</v>
      </c>
      <c r="AH49" s="51">
        <f>IF(AA19=4,150,120)</f>
        <v>120</v>
      </c>
      <c r="AI49" s="98" t="s">
        <v>21849</v>
      </c>
      <c r="AJ49" s="98"/>
      <c r="AK49" s="27"/>
    </row>
    <row r="50" spans="33:42" hidden="1">
      <c r="AG50" s="27" t="s">
        <v>21853</v>
      </c>
      <c r="AH50" s="51">
        <f>ROUNDUP((AH47+AH48)/AH39,0)*AH39+AH49</f>
        <v>120</v>
      </c>
      <c r="AI50" s="98" t="s">
        <v>21849</v>
      </c>
      <c r="AJ50" s="98"/>
      <c r="AK50" s="27"/>
    </row>
    <row r="51" spans="33:42" hidden="1">
      <c r="AG51" s="27" t="s">
        <v>21855</v>
      </c>
      <c r="AH51" s="52">
        <f>IF(H29&gt;0,IF(AND(AA19=1,AH50&gt;AJ53),0,AI51),0)</f>
        <v>0</v>
      </c>
      <c r="AI51" s="98">
        <f>IF(AH50&lt;=AJ52,AJ52,IF(AH50&lt;=AJ53,AJ53,IF(AH50&lt;=AJ54,AJ54,IF(AH50&lt;=AJ55,AJ55,0))))</f>
        <v>750</v>
      </c>
      <c r="AJ51" s="98"/>
      <c r="AK51" s="27"/>
    </row>
    <row r="52" spans="33:42" hidden="1">
      <c r="AG52" s="27" t="s">
        <v>21856</v>
      </c>
      <c r="AH52" s="52">
        <f>IF(OR(AND(AA19=1,AH50&gt;AJ53),AH50&gt;AJ55),AH50,0)</f>
        <v>0</v>
      </c>
      <c r="AI52" s="98"/>
      <c r="AJ52" s="98">
        <v>750</v>
      </c>
      <c r="AK52" s="27"/>
    </row>
    <row r="53" spans="33:42" hidden="1">
      <c r="AG53" s="27" t="s">
        <v>19519</v>
      </c>
      <c r="AH53" s="147">
        <f>(4+(H35-1)*4)*(MAX(AH51,AH52))*H37/1000</f>
        <v>0</v>
      </c>
      <c r="AI53" s="98" t="s">
        <v>17115</v>
      </c>
      <c r="AJ53" s="98">
        <v>1350</v>
      </c>
      <c r="AM53" s="68" t="s">
        <v>22585</v>
      </c>
      <c r="AN53" s="68" t="s">
        <v>22586</v>
      </c>
      <c r="AO53" s="68" t="s">
        <v>22587</v>
      </c>
      <c r="AP53" s="68" t="s">
        <v>22588</v>
      </c>
    </row>
    <row r="54" spans="33:42" hidden="1">
      <c r="AG54" s="27" t="s">
        <v>19519</v>
      </c>
      <c r="AH54" s="52">
        <f>ROUNDUP(AH53/10,0)</f>
        <v>0</v>
      </c>
      <c r="AI54" s="98" t="s">
        <v>21859</v>
      </c>
      <c r="AJ54" s="98">
        <v>1750</v>
      </c>
      <c r="AM54" s="68">
        <v>13</v>
      </c>
      <c r="AN54" s="68">
        <v>7</v>
      </c>
      <c r="AO54" s="68">
        <v>6</v>
      </c>
      <c r="AP54" s="68">
        <v>4</v>
      </c>
    </row>
    <row r="55" spans="33:42" hidden="1">
      <c r="AG55" s="27" t="s">
        <v>22584</v>
      </c>
      <c r="AH55" s="27">
        <f>IF(AA19=1,AM55,IF(AA19=2,AN55,IF(AA19=3,AO55,IF(AA19=4,AP55,0))))</f>
        <v>0</v>
      </c>
      <c r="AI55" s="98"/>
      <c r="AJ55" s="98">
        <v>2150</v>
      </c>
      <c r="AM55" s="21">
        <f>ROUNDUP(AH41/AM54,0)</f>
        <v>0</v>
      </c>
      <c r="AN55" s="21">
        <f>ROUNDUP(AH41/AN54,0)</f>
        <v>0</v>
      </c>
      <c r="AO55" s="21">
        <f>ROUNDUP(AH41/AO54,0)</f>
        <v>0</v>
      </c>
      <c r="AP55" s="21">
        <f>ROUNDUP(AH41/AP54,0)</f>
        <v>0</v>
      </c>
    </row>
    <row r="56" spans="33:42" hidden="1">
      <c r="AI56" s="95"/>
      <c r="AJ56" s="95"/>
    </row>
  </sheetData>
  <sheetProtection sheet="1" objects="1" selectLockedCells="1"/>
  <mergeCells count="94">
    <mergeCell ref="W36:X36"/>
    <mergeCell ref="K11:Q11"/>
    <mergeCell ref="K13:M13"/>
    <mergeCell ref="K15:M15"/>
    <mergeCell ref="N13:Q13"/>
    <mergeCell ref="S34:V34"/>
    <mergeCell ref="N15:Q15"/>
    <mergeCell ref="K17:Q17"/>
    <mergeCell ref="W20:X20"/>
    <mergeCell ref="W19:X19"/>
    <mergeCell ref="U19:V19"/>
    <mergeCell ref="S19:T19"/>
    <mergeCell ref="K19:N19"/>
    <mergeCell ref="K23:X23"/>
    <mergeCell ref="W21:X21"/>
    <mergeCell ref="K25:O25"/>
    <mergeCell ref="B34:G34"/>
    <mergeCell ref="B31:G31"/>
    <mergeCell ref="B29:G29"/>
    <mergeCell ref="B28:G28"/>
    <mergeCell ref="H32:I32"/>
    <mergeCell ref="H34:I34"/>
    <mergeCell ref="H31:I31"/>
    <mergeCell ref="H29:I29"/>
    <mergeCell ref="H33:I33"/>
    <mergeCell ref="D16:I16"/>
    <mergeCell ref="D5:I5"/>
    <mergeCell ref="D7:I7"/>
    <mergeCell ref="D9:I9"/>
    <mergeCell ref="F18:I18"/>
    <mergeCell ref="B18:E18"/>
    <mergeCell ref="B17:I17"/>
    <mergeCell ref="W11:X11"/>
    <mergeCell ref="U11:V11"/>
    <mergeCell ref="D11:I11"/>
    <mergeCell ref="D13:I13"/>
    <mergeCell ref="D15:I15"/>
    <mergeCell ref="S4:X4"/>
    <mergeCell ref="S5:U5"/>
    <mergeCell ref="V5:X5"/>
    <mergeCell ref="S9:X9"/>
    <mergeCell ref="K4:Q4"/>
    <mergeCell ref="K9:Q9"/>
    <mergeCell ref="N5:Q5"/>
    <mergeCell ref="K5:M5"/>
    <mergeCell ref="K18:N18"/>
    <mergeCell ref="S20:T20"/>
    <mergeCell ref="K34:Q34"/>
    <mergeCell ref="K27:Q27"/>
    <mergeCell ref="K24:O24"/>
    <mergeCell ref="R24:V24"/>
    <mergeCell ref="R25:V25"/>
    <mergeCell ref="S28:X28"/>
    <mergeCell ref="W34:X34"/>
    <mergeCell ref="S21:T21"/>
    <mergeCell ref="U21:V21"/>
    <mergeCell ref="K21:M21"/>
    <mergeCell ref="K20:N20"/>
    <mergeCell ref="U20:V20"/>
    <mergeCell ref="S18:X18"/>
    <mergeCell ref="W29:X29"/>
    <mergeCell ref="B27:I27"/>
    <mergeCell ref="K28:Q28"/>
    <mergeCell ref="H28:I28"/>
    <mergeCell ref="K33:Q33"/>
    <mergeCell ref="K32:Q32"/>
    <mergeCell ref="K31:Q31"/>
    <mergeCell ref="K30:Q30"/>
    <mergeCell ref="K29:O29"/>
    <mergeCell ref="B32:G32"/>
    <mergeCell ref="B33:G33"/>
    <mergeCell ref="S29:V29"/>
    <mergeCell ref="S30:V30"/>
    <mergeCell ref="S31:V31"/>
    <mergeCell ref="W31:X31"/>
    <mergeCell ref="S33:X33"/>
    <mergeCell ref="A45:E45"/>
    <mergeCell ref="F45:U45"/>
    <mergeCell ref="V45:W45"/>
    <mergeCell ref="X45:Y45"/>
    <mergeCell ref="B37:G37"/>
    <mergeCell ref="H37:I37"/>
    <mergeCell ref="K37:O37"/>
    <mergeCell ref="S38:X39"/>
    <mergeCell ref="U43:X43"/>
    <mergeCell ref="H39:I39"/>
    <mergeCell ref="B39:G39"/>
    <mergeCell ref="H41:I41"/>
    <mergeCell ref="K36:O36"/>
    <mergeCell ref="K35:O35"/>
    <mergeCell ref="B36:I36"/>
    <mergeCell ref="H35:I35"/>
    <mergeCell ref="S35:V35"/>
    <mergeCell ref="S36:V36"/>
  </mergeCells>
  <conditionalFormatting sqref="B33:I33">
    <cfRule type="expression" dxfId="611" priority="51">
      <formula>$AA$19=1</formula>
    </cfRule>
  </conditionalFormatting>
  <conditionalFormatting sqref="B34:I34">
    <cfRule type="expression" dxfId="610" priority="1349">
      <formula>$H$29&gt;0</formula>
    </cfRule>
  </conditionalFormatting>
  <conditionalFormatting sqref="D5:I5 H28:I29 H31:I32">
    <cfRule type="cellIs" dxfId="609" priority="76" operator="equal">
      <formula>0</formula>
    </cfRule>
  </conditionalFormatting>
  <conditionalFormatting sqref="D7:I7">
    <cfRule type="cellIs" dxfId="608" priority="75" operator="equal">
      <formula>0</formula>
    </cfRule>
  </conditionalFormatting>
  <conditionalFormatting sqref="D9:I9">
    <cfRule type="cellIs" dxfId="607" priority="74" operator="equal">
      <formula>0</formula>
    </cfRule>
  </conditionalFormatting>
  <conditionalFormatting sqref="D11:I11">
    <cfRule type="cellIs" dxfId="606" priority="73" operator="equal">
      <formula>0</formula>
    </cfRule>
  </conditionalFormatting>
  <conditionalFormatting sqref="D13:I13">
    <cfRule type="cellIs" dxfId="605" priority="72" operator="equal">
      <formula>0</formula>
    </cfRule>
  </conditionalFormatting>
  <conditionalFormatting sqref="D15:I16">
    <cfRule type="cellIs" dxfId="604" priority="40" operator="equal">
      <formula>0</formula>
    </cfRule>
  </conditionalFormatting>
  <conditionalFormatting sqref="K19:N19">
    <cfRule type="expression" dxfId="602" priority="52">
      <formula>OR($AA$19=1,$AA$19=2,$AA$19=3)</formula>
    </cfRule>
  </conditionalFormatting>
  <conditionalFormatting sqref="K7:Q9">
    <cfRule type="expression" dxfId="601" priority="50">
      <formula>$AA$5=1</formula>
    </cfRule>
  </conditionalFormatting>
  <conditionalFormatting sqref="K9:Q9">
    <cfRule type="cellIs" dxfId="600" priority="70" operator="equal">
      <formula>0</formula>
    </cfRule>
  </conditionalFormatting>
  <conditionalFormatting sqref="K17:Q18 K20:N21">
    <cfRule type="expression" dxfId="599" priority="53">
      <formula>$AA$19=1</formula>
    </cfRule>
  </conditionalFormatting>
  <conditionalFormatting sqref="O20 N21:O21">
    <cfRule type="cellIs" dxfId="598" priority="66" operator="equal">
      <formula>0</formula>
    </cfRule>
  </conditionalFormatting>
  <conditionalFormatting sqref="P24:Q24">
    <cfRule type="expression" dxfId="597" priority="45">
      <formula>$AA$21=FALSE</formula>
    </cfRule>
  </conditionalFormatting>
  <conditionalFormatting sqref="P25:Q25">
    <cfRule type="expression" dxfId="596" priority="44">
      <formula>$AA$22=FALSE</formula>
    </cfRule>
  </conditionalFormatting>
  <conditionalFormatting sqref="P29:Q29">
    <cfRule type="expression" dxfId="595" priority="49">
      <formula>$AA$26=FALSE</formula>
    </cfRule>
  </conditionalFormatting>
  <conditionalFormatting sqref="P35:Q35">
    <cfRule type="expression" dxfId="594" priority="48">
      <formula>$AA$32=FALSE</formula>
    </cfRule>
  </conditionalFormatting>
  <conditionalFormatting sqref="P36:Q36">
    <cfRule type="expression" dxfId="593" priority="47">
      <formula>$AA$33=FALSE</formula>
    </cfRule>
  </conditionalFormatting>
  <conditionalFormatting sqref="P37:Q37">
    <cfRule type="expression" dxfId="592" priority="46">
      <formula>$AA$34=FALSE</formula>
    </cfRule>
  </conditionalFormatting>
  <conditionalFormatting sqref="Q24:Q25 X24:X25">
    <cfRule type="cellIs" dxfId="591" priority="65" operator="equal">
      <formula>0</formula>
    </cfRule>
  </conditionalFormatting>
  <conditionalFormatting sqref="Q29 Q35:Q37">
    <cfRule type="cellIs" dxfId="590" priority="55" operator="equal">
      <formula>0</formula>
    </cfRule>
  </conditionalFormatting>
  <conditionalFormatting sqref="S4:X5">
    <cfRule type="expression" dxfId="589" priority="54">
      <formula>$AA$19=1</formula>
    </cfRule>
  </conditionalFormatting>
  <conditionalFormatting sqref="S31:X31">
    <cfRule type="expression" dxfId="588" priority="12">
      <formula>$H$32=0</formula>
    </cfRule>
  </conditionalFormatting>
  <conditionalFormatting sqref="S33:X36">
    <cfRule type="expression" dxfId="587" priority="7">
      <formula>$H$35&lt;2</formula>
    </cfRule>
  </conditionalFormatting>
  <conditionalFormatting sqref="S36:X36">
    <cfRule type="expression" dxfId="586" priority="8">
      <formula>$H$32=0</formula>
    </cfRule>
  </conditionalFormatting>
  <conditionalFormatting sqref="S38:X39">
    <cfRule type="expression" dxfId="585" priority="1352">
      <formula>OR($H$28=0,$H$29=0)</formula>
    </cfRule>
    <cfRule type="expression" dxfId="584" priority="1353">
      <formula>$Z$44=1</formula>
    </cfRule>
    <cfRule type="expression" dxfId="583" priority="1354">
      <formula>$Z$44=0</formula>
    </cfRule>
  </conditionalFormatting>
  <conditionalFormatting sqref="U43">
    <cfRule type="containsBlanks" dxfId="582" priority="4">
      <formula>LEN(TRIM(U43))=0</formula>
    </cfRule>
  </conditionalFormatting>
  <conditionalFormatting sqref="W24:X24">
    <cfRule type="expression" dxfId="581" priority="43">
      <formula>$AA$23=FALSE</formula>
    </cfRule>
  </conditionalFormatting>
  <conditionalFormatting sqref="W25:X25">
    <cfRule type="expression" dxfId="580" priority="42">
      <formula>$AA$24=FALSE</formula>
    </cfRule>
  </conditionalFormatting>
  <conditionalFormatting sqref="W29:X29 W31:X31 W34:X34 W36:X36">
    <cfRule type="expression" dxfId="579" priority="1355">
      <formula>OR($H$28=0,$H$29=0)</formula>
    </cfRule>
    <cfRule type="cellIs" dxfId="578" priority="1356" operator="lessThan">
      <formula>1</formula>
    </cfRule>
    <cfRule type="cellIs" dxfId="577" priority="1357" operator="greaterThan">
      <formula>1</formula>
    </cfRule>
  </conditionalFormatting>
  <conditionalFormatting sqref="X30">
    <cfRule type="expression" dxfId="576" priority="1367">
      <formula>OR($H$28=0,$H$29=0)</formula>
    </cfRule>
  </conditionalFormatting>
  <conditionalFormatting sqref="X35">
    <cfRule type="expression" dxfId="573" priority="1370">
      <formula>OR($H$28=0,$H$29=0)</formula>
    </cfRule>
  </conditionalFormatting>
  <dataValidations count="2">
    <dataValidation type="list" allowBlank="1" showInputMessage="1" showErrorMessage="1" sqref="N21" xr:uid="{9C63449D-B386-41A2-8691-FC308E30696A}">
      <formula1>$AG$22:$AG$26</formula1>
    </dataValidation>
    <dataValidation type="whole" operator="greaterThan" allowBlank="1" showInputMessage="1" showErrorMessage="1" errorTitle="Falsche Eingabe" error="Bitte nur ganze Zahlen eingeben!" sqref="H37:I37" xr:uid="{EB48E567-4C75-4EB4-B134-821106E3A882}">
      <formula1>0</formula1>
    </dataValidation>
  </dataValidations>
  <pageMargins left="0.19685039370078741" right="0.19685039370078741" top="0.39370078740157483" bottom="0.19685039370078741"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Group Box 1">
              <controlPr defaultSize="0" print="0" autoFill="0" autoPict="0">
                <anchor moveWithCells="1">
                  <from>
                    <xdr:col>1</xdr:col>
                    <xdr:colOff>0</xdr:colOff>
                    <xdr:row>22</xdr:row>
                    <xdr:rowOff>0</xdr:rowOff>
                  </from>
                  <to>
                    <xdr:col>5</xdr:col>
                    <xdr:colOff>0</xdr:colOff>
                    <xdr:row>25</xdr:row>
                    <xdr:rowOff>0</xdr:rowOff>
                  </to>
                </anchor>
              </controlPr>
            </control>
          </mc:Choice>
        </mc:AlternateContent>
        <mc:AlternateContent xmlns:mc="http://schemas.openxmlformats.org/markup-compatibility/2006">
          <mc:Choice Requires="x14">
            <control shapeId="5122" r:id="rId5" name="Group Box 2">
              <controlPr defaultSize="0" print="0" autoFill="0" autoPict="0">
                <anchor moveWithCells="1">
                  <from>
                    <xdr:col>5</xdr:col>
                    <xdr:colOff>0</xdr:colOff>
                    <xdr:row>22</xdr:row>
                    <xdr:rowOff>0</xdr:rowOff>
                  </from>
                  <to>
                    <xdr:col>9</xdr:col>
                    <xdr:colOff>0</xdr:colOff>
                    <xdr:row>25</xdr:row>
                    <xdr:rowOff>0</xdr:rowOff>
                  </to>
                </anchor>
              </controlPr>
            </control>
          </mc:Choice>
        </mc:AlternateContent>
        <mc:AlternateContent xmlns:mc="http://schemas.openxmlformats.org/markup-compatibility/2006">
          <mc:Choice Requires="x14">
            <control shapeId="5125" r:id="rId6" name="Option Button 5">
              <controlPr defaultSize="0" autoFill="0" autoLine="0" autoPict="0">
                <anchor moveWithCells="1" sizeWithCells="1">
                  <from>
                    <xdr:col>1</xdr:col>
                    <xdr:colOff>28575</xdr:colOff>
                    <xdr:row>22</xdr:row>
                    <xdr:rowOff>19050</xdr:rowOff>
                  </from>
                  <to>
                    <xdr:col>3</xdr:col>
                    <xdr:colOff>371475</xdr:colOff>
                    <xdr:row>23</xdr:row>
                    <xdr:rowOff>0</xdr:rowOff>
                  </to>
                </anchor>
              </controlPr>
            </control>
          </mc:Choice>
        </mc:AlternateContent>
        <mc:AlternateContent xmlns:mc="http://schemas.openxmlformats.org/markup-compatibility/2006">
          <mc:Choice Requires="x14">
            <control shapeId="5126" r:id="rId7" name="Option Button 6">
              <controlPr defaultSize="0" autoFill="0" autoLine="0" autoPict="0">
                <anchor moveWithCells="1" sizeWithCells="1">
                  <from>
                    <xdr:col>1</xdr:col>
                    <xdr:colOff>28575</xdr:colOff>
                    <xdr:row>23</xdr:row>
                    <xdr:rowOff>19050</xdr:rowOff>
                  </from>
                  <to>
                    <xdr:col>3</xdr:col>
                    <xdr:colOff>371475</xdr:colOff>
                    <xdr:row>23</xdr:row>
                    <xdr:rowOff>152400</xdr:rowOff>
                  </to>
                </anchor>
              </controlPr>
            </control>
          </mc:Choice>
        </mc:AlternateContent>
        <mc:AlternateContent xmlns:mc="http://schemas.openxmlformats.org/markup-compatibility/2006">
          <mc:Choice Requires="x14">
            <control shapeId="5127" r:id="rId8" name="Option Button 7">
              <controlPr defaultSize="0" autoFill="0" autoLine="0" autoPict="0">
                <anchor moveWithCells="1" sizeWithCells="1">
                  <from>
                    <xdr:col>1</xdr:col>
                    <xdr:colOff>28575</xdr:colOff>
                    <xdr:row>24</xdr:row>
                    <xdr:rowOff>19050</xdr:rowOff>
                  </from>
                  <to>
                    <xdr:col>3</xdr:col>
                    <xdr:colOff>371475</xdr:colOff>
                    <xdr:row>24</xdr:row>
                    <xdr:rowOff>142875</xdr:rowOff>
                  </to>
                </anchor>
              </controlPr>
            </control>
          </mc:Choice>
        </mc:AlternateContent>
        <mc:AlternateContent xmlns:mc="http://schemas.openxmlformats.org/markup-compatibility/2006">
          <mc:Choice Requires="x14">
            <control shapeId="5128" r:id="rId9" name="Option Button 8">
              <controlPr defaultSize="0" autoFill="0" autoLine="0" autoPict="0">
                <anchor moveWithCells="1" sizeWithCells="1">
                  <from>
                    <xdr:col>5</xdr:col>
                    <xdr:colOff>28575</xdr:colOff>
                    <xdr:row>22</xdr:row>
                    <xdr:rowOff>28575</xdr:rowOff>
                  </from>
                  <to>
                    <xdr:col>7</xdr:col>
                    <xdr:colOff>371475</xdr:colOff>
                    <xdr:row>23</xdr:row>
                    <xdr:rowOff>0</xdr:rowOff>
                  </to>
                </anchor>
              </controlPr>
            </control>
          </mc:Choice>
        </mc:AlternateContent>
        <mc:AlternateContent xmlns:mc="http://schemas.openxmlformats.org/markup-compatibility/2006">
          <mc:Choice Requires="x14">
            <control shapeId="5129" r:id="rId10" name="Option Button 9">
              <controlPr defaultSize="0" autoFill="0" autoLine="0" autoPict="0">
                <anchor moveWithCells="1" sizeWithCells="1">
                  <from>
                    <xdr:col>5</xdr:col>
                    <xdr:colOff>28575</xdr:colOff>
                    <xdr:row>23</xdr:row>
                    <xdr:rowOff>19050</xdr:rowOff>
                  </from>
                  <to>
                    <xdr:col>7</xdr:col>
                    <xdr:colOff>371475</xdr:colOff>
                    <xdr:row>23</xdr:row>
                    <xdr:rowOff>152400</xdr:rowOff>
                  </to>
                </anchor>
              </controlPr>
            </control>
          </mc:Choice>
        </mc:AlternateContent>
        <mc:AlternateContent xmlns:mc="http://schemas.openxmlformats.org/markup-compatibility/2006">
          <mc:Choice Requires="x14">
            <control shapeId="5130" r:id="rId11" name="Option Button 10">
              <controlPr defaultSize="0" autoFill="0" autoLine="0" autoPict="0">
                <anchor moveWithCells="1" sizeWithCells="1">
                  <from>
                    <xdr:col>5</xdr:col>
                    <xdr:colOff>28575</xdr:colOff>
                    <xdr:row>24</xdr:row>
                    <xdr:rowOff>19050</xdr:rowOff>
                  </from>
                  <to>
                    <xdr:col>7</xdr:col>
                    <xdr:colOff>371475</xdr:colOff>
                    <xdr:row>24</xdr:row>
                    <xdr:rowOff>142875</xdr:rowOff>
                  </to>
                </anchor>
              </controlPr>
            </control>
          </mc:Choice>
        </mc:AlternateContent>
        <mc:AlternateContent xmlns:mc="http://schemas.openxmlformats.org/markup-compatibility/2006">
          <mc:Choice Requires="x14">
            <control shapeId="5131" r:id="rId12" name="Group Box 11">
              <controlPr defaultSize="0" print="0" autoFill="0" autoPict="0">
                <anchor moveWithCells="1">
                  <from>
                    <xdr:col>10</xdr:col>
                    <xdr:colOff>0</xdr:colOff>
                    <xdr:row>4</xdr:row>
                    <xdr:rowOff>0</xdr:rowOff>
                  </from>
                  <to>
                    <xdr:col>17</xdr:col>
                    <xdr:colOff>0</xdr:colOff>
                    <xdr:row>5</xdr:row>
                    <xdr:rowOff>0</xdr:rowOff>
                  </to>
                </anchor>
              </controlPr>
            </control>
          </mc:Choice>
        </mc:AlternateContent>
        <mc:AlternateContent xmlns:mc="http://schemas.openxmlformats.org/markup-compatibility/2006">
          <mc:Choice Requires="x14">
            <control shapeId="5132" r:id="rId13" name="Option Button 12">
              <controlPr defaultSize="0" autoFill="0" autoLine="0" autoPict="0">
                <anchor moveWithCells="1">
                  <from>
                    <xdr:col>10</xdr:col>
                    <xdr:colOff>9525</xdr:colOff>
                    <xdr:row>4</xdr:row>
                    <xdr:rowOff>19050</xdr:rowOff>
                  </from>
                  <to>
                    <xdr:col>13</xdr:col>
                    <xdr:colOff>0</xdr:colOff>
                    <xdr:row>4</xdr:row>
                    <xdr:rowOff>152400</xdr:rowOff>
                  </to>
                </anchor>
              </controlPr>
            </control>
          </mc:Choice>
        </mc:AlternateContent>
        <mc:AlternateContent xmlns:mc="http://schemas.openxmlformats.org/markup-compatibility/2006">
          <mc:Choice Requires="x14">
            <control shapeId="5134" r:id="rId14" name="Option Button 14">
              <controlPr defaultSize="0" autoFill="0" autoLine="0" autoPict="0">
                <anchor moveWithCells="1">
                  <from>
                    <xdr:col>13</xdr:col>
                    <xdr:colOff>9525</xdr:colOff>
                    <xdr:row>4</xdr:row>
                    <xdr:rowOff>19050</xdr:rowOff>
                  </from>
                  <to>
                    <xdr:col>15</xdr:col>
                    <xdr:colOff>371475</xdr:colOff>
                    <xdr:row>4</xdr:row>
                    <xdr:rowOff>142875</xdr:rowOff>
                  </to>
                </anchor>
              </controlPr>
            </control>
          </mc:Choice>
        </mc:AlternateContent>
        <mc:AlternateContent xmlns:mc="http://schemas.openxmlformats.org/markup-compatibility/2006">
          <mc:Choice Requires="x14">
            <control shapeId="5139" r:id="rId15" name="Check Box 19">
              <controlPr defaultSize="0" autoFill="0" autoLine="0" autoPict="0">
                <anchor moveWithCells="1">
                  <from>
                    <xdr:col>10</xdr:col>
                    <xdr:colOff>0</xdr:colOff>
                    <xdr:row>12</xdr:row>
                    <xdr:rowOff>0</xdr:rowOff>
                  </from>
                  <to>
                    <xdr:col>13</xdr:col>
                    <xdr:colOff>0</xdr:colOff>
                    <xdr:row>14</xdr:row>
                    <xdr:rowOff>0</xdr:rowOff>
                  </to>
                </anchor>
              </controlPr>
            </control>
          </mc:Choice>
        </mc:AlternateContent>
        <mc:AlternateContent xmlns:mc="http://schemas.openxmlformats.org/markup-compatibility/2006">
          <mc:Choice Requires="x14">
            <control shapeId="5140" r:id="rId16" name="Check Box 20">
              <controlPr defaultSize="0" autoFill="0" autoLine="0" autoPict="0">
                <anchor moveWithCells="1" sizeWithCells="1">
                  <from>
                    <xdr:col>10</xdr:col>
                    <xdr:colOff>0</xdr:colOff>
                    <xdr:row>14</xdr:row>
                    <xdr:rowOff>0</xdr:rowOff>
                  </from>
                  <to>
                    <xdr:col>13</xdr:col>
                    <xdr:colOff>0</xdr:colOff>
                    <xdr:row>14</xdr:row>
                    <xdr:rowOff>180975</xdr:rowOff>
                  </to>
                </anchor>
              </controlPr>
            </control>
          </mc:Choice>
        </mc:AlternateContent>
        <mc:AlternateContent xmlns:mc="http://schemas.openxmlformats.org/markup-compatibility/2006">
          <mc:Choice Requires="x14">
            <control shapeId="5141" r:id="rId17" name="Check Box 21">
              <controlPr defaultSize="0" autoFill="0" autoLine="0" autoPict="0">
                <anchor moveWithCells="1">
                  <from>
                    <xdr:col>13</xdr:col>
                    <xdr:colOff>0</xdr:colOff>
                    <xdr:row>11</xdr:row>
                    <xdr:rowOff>19050</xdr:rowOff>
                  </from>
                  <to>
                    <xdr:col>17</xdr:col>
                    <xdr:colOff>0</xdr:colOff>
                    <xdr:row>14</xdr:row>
                    <xdr:rowOff>0</xdr:rowOff>
                  </to>
                </anchor>
              </controlPr>
            </control>
          </mc:Choice>
        </mc:AlternateContent>
        <mc:AlternateContent xmlns:mc="http://schemas.openxmlformats.org/markup-compatibility/2006">
          <mc:Choice Requires="x14">
            <control shapeId="5142" r:id="rId18" name="Check Box 22">
              <controlPr defaultSize="0" autoFill="0" autoLine="0" autoPict="0">
                <anchor moveWithCells="1" sizeWithCells="1">
                  <from>
                    <xdr:col>13</xdr:col>
                    <xdr:colOff>0</xdr:colOff>
                    <xdr:row>14</xdr:row>
                    <xdr:rowOff>0</xdr:rowOff>
                  </from>
                  <to>
                    <xdr:col>17</xdr:col>
                    <xdr:colOff>0</xdr:colOff>
                    <xdr:row>14</xdr:row>
                    <xdr:rowOff>180975</xdr:rowOff>
                  </to>
                </anchor>
              </controlPr>
            </control>
          </mc:Choice>
        </mc:AlternateContent>
        <mc:AlternateContent xmlns:mc="http://schemas.openxmlformats.org/markup-compatibility/2006">
          <mc:Choice Requires="x14">
            <control shapeId="5143" r:id="rId19" name="Option Button 23">
              <controlPr defaultSize="0" autoFill="0" autoLine="0" autoPict="0">
                <anchor moveWithCells="1">
                  <from>
                    <xdr:col>18</xdr:col>
                    <xdr:colOff>9525</xdr:colOff>
                    <xdr:row>4</xdr:row>
                    <xdr:rowOff>19050</xdr:rowOff>
                  </from>
                  <to>
                    <xdr:col>21</xdr:col>
                    <xdr:colOff>0</xdr:colOff>
                    <xdr:row>4</xdr:row>
                    <xdr:rowOff>142875</xdr:rowOff>
                  </to>
                </anchor>
              </controlPr>
            </control>
          </mc:Choice>
        </mc:AlternateContent>
        <mc:AlternateContent xmlns:mc="http://schemas.openxmlformats.org/markup-compatibility/2006">
          <mc:Choice Requires="x14">
            <control shapeId="5144" r:id="rId20" name="Group Box 24">
              <controlPr defaultSize="0" print="0" autoFill="0" autoPict="0">
                <anchor moveWithCells="1">
                  <from>
                    <xdr:col>18</xdr:col>
                    <xdr:colOff>0</xdr:colOff>
                    <xdr:row>3</xdr:row>
                    <xdr:rowOff>190500</xdr:rowOff>
                  </from>
                  <to>
                    <xdr:col>24</xdr:col>
                    <xdr:colOff>0</xdr:colOff>
                    <xdr:row>5</xdr:row>
                    <xdr:rowOff>0</xdr:rowOff>
                  </to>
                </anchor>
              </controlPr>
            </control>
          </mc:Choice>
        </mc:AlternateContent>
        <mc:AlternateContent xmlns:mc="http://schemas.openxmlformats.org/markup-compatibility/2006">
          <mc:Choice Requires="x14">
            <control shapeId="5145" r:id="rId21" name="Option Button 25">
              <controlPr defaultSize="0" autoFill="0" autoLine="0" autoPict="0">
                <anchor moveWithCells="1">
                  <from>
                    <xdr:col>21</xdr:col>
                    <xdr:colOff>9525</xdr:colOff>
                    <xdr:row>4</xdr:row>
                    <xdr:rowOff>19050</xdr:rowOff>
                  </from>
                  <to>
                    <xdr:col>24</xdr:col>
                    <xdr:colOff>0</xdr:colOff>
                    <xdr:row>4</xdr:row>
                    <xdr:rowOff>142875</xdr:rowOff>
                  </to>
                </anchor>
              </controlPr>
            </control>
          </mc:Choice>
        </mc:AlternateContent>
        <mc:AlternateContent xmlns:mc="http://schemas.openxmlformats.org/markup-compatibility/2006">
          <mc:Choice Requires="x14">
            <control shapeId="5146" r:id="rId22" name="Group Box 26">
              <controlPr defaultSize="0" print="0" autoFill="0" autoPict="0">
                <anchor moveWithCells="1">
                  <from>
                    <xdr:col>20</xdr:col>
                    <xdr:colOff>0</xdr:colOff>
                    <xdr:row>12</xdr:row>
                    <xdr:rowOff>0</xdr:rowOff>
                  </from>
                  <to>
                    <xdr:col>22</xdr:col>
                    <xdr:colOff>0</xdr:colOff>
                    <xdr:row>16</xdr:row>
                    <xdr:rowOff>0</xdr:rowOff>
                  </to>
                </anchor>
              </controlPr>
            </control>
          </mc:Choice>
        </mc:AlternateContent>
        <mc:AlternateContent xmlns:mc="http://schemas.openxmlformats.org/markup-compatibility/2006">
          <mc:Choice Requires="x14">
            <control shapeId="5147" r:id="rId23" name="Option Button 27">
              <controlPr defaultSize="0" autoFill="0" autoLine="0" autoPict="0">
                <anchor moveWithCells="1">
                  <from>
                    <xdr:col>20</xdr:col>
                    <xdr:colOff>285750</xdr:colOff>
                    <xdr:row>12</xdr:row>
                    <xdr:rowOff>19050</xdr:rowOff>
                  </from>
                  <to>
                    <xdr:col>21</xdr:col>
                    <xdr:colOff>123825</xdr:colOff>
                    <xdr:row>13</xdr:row>
                    <xdr:rowOff>0</xdr:rowOff>
                  </to>
                </anchor>
              </controlPr>
            </control>
          </mc:Choice>
        </mc:AlternateContent>
        <mc:AlternateContent xmlns:mc="http://schemas.openxmlformats.org/markup-compatibility/2006">
          <mc:Choice Requires="x14">
            <control shapeId="5148" r:id="rId24" name="Option Button 28">
              <controlPr defaultSize="0" autoFill="0" autoLine="0" autoPict="0">
                <anchor moveWithCells="1">
                  <from>
                    <xdr:col>20</xdr:col>
                    <xdr:colOff>285750</xdr:colOff>
                    <xdr:row>14</xdr:row>
                    <xdr:rowOff>19050</xdr:rowOff>
                  </from>
                  <to>
                    <xdr:col>21</xdr:col>
                    <xdr:colOff>123825</xdr:colOff>
                    <xdr:row>14</xdr:row>
                    <xdr:rowOff>142875</xdr:rowOff>
                  </to>
                </anchor>
              </controlPr>
            </control>
          </mc:Choice>
        </mc:AlternateContent>
        <mc:AlternateContent xmlns:mc="http://schemas.openxmlformats.org/markup-compatibility/2006">
          <mc:Choice Requires="x14">
            <control shapeId="5149" r:id="rId25" name="Option Button 29">
              <controlPr defaultSize="0" autoFill="0" autoLine="0" autoPict="0">
                <anchor moveWithCells="1">
                  <from>
                    <xdr:col>20</xdr:col>
                    <xdr:colOff>285750</xdr:colOff>
                    <xdr:row>15</xdr:row>
                    <xdr:rowOff>19050</xdr:rowOff>
                  </from>
                  <to>
                    <xdr:col>21</xdr:col>
                    <xdr:colOff>123825</xdr:colOff>
                    <xdr:row>15</xdr:row>
                    <xdr:rowOff>142875</xdr:rowOff>
                  </to>
                </anchor>
              </controlPr>
            </control>
          </mc:Choice>
        </mc:AlternateContent>
        <mc:AlternateContent xmlns:mc="http://schemas.openxmlformats.org/markup-compatibility/2006">
          <mc:Choice Requires="x14">
            <control shapeId="5150" r:id="rId26" name="Group Box 30">
              <controlPr defaultSize="0" print="0" autoFill="0" autoPict="0">
                <anchor moveWithCells="1">
                  <from>
                    <xdr:col>18</xdr:col>
                    <xdr:colOff>0</xdr:colOff>
                    <xdr:row>18</xdr:row>
                    <xdr:rowOff>0</xdr:rowOff>
                  </from>
                  <to>
                    <xdr:col>24</xdr:col>
                    <xdr:colOff>0</xdr:colOff>
                    <xdr:row>21</xdr:row>
                    <xdr:rowOff>0</xdr:rowOff>
                  </to>
                </anchor>
              </controlPr>
            </control>
          </mc:Choice>
        </mc:AlternateContent>
        <mc:AlternateContent xmlns:mc="http://schemas.openxmlformats.org/markup-compatibility/2006">
          <mc:Choice Requires="x14">
            <control shapeId="5151" r:id="rId27" name="Option Button 31">
              <controlPr defaultSize="0" autoFill="0" autoLine="0" autoPict="0">
                <anchor moveWithCells="1">
                  <from>
                    <xdr:col>18</xdr:col>
                    <xdr:colOff>66675</xdr:colOff>
                    <xdr:row>20</xdr:row>
                    <xdr:rowOff>0</xdr:rowOff>
                  </from>
                  <to>
                    <xdr:col>20</xdr:col>
                    <xdr:colOff>0</xdr:colOff>
                    <xdr:row>20</xdr:row>
                    <xdr:rowOff>152400</xdr:rowOff>
                  </to>
                </anchor>
              </controlPr>
            </control>
          </mc:Choice>
        </mc:AlternateContent>
        <mc:AlternateContent xmlns:mc="http://schemas.openxmlformats.org/markup-compatibility/2006">
          <mc:Choice Requires="x14">
            <control shapeId="5152" r:id="rId28" name="Option Button 32">
              <controlPr defaultSize="0" autoFill="0" autoLine="0" autoPict="0">
                <anchor moveWithCells="1">
                  <from>
                    <xdr:col>20</xdr:col>
                    <xdr:colOff>76200</xdr:colOff>
                    <xdr:row>19</xdr:row>
                    <xdr:rowOff>0</xdr:rowOff>
                  </from>
                  <to>
                    <xdr:col>22</xdr:col>
                    <xdr:colOff>0</xdr:colOff>
                    <xdr:row>19</xdr:row>
                    <xdr:rowOff>152400</xdr:rowOff>
                  </to>
                </anchor>
              </controlPr>
            </control>
          </mc:Choice>
        </mc:AlternateContent>
        <mc:AlternateContent xmlns:mc="http://schemas.openxmlformats.org/markup-compatibility/2006">
          <mc:Choice Requires="x14">
            <control shapeId="5153" r:id="rId29" name="Option Button 33">
              <controlPr defaultSize="0" autoFill="0" autoLine="0" autoPict="0">
                <anchor moveWithCells="1">
                  <from>
                    <xdr:col>20</xdr:col>
                    <xdr:colOff>76200</xdr:colOff>
                    <xdr:row>20</xdr:row>
                    <xdr:rowOff>9525</xdr:rowOff>
                  </from>
                  <to>
                    <xdr:col>22</xdr:col>
                    <xdr:colOff>0</xdr:colOff>
                    <xdr:row>20</xdr:row>
                    <xdr:rowOff>152400</xdr:rowOff>
                  </to>
                </anchor>
              </controlPr>
            </control>
          </mc:Choice>
        </mc:AlternateContent>
        <mc:AlternateContent xmlns:mc="http://schemas.openxmlformats.org/markup-compatibility/2006">
          <mc:Choice Requires="x14">
            <control shapeId="5154" r:id="rId30" name="Option Button 34">
              <controlPr defaultSize="0" autoFill="0" autoLine="0" autoPict="0">
                <anchor moveWithCells="1">
                  <from>
                    <xdr:col>22</xdr:col>
                    <xdr:colOff>76200</xdr:colOff>
                    <xdr:row>19</xdr:row>
                    <xdr:rowOff>161925</xdr:rowOff>
                  </from>
                  <to>
                    <xdr:col>24</xdr:col>
                    <xdr:colOff>0</xdr:colOff>
                    <xdr:row>20</xdr:row>
                    <xdr:rowOff>152400</xdr:rowOff>
                  </to>
                </anchor>
              </controlPr>
            </control>
          </mc:Choice>
        </mc:AlternateContent>
        <mc:AlternateContent xmlns:mc="http://schemas.openxmlformats.org/markup-compatibility/2006">
          <mc:Choice Requires="x14">
            <control shapeId="5156" r:id="rId31" name="Check Box 36">
              <controlPr defaultSize="0" autoFill="0" autoLine="0" autoPict="0">
                <anchor moveWithCells="1" sizeWithCells="1">
                  <from>
                    <xdr:col>10</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5157" r:id="rId32" name="Check Box 37">
              <controlPr defaultSize="0" autoFill="0" autoLine="0" autoPict="0">
                <anchor moveWithCells="1" sizeWithCells="1">
                  <from>
                    <xdr:col>10</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5158" r:id="rId33" name="Check Box 38">
              <controlPr defaultSize="0" autoFill="0" autoLine="0" autoPict="0">
                <anchor moveWithCells="1" sizeWithCells="1">
                  <from>
                    <xdr:col>17</xdr:col>
                    <xdr:colOff>0</xdr:colOff>
                    <xdr:row>23</xdr:row>
                    <xdr:rowOff>0</xdr:rowOff>
                  </from>
                  <to>
                    <xdr:col>22</xdr:col>
                    <xdr:colOff>0</xdr:colOff>
                    <xdr:row>24</xdr:row>
                    <xdr:rowOff>0</xdr:rowOff>
                  </to>
                </anchor>
              </controlPr>
            </control>
          </mc:Choice>
        </mc:AlternateContent>
        <mc:AlternateContent xmlns:mc="http://schemas.openxmlformats.org/markup-compatibility/2006">
          <mc:Choice Requires="x14">
            <control shapeId="5159" r:id="rId34" name="Check Box 39">
              <controlPr defaultSize="0" autoFill="0" autoLine="0" autoPict="0">
                <anchor moveWithCells="1" sizeWithCells="1">
                  <from>
                    <xdr:col>17</xdr:col>
                    <xdr:colOff>0</xdr:colOff>
                    <xdr:row>24</xdr:row>
                    <xdr:rowOff>0</xdr:rowOff>
                  </from>
                  <to>
                    <xdr:col>22</xdr:col>
                    <xdr:colOff>0</xdr:colOff>
                    <xdr:row>25</xdr:row>
                    <xdr:rowOff>0</xdr:rowOff>
                  </to>
                </anchor>
              </controlPr>
            </control>
          </mc:Choice>
        </mc:AlternateContent>
        <mc:AlternateContent xmlns:mc="http://schemas.openxmlformats.org/markup-compatibility/2006">
          <mc:Choice Requires="x14">
            <control shapeId="5164" r:id="rId35" name="Group Box 44">
              <controlPr defaultSize="0" print="0" autoFill="0" autoPict="0">
                <anchor moveWithCells="1">
                  <from>
                    <xdr:col>10</xdr:col>
                    <xdr:colOff>0</xdr:colOff>
                    <xdr:row>17</xdr:row>
                    <xdr:rowOff>0</xdr:rowOff>
                  </from>
                  <to>
                    <xdr:col>15</xdr:col>
                    <xdr:colOff>0</xdr:colOff>
                    <xdr:row>19</xdr:row>
                    <xdr:rowOff>0</xdr:rowOff>
                  </to>
                </anchor>
              </controlPr>
            </control>
          </mc:Choice>
        </mc:AlternateContent>
        <mc:AlternateContent xmlns:mc="http://schemas.openxmlformats.org/markup-compatibility/2006">
          <mc:Choice Requires="x14">
            <control shapeId="5165" r:id="rId36" name="Option Button 45">
              <controlPr defaultSize="0" autoFill="0" autoLine="0" autoPict="0">
                <anchor moveWithCells="1">
                  <from>
                    <xdr:col>10</xdr:col>
                    <xdr:colOff>9525</xdr:colOff>
                    <xdr:row>17</xdr:row>
                    <xdr:rowOff>19050</xdr:rowOff>
                  </from>
                  <to>
                    <xdr:col>12</xdr:col>
                    <xdr:colOff>266700</xdr:colOff>
                    <xdr:row>17</xdr:row>
                    <xdr:rowOff>142875</xdr:rowOff>
                  </to>
                </anchor>
              </controlPr>
            </control>
          </mc:Choice>
        </mc:AlternateContent>
        <mc:AlternateContent xmlns:mc="http://schemas.openxmlformats.org/markup-compatibility/2006">
          <mc:Choice Requires="x14">
            <control shapeId="5167" r:id="rId37" name="Option Button 47">
              <controlPr defaultSize="0" autoFill="0" autoLine="0" autoPict="0">
                <anchor moveWithCells="1">
                  <from>
                    <xdr:col>10</xdr:col>
                    <xdr:colOff>9525</xdr:colOff>
                    <xdr:row>18</xdr:row>
                    <xdr:rowOff>9525</xdr:rowOff>
                  </from>
                  <to>
                    <xdr:col>12</xdr:col>
                    <xdr:colOff>266700</xdr:colOff>
                    <xdr:row>18</xdr:row>
                    <xdr:rowOff>133350</xdr:rowOff>
                  </to>
                </anchor>
              </controlPr>
            </control>
          </mc:Choice>
        </mc:AlternateContent>
        <mc:AlternateContent xmlns:mc="http://schemas.openxmlformats.org/markup-compatibility/2006">
          <mc:Choice Requires="x14">
            <control shapeId="5762" r:id="rId38" name="Check Box 642">
              <controlPr defaultSize="0" autoFill="0" autoLine="0" autoPict="0">
                <anchor moveWithCells="1" sizeWithCells="1">
                  <from>
                    <xdr:col>10</xdr:col>
                    <xdr:colOff>0</xdr:colOff>
                    <xdr:row>27</xdr:row>
                    <xdr:rowOff>0</xdr:rowOff>
                  </from>
                  <to>
                    <xdr:col>15</xdr:col>
                    <xdr:colOff>0</xdr:colOff>
                    <xdr:row>28</xdr:row>
                    <xdr:rowOff>0</xdr:rowOff>
                  </to>
                </anchor>
              </controlPr>
            </control>
          </mc:Choice>
        </mc:AlternateContent>
        <mc:AlternateContent xmlns:mc="http://schemas.openxmlformats.org/markup-compatibility/2006">
          <mc:Choice Requires="x14">
            <control shapeId="5765" r:id="rId39" name="Check Box 645">
              <controlPr defaultSize="0" autoFill="0" autoLine="0" autoPict="0">
                <anchor moveWithCells="1" sizeWithCells="1">
                  <from>
                    <xdr:col>10</xdr:col>
                    <xdr:colOff>0</xdr:colOff>
                    <xdr:row>31</xdr:row>
                    <xdr:rowOff>0</xdr:rowOff>
                  </from>
                  <to>
                    <xdr:col>15</xdr:col>
                    <xdr:colOff>0</xdr:colOff>
                    <xdr:row>32</xdr:row>
                    <xdr:rowOff>0</xdr:rowOff>
                  </to>
                </anchor>
              </controlPr>
            </control>
          </mc:Choice>
        </mc:AlternateContent>
        <mc:AlternateContent xmlns:mc="http://schemas.openxmlformats.org/markup-compatibility/2006">
          <mc:Choice Requires="x14">
            <control shapeId="5766" r:id="rId40" name="Check Box 646">
              <controlPr defaultSize="0" autoFill="0" autoLine="0" autoPict="0">
                <anchor moveWithCells="1" sizeWithCells="1">
                  <from>
                    <xdr:col>10</xdr:col>
                    <xdr:colOff>0</xdr:colOff>
                    <xdr:row>32</xdr:row>
                    <xdr:rowOff>0</xdr:rowOff>
                  </from>
                  <to>
                    <xdr:col>15</xdr:col>
                    <xdr:colOff>0</xdr:colOff>
                    <xdr:row>33</xdr:row>
                    <xdr:rowOff>0</xdr:rowOff>
                  </to>
                </anchor>
              </controlPr>
            </control>
          </mc:Choice>
        </mc:AlternateContent>
        <mc:AlternateContent xmlns:mc="http://schemas.openxmlformats.org/markup-compatibility/2006">
          <mc:Choice Requires="x14">
            <control shapeId="5767" r:id="rId41" name="Check Box 647">
              <controlPr defaultSize="0" autoFill="0" autoLine="0" autoPict="0">
                <anchor moveWithCells="1" sizeWithCells="1">
                  <from>
                    <xdr:col>10</xdr:col>
                    <xdr:colOff>0</xdr:colOff>
                    <xdr:row>33</xdr:row>
                    <xdr:rowOff>0</xdr:rowOff>
                  </from>
                  <to>
                    <xdr:col>15</xdr:col>
                    <xdr:colOff>0</xdr:colOff>
                    <xdr:row>34</xdr:row>
                    <xdr:rowOff>0</xdr:rowOff>
                  </to>
                </anchor>
              </controlPr>
            </control>
          </mc:Choice>
        </mc:AlternateContent>
        <mc:AlternateContent xmlns:mc="http://schemas.openxmlformats.org/markup-compatibility/2006">
          <mc:Choice Requires="x14">
            <control shapeId="5768" r:id="rId42" name="Check Box 648">
              <controlPr defaultSize="0" autoFill="0" autoLine="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5769" r:id="rId43" name="Check Box 649">
              <controlPr defaultSize="0" autoFill="0" autoLine="0" autoPict="0">
                <anchor moveWithCells="1" siz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5770" r:id="rId44" name="Check Box 650">
              <controlPr defaultSize="0" autoFill="0" autoLine="0" autoPict="0">
                <anchor moveWithCells="1" sizeWithCells="1">
                  <from>
                    <xdr:col>10</xdr:col>
                    <xdr:colOff>0</xdr:colOff>
                    <xdr:row>35</xdr:row>
                    <xdr:rowOff>0</xdr:rowOff>
                  </from>
                  <to>
                    <xdr:col>15</xdr:col>
                    <xdr:colOff>0</xdr:colOff>
                    <xdr:row>36</xdr:row>
                    <xdr:rowOff>0</xdr:rowOff>
                  </to>
                </anchor>
              </controlPr>
            </control>
          </mc:Choice>
        </mc:AlternateContent>
        <mc:AlternateContent xmlns:mc="http://schemas.openxmlformats.org/markup-compatibility/2006">
          <mc:Choice Requires="x14">
            <control shapeId="5771" r:id="rId45" name="Check Box 651">
              <controlPr defaultSize="0" autoFill="0" autoLine="0" autoPict="0">
                <anchor moveWithCells="1" sizeWithCells="1">
                  <from>
                    <xdr:col>10</xdr:col>
                    <xdr:colOff>0</xdr:colOff>
                    <xdr:row>36</xdr:row>
                    <xdr:rowOff>0</xdr:rowOff>
                  </from>
                  <to>
                    <xdr:col>15</xdr:col>
                    <xdr:colOff>0</xdr:colOff>
                    <xdr:row>37</xdr:row>
                    <xdr:rowOff>0</xdr:rowOff>
                  </to>
                </anchor>
              </controlPr>
            </control>
          </mc:Choice>
        </mc:AlternateContent>
        <mc:AlternateContent xmlns:mc="http://schemas.openxmlformats.org/markup-compatibility/2006">
          <mc:Choice Requires="x14">
            <control shapeId="297462" r:id="rId46" name="Group Box 6646">
              <controlPr defaultSize="0" print="0" autoFill="0" autoPict="0">
                <anchor moveWithCells="1">
                  <from>
                    <xdr:col>10</xdr:col>
                    <xdr:colOff>0</xdr:colOff>
                    <xdr:row>26</xdr:row>
                    <xdr:rowOff>0</xdr:rowOff>
                  </from>
                  <to>
                    <xdr:col>17</xdr:col>
                    <xdr:colOff>0</xdr:colOff>
                    <xdr:row>37</xdr:row>
                    <xdr:rowOff>0</xdr:rowOff>
                  </to>
                </anchor>
              </controlPr>
            </control>
          </mc:Choice>
        </mc:AlternateContent>
        <mc:AlternateContent xmlns:mc="http://schemas.openxmlformats.org/markup-compatibility/2006">
          <mc:Choice Requires="x14">
            <control shapeId="297463" r:id="rId47" name="Option Button 6647">
              <controlPr defaultSize="0" autoFill="0" autoLine="0" autoPict="0">
                <anchor moveWithCells="1">
                  <from>
                    <xdr:col>10</xdr:col>
                    <xdr:colOff>9525</xdr:colOff>
                    <xdr:row>29</xdr:row>
                    <xdr:rowOff>19050</xdr:rowOff>
                  </from>
                  <to>
                    <xdr:col>14</xdr:col>
                    <xdr:colOff>171450</xdr:colOff>
                    <xdr:row>29</xdr:row>
                    <xdr:rowOff>142875</xdr:rowOff>
                  </to>
                </anchor>
              </controlPr>
            </control>
          </mc:Choice>
        </mc:AlternateContent>
        <mc:AlternateContent xmlns:mc="http://schemas.openxmlformats.org/markup-compatibility/2006">
          <mc:Choice Requires="x14">
            <control shapeId="297464" r:id="rId48" name="Option Button 6648">
              <controlPr defaultSize="0" autoFill="0" autoLine="0" autoPict="0">
                <anchor moveWithCells="1">
                  <from>
                    <xdr:col>10</xdr:col>
                    <xdr:colOff>9525</xdr:colOff>
                    <xdr:row>30</xdr:row>
                    <xdr:rowOff>9525</xdr:rowOff>
                  </from>
                  <to>
                    <xdr:col>14</xdr:col>
                    <xdr:colOff>171450</xdr:colOff>
                    <xdr:row>30</xdr:row>
                    <xdr:rowOff>133350</xdr:rowOff>
                  </to>
                </anchor>
              </controlPr>
            </control>
          </mc:Choice>
        </mc:AlternateContent>
        <mc:AlternateContent xmlns:mc="http://schemas.openxmlformats.org/markup-compatibility/2006">
          <mc:Choice Requires="x14">
            <control shapeId="297846" r:id="rId49" name="Group Box 7030">
              <controlPr defaultSize="0" print="0" autoFill="0" autoPict="0">
                <anchor moveWithCells="1">
                  <from>
                    <xdr:col>22</xdr:col>
                    <xdr:colOff>0</xdr:colOff>
                    <xdr:row>12</xdr:row>
                    <xdr:rowOff>0</xdr:rowOff>
                  </from>
                  <to>
                    <xdr:col>24</xdr:col>
                    <xdr:colOff>0</xdr:colOff>
                    <xdr:row>16</xdr:row>
                    <xdr:rowOff>0</xdr:rowOff>
                  </to>
                </anchor>
              </controlPr>
            </control>
          </mc:Choice>
        </mc:AlternateContent>
        <mc:AlternateContent xmlns:mc="http://schemas.openxmlformats.org/markup-compatibility/2006">
          <mc:Choice Requires="x14">
            <control shapeId="297847" r:id="rId50" name="Option Button 7031">
              <controlPr defaultSize="0" autoFill="0" autoLine="0" autoPict="0">
                <anchor moveWithCells="1">
                  <from>
                    <xdr:col>22</xdr:col>
                    <xdr:colOff>285750</xdr:colOff>
                    <xdr:row>12</xdr:row>
                    <xdr:rowOff>19050</xdr:rowOff>
                  </from>
                  <to>
                    <xdr:col>23</xdr:col>
                    <xdr:colOff>123825</xdr:colOff>
                    <xdr:row>13</xdr:row>
                    <xdr:rowOff>0</xdr:rowOff>
                  </to>
                </anchor>
              </controlPr>
            </control>
          </mc:Choice>
        </mc:AlternateContent>
        <mc:AlternateContent xmlns:mc="http://schemas.openxmlformats.org/markup-compatibility/2006">
          <mc:Choice Requires="x14">
            <control shapeId="297848" r:id="rId51" name="Option Button 7032">
              <controlPr defaultSize="0" autoFill="0" autoLine="0" autoPict="0">
                <anchor moveWithCells="1">
                  <from>
                    <xdr:col>22</xdr:col>
                    <xdr:colOff>285750</xdr:colOff>
                    <xdr:row>14</xdr:row>
                    <xdr:rowOff>19050</xdr:rowOff>
                  </from>
                  <to>
                    <xdr:col>23</xdr:col>
                    <xdr:colOff>123825</xdr:colOff>
                    <xdr:row>14</xdr:row>
                    <xdr:rowOff>142875</xdr:rowOff>
                  </to>
                </anchor>
              </controlPr>
            </control>
          </mc:Choice>
        </mc:AlternateContent>
        <mc:AlternateContent xmlns:mc="http://schemas.openxmlformats.org/markup-compatibility/2006">
          <mc:Choice Requires="x14">
            <control shapeId="297849" r:id="rId52" name="Option Button 7033">
              <controlPr defaultSize="0" autoFill="0" autoLine="0" autoPict="0">
                <anchor moveWithCells="1">
                  <from>
                    <xdr:col>22</xdr:col>
                    <xdr:colOff>285750</xdr:colOff>
                    <xdr:row>15</xdr:row>
                    <xdr:rowOff>19050</xdr:rowOff>
                  </from>
                  <to>
                    <xdr:col>23</xdr:col>
                    <xdr:colOff>123825</xdr:colOff>
                    <xdr:row>15</xdr:row>
                    <xdr:rowOff>142875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526DFFD3-F46C-4778-87A0-4881882F6791}">
            <xm:f>Erhebungsbogen!$W$37&gt;0</xm:f>
            <x14:dxf>
              <font>
                <color theme="1"/>
              </font>
              <border>
                <left style="thin">
                  <color auto="1"/>
                </left>
                <right style="thin">
                  <color auto="1"/>
                </right>
                <top style="thin">
                  <color auto="1"/>
                </top>
                <bottom style="thin">
                  <color auto="1"/>
                </bottom>
                <vertical/>
                <horizontal/>
              </border>
            </x14:dxf>
          </x14:cfRule>
          <xm:sqref>H41:I41</xm:sqref>
        </x14:conditionalFormatting>
        <x14:conditionalFormatting xmlns:xm="http://schemas.microsoft.com/office/excel/2006/main">
          <x14:cfRule type="cellIs" priority="1368" operator="greaterThan" id="{E3D855B7-EC71-439E-A38E-C6EE724AD085}">
            <xm:f>Haftungsausschluß!$L$34</xm:f>
            <x14:dxf>
              <fill>
                <patternFill>
                  <bgColor theme="9" tint="0.59996337778862885"/>
                </patternFill>
              </fill>
            </x14:dxf>
          </x14:cfRule>
          <x14:cfRule type="cellIs" priority="1369" operator="lessThan" id="{5B472BE0-2126-468C-9A56-390B47EB2A18}">
            <xm:f>Haftungsausschluß!$L$34</xm:f>
            <x14:dxf>
              <fill>
                <patternFill>
                  <bgColor rgb="FFFF7C80"/>
                </patternFill>
              </fill>
            </x14:dxf>
          </x14:cfRule>
          <xm:sqref>X30</xm:sqref>
        </x14:conditionalFormatting>
        <x14:conditionalFormatting xmlns:xm="http://schemas.microsoft.com/office/excel/2006/main">
          <x14:cfRule type="cellIs" priority="1371" operator="greaterThan" id="{BDD91BB4-77F9-49D9-8F29-35D5FD3FCC97}">
            <xm:f>Haftungsausschluß!$L$35</xm:f>
            <x14:dxf>
              <fill>
                <patternFill>
                  <bgColor theme="9" tint="0.59996337778862885"/>
                </patternFill>
              </fill>
            </x14:dxf>
          </x14:cfRule>
          <x14:cfRule type="cellIs" priority="1372" operator="lessThan" id="{A1987FBC-B50D-4169-8158-D3170EDAE5DD}">
            <xm:f>Haftungsausschluß!$L$35</xm:f>
            <x14:dxf>
              <fill>
                <patternFill>
                  <bgColor rgb="FFFF7C80"/>
                </patternFill>
              </fill>
            </x14:dxf>
          </x14:cfRule>
          <xm:sqref>X35</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088D-F659-4346-AA78-EB6FD99710EC}">
  <sheetPr codeName="Tabelle49"/>
  <dimension ref="A1:AC582"/>
  <sheetViews>
    <sheetView workbookViewId="0"/>
  </sheetViews>
  <sheetFormatPr baseColWidth="10" defaultColWidth="11.42578125" defaultRowHeight="12.75"/>
  <cols>
    <col min="1" max="1" width="4.28515625" style="152" customWidth="1"/>
    <col min="2" max="2" width="38.7109375" style="152" customWidth="1"/>
    <col min="3" max="4" width="20.7109375" style="152" customWidth="1"/>
    <col min="5"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44901</v>
      </c>
      <c r="H3" s="156" t="s">
        <v>22312</v>
      </c>
      <c r="I3" s="158" t="s">
        <v>22313</v>
      </c>
    </row>
    <row r="4" spans="1:9" ht="16.5" customHeight="1">
      <c r="A4" s="148"/>
      <c r="B4" s="160" t="s">
        <v>22316</v>
      </c>
      <c r="C4" s="547" t="str">
        <f>Kalk3_Eingabe!C4</f>
        <v>PREFA</v>
      </c>
      <c r="D4" s="547"/>
      <c r="E4" s="548"/>
      <c r="F4" s="150"/>
      <c r="G4" s="150"/>
      <c r="H4" s="151"/>
      <c r="I4" s="148"/>
    </row>
    <row r="5" spans="1:9" ht="16.5" customHeight="1">
      <c r="A5" s="148"/>
      <c r="B5" s="164" t="s">
        <v>22319</v>
      </c>
      <c r="C5" s="549" t="str">
        <f>Kalk3_Eingabe!C5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22326</v>
      </c>
      <c r="C7" s="148"/>
      <c r="D7" s="168"/>
      <c r="E7" s="168"/>
      <c r="F7" s="148"/>
      <c r="G7" s="148"/>
      <c r="H7" s="148"/>
      <c r="I7" s="148"/>
    </row>
    <row r="8" spans="1:9" ht="16.5" customHeight="1">
      <c r="A8" s="148"/>
      <c r="B8" s="170"/>
      <c r="C8" s="148"/>
      <c r="D8" s="168"/>
      <c r="E8" s="168"/>
      <c r="F8" s="148"/>
      <c r="G8" s="148"/>
      <c r="H8" s="148"/>
      <c r="I8" s="148"/>
    </row>
    <row r="9" spans="1:9" ht="14.25" customHeight="1">
      <c r="A9" s="148"/>
      <c r="B9" s="148"/>
      <c r="C9" s="148"/>
      <c r="D9" s="168"/>
      <c r="E9" s="168"/>
      <c r="F9" s="148"/>
      <c r="G9" s="148"/>
      <c r="H9" s="148"/>
      <c r="I9" s="148"/>
    </row>
    <row r="10" spans="1:9" ht="14.25" customHeight="1" thickBot="1">
      <c r="A10" s="171" t="s">
        <v>22327</v>
      </c>
      <c r="B10" s="172" t="s">
        <v>22505</v>
      </c>
      <c r="C10" s="148"/>
      <c r="D10" s="168"/>
      <c r="E10" s="168"/>
      <c r="F10" s="148"/>
      <c r="G10" s="148"/>
      <c r="H10" s="148"/>
      <c r="I10" s="148"/>
    </row>
    <row r="11" spans="1:9" ht="14.25" customHeight="1" thickBot="1">
      <c r="A11" s="148"/>
      <c r="B11" s="173"/>
      <c r="C11" s="201" t="s">
        <v>22506</v>
      </c>
      <c r="D11" s="201" t="s">
        <v>22507</v>
      </c>
      <c r="E11" s="168"/>
      <c r="F11" s="148"/>
      <c r="G11" s="148"/>
      <c r="H11" s="148"/>
      <c r="I11" s="148"/>
    </row>
    <row r="12" spans="1:9" ht="14.25" customHeight="1">
      <c r="A12" s="148"/>
      <c r="B12" s="175" t="s">
        <v>22508</v>
      </c>
      <c r="C12" s="202">
        <v>1.35</v>
      </c>
      <c r="D12" s="202">
        <v>1</v>
      </c>
      <c r="F12" s="177"/>
      <c r="G12" s="148"/>
      <c r="H12" s="148"/>
      <c r="I12" s="148"/>
    </row>
    <row r="13" spans="1:9" ht="14.25" customHeight="1">
      <c r="A13" s="148"/>
      <c r="B13" s="175" t="s">
        <v>22509</v>
      </c>
      <c r="C13" s="203">
        <v>0.9</v>
      </c>
      <c r="D13" s="203">
        <f>C13</f>
        <v>0.9</v>
      </c>
      <c r="F13" s="177"/>
      <c r="G13" s="148"/>
      <c r="H13" s="148"/>
      <c r="I13" s="148"/>
    </row>
    <row r="14" spans="1:9" ht="14.25" customHeight="1">
      <c r="A14" s="148"/>
      <c r="B14" s="175" t="s">
        <v>22314</v>
      </c>
      <c r="C14" s="203">
        <f>IF(Kalk3_Eingabe!C22="50/150",Kalk3_Eingabe!N5,IF(Kalk3_Eingabe!C22="50/200",Kalk3_Eingabe!N6,IF(Kalk3_Eingabe!C22="80/200",Kalk3_Eingabe!N7,IF(Kalk3_Eingabe!C22="25/200",Kalk3_Eingabe!N8))))</f>
        <v>20</v>
      </c>
      <c r="D14" s="204"/>
      <c r="E14" s="168" t="s">
        <v>22416</v>
      </c>
      <c r="F14" s="163" t="s">
        <v>22318</v>
      </c>
      <c r="G14" s="148"/>
      <c r="I14" s="148"/>
    </row>
    <row r="15" spans="1:9" ht="14.25" customHeight="1" thickBot="1">
      <c r="A15" s="148"/>
      <c r="B15" s="175" t="s">
        <v>22315</v>
      </c>
      <c r="C15" s="205">
        <f>IF(Kalk3_Eingabe!C22="50/150",Kalk3_Eingabe!O5,IF(Kalk3_Eingabe!C22="50/200",Kalk3_Eingabe!O6,IF(Kalk3_Eingabe!C22="80/200",Kalk3_Eingabe!O7,IF(Kalk3_Eingabe!C22="25/200",Kalk3_Eingabe!O8))))</f>
        <v>21</v>
      </c>
      <c r="D15" s="206"/>
      <c r="E15" s="168" t="s">
        <v>22416</v>
      </c>
      <c r="F15" s="163" t="s">
        <v>22323</v>
      </c>
      <c r="G15" s="148"/>
      <c r="I15" s="148"/>
    </row>
    <row r="16" spans="1:9" ht="5.0999999999999996" customHeight="1">
      <c r="A16" s="148"/>
      <c r="B16" s="175"/>
      <c r="C16" s="207"/>
      <c r="D16" s="208"/>
      <c r="E16" s="168"/>
      <c r="F16" s="163"/>
      <c r="G16" s="148"/>
      <c r="I16" s="148"/>
    </row>
    <row r="17" spans="1:9" ht="24" customHeight="1" thickBot="1">
      <c r="A17" s="171" t="s">
        <v>22353</v>
      </c>
      <c r="B17" s="172" t="s">
        <v>22510</v>
      </c>
      <c r="C17" s="209" t="s">
        <v>22511</v>
      </c>
      <c r="D17" s="210" t="s">
        <v>22512</v>
      </c>
      <c r="I17" s="148"/>
    </row>
    <row r="18" spans="1:9" ht="14.25" customHeight="1">
      <c r="A18" s="211" t="s">
        <v>22513</v>
      </c>
      <c r="B18" s="212" t="s">
        <v>21191</v>
      </c>
      <c r="C18" s="213"/>
      <c r="D18" s="213"/>
      <c r="G18" s="181"/>
      <c r="I18" s="148"/>
    </row>
    <row r="19" spans="1:9" ht="14.25" customHeight="1">
      <c r="A19" s="179"/>
      <c r="B19" s="175" t="s">
        <v>22514</v>
      </c>
      <c r="C19" s="203">
        <f>C13*C12*Kalk3_Eingabe!C29</f>
        <v>0.30375000000000002</v>
      </c>
      <c r="D19" s="203">
        <f>D13*D12*Kalk3_Eingabe!C29</f>
        <v>0.22500000000000001</v>
      </c>
      <c r="E19" s="168" t="s">
        <v>22358</v>
      </c>
      <c r="G19" s="148"/>
      <c r="I19" s="148"/>
    </row>
    <row r="20" spans="1:9" ht="14.25" customHeight="1">
      <c r="A20" s="179"/>
      <c r="B20" s="175" t="s">
        <v>22515</v>
      </c>
      <c r="C20" s="203">
        <f>C13*Kalk3_Lastfallkombi!C12*Kalk3_Eingabe!C32</f>
        <v>0</v>
      </c>
      <c r="D20" s="203">
        <f>D13*Kalk3_Lastfallkombi!D12*Kalk3_Eingabe!C32</f>
        <v>0</v>
      </c>
      <c r="E20" s="168"/>
      <c r="G20" s="148"/>
      <c r="I20" s="148"/>
    </row>
    <row r="21" spans="1:9" ht="14.25" customHeight="1">
      <c r="B21" s="214" t="s">
        <v>22516</v>
      </c>
      <c r="C21" s="215"/>
      <c r="D21" s="203"/>
      <c r="E21" s="168"/>
    </row>
    <row r="22" spans="1:9" ht="14.25" customHeight="1">
      <c r="B22" s="175" t="s">
        <v>22517</v>
      </c>
      <c r="C22" s="203">
        <f>C19</f>
        <v>0.30375000000000002</v>
      </c>
      <c r="D22" s="203">
        <f>D19</f>
        <v>0.22500000000000001</v>
      </c>
      <c r="E22" s="168" t="s">
        <v>22358</v>
      </c>
    </row>
    <row r="23" spans="1:9" ht="14.25" customHeight="1">
      <c r="A23" s="179"/>
      <c r="B23" s="175" t="s">
        <v>22518</v>
      </c>
      <c r="C23" s="203">
        <f>C19*(Kalk3_Eingabe!C24-C15/100)/Kalk3_Eingabe!C24</f>
        <v>-2.2477499999999999</v>
      </c>
      <c r="D23" s="203">
        <f>D19*(Kalk3_Eingabe!C24-C15/100)/Kalk3_Eingabe!C24</f>
        <v>-1.665</v>
      </c>
      <c r="E23" s="168" t="s">
        <v>22358</v>
      </c>
    </row>
    <row r="24" spans="1:9" ht="14.25" customHeight="1">
      <c r="B24" s="175" t="s">
        <v>22519</v>
      </c>
      <c r="C24" s="203">
        <f>(C22+C23)/2+C20</f>
        <v>-0.97199999999999998</v>
      </c>
      <c r="D24" s="203">
        <f>(D22+D23)/2+D20</f>
        <v>-0.72</v>
      </c>
      <c r="E24" s="168" t="s">
        <v>22358</v>
      </c>
      <c r="F24" s="163" t="s">
        <v>22520</v>
      </c>
    </row>
    <row r="25" spans="1:9" ht="14.25" customHeight="1">
      <c r="B25" s="214" t="s">
        <v>22521</v>
      </c>
      <c r="C25" s="215"/>
      <c r="D25" s="215"/>
      <c r="E25" s="168"/>
    </row>
    <row r="26" spans="1:9" ht="14.25" customHeight="1">
      <c r="B26" s="175" t="s">
        <v>22522</v>
      </c>
      <c r="C26" s="203">
        <f>VLOOKUP(P102+1,K47:Y94,15,FALSE)</f>
        <v>-0.97199999999999998</v>
      </c>
      <c r="D26" s="203">
        <f>VLOOKUP(P102+1,K47:AC94,19,FALSE)</f>
        <v>-0.72</v>
      </c>
      <c r="E26" s="168" t="s">
        <v>22358</v>
      </c>
      <c r="F26" s="163" t="s">
        <v>22523</v>
      </c>
    </row>
    <row r="27" spans="1:9" ht="14.25" customHeight="1">
      <c r="B27" s="165" t="s">
        <v>22524</v>
      </c>
      <c r="C27" s="203" t="e">
        <f>C12*C13*Kalk3_Eingabe!C46</f>
        <v>#NUM!</v>
      </c>
      <c r="D27" s="203" t="e">
        <f>D12*D13*Kalk3_Eingabe!C46</f>
        <v>#NUM!</v>
      </c>
      <c r="E27" s="168" t="s">
        <v>22379</v>
      </c>
      <c r="F27" s="163" t="s">
        <v>22525</v>
      </c>
    </row>
    <row r="28" spans="1:9" ht="14.25" customHeight="1">
      <c r="B28" s="165" t="s">
        <v>22526</v>
      </c>
      <c r="C28" s="203" t="e">
        <f>C12*C13*Kalk3_Eingabe!C47</f>
        <v>#NUM!</v>
      </c>
      <c r="D28" s="203" t="e">
        <f>D12*D13*Kalk3_Eingabe!C47</f>
        <v>#NUM!</v>
      </c>
      <c r="E28" s="168" t="s">
        <v>22379</v>
      </c>
      <c r="F28" s="163" t="s">
        <v>22527</v>
      </c>
    </row>
    <row r="29" spans="1:9" ht="5.0999999999999996" customHeight="1">
      <c r="B29" s="165"/>
      <c r="C29" s="203"/>
      <c r="D29" s="203"/>
      <c r="F29" s="163"/>
    </row>
    <row r="30" spans="1:9" ht="14.25" customHeight="1">
      <c r="A30" s="216" t="s">
        <v>22528</v>
      </c>
      <c r="B30" s="212" t="s">
        <v>22422</v>
      </c>
      <c r="C30" s="203"/>
      <c r="D30" s="203"/>
      <c r="F30" s="163"/>
    </row>
    <row r="31" spans="1:9" ht="14.25" customHeight="1">
      <c r="B31" s="175" t="s">
        <v>22529</v>
      </c>
      <c r="C31" s="203">
        <f>C12*Kalk3_Eingabe!C28</f>
        <v>0</v>
      </c>
      <c r="D31" s="203">
        <f>D12*Kalk3_Eingabe!C28</f>
        <v>0</v>
      </c>
      <c r="E31" s="168" t="s">
        <v>22358</v>
      </c>
      <c r="F31" s="163"/>
      <c r="G31" s="185"/>
    </row>
    <row r="32" spans="1:9" ht="14.25" customHeight="1">
      <c r="B32" s="175" t="s">
        <v>22530</v>
      </c>
      <c r="C32" s="203">
        <f>Kalk3_Lastfallkombi!C12*Kalk3_Eingabe!C32</f>
        <v>0</v>
      </c>
      <c r="D32" s="203">
        <f>Kalk3_Lastfallkombi!D12*Kalk3_Eingabe!C32</f>
        <v>0</v>
      </c>
      <c r="E32" s="168"/>
      <c r="F32" s="163"/>
    </row>
    <row r="33" spans="1:29" ht="14.25" customHeight="1">
      <c r="B33" s="214" t="s">
        <v>22516</v>
      </c>
      <c r="C33" s="215"/>
      <c r="D33" s="215"/>
      <c r="E33" s="168"/>
      <c r="F33" s="163"/>
      <c r="G33" s="185"/>
    </row>
    <row r="34" spans="1:29" ht="14.25" customHeight="1">
      <c r="B34" s="175" t="s">
        <v>22531</v>
      </c>
      <c r="C34" s="203">
        <f>C31</f>
        <v>0</v>
      </c>
      <c r="D34" s="203">
        <f>D31</f>
        <v>0</v>
      </c>
      <c r="E34" s="168" t="s">
        <v>22358</v>
      </c>
      <c r="F34" s="183"/>
      <c r="G34" s="185"/>
    </row>
    <row r="35" spans="1:29" ht="14.25" customHeight="1">
      <c r="B35" s="175" t="s">
        <v>22532</v>
      </c>
      <c r="C35" s="203" t="e">
        <f>C31*(Kalk3_Eingabe!C18-Kalk3_Lastfallkombi!C15/100)/Kalk3_Eingabe!C18</f>
        <v>#DIV/0!</v>
      </c>
      <c r="D35" s="203" t="e">
        <f>D31*(Kalk3_Eingabe!C18-Kalk3_Lastfallkombi!C15/100)/Kalk3_Eingabe!C18</f>
        <v>#DIV/0!</v>
      </c>
      <c r="E35" s="168" t="s">
        <v>22358</v>
      </c>
      <c r="F35" s="183"/>
      <c r="G35" s="185"/>
    </row>
    <row r="36" spans="1:29" ht="14.25" customHeight="1">
      <c r="B36" s="175" t="s">
        <v>22533</v>
      </c>
      <c r="C36" s="203" t="e">
        <f>(C34+C35)/2+C32</f>
        <v>#DIV/0!</v>
      </c>
      <c r="D36" s="203" t="e">
        <f>(D34+D35)/2+D32</f>
        <v>#DIV/0!</v>
      </c>
      <c r="E36" s="168" t="s">
        <v>22358</v>
      </c>
      <c r="F36" s="163" t="s">
        <v>22520</v>
      </c>
      <c r="K36" s="152" t="s">
        <v>22534</v>
      </c>
      <c r="L36" s="152">
        <f>IF(Kalk3_Eingabe!C22="50/150",'Kalk3_DB_50-150'!C15,IF(Kalk3_Eingabe!C22="50/200",'Kalk3_DB_50-200'!C15,IF(Kalk3_Eingabe!C22="80/200",'Kalk3_DB_80-200'!C15,IF(Kalk3_Eingabe!C22="25/200",'Kalk3_DB_25-200'!C15))))</f>
        <v>0</v>
      </c>
      <c r="M36" s="152" t="s">
        <v>20892</v>
      </c>
    </row>
    <row r="37" spans="1:29" ht="14.25" customHeight="1">
      <c r="B37" s="214" t="s">
        <v>22535</v>
      </c>
      <c r="C37" s="215"/>
      <c r="D37" s="215"/>
      <c r="E37" s="168"/>
      <c r="L37" s="152">
        <v>2</v>
      </c>
    </row>
    <row r="38" spans="1:29" ht="14.25" customHeight="1">
      <c r="B38" s="217" t="s">
        <v>22536</v>
      </c>
      <c r="C38" s="203" t="e">
        <f>VLOOKUP(P98+1,K47:U94,7,FALSE)</f>
        <v>#DIV/0!</v>
      </c>
      <c r="D38" s="203" t="e">
        <f>VLOOKUP(P98+1,K47:U94,11,FALSE)</f>
        <v>#DIV/0!</v>
      </c>
      <c r="E38" s="168" t="s">
        <v>22358</v>
      </c>
      <c r="F38" s="218" t="s">
        <v>22523</v>
      </c>
      <c r="K38" s="152" t="s">
        <v>22537</v>
      </c>
    </row>
    <row r="39" spans="1:29" ht="14.25" customHeight="1">
      <c r="B39" s="165" t="s">
        <v>22538</v>
      </c>
      <c r="C39" s="203" t="e">
        <f>C12*Kalk3_Eingabe!C39</f>
        <v>#DIV/0!</v>
      </c>
      <c r="D39" s="203" t="e">
        <f>D12*Kalk3_Eingabe!C39</f>
        <v>#DIV/0!</v>
      </c>
      <c r="E39" s="168" t="s">
        <v>22379</v>
      </c>
      <c r="F39" s="218" t="s">
        <v>22525</v>
      </c>
      <c r="L39" s="152" t="s">
        <v>22539</v>
      </c>
      <c r="M39" s="152" t="s">
        <v>22540</v>
      </c>
    </row>
    <row r="40" spans="1:29" ht="14.25" customHeight="1">
      <c r="B40" s="165" t="s">
        <v>22541</v>
      </c>
      <c r="C40" s="203" t="e">
        <f>C12*Kalk3_Eingabe!C40</f>
        <v>#DIV/0!</v>
      </c>
      <c r="D40" s="203" t="e">
        <f>D12*Kalk3_Eingabe!C40</f>
        <v>#DIV/0!</v>
      </c>
      <c r="E40" s="168" t="s">
        <v>22379</v>
      </c>
      <c r="F40" s="218" t="s">
        <v>22527</v>
      </c>
      <c r="K40" s="152" t="s">
        <v>22542</v>
      </c>
      <c r="L40" s="152">
        <v>0</v>
      </c>
      <c r="M40" s="152">
        <v>0</v>
      </c>
    </row>
    <row r="41" spans="1:29" ht="5.0999999999999996" customHeight="1" thickBot="1">
      <c r="C41" s="206"/>
      <c r="D41" s="206"/>
      <c r="L41" s="152">
        <f>L37+0.5</f>
        <v>2.5</v>
      </c>
      <c r="M41" s="152">
        <v>0</v>
      </c>
    </row>
    <row r="42" spans="1:29" ht="14.25" customHeight="1" thickBot="1">
      <c r="A42" s="171" t="s">
        <v>22413</v>
      </c>
      <c r="B42" s="172" t="s">
        <v>22543</v>
      </c>
      <c r="C42" s="201" t="s">
        <v>22506</v>
      </c>
      <c r="D42" s="201" t="s">
        <v>22507</v>
      </c>
      <c r="K42" s="152" t="s">
        <v>22544</v>
      </c>
      <c r="L42" s="152">
        <f>L37</f>
        <v>2</v>
      </c>
      <c r="M42" s="152">
        <v>0</v>
      </c>
    </row>
    <row r="43" spans="1:29" ht="14.25" customHeight="1">
      <c r="A43" s="219" t="s">
        <v>22528</v>
      </c>
      <c r="B43" s="192" t="s">
        <v>22545</v>
      </c>
      <c r="C43" s="213"/>
      <c r="D43" s="213"/>
      <c r="L43" s="152">
        <f>L42</f>
        <v>2</v>
      </c>
      <c r="M43" s="185">
        <f>Kalk3_Eingabe!C24</f>
        <v>2.5000000000000001E-2</v>
      </c>
    </row>
    <row r="44" spans="1:29" ht="14.25" customHeight="1">
      <c r="B44" s="165" t="s">
        <v>22496</v>
      </c>
      <c r="C44" s="203" t="e">
        <f>C39/Kalk3_Eingabe!C41/0.5</f>
        <v>#DIV/0!</v>
      </c>
      <c r="D44" s="203" t="e">
        <f>D39/Kalk3_Eingabe!C41/0.5</f>
        <v>#DIV/0!</v>
      </c>
      <c r="E44" s="168" t="s">
        <v>22469</v>
      </c>
      <c r="K44" s="152" t="s">
        <v>22422</v>
      </c>
      <c r="L44" s="152">
        <v>0</v>
      </c>
      <c r="M44" s="185">
        <f>Kalk3_Eingabe!C18</f>
        <v>0</v>
      </c>
      <c r="N44" s="551" t="s">
        <v>22546</v>
      </c>
      <c r="O44" s="552"/>
      <c r="P44" s="552"/>
      <c r="Q44" s="553"/>
      <c r="R44" s="551" t="s">
        <v>22547</v>
      </c>
      <c r="S44" s="552"/>
      <c r="T44" s="552"/>
      <c r="U44" s="553"/>
      <c r="V44" s="551" t="s">
        <v>22548</v>
      </c>
      <c r="W44" s="552"/>
      <c r="X44" s="552"/>
      <c r="Y44" s="553"/>
      <c r="Z44" s="551" t="s">
        <v>22547</v>
      </c>
      <c r="AA44" s="552"/>
      <c r="AB44" s="552"/>
      <c r="AC44" s="553"/>
    </row>
    <row r="45" spans="1:29" ht="14.25" customHeight="1">
      <c r="B45" s="165" t="s">
        <v>22549</v>
      </c>
      <c r="C45" s="203" t="e">
        <f>C44*0.5*(2*((Kalk3_Eingabe!C19-0.5)/2)+0.5)/(2*Kalk3_Eingabe!C19)</f>
        <v>#DIV/0!</v>
      </c>
      <c r="D45" s="203" t="e">
        <f>D44*0.5*(2*((Kalk3_Eingabe!C19-0.5)/2)+0.5)/(2*Kalk3_Eingabe!C19)</f>
        <v>#DIV/0!</v>
      </c>
      <c r="E45" s="168" t="s">
        <v>22379</v>
      </c>
      <c r="F45" s="163"/>
      <c r="L45" s="152">
        <f>L43</f>
        <v>2</v>
      </c>
      <c r="M45" s="185">
        <f>M44</f>
        <v>0</v>
      </c>
      <c r="N45" s="220"/>
      <c r="O45" s="221"/>
      <c r="P45" s="221"/>
      <c r="Q45" s="222"/>
      <c r="R45" s="220"/>
      <c r="S45" s="221"/>
      <c r="T45" s="221"/>
      <c r="U45" s="222"/>
      <c r="V45" s="220"/>
      <c r="W45" s="221"/>
      <c r="X45" s="221"/>
      <c r="Y45" s="222"/>
      <c r="Z45" s="220"/>
      <c r="AA45" s="221"/>
      <c r="AB45" s="221"/>
      <c r="AC45" s="222"/>
    </row>
    <row r="46" spans="1:29" ht="14.25" customHeight="1">
      <c r="B46" s="165" t="s">
        <v>22550</v>
      </c>
      <c r="C46" s="203" t="e">
        <f>IF(C44=0,0,C45*(((Kalk3_Eingabe!C19-0.5)/2)+Kalk3_Lastfallkombi!C45/(2*Kalk3_Lastfallkombi!C44)))</f>
        <v>#DIV/0!</v>
      </c>
      <c r="D46" s="203" t="e">
        <f>IF(D44=0,0,D45*(((Kalk3_Eingabe!C19-0.5)/2)+Kalk3_Lastfallkombi!D45/(2*Kalk3_Lastfallkombi!D44)))</f>
        <v>#DIV/0!</v>
      </c>
      <c r="E46" s="168" t="s">
        <v>22428</v>
      </c>
      <c r="F46" s="163"/>
      <c r="K46" s="152" t="s">
        <v>22551</v>
      </c>
      <c r="N46" s="223" t="s">
        <v>22552</v>
      </c>
      <c r="O46" s="224" t="s">
        <v>22553</v>
      </c>
      <c r="P46" s="225" t="s">
        <v>22554</v>
      </c>
      <c r="Q46" s="226" t="s">
        <v>22555</v>
      </c>
      <c r="R46" s="223" t="s">
        <v>22552</v>
      </c>
      <c r="S46" s="224" t="s">
        <v>22553</v>
      </c>
      <c r="T46" s="225" t="s">
        <v>22554</v>
      </c>
      <c r="U46" s="226" t="s">
        <v>22555</v>
      </c>
      <c r="V46" s="223" t="s">
        <v>22552</v>
      </c>
      <c r="W46" s="224" t="s">
        <v>22553</v>
      </c>
      <c r="X46" s="225" t="s">
        <v>22554</v>
      </c>
      <c r="Y46" s="226" t="s">
        <v>22555</v>
      </c>
      <c r="Z46" s="223" t="s">
        <v>22552</v>
      </c>
      <c r="AA46" s="224" t="s">
        <v>22553</v>
      </c>
      <c r="AB46" s="225" t="s">
        <v>22554</v>
      </c>
      <c r="AC46" s="226" t="s">
        <v>22555</v>
      </c>
    </row>
    <row r="47" spans="1:29" ht="14.25" customHeight="1">
      <c r="B47" s="192" t="s">
        <v>22556</v>
      </c>
      <c r="C47" s="204"/>
      <c r="D47" s="204"/>
      <c r="F47" s="163"/>
      <c r="K47" s="152">
        <v>1</v>
      </c>
      <c r="L47" s="185">
        <f>L42-0.02</f>
        <v>1.98</v>
      </c>
      <c r="M47" s="185">
        <f>C15/100</f>
        <v>0.21</v>
      </c>
      <c r="N47" s="227">
        <f>C31</f>
        <v>0</v>
      </c>
      <c r="O47" s="185">
        <f>C32</f>
        <v>0</v>
      </c>
      <c r="P47" s="185">
        <f>O47+N47</f>
        <v>0</v>
      </c>
      <c r="Q47" s="228" t="e">
        <f>Q48</f>
        <v>#DIV/0!</v>
      </c>
      <c r="R47" s="227">
        <f>D31</f>
        <v>0</v>
      </c>
      <c r="S47" s="185">
        <f>D32</f>
        <v>0</v>
      </c>
      <c r="T47" s="185">
        <f>S47+R47</f>
        <v>0</v>
      </c>
      <c r="U47" s="228" t="e">
        <f>U48</f>
        <v>#DIV/0!</v>
      </c>
      <c r="V47" s="229">
        <f>C19</f>
        <v>0.30375000000000002</v>
      </c>
      <c r="W47" s="230">
        <f>C20</f>
        <v>0</v>
      </c>
      <c r="X47" s="230">
        <f>W47+V47</f>
        <v>0.30375000000000002</v>
      </c>
      <c r="Y47" s="231">
        <f>Y48</f>
        <v>-0.97199999999999998</v>
      </c>
      <c r="Z47" s="229">
        <f>D19</f>
        <v>0.22500000000000001</v>
      </c>
      <c r="AA47" s="230">
        <f>D20</f>
        <v>0</v>
      </c>
      <c r="AB47" s="230">
        <f>AA47+Z47</f>
        <v>0.22500000000000001</v>
      </c>
      <c r="AC47" s="231">
        <f>AC48</f>
        <v>-0.72</v>
      </c>
    </row>
    <row r="48" spans="1:29" ht="14.25" customHeight="1">
      <c r="B48" s="165" t="s">
        <v>22557</v>
      </c>
      <c r="C48" s="203" t="e">
        <f>C38*C14/100*Kalk3_Eingabe!C19/2</f>
        <v>#DIV/0!</v>
      </c>
      <c r="D48" s="203" t="e">
        <f>D38*C14/100*Kalk3_Eingabe!C19/2</f>
        <v>#DIV/0!</v>
      </c>
      <c r="E48" s="168" t="s">
        <v>22379</v>
      </c>
      <c r="K48" s="152">
        <v>1</v>
      </c>
      <c r="L48" s="185">
        <f>L42+0.02</f>
        <v>2.02</v>
      </c>
      <c r="M48" s="185">
        <f>M47</f>
        <v>0.21</v>
      </c>
      <c r="N48" s="227" t="e">
        <f>$N$47/Kalk3_Eingabe!$C$18*(Kalk3_Eingabe!$C$18-Kalk3_Lastfallkombi!M48)</f>
        <v>#DIV/0!</v>
      </c>
      <c r="O48" s="185">
        <f>O47</f>
        <v>0</v>
      </c>
      <c r="P48" s="185" t="e">
        <f t="shared" ref="P48:P94" si="0">O48+N48</f>
        <v>#DIV/0!</v>
      </c>
      <c r="Q48" s="228" t="e">
        <f>AVERAGE(P48,P47)</f>
        <v>#DIV/0!</v>
      </c>
      <c r="R48" s="227" t="e">
        <f>$R$47/Kalk3_Eingabe!$C$18*(Kalk3_Eingabe!$C$18-Kalk3_Lastfallkombi!M48)</f>
        <v>#DIV/0!</v>
      </c>
      <c r="S48" s="185">
        <f>S47</f>
        <v>0</v>
      </c>
      <c r="T48" s="185" t="e">
        <f>S48+R48</f>
        <v>#DIV/0!</v>
      </c>
      <c r="U48" s="228" t="e">
        <f>AVERAGE(T48,T47)</f>
        <v>#DIV/0!</v>
      </c>
      <c r="V48" s="227">
        <f>$V$47/Kalk3_Eingabe!$C$24*(Kalk3_Eingabe!$C$24-Kalk3_Lastfallkombi!M48)</f>
        <v>-2.2477499999999999</v>
      </c>
      <c r="W48" s="185">
        <f>W47</f>
        <v>0</v>
      </c>
      <c r="X48" s="185">
        <f>W48+V48</f>
        <v>-2.2477499999999999</v>
      </c>
      <c r="Y48" s="228">
        <f>AVERAGE(X48,X47)</f>
        <v>-0.97199999999999998</v>
      </c>
      <c r="Z48" s="227">
        <f>$Z$47/Kalk3_Eingabe!$C$24*(Kalk3_Eingabe!$C$24-Kalk3_Lastfallkombi!M48)</f>
        <v>-1.665</v>
      </c>
      <c r="AA48" s="185">
        <f>AA47</f>
        <v>0</v>
      </c>
      <c r="AB48" s="185">
        <f>AA48+Z48</f>
        <v>-1.665</v>
      </c>
      <c r="AC48" s="228">
        <f>AVERAGE(AB48,AB47)</f>
        <v>-0.72</v>
      </c>
    </row>
    <row r="49" spans="1:29" ht="14.25" customHeight="1" thickBot="1">
      <c r="B49" s="165" t="s">
        <v>22558</v>
      </c>
      <c r="C49" s="203" t="e">
        <f>C38*C14/100*Kalk3_Eingabe!C19^2/8</f>
        <v>#DIV/0!</v>
      </c>
      <c r="D49" s="203" t="e">
        <f>D38*C14/100*Kalk3_Eingabe!C19^2/8</f>
        <v>#DIV/0!</v>
      </c>
      <c r="E49" s="168" t="s">
        <v>22428</v>
      </c>
      <c r="K49" s="152">
        <v>2</v>
      </c>
      <c r="L49" s="185">
        <f>L47</f>
        <v>1.98</v>
      </c>
      <c r="M49" s="185">
        <f>M47+IF(K49&lt;=$L$36,$C$14/100,0)</f>
        <v>0.21</v>
      </c>
      <c r="N49" s="227" t="e">
        <f>N48</f>
        <v>#DIV/0!</v>
      </c>
      <c r="O49" s="185" t="e">
        <f>IF(N49=0,0,O48)</f>
        <v>#DIV/0!</v>
      </c>
      <c r="P49" s="185" t="e">
        <f t="shared" si="0"/>
        <v>#DIV/0!</v>
      </c>
      <c r="Q49" s="228" t="e">
        <f>Q50</f>
        <v>#DIV/0!</v>
      </c>
      <c r="R49" s="227" t="e">
        <f>R48</f>
        <v>#DIV/0!</v>
      </c>
      <c r="S49" s="185" t="e">
        <f>IF(R49=0,0,S48)</f>
        <v>#DIV/0!</v>
      </c>
      <c r="T49" s="185" t="e">
        <f>S49+R49</f>
        <v>#DIV/0!</v>
      </c>
      <c r="U49" s="228" t="e">
        <f>U50</f>
        <v>#DIV/0!</v>
      </c>
      <c r="V49" s="227">
        <f>V48</f>
        <v>-2.2477499999999999</v>
      </c>
      <c r="W49" s="185">
        <f>IF(V49=0,0,W48)</f>
        <v>0</v>
      </c>
      <c r="X49" s="185">
        <f>W49+V49</f>
        <v>-2.2477499999999999</v>
      </c>
      <c r="Y49" s="228">
        <f>Y50</f>
        <v>-1.123875</v>
      </c>
      <c r="Z49" s="227">
        <f>Z48</f>
        <v>-1.665</v>
      </c>
      <c r="AA49" s="185">
        <f>IF(Z49=0,0,AA48)</f>
        <v>0</v>
      </c>
      <c r="AB49" s="185">
        <f>AA49+Z49</f>
        <v>-1.665</v>
      </c>
      <c r="AC49" s="228">
        <f>AC50</f>
        <v>-0.83250000000000002</v>
      </c>
    </row>
    <row r="50" spans="1:29" ht="14.25" customHeight="1" thickBot="1">
      <c r="A50" s="216" t="s">
        <v>22528</v>
      </c>
      <c r="B50" s="195" t="s">
        <v>22559</v>
      </c>
      <c r="C50" s="194" t="e">
        <f>C48+C45</f>
        <v>#DIV/0!</v>
      </c>
      <c r="D50" s="194" t="e">
        <f>D48+D45</f>
        <v>#DIV/0!</v>
      </c>
      <c r="E50" s="190" t="s">
        <v>22379</v>
      </c>
      <c r="K50" s="152">
        <v>2</v>
      </c>
      <c r="L50" s="185">
        <f>L48</f>
        <v>2.02</v>
      </c>
      <c r="M50" s="185">
        <f>M49</f>
        <v>0.21</v>
      </c>
      <c r="N50" s="227" t="e">
        <f>MAX($N$47/Kalk3_Eingabe!$C$18*(Kalk3_Eingabe!$C$18-Kalk3_Lastfallkombi!M50),0)</f>
        <v>#DIV/0!</v>
      </c>
      <c r="O50" s="185" t="e">
        <f t="shared" ref="O50:O94" si="1">O49</f>
        <v>#DIV/0!</v>
      </c>
      <c r="P50" s="185" t="e">
        <f t="shared" si="0"/>
        <v>#DIV/0!</v>
      </c>
      <c r="Q50" s="228" t="e">
        <f>AVERAGE(P50,P49)</f>
        <v>#DIV/0!</v>
      </c>
      <c r="R50" s="227" t="e">
        <f>MAX($R$47/Kalk3_Eingabe!$C$18*(Kalk3_Eingabe!$C$18-Kalk3_Lastfallkombi!M50),0)</f>
        <v>#DIV/0!</v>
      </c>
      <c r="S50" s="185" t="e">
        <f t="shared" ref="S50:S94" si="2">S49</f>
        <v>#DIV/0!</v>
      </c>
      <c r="T50" s="185" t="e">
        <f>S50+R50</f>
        <v>#DIV/0!</v>
      </c>
      <c r="U50" s="228" t="e">
        <f>AVERAGE(T50,T49)</f>
        <v>#DIV/0!</v>
      </c>
      <c r="V50" s="227">
        <f>MAX($V$47/Kalk3_Eingabe!$C$24*(Kalk3_Eingabe!$C$24-Kalk3_Lastfallkombi!M50),0)</f>
        <v>0</v>
      </c>
      <c r="W50" s="185">
        <f t="shared" ref="W50:W94" si="3">W49</f>
        <v>0</v>
      </c>
      <c r="X50" s="185">
        <f>W50+V50</f>
        <v>0</v>
      </c>
      <c r="Y50" s="228">
        <f>AVERAGE(X50,X49)</f>
        <v>-1.123875</v>
      </c>
      <c r="Z50" s="227">
        <f>MAX($Z$47/Kalk3_Eingabe!$C$24*(Kalk3_Eingabe!$C$24-Kalk3_Lastfallkombi!M50),0)</f>
        <v>0</v>
      </c>
      <c r="AA50" s="185">
        <f t="shared" ref="AA50:AA94" si="4">AA49</f>
        <v>0</v>
      </c>
      <c r="AB50" s="185">
        <f>AA50+Z50</f>
        <v>0</v>
      </c>
      <c r="AC50" s="228">
        <f>AVERAGE(AB50,AB49)</f>
        <v>-0.83250000000000002</v>
      </c>
    </row>
    <row r="51" spans="1:29" ht="14.25" customHeight="1" thickBot="1">
      <c r="B51" s="195" t="s">
        <v>22560</v>
      </c>
      <c r="C51" s="194" t="e">
        <f>C46+C49</f>
        <v>#DIV/0!</v>
      </c>
      <c r="D51" s="194" t="e">
        <f>D46+D49</f>
        <v>#DIV/0!</v>
      </c>
      <c r="E51" s="190" t="s">
        <v>22428</v>
      </c>
      <c r="K51" s="152">
        <v>3</v>
      </c>
      <c r="L51" s="185">
        <f t="shared" ref="L51:L94" si="5">L49</f>
        <v>1.98</v>
      </c>
      <c r="M51" s="185">
        <f>M49+IF(K51&lt;=$L$36,$C$14/100,0)</f>
        <v>0.21</v>
      </c>
      <c r="N51" s="227" t="e">
        <f>N50</f>
        <v>#DIV/0!</v>
      </c>
      <c r="O51" s="185" t="e">
        <f>IF(N51=0,0,O50)</f>
        <v>#DIV/0!</v>
      </c>
      <c r="P51" s="185" t="e">
        <f t="shared" si="0"/>
        <v>#DIV/0!</v>
      </c>
      <c r="Q51" s="228" t="e">
        <f>Q52</f>
        <v>#DIV/0!</v>
      </c>
      <c r="R51" s="227" t="e">
        <f>R50</f>
        <v>#DIV/0!</v>
      </c>
      <c r="S51" s="185" t="e">
        <f>IF(R51=0,0,S50)</f>
        <v>#DIV/0!</v>
      </c>
      <c r="T51" s="185" t="e">
        <f t="shared" ref="T51:T94" si="6">S51+R51</f>
        <v>#DIV/0!</v>
      </c>
      <c r="U51" s="228" t="e">
        <f>U52</f>
        <v>#DIV/0!</v>
      </c>
      <c r="V51" s="227">
        <f>V50</f>
        <v>0</v>
      </c>
      <c r="W51" s="185">
        <f>IF(V51=0,0,W50)</f>
        <v>0</v>
      </c>
      <c r="X51" s="185">
        <f t="shared" ref="X51:X94" si="7">W51+V51</f>
        <v>0</v>
      </c>
      <c r="Y51" s="228">
        <f>Y52</f>
        <v>0</v>
      </c>
      <c r="Z51" s="227">
        <f>Z50</f>
        <v>0</v>
      </c>
      <c r="AA51" s="185">
        <f>IF(Z51=0,0,AA50)</f>
        <v>0</v>
      </c>
      <c r="AB51" s="185">
        <f t="shared" ref="AB51:AB94" si="8">AA51+Z51</f>
        <v>0</v>
      </c>
      <c r="AC51" s="228">
        <f>AC52</f>
        <v>0</v>
      </c>
    </row>
    <row r="52" spans="1:29" ht="5.0999999999999996" customHeight="1">
      <c r="C52" s="204"/>
      <c r="D52" s="204"/>
      <c r="H52" s="163"/>
      <c r="K52" s="152">
        <v>3</v>
      </c>
      <c r="L52" s="185">
        <f t="shared" si="5"/>
        <v>2.02</v>
      </c>
      <c r="M52" s="185">
        <f>M51</f>
        <v>0.21</v>
      </c>
      <c r="N52" s="227" t="e">
        <f>MAX($N$47/Kalk3_Eingabe!$C$18*(Kalk3_Eingabe!$C$18-Kalk3_Lastfallkombi!M52),0)</f>
        <v>#DIV/0!</v>
      </c>
      <c r="O52" s="185" t="e">
        <f t="shared" si="1"/>
        <v>#DIV/0!</v>
      </c>
      <c r="P52" s="185" t="e">
        <f t="shared" si="0"/>
        <v>#DIV/0!</v>
      </c>
      <c r="Q52" s="228" t="e">
        <f>AVERAGE(P52,P51)</f>
        <v>#DIV/0!</v>
      </c>
      <c r="R52" s="227" t="e">
        <f>MAX($R$47/Kalk3_Eingabe!$C$18*(Kalk3_Eingabe!$C$18-Kalk3_Lastfallkombi!M52),0)</f>
        <v>#DIV/0!</v>
      </c>
      <c r="S52" s="185" t="e">
        <f t="shared" si="2"/>
        <v>#DIV/0!</v>
      </c>
      <c r="T52" s="185" t="e">
        <f t="shared" si="6"/>
        <v>#DIV/0!</v>
      </c>
      <c r="U52" s="228" t="e">
        <f>AVERAGE(T52,T51)</f>
        <v>#DIV/0!</v>
      </c>
      <c r="V52" s="227">
        <f>MAX($V$47/Kalk3_Eingabe!$C$24*(Kalk3_Eingabe!$C$24-Kalk3_Lastfallkombi!M52),0)</f>
        <v>0</v>
      </c>
      <c r="W52" s="185">
        <f t="shared" si="3"/>
        <v>0</v>
      </c>
      <c r="X52" s="185">
        <f t="shared" si="7"/>
        <v>0</v>
      </c>
      <c r="Y52" s="228">
        <f>AVERAGE(X52,X51)</f>
        <v>0</v>
      </c>
      <c r="Z52" s="227">
        <f>MAX($Z$47/Kalk3_Eingabe!$C$24*(Kalk3_Eingabe!$C$24-Kalk3_Lastfallkombi!M52),0)</f>
        <v>0</v>
      </c>
      <c r="AA52" s="185">
        <f t="shared" si="4"/>
        <v>0</v>
      </c>
      <c r="AB52" s="185">
        <f t="shared" si="8"/>
        <v>0</v>
      </c>
      <c r="AC52" s="228">
        <f>AVERAGE(AB52,AB51)</f>
        <v>0</v>
      </c>
    </row>
    <row r="53" spans="1:29" ht="14.25" customHeight="1">
      <c r="A53" s="219" t="s">
        <v>22513</v>
      </c>
      <c r="B53" s="192" t="s">
        <v>22561</v>
      </c>
      <c r="C53" s="204"/>
      <c r="D53" s="204"/>
      <c r="H53" s="163"/>
      <c r="K53" s="152">
        <v>4</v>
      </c>
      <c r="L53" s="185">
        <f t="shared" si="5"/>
        <v>1.98</v>
      </c>
      <c r="M53" s="185">
        <f>M51+IF(K53&lt;=$L$36,$C$14/100,0)</f>
        <v>0.21</v>
      </c>
      <c r="N53" s="227" t="e">
        <f>N52</f>
        <v>#DIV/0!</v>
      </c>
      <c r="O53" s="185" t="e">
        <f>IF(N53=0,0,O52)</f>
        <v>#DIV/0!</v>
      </c>
      <c r="P53" s="185" t="e">
        <f t="shared" si="0"/>
        <v>#DIV/0!</v>
      </c>
      <c r="Q53" s="228" t="e">
        <f>Q54</f>
        <v>#DIV/0!</v>
      </c>
      <c r="R53" s="227" t="e">
        <f>R52</f>
        <v>#DIV/0!</v>
      </c>
      <c r="S53" s="185" t="e">
        <f>IF(R53=0,0,S52)</f>
        <v>#DIV/0!</v>
      </c>
      <c r="T53" s="185" t="e">
        <f t="shared" si="6"/>
        <v>#DIV/0!</v>
      </c>
      <c r="U53" s="228" t="e">
        <f>U54</f>
        <v>#DIV/0!</v>
      </c>
      <c r="V53" s="227">
        <f>V52</f>
        <v>0</v>
      </c>
      <c r="W53" s="185">
        <f>IF(V53=0,0,W52)</f>
        <v>0</v>
      </c>
      <c r="X53" s="185">
        <f t="shared" si="7"/>
        <v>0</v>
      </c>
      <c r="Y53" s="228">
        <f>Y54</f>
        <v>0</v>
      </c>
      <c r="Z53" s="227">
        <f>Z52</f>
        <v>0</v>
      </c>
      <c r="AA53" s="185">
        <f>IF(Z53=0,0,AA52)</f>
        <v>0</v>
      </c>
      <c r="AB53" s="185">
        <f t="shared" si="8"/>
        <v>0</v>
      </c>
      <c r="AC53" s="228">
        <f>AC54</f>
        <v>0</v>
      </c>
    </row>
    <row r="54" spans="1:29" ht="14.25" customHeight="1">
      <c r="B54" s="165" t="s">
        <v>22562</v>
      </c>
      <c r="C54" s="203" t="e">
        <f>C27/Kalk3_Eingabe!C48/0.5</f>
        <v>#NUM!</v>
      </c>
      <c r="D54" s="203" t="e">
        <f>D27/Kalk3_Eingabe!C48/0.5</f>
        <v>#NUM!</v>
      </c>
      <c r="E54" s="168" t="s">
        <v>22469</v>
      </c>
      <c r="H54" s="163"/>
      <c r="K54" s="152">
        <v>4</v>
      </c>
      <c r="L54" s="185">
        <f t="shared" si="5"/>
        <v>2.02</v>
      </c>
      <c r="M54" s="185">
        <f>M53</f>
        <v>0.21</v>
      </c>
      <c r="N54" s="227" t="e">
        <f>MAX($N$47/Kalk3_Eingabe!$C$18*(Kalk3_Eingabe!$C$18-Kalk3_Lastfallkombi!M54),0)</f>
        <v>#DIV/0!</v>
      </c>
      <c r="O54" s="185" t="e">
        <f t="shared" si="1"/>
        <v>#DIV/0!</v>
      </c>
      <c r="P54" s="185" t="e">
        <f t="shared" si="0"/>
        <v>#DIV/0!</v>
      </c>
      <c r="Q54" s="228" t="e">
        <f>AVERAGE(P54,P53)</f>
        <v>#DIV/0!</v>
      </c>
      <c r="R54" s="227" t="e">
        <f>MAX($R$47/Kalk3_Eingabe!$C$18*(Kalk3_Eingabe!$C$18-Kalk3_Lastfallkombi!M54),0)</f>
        <v>#DIV/0!</v>
      </c>
      <c r="S54" s="185" t="e">
        <f t="shared" si="2"/>
        <v>#DIV/0!</v>
      </c>
      <c r="T54" s="185" t="e">
        <f t="shared" si="6"/>
        <v>#DIV/0!</v>
      </c>
      <c r="U54" s="228" t="e">
        <f>AVERAGE(T54,T53)</f>
        <v>#DIV/0!</v>
      </c>
      <c r="V54" s="227">
        <f>MAX($V$47/Kalk3_Eingabe!$C$24*(Kalk3_Eingabe!$C$24-Kalk3_Lastfallkombi!M54),0)</f>
        <v>0</v>
      </c>
      <c r="W54" s="185">
        <f t="shared" si="3"/>
        <v>0</v>
      </c>
      <c r="X54" s="185">
        <f t="shared" si="7"/>
        <v>0</v>
      </c>
      <c r="Y54" s="228">
        <f>AVERAGE(X54,X53)</f>
        <v>0</v>
      </c>
      <c r="Z54" s="227">
        <f>MAX($Z$47/Kalk3_Eingabe!$C$24*(Kalk3_Eingabe!$C$24-Kalk3_Lastfallkombi!M54),0)</f>
        <v>0</v>
      </c>
      <c r="AA54" s="185">
        <f t="shared" si="4"/>
        <v>0</v>
      </c>
      <c r="AB54" s="185">
        <f t="shared" si="8"/>
        <v>0</v>
      </c>
      <c r="AC54" s="228">
        <f>AVERAGE(AB54,AB53)</f>
        <v>0</v>
      </c>
    </row>
    <row r="55" spans="1:29" ht="14.25" customHeight="1">
      <c r="B55" s="165" t="s">
        <v>22549</v>
      </c>
      <c r="C55" s="203" t="e">
        <f>C54*0.5*(2*((Kalk3_Eingabe!C19-0.5)/2)+0.5)/(2*Kalk3_Eingabe!C19)</f>
        <v>#NUM!</v>
      </c>
      <c r="D55" s="203" t="e">
        <f>D54*0.5*(2*((Kalk3_Eingabe!C19-0.5)/2)+0.5)/(2*Kalk3_Eingabe!C19)</f>
        <v>#NUM!</v>
      </c>
      <c r="E55" s="168" t="s">
        <v>22379</v>
      </c>
      <c r="H55" s="163"/>
      <c r="K55" s="152">
        <v>5</v>
      </c>
      <c r="L55" s="185">
        <f t="shared" si="5"/>
        <v>1.98</v>
      </c>
      <c r="M55" s="185">
        <f>M53+IF(K55&lt;=$L$36,$C$14/100,0)</f>
        <v>0.21</v>
      </c>
      <c r="N55" s="227" t="e">
        <f>N54</f>
        <v>#DIV/0!</v>
      </c>
      <c r="O55" s="185" t="e">
        <f>IF(N55=0,0,O54)</f>
        <v>#DIV/0!</v>
      </c>
      <c r="P55" s="185" t="e">
        <f t="shared" si="0"/>
        <v>#DIV/0!</v>
      </c>
      <c r="Q55" s="228" t="e">
        <f>Q56</f>
        <v>#DIV/0!</v>
      </c>
      <c r="R55" s="227" t="e">
        <f>R54</f>
        <v>#DIV/0!</v>
      </c>
      <c r="S55" s="185" t="e">
        <f>IF(R55=0,0,S54)</f>
        <v>#DIV/0!</v>
      </c>
      <c r="T55" s="185" t="e">
        <f t="shared" si="6"/>
        <v>#DIV/0!</v>
      </c>
      <c r="U55" s="228" t="e">
        <f>U56</f>
        <v>#DIV/0!</v>
      </c>
      <c r="V55" s="227">
        <f>V54</f>
        <v>0</v>
      </c>
      <c r="W55" s="185">
        <f>IF(V55=0,0,W54)</f>
        <v>0</v>
      </c>
      <c r="X55" s="185">
        <f t="shared" si="7"/>
        <v>0</v>
      </c>
      <c r="Y55" s="228">
        <f>Y56</f>
        <v>0</v>
      </c>
      <c r="Z55" s="227">
        <f>Z54</f>
        <v>0</v>
      </c>
      <c r="AA55" s="185">
        <f>IF(Z55=0,0,AA54)</f>
        <v>0</v>
      </c>
      <c r="AB55" s="185">
        <f t="shared" si="8"/>
        <v>0</v>
      </c>
      <c r="AC55" s="228">
        <f>AC56</f>
        <v>0</v>
      </c>
    </row>
    <row r="56" spans="1:29" ht="14.25" customHeight="1">
      <c r="B56" s="165" t="s">
        <v>22550</v>
      </c>
      <c r="C56" s="203" t="e">
        <f>IF(C54=0,0,C55*(((Kalk3_Eingabe!C19-0.5)/2)+Kalk3_Lastfallkombi!C55/(2*Kalk3_Lastfallkombi!C54)))</f>
        <v>#NUM!</v>
      </c>
      <c r="D56" s="203" t="e">
        <f>IF(D54=0,0,D55*(((Kalk3_Eingabe!C19-0.5)/2)+Kalk3_Lastfallkombi!D55/(2*Kalk3_Lastfallkombi!D54)))</f>
        <v>#NUM!</v>
      </c>
      <c r="E56" s="168" t="s">
        <v>22428</v>
      </c>
      <c r="H56" s="163"/>
      <c r="K56" s="152">
        <v>5</v>
      </c>
      <c r="L56" s="185">
        <f t="shared" si="5"/>
        <v>2.02</v>
      </c>
      <c r="M56" s="185">
        <f>M55</f>
        <v>0.21</v>
      </c>
      <c r="N56" s="227" t="e">
        <f>MAX($N$47/Kalk3_Eingabe!$C$18*(Kalk3_Eingabe!$C$18-Kalk3_Lastfallkombi!M56),0)</f>
        <v>#DIV/0!</v>
      </c>
      <c r="O56" s="185" t="e">
        <f t="shared" si="1"/>
        <v>#DIV/0!</v>
      </c>
      <c r="P56" s="185" t="e">
        <f t="shared" si="0"/>
        <v>#DIV/0!</v>
      </c>
      <c r="Q56" s="228" t="e">
        <f>AVERAGE(P56,P55)</f>
        <v>#DIV/0!</v>
      </c>
      <c r="R56" s="227" t="e">
        <f>MAX($R$47/Kalk3_Eingabe!$C$18*(Kalk3_Eingabe!$C$18-Kalk3_Lastfallkombi!M56),0)</f>
        <v>#DIV/0!</v>
      </c>
      <c r="S56" s="185" t="e">
        <f t="shared" si="2"/>
        <v>#DIV/0!</v>
      </c>
      <c r="T56" s="185" t="e">
        <f t="shared" si="6"/>
        <v>#DIV/0!</v>
      </c>
      <c r="U56" s="228" t="e">
        <f>AVERAGE(T56,T55)</f>
        <v>#DIV/0!</v>
      </c>
      <c r="V56" s="227">
        <f>MAX($V$47/Kalk3_Eingabe!$C$24*(Kalk3_Eingabe!$C$24-Kalk3_Lastfallkombi!M56),0)</f>
        <v>0</v>
      </c>
      <c r="W56" s="185">
        <f t="shared" si="3"/>
        <v>0</v>
      </c>
      <c r="X56" s="185">
        <f t="shared" si="7"/>
        <v>0</v>
      </c>
      <c r="Y56" s="228">
        <f>AVERAGE(X56,X55)</f>
        <v>0</v>
      </c>
      <c r="Z56" s="227">
        <f>MAX($Z$47/Kalk3_Eingabe!$C$24*(Kalk3_Eingabe!$C$24-Kalk3_Lastfallkombi!M56),0)</f>
        <v>0</v>
      </c>
      <c r="AA56" s="185">
        <f t="shared" si="4"/>
        <v>0</v>
      </c>
      <c r="AB56" s="185">
        <f t="shared" si="8"/>
        <v>0</v>
      </c>
      <c r="AC56" s="228">
        <f>AVERAGE(AB56,AB55)</f>
        <v>0</v>
      </c>
    </row>
    <row r="57" spans="1:29" ht="14.25" customHeight="1">
      <c r="B57" s="192" t="s">
        <v>22556</v>
      </c>
      <c r="C57" s="204"/>
      <c r="D57" s="204"/>
      <c r="H57" s="163"/>
      <c r="K57" s="152">
        <v>6</v>
      </c>
      <c r="L57" s="185">
        <f t="shared" si="5"/>
        <v>1.98</v>
      </c>
      <c r="M57" s="185">
        <f>M55+IF(K57&lt;=$L$36,$C$14/100,0)</f>
        <v>0.21</v>
      </c>
      <c r="N57" s="227" t="e">
        <f>N56</f>
        <v>#DIV/0!</v>
      </c>
      <c r="O57" s="185" t="e">
        <f>IF(N57=0,0,O56)</f>
        <v>#DIV/0!</v>
      </c>
      <c r="P57" s="185" t="e">
        <f t="shared" si="0"/>
        <v>#DIV/0!</v>
      </c>
      <c r="Q57" s="228" t="e">
        <f>Q58</f>
        <v>#DIV/0!</v>
      </c>
      <c r="R57" s="227" t="e">
        <f>R56</f>
        <v>#DIV/0!</v>
      </c>
      <c r="S57" s="185" t="e">
        <f>IF(R57=0,0,S56)</f>
        <v>#DIV/0!</v>
      </c>
      <c r="T57" s="185" t="e">
        <f t="shared" si="6"/>
        <v>#DIV/0!</v>
      </c>
      <c r="U57" s="228" t="e">
        <f>U58</f>
        <v>#DIV/0!</v>
      </c>
      <c r="V57" s="227">
        <f>V56</f>
        <v>0</v>
      </c>
      <c r="W57" s="185">
        <f>IF(V57=0,0,W56)</f>
        <v>0</v>
      </c>
      <c r="X57" s="185">
        <f t="shared" si="7"/>
        <v>0</v>
      </c>
      <c r="Y57" s="228">
        <f>Y58</f>
        <v>0</v>
      </c>
      <c r="Z57" s="227">
        <f>Z56</f>
        <v>0</v>
      </c>
      <c r="AA57" s="185">
        <f>IF(Z57=0,0,AA56)</f>
        <v>0</v>
      </c>
      <c r="AB57" s="185">
        <f t="shared" si="8"/>
        <v>0</v>
      </c>
      <c r="AC57" s="228">
        <f>AC58</f>
        <v>0</v>
      </c>
    </row>
    <row r="58" spans="1:29" ht="14.25" customHeight="1">
      <c r="B58" s="165" t="s">
        <v>22563</v>
      </c>
      <c r="C58" s="203">
        <f>C26*C14/100*Kalk3_Eingabe!C19/2</f>
        <v>0</v>
      </c>
      <c r="D58" s="203">
        <f>D26*C14/100*Kalk3_Eingabe!C19/2</f>
        <v>0</v>
      </c>
      <c r="E58" s="168" t="s">
        <v>22379</v>
      </c>
      <c r="H58" s="163"/>
      <c r="K58" s="152">
        <v>6</v>
      </c>
      <c r="L58" s="185">
        <f t="shared" si="5"/>
        <v>2.02</v>
      </c>
      <c r="M58" s="185">
        <f>M57</f>
        <v>0.21</v>
      </c>
      <c r="N58" s="227" t="e">
        <f>MAX($N$47/Kalk3_Eingabe!$C$18*(Kalk3_Eingabe!$C$18-Kalk3_Lastfallkombi!M58),0)</f>
        <v>#DIV/0!</v>
      </c>
      <c r="O58" s="185" t="e">
        <f t="shared" si="1"/>
        <v>#DIV/0!</v>
      </c>
      <c r="P58" s="185" t="e">
        <f t="shared" si="0"/>
        <v>#DIV/0!</v>
      </c>
      <c r="Q58" s="228" t="e">
        <f>AVERAGE(P58,P57)</f>
        <v>#DIV/0!</v>
      </c>
      <c r="R58" s="227" t="e">
        <f>MAX($R$47/Kalk3_Eingabe!$C$18*(Kalk3_Eingabe!$C$18-Kalk3_Lastfallkombi!M58),0)</f>
        <v>#DIV/0!</v>
      </c>
      <c r="S58" s="185" t="e">
        <f t="shared" si="2"/>
        <v>#DIV/0!</v>
      </c>
      <c r="T58" s="185" t="e">
        <f t="shared" si="6"/>
        <v>#DIV/0!</v>
      </c>
      <c r="U58" s="228" t="e">
        <f>AVERAGE(T58,T57)</f>
        <v>#DIV/0!</v>
      </c>
      <c r="V58" s="227">
        <f>MAX($V$47/Kalk3_Eingabe!$C$24*(Kalk3_Eingabe!$C$24-Kalk3_Lastfallkombi!M58),0)</f>
        <v>0</v>
      </c>
      <c r="W58" s="185">
        <f t="shared" si="3"/>
        <v>0</v>
      </c>
      <c r="X58" s="185">
        <f t="shared" si="7"/>
        <v>0</v>
      </c>
      <c r="Y58" s="228">
        <f>AVERAGE(X58,X57)</f>
        <v>0</v>
      </c>
      <c r="Z58" s="227">
        <f>MAX($Z$47/Kalk3_Eingabe!$C$24*(Kalk3_Eingabe!$C$24-Kalk3_Lastfallkombi!M58),0)</f>
        <v>0</v>
      </c>
      <c r="AA58" s="185">
        <f t="shared" si="4"/>
        <v>0</v>
      </c>
      <c r="AB58" s="185">
        <f t="shared" si="8"/>
        <v>0</v>
      </c>
      <c r="AC58" s="228">
        <f>AVERAGE(AB58,AB57)</f>
        <v>0</v>
      </c>
    </row>
    <row r="59" spans="1:29" ht="14.25" customHeight="1" thickBot="1">
      <c r="B59" s="165" t="s">
        <v>22564</v>
      </c>
      <c r="C59" s="203">
        <f>C26*C14/100*Kalk3_Eingabe!C19^2/8</f>
        <v>0</v>
      </c>
      <c r="D59" s="203">
        <f>D26*C14/100*Kalk3_Eingabe!C19^2/8</f>
        <v>0</v>
      </c>
      <c r="E59" s="168" t="s">
        <v>22428</v>
      </c>
      <c r="H59" s="163"/>
      <c r="K59" s="152">
        <v>7</v>
      </c>
      <c r="L59" s="185">
        <f t="shared" si="5"/>
        <v>1.98</v>
      </c>
      <c r="M59" s="185">
        <f>M57+IF(K59&lt;=$L$36,$C$14/100,0)</f>
        <v>0.21</v>
      </c>
      <c r="N59" s="227" t="e">
        <f>N58</f>
        <v>#DIV/0!</v>
      </c>
      <c r="O59" s="185" t="e">
        <f>IF(N59=0,0,O58)</f>
        <v>#DIV/0!</v>
      </c>
      <c r="P59" s="185" t="e">
        <f t="shared" si="0"/>
        <v>#DIV/0!</v>
      </c>
      <c r="Q59" s="228" t="e">
        <f>Q60</f>
        <v>#DIV/0!</v>
      </c>
      <c r="R59" s="227" t="e">
        <f>R58</f>
        <v>#DIV/0!</v>
      </c>
      <c r="S59" s="185" t="e">
        <f>IF(R59=0,0,S58)</f>
        <v>#DIV/0!</v>
      </c>
      <c r="T59" s="185" t="e">
        <f t="shared" si="6"/>
        <v>#DIV/0!</v>
      </c>
      <c r="U59" s="228" t="e">
        <f>U60</f>
        <v>#DIV/0!</v>
      </c>
      <c r="V59" s="227">
        <f>V58</f>
        <v>0</v>
      </c>
      <c r="W59" s="185">
        <f>IF(V59=0,0,W58)</f>
        <v>0</v>
      </c>
      <c r="X59" s="185">
        <f t="shared" si="7"/>
        <v>0</v>
      </c>
      <c r="Y59" s="228">
        <f>Y60</f>
        <v>0</v>
      </c>
      <c r="Z59" s="227">
        <f>Z58</f>
        <v>0</v>
      </c>
      <c r="AA59" s="185">
        <f>IF(Z59=0,0,AA58)</f>
        <v>0</v>
      </c>
      <c r="AB59" s="185">
        <f t="shared" si="8"/>
        <v>0</v>
      </c>
      <c r="AC59" s="228">
        <f>AC60</f>
        <v>0</v>
      </c>
    </row>
    <row r="60" spans="1:29" ht="14.25" customHeight="1" thickBot="1">
      <c r="A60" s="216" t="s">
        <v>22513</v>
      </c>
      <c r="B60" s="195" t="s">
        <v>22565</v>
      </c>
      <c r="C60" s="194" t="e">
        <f>C58+C55</f>
        <v>#NUM!</v>
      </c>
      <c r="D60" s="194" t="e">
        <f>D58+D55</f>
        <v>#NUM!</v>
      </c>
      <c r="E60" s="190" t="s">
        <v>22379</v>
      </c>
      <c r="H60" s="163"/>
      <c r="K60" s="152">
        <v>7</v>
      </c>
      <c r="L60" s="185">
        <f t="shared" si="5"/>
        <v>2.02</v>
      </c>
      <c r="M60" s="185">
        <f>M59</f>
        <v>0.21</v>
      </c>
      <c r="N60" s="227" t="e">
        <f>MAX($N$47/Kalk3_Eingabe!$C$18*(Kalk3_Eingabe!$C$18-Kalk3_Lastfallkombi!M60),0)</f>
        <v>#DIV/0!</v>
      </c>
      <c r="O60" s="185" t="e">
        <f t="shared" si="1"/>
        <v>#DIV/0!</v>
      </c>
      <c r="P60" s="185" t="e">
        <f t="shared" si="0"/>
        <v>#DIV/0!</v>
      </c>
      <c r="Q60" s="228" t="e">
        <f>AVERAGE(P60,P59)</f>
        <v>#DIV/0!</v>
      </c>
      <c r="R60" s="227" t="e">
        <f>MAX($R$47/Kalk3_Eingabe!$C$18*(Kalk3_Eingabe!$C$18-Kalk3_Lastfallkombi!M60),0)</f>
        <v>#DIV/0!</v>
      </c>
      <c r="S60" s="185" t="e">
        <f t="shared" si="2"/>
        <v>#DIV/0!</v>
      </c>
      <c r="T60" s="185" t="e">
        <f t="shared" si="6"/>
        <v>#DIV/0!</v>
      </c>
      <c r="U60" s="228" t="e">
        <f>AVERAGE(T60,T59)</f>
        <v>#DIV/0!</v>
      </c>
      <c r="V60" s="227">
        <f>MAX($V$47/Kalk3_Eingabe!$C$24*(Kalk3_Eingabe!$C$24-Kalk3_Lastfallkombi!M60),0)</f>
        <v>0</v>
      </c>
      <c r="W60" s="185">
        <f t="shared" si="3"/>
        <v>0</v>
      </c>
      <c r="X60" s="185">
        <f t="shared" si="7"/>
        <v>0</v>
      </c>
      <c r="Y60" s="228">
        <f>AVERAGE(X60,X59)</f>
        <v>0</v>
      </c>
      <c r="Z60" s="227">
        <f>MAX($Z$47/Kalk3_Eingabe!$C$24*(Kalk3_Eingabe!$C$24-Kalk3_Lastfallkombi!M60),0)</f>
        <v>0</v>
      </c>
      <c r="AA60" s="185">
        <f t="shared" si="4"/>
        <v>0</v>
      </c>
      <c r="AB60" s="185">
        <f t="shared" si="8"/>
        <v>0</v>
      </c>
      <c r="AC60" s="228">
        <f>AVERAGE(AB60,AB59)</f>
        <v>0</v>
      </c>
    </row>
    <row r="61" spans="1:29" ht="14.25" customHeight="1" thickBot="1">
      <c r="B61" s="195" t="s">
        <v>22566</v>
      </c>
      <c r="C61" s="194" t="e">
        <f>C56+C59</f>
        <v>#NUM!</v>
      </c>
      <c r="D61" s="194" t="e">
        <f>D56+D59</f>
        <v>#NUM!</v>
      </c>
      <c r="E61" s="190" t="s">
        <v>22428</v>
      </c>
      <c r="H61" s="163"/>
      <c r="K61" s="152">
        <v>8</v>
      </c>
      <c r="L61" s="185">
        <f t="shared" si="5"/>
        <v>1.98</v>
      </c>
      <c r="M61" s="185">
        <f>M59+IF(K61&lt;=$L$36,$C$14/100,0)</f>
        <v>0.21</v>
      </c>
      <c r="N61" s="227" t="e">
        <f>N60</f>
        <v>#DIV/0!</v>
      </c>
      <c r="O61" s="185" t="e">
        <f>IF(N61=0,0,O60)</f>
        <v>#DIV/0!</v>
      </c>
      <c r="P61" s="185" t="e">
        <f t="shared" si="0"/>
        <v>#DIV/0!</v>
      </c>
      <c r="Q61" s="228" t="e">
        <f>Q62</f>
        <v>#DIV/0!</v>
      </c>
      <c r="R61" s="227" t="e">
        <f>R60</f>
        <v>#DIV/0!</v>
      </c>
      <c r="S61" s="185" t="e">
        <f>IF(R61=0,0,S60)</f>
        <v>#DIV/0!</v>
      </c>
      <c r="T61" s="185" t="e">
        <f t="shared" si="6"/>
        <v>#DIV/0!</v>
      </c>
      <c r="U61" s="228" t="e">
        <f>U62</f>
        <v>#DIV/0!</v>
      </c>
      <c r="V61" s="227">
        <f>V60</f>
        <v>0</v>
      </c>
      <c r="W61" s="185">
        <f>IF(V61=0,0,W60)</f>
        <v>0</v>
      </c>
      <c r="X61" s="185">
        <f t="shared" si="7"/>
        <v>0</v>
      </c>
      <c r="Y61" s="228">
        <f>Y62</f>
        <v>0</v>
      </c>
      <c r="Z61" s="227">
        <f>Z60</f>
        <v>0</v>
      </c>
      <c r="AA61" s="185">
        <f>IF(Z61=0,0,AA60)</f>
        <v>0</v>
      </c>
      <c r="AB61" s="185">
        <f t="shared" si="8"/>
        <v>0</v>
      </c>
      <c r="AC61" s="228">
        <f>AC62</f>
        <v>0</v>
      </c>
    </row>
    <row r="62" spans="1:29" ht="5.0999999999999996" customHeight="1" thickBot="1">
      <c r="H62" s="163"/>
      <c r="K62" s="152">
        <v>8</v>
      </c>
      <c r="L62" s="185">
        <f t="shared" si="5"/>
        <v>2.02</v>
      </c>
      <c r="M62" s="185">
        <f>M61</f>
        <v>0.21</v>
      </c>
      <c r="N62" s="227" t="e">
        <f>MAX($N$47/Kalk3_Eingabe!$C$18*(Kalk3_Eingabe!$C$18-Kalk3_Lastfallkombi!M62),0)</f>
        <v>#DIV/0!</v>
      </c>
      <c r="O62" s="185" t="e">
        <f t="shared" si="1"/>
        <v>#DIV/0!</v>
      </c>
      <c r="P62" s="185" t="e">
        <f t="shared" si="0"/>
        <v>#DIV/0!</v>
      </c>
      <c r="Q62" s="228" t="e">
        <f>AVERAGE(P62,P61)</f>
        <v>#DIV/0!</v>
      </c>
      <c r="R62" s="227" t="e">
        <f>MAX($R$47/Kalk3_Eingabe!$C$18*(Kalk3_Eingabe!$C$18-Kalk3_Lastfallkombi!M62),0)</f>
        <v>#DIV/0!</v>
      </c>
      <c r="S62" s="185" t="e">
        <f t="shared" si="2"/>
        <v>#DIV/0!</v>
      </c>
      <c r="T62" s="185" t="e">
        <f t="shared" si="6"/>
        <v>#DIV/0!</v>
      </c>
      <c r="U62" s="228" t="e">
        <f>AVERAGE(T62,T61)</f>
        <v>#DIV/0!</v>
      </c>
      <c r="V62" s="227">
        <f>MAX($V$47/Kalk3_Eingabe!$C$24*(Kalk3_Eingabe!$C$24-Kalk3_Lastfallkombi!M62),0)</f>
        <v>0</v>
      </c>
      <c r="W62" s="185">
        <f t="shared" si="3"/>
        <v>0</v>
      </c>
      <c r="X62" s="185">
        <f t="shared" si="7"/>
        <v>0</v>
      </c>
      <c r="Y62" s="228">
        <f>AVERAGE(X62,X61)</f>
        <v>0</v>
      </c>
      <c r="Z62" s="227">
        <f>MAX($Z$47/Kalk3_Eingabe!$C$24*(Kalk3_Eingabe!$C$24-Kalk3_Lastfallkombi!M62),0)</f>
        <v>0</v>
      </c>
      <c r="AA62" s="185">
        <f t="shared" si="4"/>
        <v>0</v>
      </c>
      <c r="AB62" s="185">
        <f t="shared" si="8"/>
        <v>0</v>
      </c>
      <c r="AC62" s="228">
        <f>AVERAGE(AB62,AB61)</f>
        <v>0</v>
      </c>
    </row>
    <row r="63" spans="1:29" ht="14.25" customHeight="1" thickBot="1">
      <c r="A63" s="171" t="s">
        <v>22448</v>
      </c>
      <c r="B63" s="172" t="s">
        <v>22567</v>
      </c>
      <c r="C63" s="201" t="s">
        <v>22506</v>
      </c>
      <c r="D63" s="201" t="s">
        <v>22507</v>
      </c>
      <c r="H63" s="163"/>
      <c r="K63" s="152">
        <v>9</v>
      </c>
      <c r="L63" s="185">
        <f t="shared" si="5"/>
        <v>1.98</v>
      </c>
      <c r="M63" s="185">
        <f>M61+IF(K63&lt;=$L$36,$C$14/100,0)</f>
        <v>0.21</v>
      </c>
      <c r="N63" s="227" t="e">
        <f>N62</f>
        <v>#DIV/0!</v>
      </c>
      <c r="O63" s="185" t="e">
        <f>IF(N63=0,0,O62)</f>
        <v>#DIV/0!</v>
      </c>
      <c r="P63" s="185" t="e">
        <f t="shared" si="0"/>
        <v>#DIV/0!</v>
      </c>
      <c r="Q63" s="228" t="e">
        <f>Q64</f>
        <v>#DIV/0!</v>
      </c>
      <c r="R63" s="227" t="e">
        <f>R62</f>
        <v>#DIV/0!</v>
      </c>
      <c r="S63" s="185" t="e">
        <f>IF(R63=0,0,S62)</f>
        <v>#DIV/0!</v>
      </c>
      <c r="T63" s="185" t="e">
        <f t="shared" si="6"/>
        <v>#DIV/0!</v>
      </c>
      <c r="U63" s="228" t="e">
        <f>U64</f>
        <v>#DIV/0!</v>
      </c>
      <c r="V63" s="227">
        <f>V62</f>
        <v>0</v>
      </c>
      <c r="W63" s="185">
        <f>IF(V63=0,0,W62)</f>
        <v>0</v>
      </c>
      <c r="X63" s="185">
        <f t="shared" si="7"/>
        <v>0</v>
      </c>
      <c r="Y63" s="228">
        <f>Y64</f>
        <v>0</v>
      </c>
      <c r="Z63" s="227">
        <f>Z62</f>
        <v>0</v>
      </c>
      <c r="AA63" s="185">
        <f>IF(Z63=0,0,AA62)</f>
        <v>0</v>
      </c>
      <c r="AB63" s="185">
        <f t="shared" si="8"/>
        <v>0</v>
      </c>
      <c r="AC63" s="228">
        <f>AC64</f>
        <v>0</v>
      </c>
    </row>
    <row r="64" spans="1:29" ht="14.25" customHeight="1" thickBot="1">
      <c r="A64" s="219"/>
      <c r="B64" s="192" t="s">
        <v>22568</v>
      </c>
      <c r="C64" s="213"/>
      <c r="D64" s="213"/>
      <c r="H64" s="163"/>
      <c r="K64" s="152">
        <v>9</v>
      </c>
      <c r="L64" s="185">
        <f t="shared" si="5"/>
        <v>2.02</v>
      </c>
      <c r="M64" s="185">
        <f>M63</f>
        <v>0.21</v>
      </c>
      <c r="N64" s="227" t="e">
        <f>MAX($N$47/Kalk3_Eingabe!$C$18*(Kalk3_Eingabe!$C$18-Kalk3_Lastfallkombi!M64),0)</f>
        <v>#DIV/0!</v>
      </c>
      <c r="O64" s="185" t="e">
        <f t="shared" si="1"/>
        <v>#DIV/0!</v>
      </c>
      <c r="P64" s="185" t="e">
        <f t="shared" si="0"/>
        <v>#DIV/0!</v>
      </c>
      <c r="Q64" s="228" t="e">
        <f>AVERAGE(P64,P63)</f>
        <v>#DIV/0!</v>
      </c>
      <c r="R64" s="227" t="e">
        <f>MAX($R$47/Kalk3_Eingabe!$C$18*(Kalk3_Eingabe!$C$18-Kalk3_Lastfallkombi!M64),0)</f>
        <v>#DIV/0!</v>
      </c>
      <c r="S64" s="185" t="e">
        <f t="shared" si="2"/>
        <v>#DIV/0!</v>
      </c>
      <c r="T64" s="185" t="e">
        <f t="shared" si="6"/>
        <v>#DIV/0!</v>
      </c>
      <c r="U64" s="228" t="e">
        <f>AVERAGE(T64,T63)</f>
        <v>#DIV/0!</v>
      </c>
      <c r="V64" s="227">
        <f>MAX($V$47/Kalk3_Eingabe!$C$24*(Kalk3_Eingabe!$C$24-Kalk3_Lastfallkombi!M64),0)</f>
        <v>0</v>
      </c>
      <c r="W64" s="185">
        <f t="shared" si="3"/>
        <v>0</v>
      </c>
      <c r="X64" s="185">
        <f t="shared" si="7"/>
        <v>0</v>
      </c>
      <c r="Y64" s="228">
        <f>AVERAGE(X64,X63)</f>
        <v>0</v>
      </c>
      <c r="Z64" s="227">
        <f>MAX($Z$47/Kalk3_Eingabe!$C$24*(Kalk3_Eingabe!$C$24-Kalk3_Lastfallkombi!M64),0)</f>
        <v>0</v>
      </c>
      <c r="AA64" s="185">
        <f t="shared" si="4"/>
        <v>0</v>
      </c>
      <c r="AB64" s="185">
        <f t="shared" si="8"/>
        <v>0</v>
      </c>
      <c r="AC64" s="228">
        <f>AVERAGE(AB64,AB63)</f>
        <v>0</v>
      </c>
    </row>
    <row r="65" spans="1:29" ht="14.25" customHeight="1" thickBot="1">
      <c r="A65" s="216" t="s">
        <v>22528</v>
      </c>
      <c r="B65" s="195" t="s">
        <v>22569</v>
      </c>
      <c r="C65" s="194" t="e">
        <f>C36*C15/100*Kalk3_Eingabe!$C$19/2</f>
        <v>#DIV/0!</v>
      </c>
      <c r="D65" s="194" t="e">
        <f>D36*$C$15/100*Kalk3_Eingabe!$C$19/2</f>
        <v>#DIV/0!</v>
      </c>
      <c r="E65" s="190" t="s">
        <v>22379</v>
      </c>
      <c r="H65" s="163"/>
      <c r="K65" s="152">
        <v>10</v>
      </c>
      <c r="L65" s="185">
        <f t="shared" si="5"/>
        <v>1.98</v>
      </c>
      <c r="M65" s="185">
        <f>M63+IF(K65&lt;=$L$36,$C$14/100,0)</f>
        <v>0.21</v>
      </c>
      <c r="N65" s="227" t="e">
        <f>N64</f>
        <v>#DIV/0!</v>
      </c>
      <c r="O65" s="185" t="e">
        <f>IF(N65=0,0,O64)</f>
        <v>#DIV/0!</v>
      </c>
      <c r="P65" s="185" t="e">
        <f t="shared" si="0"/>
        <v>#DIV/0!</v>
      </c>
      <c r="Q65" s="228" t="e">
        <f>Q66</f>
        <v>#DIV/0!</v>
      </c>
      <c r="R65" s="227" t="e">
        <f>R64</f>
        <v>#DIV/0!</v>
      </c>
      <c r="S65" s="185" t="e">
        <f>IF(R65=0,0,S64)</f>
        <v>#DIV/0!</v>
      </c>
      <c r="T65" s="185" t="e">
        <f t="shared" si="6"/>
        <v>#DIV/0!</v>
      </c>
      <c r="U65" s="228" t="e">
        <f>U66</f>
        <v>#DIV/0!</v>
      </c>
      <c r="V65" s="227">
        <f>V64</f>
        <v>0</v>
      </c>
      <c r="W65" s="185">
        <f>IF(V65=0,0,W64)</f>
        <v>0</v>
      </c>
      <c r="X65" s="185">
        <f t="shared" si="7"/>
        <v>0</v>
      </c>
      <c r="Y65" s="228">
        <f>Y66</f>
        <v>0</v>
      </c>
      <c r="Z65" s="227">
        <f>Z64</f>
        <v>0</v>
      </c>
      <c r="AA65" s="185">
        <f>IF(Z65=0,0,AA64)</f>
        <v>0</v>
      </c>
      <c r="AB65" s="185">
        <f t="shared" si="8"/>
        <v>0</v>
      </c>
      <c r="AC65" s="228">
        <f>AC66</f>
        <v>0</v>
      </c>
    </row>
    <row r="66" spans="1:29" ht="14.25" customHeight="1" thickBot="1">
      <c r="B66" s="195" t="s">
        <v>22570</v>
      </c>
      <c r="C66" s="194" t="e">
        <f>C36*C15/100*Kalk3_Eingabe!$C$19^2/8</f>
        <v>#DIV/0!</v>
      </c>
      <c r="D66" s="194" t="e">
        <f>D36*$C$15/100*Kalk3_Eingabe!$C$19^2/8</f>
        <v>#DIV/0!</v>
      </c>
      <c r="E66" s="190" t="s">
        <v>22428</v>
      </c>
      <c r="K66" s="152">
        <v>10</v>
      </c>
      <c r="L66" s="185">
        <f t="shared" si="5"/>
        <v>2.02</v>
      </c>
      <c r="M66" s="185">
        <f>M65</f>
        <v>0.21</v>
      </c>
      <c r="N66" s="227" t="e">
        <f>MAX($N$47/Kalk3_Eingabe!$C$18*(Kalk3_Eingabe!$C$18-Kalk3_Lastfallkombi!M66),0)</f>
        <v>#DIV/0!</v>
      </c>
      <c r="O66" s="185" t="e">
        <f t="shared" si="1"/>
        <v>#DIV/0!</v>
      </c>
      <c r="P66" s="185" t="e">
        <f t="shared" si="0"/>
        <v>#DIV/0!</v>
      </c>
      <c r="Q66" s="228" t="e">
        <f>AVERAGE(P66,P65)</f>
        <v>#DIV/0!</v>
      </c>
      <c r="R66" s="227" t="e">
        <f>MAX($R$47/Kalk3_Eingabe!$C$18*(Kalk3_Eingabe!$C$18-Kalk3_Lastfallkombi!M66),0)</f>
        <v>#DIV/0!</v>
      </c>
      <c r="S66" s="185" t="e">
        <f t="shared" si="2"/>
        <v>#DIV/0!</v>
      </c>
      <c r="T66" s="185" t="e">
        <f t="shared" si="6"/>
        <v>#DIV/0!</v>
      </c>
      <c r="U66" s="228" t="e">
        <f>AVERAGE(T66,T65)</f>
        <v>#DIV/0!</v>
      </c>
      <c r="V66" s="227">
        <f>MAX($V$47/Kalk3_Eingabe!$C$24*(Kalk3_Eingabe!$C$24-Kalk3_Lastfallkombi!M66),0)</f>
        <v>0</v>
      </c>
      <c r="W66" s="185">
        <f t="shared" si="3"/>
        <v>0</v>
      </c>
      <c r="X66" s="185">
        <f t="shared" si="7"/>
        <v>0</v>
      </c>
      <c r="Y66" s="228">
        <f>AVERAGE(X66,X65)</f>
        <v>0</v>
      </c>
      <c r="Z66" s="227">
        <f>MAX($Z$47/Kalk3_Eingabe!$C$24*(Kalk3_Eingabe!$C$24-Kalk3_Lastfallkombi!M66),0)</f>
        <v>0</v>
      </c>
      <c r="AA66" s="185">
        <f t="shared" si="4"/>
        <v>0</v>
      </c>
      <c r="AB66" s="185">
        <f t="shared" si="8"/>
        <v>0</v>
      </c>
      <c r="AC66" s="228">
        <f>AVERAGE(AB66,AB65)</f>
        <v>0</v>
      </c>
    </row>
    <row r="67" spans="1:29" ht="5.0999999999999996" customHeight="1">
      <c r="E67" s="163"/>
      <c r="K67" s="152">
        <v>11</v>
      </c>
      <c r="L67" s="185">
        <f t="shared" si="5"/>
        <v>1.98</v>
      </c>
      <c r="M67" s="185">
        <f>M65+IF(K67&lt;=$L$36,$C$14/100,0)</f>
        <v>0.21</v>
      </c>
      <c r="N67" s="227" t="e">
        <f>N66</f>
        <v>#DIV/0!</v>
      </c>
      <c r="O67" s="185" t="e">
        <f>IF(N67=0,0,O66)</f>
        <v>#DIV/0!</v>
      </c>
      <c r="P67" s="185" t="e">
        <f t="shared" si="0"/>
        <v>#DIV/0!</v>
      </c>
      <c r="Q67" s="228" t="e">
        <f>Q68</f>
        <v>#DIV/0!</v>
      </c>
      <c r="R67" s="227" t="e">
        <f>R66</f>
        <v>#DIV/0!</v>
      </c>
      <c r="S67" s="185" t="e">
        <f>IF(R67=0,0,S66)</f>
        <v>#DIV/0!</v>
      </c>
      <c r="T67" s="185" t="e">
        <f t="shared" si="6"/>
        <v>#DIV/0!</v>
      </c>
      <c r="U67" s="228" t="e">
        <f>U68</f>
        <v>#DIV/0!</v>
      </c>
      <c r="V67" s="227">
        <f>V66</f>
        <v>0</v>
      </c>
      <c r="W67" s="185">
        <f>IF(V67=0,0,W66)</f>
        <v>0</v>
      </c>
      <c r="X67" s="185">
        <f t="shared" si="7"/>
        <v>0</v>
      </c>
      <c r="Y67" s="228">
        <f>Y68</f>
        <v>0</v>
      </c>
      <c r="Z67" s="227">
        <f>Z66</f>
        <v>0</v>
      </c>
      <c r="AA67" s="185">
        <f>IF(Z67=0,0,AA66)</f>
        <v>0</v>
      </c>
      <c r="AB67" s="185">
        <f t="shared" si="8"/>
        <v>0</v>
      </c>
      <c r="AC67" s="228">
        <f>AC68</f>
        <v>0</v>
      </c>
    </row>
    <row r="68" spans="1:29" ht="14.25" customHeight="1" thickBot="1">
      <c r="B68" s="192" t="s">
        <v>22571</v>
      </c>
      <c r="E68" s="163"/>
      <c r="K68" s="152">
        <v>11</v>
      </c>
      <c r="L68" s="185">
        <f t="shared" si="5"/>
        <v>2.02</v>
      </c>
      <c r="M68" s="185">
        <f>M67</f>
        <v>0.21</v>
      </c>
      <c r="N68" s="227" t="e">
        <f>MAX($N$47/Kalk3_Eingabe!$C$18*(Kalk3_Eingabe!$C$18-Kalk3_Lastfallkombi!M68),0)</f>
        <v>#DIV/0!</v>
      </c>
      <c r="O68" s="185" t="e">
        <f t="shared" si="1"/>
        <v>#DIV/0!</v>
      </c>
      <c r="P68" s="185" t="e">
        <f t="shared" si="0"/>
        <v>#DIV/0!</v>
      </c>
      <c r="Q68" s="228" t="e">
        <f>AVERAGE(P68,P67)</f>
        <v>#DIV/0!</v>
      </c>
      <c r="R68" s="227" t="e">
        <f>MAX($R$47/Kalk3_Eingabe!$C$18*(Kalk3_Eingabe!$C$18-Kalk3_Lastfallkombi!M68),0)</f>
        <v>#DIV/0!</v>
      </c>
      <c r="S68" s="185" t="e">
        <f t="shared" si="2"/>
        <v>#DIV/0!</v>
      </c>
      <c r="T68" s="185" t="e">
        <f t="shared" si="6"/>
        <v>#DIV/0!</v>
      </c>
      <c r="U68" s="228" t="e">
        <f>AVERAGE(T68,T67)</f>
        <v>#DIV/0!</v>
      </c>
      <c r="V68" s="227">
        <f>MAX($V$47/Kalk3_Eingabe!$C$24*(Kalk3_Eingabe!$C$24-Kalk3_Lastfallkombi!M68),0)</f>
        <v>0</v>
      </c>
      <c r="W68" s="185">
        <f t="shared" si="3"/>
        <v>0</v>
      </c>
      <c r="X68" s="185">
        <f t="shared" si="7"/>
        <v>0</v>
      </c>
      <c r="Y68" s="228">
        <f>AVERAGE(X68,X67)</f>
        <v>0</v>
      </c>
      <c r="Z68" s="227">
        <f>MAX($Z$47/Kalk3_Eingabe!$C$24*(Kalk3_Eingabe!$C$24-Kalk3_Lastfallkombi!M68),0)</f>
        <v>0</v>
      </c>
      <c r="AA68" s="185">
        <f t="shared" si="4"/>
        <v>0</v>
      </c>
      <c r="AB68" s="185">
        <f t="shared" si="8"/>
        <v>0</v>
      </c>
      <c r="AC68" s="228">
        <f>AVERAGE(AB68,AB67)</f>
        <v>0</v>
      </c>
    </row>
    <row r="69" spans="1:29" ht="14.25" customHeight="1" thickBot="1">
      <c r="A69" s="216" t="s">
        <v>22513</v>
      </c>
      <c r="B69" s="195" t="s">
        <v>22572</v>
      </c>
      <c r="C69" s="194">
        <f>C24*C15/100*Kalk3_Eingabe!$C$19/2</f>
        <v>0</v>
      </c>
      <c r="D69" s="194">
        <f>D24*$C$15/100*Kalk3_Eingabe!$C$19/2</f>
        <v>0</v>
      </c>
      <c r="E69" s="190" t="s">
        <v>22379</v>
      </c>
      <c r="K69" s="152">
        <v>12</v>
      </c>
      <c r="L69" s="185">
        <f t="shared" si="5"/>
        <v>1.98</v>
      </c>
      <c r="M69" s="185">
        <f>M67+IF(K69&lt;=$L$36,$C$14/100,0)</f>
        <v>0.21</v>
      </c>
      <c r="N69" s="227" t="e">
        <f>N68</f>
        <v>#DIV/0!</v>
      </c>
      <c r="O69" s="185" t="e">
        <f>IF(N69=0,0,O68)</f>
        <v>#DIV/0!</v>
      </c>
      <c r="P69" s="185" t="e">
        <f t="shared" si="0"/>
        <v>#DIV/0!</v>
      </c>
      <c r="Q69" s="228" t="e">
        <f>Q70</f>
        <v>#DIV/0!</v>
      </c>
      <c r="R69" s="227" t="e">
        <f>R68</f>
        <v>#DIV/0!</v>
      </c>
      <c r="S69" s="185" t="e">
        <f>IF(R69=0,0,S68)</f>
        <v>#DIV/0!</v>
      </c>
      <c r="T69" s="185" t="e">
        <f t="shared" si="6"/>
        <v>#DIV/0!</v>
      </c>
      <c r="U69" s="228" t="e">
        <f>U70</f>
        <v>#DIV/0!</v>
      </c>
      <c r="V69" s="227">
        <f>V68</f>
        <v>0</v>
      </c>
      <c r="W69" s="185">
        <f>IF(V69=0,0,W68)</f>
        <v>0</v>
      </c>
      <c r="X69" s="185">
        <f t="shared" si="7"/>
        <v>0</v>
      </c>
      <c r="Y69" s="228">
        <f>Y70</f>
        <v>0</v>
      </c>
      <c r="Z69" s="227">
        <f>Z68</f>
        <v>0</v>
      </c>
      <c r="AA69" s="185">
        <f>IF(Z69=0,0,AA68)</f>
        <v>0</v>
      </c>
      <c r="AB69" s="185">
        <f t="shared" si="8"/>
        <v>0</v>
      </c>
      <c r="AC69" s="228">
        <f>AC70</f>
        <v>0</v>
      </c>
    </row>
    <row r="70" spans="1:29" ht="14.25" customHeight="1" thickBot="1">
      <c r="B70" s="195" t="s">
        <v>22573</v>
      </c>
      <c r="C70" s="194">
        <f>C24*C15/100*Kalk3_Eingabe!$C$19^2/8</f>
        <v>0</v>
      </c>
      <c r="D70" s="194">
        <f>D24*$C$15/100*Kalk3_Eingabe!$C$19^2/8</f>
        <v>0</v>
      </c>
      <c r="E70" s="190" t="s">
        <v>22428</v>
      </c>
      <c r="K70" s="152">
        <v>12</v>
      </c>
      <c r="L70" s="185">
        <f t="shared" si="5"/>
        <v>2.02</v>
      </c>
      <c r="M70" s="185">
        <f>M69</f>
        <v>0.21</v>
      </c>
      <c r="N70" s="227" t="e">
        <f>MAX($N$47/Kalk3_Eingabe!$C$18*(Kalk3_Eingabe!$C$18-Kalk3_Lastfallkombi!M70),0)</f>
        <v>#DIV/0!</v>
      </c>
      <c r="O70" s="185" t="e">
        <f t="shared" si="1"/>
        <v>#DIV/0!</v>
      </c>
      <c r="P70" s="185" t="e">
        <f t="shared" si="0"/>
        <v>#DIV/0!</v>
      </c>
      <c r="Q70" s="228" t="e">
        <f>AVERAGE(P70,P69)</f>
        <v>#DIV/0!</v>
      </c>
      <c r="R70" s="227" t="e">
        <f>MAX($R$47/Kalk3_Eingabe!$C$18*(Kalk3_Eingabe!$C$18-Kalk3_Lastfallkombi!M70),0)</f>
        <v>#DIV/0!</v>
      </c>
      <c r="S70" s="185" t="e">
        <f t="shared" si="2"/>
        <v>#DIV/0!</v>
      </c>
      <c r="T70" s="185" t="e">
        <f t="shared" si="6"/>
        <v>#DIV/0!</v>
      </c>
      <c r="U70" s="228" t="e">
        <f>AVERAGE(T70,T69)</f>
        <v>#DIV/0!</v>
      </c>
      <c r="V70" s="227">
        <f>MAX($V$47/Kalk3_Eingabe!$C$24*(Kalk3_Eingabe!$C$24-Kalk3_Lastfallkombi!M70),0)</f>
        <v>0</v>
      </c>
      <c r="W70" s="185">
        <f t="shared" si="3"/>
        <v>0</v>
      </c>
      <c r="X70" s="185">
        <f t="shared" si="7"/>
        <v>0</v>
      </c>
      <c r="Y70" s="228">
        <f>AVERAGE(X70,X69)</f>
        <v>0</v>
      </c>
      <c r="Z70" s="227">
        <f>MAX($Z$47/Kalk3_Eingabe!$C$24*(Kalk3_Eingabe!$C$24-Kalk3_Lastfallkombi!M70),0)</f>
        <v>0</v>
      </c>
      <c r="AA70" s="185">
        <f t="shared" si="4"/>
        <v>0</v>
      </c>
      <c r="AB70" s="185">
        <f t="shared" si="8"/>
        <v>0</v>
      </c>
      <c r="AC70" s="228">
        <f>AVERAGE(AB70,AB69)</f>
        <v>0</v>
      </c>
    </row>
    <row r="71" spans="1:29" ht="14.25" customHeight="1">
      <c r="E71" s="163"/>
      <c r="K71" s="152">
        <v>13</v>
      </c>
      <c r="L71" s="185">
        <f t="shared" si="5"/>
        <v>1.98</v>
      </c>
      <c r="M71" s="185">
        <f>M69+IF(K71&lt;=$L$36,$C$14/100,0)</f>
        <v>0.21</v>
      </c>
      <c r="N71" s="227" t="e">
        <f>N70</f>
        <v>#DIV/0!</v>
      </c>
      <c r="O71" s="185" t="e">
        <f>IF(N71=0,0,O70)</f>
        <v>#DIV/0!</v>
      </c>
      <c r="P71" s="185" t="e">
        <f t="shared" si="0"/>
        <v>#DIV/0!</v>
      </c>
      <c r="Q71" s="228" t="e">
        <f>Q72</f>
        <v>#DIV/0!</v>
      </c>
      <c r="R71" s="227" t="e">
        <f>R70</f>
        <v>#DIV/0!</v>
      </c>
      <c r="S71" s="185" t="e">
        <f>IF(R71=0,0,S70)</f>
        <v>#DIV/0!</v>
      </c>
      <c r="T71" s="185" t="e">
        <f t="shared" si="6"/>
        <v>#DIV/0!</v>
      </c>
      <c r="U71" s="228" t="e">
        <f>U72</f>
        <v>#DIV/0!</v>
      </c>
      <c r="V71" s="227">
        <f>V70</f>
        <v>0</v>
      </c>
      <c r="W71" s="185">
        <f>IF(V71=0,0,W70)</f>
        <v>0</v>
      </c>
      <c r="X71" s="185">
        <f t="shared" si="7"/>
        <v>0</v>
      </c>
      <c r="Y71" s="228">
        <f>Y72</f>
        <v>0</v>
      </c>
      <c r="Z71" s="227">
        <f>Z70</f>
        <v>0</v>
      </c>
      <c r="AA71" s="185">
        <f>IF(Z71=0,0,AA70)</f>
        <v>0</v>
      </c>
      <c r="AB71" s="185">
        <f t="shared" si="8"/>
        <v>0</v>
      </c>
      <c r="AC71" s="228">
        <f>AC72</f>
        <v>0</v>
      </c>
    </row>
    <row r="72" spans="1:29" ht="14.25" customHeight="1">
      <c r="E72" s="163"/>
      <c r="K72" s="152">
        <v>13</v>
      </c>
      <c r="L72" s="185">
        <f t="shared" si="5"/>
        <v>2.02</v>
      </c>
      <c r="M72" s="185">
        <f>M71</f>
        <v>0.21</v>
      </c>
      <c r="N72" s="227" t="e">
        <f>MAX($N$47/Kalk3_Eingabe!$C$18*(Kalk3_Eingabe!$C$18-Kalk3_Lastfallkombi!M72),0)</f>
        <v>#DIV/0!</v>
      </c>
      <c r="O72" s="185" t="e">
        <f t="shared" si="1"/>
        <v>#DIV/0!</v>
      </c>
      <c r="P72" s="185" t="e">
        <f t="shared" si="0"/>
        <v>#DIV/0!</v>
      </c>
      <c r="Q72" s="228" t="e">
        <f>AVERAGE(P72,P71)</f>
        <v>#DIV/0!</v>
      </c>
      <c r="R72" s="227" t="e">
        <f>MAX($R$47/Kalk3_Eingabe!$C$18*(Kalk3_Eingabe!$C$18-Kalk3_Lastfallkombi!M72),0)</f>
        <v>#DIV/0!</v>
      </c>
      <c r="S72" s="185" t="e">
        <f t="shared" si="2"/>
        <v>#DIV/0!</v>
      </c>
      <c r="T72" s="185" t="e">
        <f t="shared" si="6"/>
        <v>#DIV/0!</v>
      </c>
      <c r="U72" s="228" t="e">
        <f>AVERAGE(T72,T71)</f>
        <v>#DIV/0!</v>
      </c>
      <c r="V72" s="227">
        <f>MAX($V$47/Kalk3_Eingabe!$C$24*(Kalk3_Eingabe!$C$24-Kalk3_Lastfallkombi!M72),0)</f>
        <v>0</v>
      </c>
      <c r="W72" s="185">
        <f t="shared" si="3"/>
        <v>0</v>
      </c>
      <c r="X72" s="185">
        <f t="shared" si="7"/>
        <v>0</v>
      </c>
      <c r="Y72" s="228">
        <f>AVERAGE(X72,X71)</f>
        <v>0</v>
      </c>
      <c r="Z72" s="227">
        <f>MAX($Z$47/Kalk3_Eingabe!$C$24*(Kalk3_Eingabe!$C$24-Kalk3_Lastfallkombi!M72),0)</f>
        <v>0</v>
      </c>
      <c r="AA72" s="185">
        <f t="shared" si="4"/>
        <v>0</v>
      </c>
      <c r="AB72" s="185">
        <f t="shared" si="8"/>
        <v>0</v>
      </c>
      <c r="AC72" s="228">
        <f>AVERAGE(AB72,AB71)</f>
        <v>0</v>
      </c>
    </row>
    <row r="73" spans="1:29" ht="14.25" customHeight="1">
      <c r="E73" s="163"/>
      <c r="K73" s="152">
        <v>14</v>
      </c>
      <c r="L73" s="185">
        <f t="shared" si="5"/>
        <v>1.98</v>
      </c>
      <c r="M73" s="185">
        <f>M71+IF(K73&lt;=$L$36,$C$14/100,0)</f>
        <v>0.21</v>
      </c>
      <c r="N73" s="227" t="e">
        <f>N72</f>
        <v>#DIV/0!</v>
      </c>
      <c r="O73" s="185" t="e">
        <f>IF(N73=0,0,O72)</f>
        <v>#DIV/0!</v>
      </c>
      <c r="P73" s="185" t="e">
        <f t="shared" si="0"/>
        <v>#DIV/0!</v>
      </c>
      <c r="Q73" s="228" t="e">
        <f>Q74</f>
        <v>#DIV/0!</v>
      </c>
      <c r="R73" s="227" t="e">
        <f>R72</f>
        <v>#DIV/0!</v>
      </c>
      <c r="S73" s="185" t="e">
        <f>IF(R73=0,0,S72)</f>
        <v>#DIV/0!</v>
      </c>
      <c r="T73" s="185" t="e">
        <f t="shared" si="6"/>
        <v>#DIV/0!</v>
      </c>
      <c r="U73" s="228" t="e">
        <f>U74</f>
        <v>#DIV/0!</v>
      </c>
      <c r="V73" s="227">
        <f>V72</f>
        <v>0</v>
      </c>
      <c r="W73" s="185">
        <f>IF(V73=0,0,W72)</f>
        <v>0</v>
      </c>
      <c r="X73" s="185">
        <f t="shared" si="7"/>
        <v>0</v>
      </c>
      <c r="Y73" s="228">
        <f>Y74</f>
        <v>0</v>
      </c>
      <c r="Z73" s="227">
        <f>Z72</f>
        <v>0</v>
      </c>
      <c r="AA73" s="185">
        <f>IF(Z73=0,0,AA72)</f>
        <v>0</v>
      </c>
      <c r="AB73" s="185">
        <f t="shared" si="8"/>
        <v>0</v>
      </c>
      <c r="AC73" s="228">
        <f>AC74</f>
        <v>0</v>
      </c>
    </row>
    <row r="74" spans="1:29" ht="14.25" customHeight="1">
      <c r="E74" s="163"/>
      <c r="K74" s="152">
        <v>14</v>
      </c>
      <c r="L74" s="185">
        <f t="shared" si="5"/>
        <v>2.02</v>
      </c>
      <c r="M74" s="185">
        <f>M73</f>
        <v>0.21</v>
      </c>
      <c r="N74" s="227" t="e">
        <f>MAX($N$47/Kalk3_Eingabe!$C$18*(Kalk3_Eingabe!$C$18-Kalk3_Lastfallkombi!M74),0)</f>
        <v>#DIV/0!</v>
      </c>
      <c r="O74" s="185" t="e">
        <f t="shared" si="1"/>
        <v>#DIV/0!</v>
      </c>
      <c r="P74" s="185" t="e">
        <f t="shared" si="0"/>
        <v>#DIV/0!</v>
      </c>
      <c r="Q74" s="228" t="e">
        <f>AVERAGE(P74,P73)</f>
        <v>#DIV/0!</v>
      </c>
      <c r="R74" s="227" t="e">
        <f>MAX($R$47/Kalk3_Eingabe!$C$18*(Kalk3_Eingabe!$C$18-Kalk3_Lastfallkombi!M74),0)</f>
        <v>#DIV/0!</v>
      </c>
      <c r="S74" s="185" t="e">
        <f t="shared" si="2"/>
        <v>#DIV/0!</v>
      </c>
      <c r="T74" s="185" t="e">
        <f t="shared" si="6"/>
        <v>#DIV/0!</v>
      </c>
      <c r="U74" s="228" t="e">
        <f>AVERAGE(T74,T73)</f>
        <v>#DIV/0!</v>
      </c>
      <c r="V74" s="227">
        <f>MAX($V$47/Kalk3_Eingabe!$C$24*(Kalk3_Eingabe!$C$24-Kalk3_Lastfallkombi!M74),0)</f>
        <v>0</v>
      </c>
      <c r="W74" s="185">
        <f t="shared" si="3"/>
        <v>0</v>
      </c>
      <c r="X74" s="185">
        <f t="shared" si="7"/>
        <v>0</v>
      </c>
      <c r="Y74" s="228">
        <f>AVERAGE(X74,X73)</f>
        <v>0</v>
      </c>
      <c r="Z74" s="227">
        <f>MAX($Z$47/Kalk3_Eingabe!$C$24*(Kalk3_Eingabe!$C$24-Kalk3_Lastfallkombi!M74),0)</f>
        <v>0</v>
      </c>
      <c r="AA74" s="185">
        <f t="shared" si="4"/>
        <v>0</v>
      </c>
      <c r="AB74" s="185">
        <f t="shared" si="8"/>
        <v>0</v>
      </c>
      <c r="AC74" s="228">
        <f>AVERAGE(AB74,AB73)</f>
        <v>0</v>
      </c>
    </row>
    <row r="75" spans="1:29" ht="14.25" customHeight="1">
      <c r="E75" s="163"/>
      <c r="K75" s="152">
        <v>15</v>
      </c>
      <c r="L75" s="185">
        <f t="shared" si="5"/>
        <v>1.98</v>
      </c>
      <c r="M75" s="185">
        <f>M73+IF(K75&lt;=$L$36,$C$14/100,0)</f>
        <v>0.21</v>
      </c>
      <c r="N75" s="227" t="e">
        <f>N74</f>
        <v>#DIV/0!</v>
      </c>
      <c r="O75" s="185" t="e">
        <f>IF(N75=0,0,O74)</f>
        <v>#DIV/0!</v>
      </c>
      <c r="P75" s="185" t="e">
        <f t="shared" si="0"/>
        <v>#DIV/0!</v>
      </c>
      <c r="Q75" s="228" t="e">
        <f>Q76</f>
        <v>#DIV/0!</v>
      </c>
      <c r="R75" s="227" t="e">
        <f>R74</f>
        <v>#DIV/0!</v>
      </c>
      <c r="S75" s="185" t="e">
        <f>IF(R75=0,0,S74)</f>
        <v>#DIV/0!</v>
      </c>
      <c r="T75" s="185" t="e">
        <f t="shared" si="6"/>
        <v>#DIV/0!</v>
      </c>
      <c r="U75" s="228" t="e">
        <f>U76</f>
        <v>#DIV/0!</v>
      </c>
      <c r="V75" s="227">
        <f>V74</f>
        <v>0</v>
      </c>
      <c r="W75" s="185">
        <f>IF(V75=0,0,W74)</f>
        <v>0</v>
      </c>
      <c r="X75" s="185">
        <f t="shared" si="7"/>
        <v>0</v>
      </c>
      <c r="Y75" s="228">
        <f>Y76</f>
        <v>0</v>
      </c>
      <c r="Z75" s="227">
        <f>Z74</f>
        <v>0</v>
      </c>
      <c r="AA75" s="185">
        <f>IF(Z75=0,0,AA74)</f>
        <v>0</v>
      </c>
      <c r="AB75" s="185">
        <f t="shared" si="8"/>
        <v>0</v>
      </c>
      <c r="AC75" s="228">
        <f>AC76</f>
        <v>0</v>
      </c>
    </row>
    <row r="76" spans="1:29" ht="14.25" customHeight="1">
      <c r="E76" s="163"/>
      <c r="K76" s="152">
        <v>15</v>
      </c>
      <c r="L76" s="185">
        <f t="shared" si="5"/>
        <v>2.02</v>
      </c>
      <c r="M76" s="185">
        <f>M75</f>
        <v>0.21</v>
      </c>
      <c r="N76" s="227" t="e">
        <f>MAX($N$47/Kalk3_Eingabe!$C$18*(Kalk3_Eingabe!$C$18-Kalk3_Lastfallkombi!M76),0)</f>
        <v>#DIV/0!</v>
      </c>
      <c r="O76" s="185" t="e">
        <f t="shared" si="1"/>
        <v>#DIV/0!</v>
      </c>
      <c r="P76" s="185" t="e">
        <f t="shared" si="0"/>
        <v>#DIV/0!</v>
      </c>
      <c r="Q76" s="228" t="e">
        <f>AVERAGE(P76,P75)</f>
        <v>#DIV/0!</v>
      </c>
      <c r="R76" s="227" t="e">
        <f>MAX($R$47/Kalk3_Eingabe!$C$18*(Kalk3_Eingabe!$C$18-Kalk3_Lastfallkombi!M76),0)</f>
        <v>#DIV/0!</v>
      </c>
      <c r="S76" s="185" t="e">
        <f t="shared" si="2"/>
        <v>#DIV/0!</v>
      </c>
      <c r="T76" s="185" t="e">
        <f t="shared" si="6"/>
        <v>#DIV/0!</v>
      </c>
      <c r="U76" s="228" t="e">
        <f>AVERAGE(T76,T75)</f>
        <v>#DIV/0!</v>
      </c>
      <c r="V76" s="227">
        <f>MAX($V$47/Kalk3_Eingabe!$C$24*(Kalk3_Eingabe!$C$24-Kalk3_Lastfallkombi!M76),0)</f>
        <v>0</v>
      </c>
      <c r="W76" s="185">
        <f t="shared" si="3"/>
        <v>0</v>
      </c>
      <c r="X76" s="185">
        <f t="shared" si="7"/>
        <v>0</v>
      </c>
      <c r="Y76" s="228">
        <f>AVERAGE(X76,X75)</f>
        <v>0</v>
      </c>
      <c r="Z76" s="227">
        <f>MAX($Z$47/Kalk3_Eingabe!$C$24*(Kalk3_Eingabe!$C$24-Kalk3_Lastfallkombi!M76),0)</f>
        <v>0</v>
      </c>
      <c r="AA76" s="185">
        <f t="shared" si="4"/>
        <v>0</v>
      </c>
      <c r="AB76" s="185">
        <f t="shared" si="8"/>
        <v>0</v>
      </c>
      <c r="AC76" s="228">
        <f>AVERAGE(AB76,AB75)</f>
        <v>0</v>
      </c>
    </row>
    <row r="77" spans="1:29" ht="14.25" customHeight="1">
      <c r="E77" s="163"/>
      <c r="K77" s="152">
        <v>16</v>
      </c>
      <c r="L77" s="185">
        <f t="shared" si="5"/>
        <v>1.98</v>
      </c>
      <c r="M77" s="185">
        <f>M75+IF(K77&lt;=$L$36,$C$14/100,0)</f>
        <v>0.21</v>
      </c>
      <c r="N77" s="227" t="e">
        <f>N76</f>
        <v>#DIV/0!</v>
      </c>
      <c r="O77" s="185" t="e">
        <f>IF(N77=0,0,O76)</f>
        <v>#DIV/0!</v>
      </c>
      <c r="P77" s="185" t="e">
        <f t="shared" si="0"/>
        <v>#DIV/0!</v>
      </c>
      <c r="Q77" s="228" t="e">
        <f>Q78</f>
        <v>#DIV/0!</v>
      </c>
      <c r="R77" s="227" t="e">
        <f>R76</f>
        <v>#DIV/0!</v>
      </c>
      <c r="S77" s="185" t="e">
        <f>IF(R77=0,0,S76)</f>
        <v>#DIV/0!</v>
      </c>
      <c r="T77" s="185" t="e">
        <f t="shared" si="6"/>
        <v>#DIV/0!</v>
      </c>
      <c r="U77" s="228" t="e">
        <f>U78</f>
        <v>#DIV/0!</v>
      </c>
      <c r="V77" s="227">
        <f>V76</f>
        <v>0</v>
      </c>
      <c r="W77" s="185">
        <f>IF(V77=0,0,W76)</f>
        <v>0</v>
      </c>
      <c r="X77" s="185">
        <f t="shared" si="7"/>
        <v>0</v>
      </c>
      <c r="Y77" s="228">
        <f>Y78</f>
        <v>0</v>
      </c>
      <c r="Z77" s="227">
        <f>Z76</f>
        <v>0</v>
      </c>
      <c r="AA77" s="185">
        <f>IF(Z77=0,0,AA76)</f>
        <v>0</v>
      </c>
      <c r="AB77" s="185">
        <f t="shared" si="8"/>
        <v>0</v>
      </c>
      <c r="AC77" s="228">
        <f>AC78</f>
        <v>0</v>
      </c>
    </row>
    <row r="78" spans="1:29" ht="14.25" customHeight="1">
      <c r="E78" s="163"/>
      <c r="K78" s="152">
        <v>16</v>
      </c>
      <c r="L78" s="185">
        <f t="shared" si="5"/>
        <v>2.02</v>
      </c>
      <c r="M78" s="185">
        <f>M77</f>
        <v>0.21</v>
      </c>
      <c r="N78" s="227" t="e">
        <f>MAX($N$47/Kalk3_Eingabe!$C$18*(Kalk3_Eingabe!$C$18-Kalk3_Lastfallkombi!M78),0)</f>
        <v>#DIV/0!</v>
      </c>
      <c r="O78" s="185" t="e">
        <f t="shared" si="1"/>
        <v>#DIV/0!</v>
      </c>
      <c r="P78" s="185" t="e">
        <f t="shared" si="0"/>
        <v>#DIV/0!</v>
      </c>
      <c r="Q78" s="228" t="e">
        <f>AVERAGE(P78,P77)</f>
        <v>#DIV/0!</v>
      </c>
      <c r="R78" s="227" t="e">
        <f>MAX($R$47/Kalk3_Eingabe!$C$18*(Kalk3_Eingabe!$C$18-Kalk3_Lastfallkombi!M78),0)</f>
        <v>#DIV/0!</v>
      </c>
      <c r="S78" s="185" t="e">
        <f t="shared" si="2"/>
        <v>#DIV/0!</v>
      </c>
      <c r="T78" s="185" t="e">
        <f t="shared" si="6"/>
        <v>#DIV/0!</v>
      </c>
      <c r="U78" s="228" t="e">
        <f>AVERAGE(T78,T77)</f>
        <v>#DIV/0!</v>
      </c>
      <c r="V78" s="227">
        <f>MAX($V$47/Kalk3_Eingabe!$C$24*(Kalk3_Eingabe!$C$24-Kalk3_Lastfallkombi!M78),0)</f>
        <v>0</v>
      </c>
      <c r="W78" s="185">
        <f t="shared" si="3"/>
        <v>0</v>
      </c>
      <c r="X78" s="185">
        <f t="shared" si="7"/>
        <v>0</v>
      </c>
      <c r="Y78" s="228">
        <f>AVERAGE(X78,X77)</f>
        <v>0</v>
      </c>
      <c r="Z78" s="227">
        <f>MAX($Z$47/Kalk3_Eingabe!$C$24*(Kalk3_Eingabe!$C$24-Kalk3_Lastfallkombi!M78),0)</f>
        <v>0</v>
      </c>
      <c r="AA78" s="185">
        <f t="shared" si="4"/>
        <v>0</v>
      </c>
      <c r="AB78" s="185">
        <f t="shared" si="8"/>
        <v>0</v>
      </c>
      <c r="AC78" s="228">
        <f>AVERAGE(AB78,AB77)</f>
        <v>0</v>
      </c>
    </row>
    <row r="79" spans="1:29" ht="14.25" customHeight="1">
      <c r="E79" s="163"/>
      <c r="K79" s="152">
        <v>17</v>
      </c>
      <c r="L79" s="185">
        <f t="shared" si="5"/>
        <v>1.98</v>
      </c>
      <c r="M79" s="185">
        <f>M77+IF(K79&lt;=$L$36,$C$14/100,0)</f>
        <v>0.21</v>
      </c>
      <c r="N79" s="227" t="e">
        <f>N78</f>
        <v>#DIV/0!</v>
      </c>
      <c r="O79" s="185" t="e">
        <f>IF(N79=0,0,O78)</f>
        <v>#DIV/0!</v>
      </c>
      <c r="P79" s="185" t="e">
        <f t="shared" si="0"/>
        <v>#DIV/0!</v>
      </c>
      <c r="Q79" s="228" t="e">
        <f>Q80</f>
        <v>#DIV/0!</v>
      </c>
      <c r="R79" s="227" t="e">
        <f>R78</f>
        <v>#DIV/0!</v>
      </c>
      <c r="S79" s="185" t="e">
        <f>IF(R79=0,0,S78)</f>
        <v>#DIV/0!</v>
      </c>
      <c r="T79" s="185" t="e">
        <f t="shared" si="6"/>
        <v>#DIV/0!</v>
      </c>
      <c r="U79" s="228" t="e">
        <f>U80</f>
        <v>#DIV/0!</v>
      </c>
      <c r="V79" s="227">
        <f>V78</f>
        <v>0</v>
      </c>
      <c r="W79" s="185">
        <f>IF(V79=0,0,W78)</f>
        <v>0</v>
      </c>
      <c r="X79" s="185">
        <f t="shared" si="7"/>
        <v>0</v>
      </c>
      <c r="Y79" s="228">
        <f>Y80</f>
        <v>0</v>
      </c>
      <c r="Z79" s="227">
        <f>Z78</f>
        <v>0</v>
      </c>
      <c r="AA79" s="185">
        <f>IF(Z79=0,0,AA78)</f>
        <v>0</v>
      </c>
      <c r="AB79" s="185">
        <f t="shared" si="8"/>
        <v>0</v>
      </c>
      <c r="AC79" s="228">
        <f>AC80</f>
        <v>0</v>
      </c>
    </row>
    <row r="80" spans="1:29" ht="14.25" customHeight="1">
      <c r="E80" s="163"/>
      <c r="K80" s="152">
        <v>17</v>
      </c>
      <c r="L80" s="185">
        <f t="shared" si="5"/>
        <v>2.02</v>
      </c>
      <c r="M80" s="185">
        <f>M79</f>
        <v>0.21</v>
      </c>
      <c r="N80" s="227" t="e">
        <f>MAX($N$47/Kalk3_Eingabe!$C$18*(Kalk3_Eingabe!$C$18-Kalk3_Lastfallkombi!M80),0)</f>
        <v>#DIV/0!</v>
      </c>
      <c r="O80" s="185" t="e">
        <f t="shared" si="1"/>
        <v>#DIV/0!</v>
      </c>
      <c r="P80" s="185" t="e">
        <f t="shared" si="0"/>
        <v>#DIV/0!</v>
      </c>
      <c r="Q80" s="228" t="e">
        <f>AVERAGE(P80,P79)</f>
        <v>#DIV/0!</v>
      </c>
      <c r="R80" s="227" t="e">
        <f>MAX($R$47/Kalk3_Eingabe!$C$18*(Kalk3_Eingabe!$C$18-Kalk3_Lastfallkombi!M80),0)</f>
        <v>#DIV/0!</v>
      </c>
      <c r="S80" s="185" t="e">
        <f t="shared" si="2"/>
        <v>#DIV/0!</v>
      </c>
      <c r="T80" s="185" t="e">
        <f t="shared" si="6"/>
        <v>#DIV/0!</v>
      </c>
      <c r="U80" s="228" t="e">
        <f>AVERAGE(T80,T79)</f>
        <v>#DIV/0!</v>
      </c>
      <c r="V80" s="227">
        <f>MAX($V$47/Kalk3_Eingabe!$C$24*(Kalk3_Eingabe!$C$24-Kalk3_Lastfallkombi!M80),0)</f>
        <v>0</v>
      </c>
      <c r="W80" s="185">
        <f t="shared" si="3"/>
        <v>0</v>
      </c>
      <c r="X80" s="185">
        <f t="shared" si="7"/>
        <v>0</v>
      </c>
      <c r="Y80" s="228">
        <f>AVERAGE(X80,X79)</f>
        <v>0</v>
      </c>
      <c r="Z80" s="227">
        <f>MAX($Z$47/Kalk3_Eingabe!$C$24*(Kalk3_Eingabe!$C$24-Kalk3_Lastfallkombi!M80),0)</f>
        <v>0</v>
      </c>
      <c r="AA80" s="185">
        <f t="shared" si="4"/>
        <v>0</v>
      </c>
      <c r="AB80" s="185">
        <f t="shared" si="8"/>
        <v>0</v>
      </c>
      <c r="AC80" s="228">
        <f>AVERAGE(AB80,AB79)</f>
        <v>0</v>
      </c>
    </row>
    <row r="81" spans="5:29" ht="14.25" customHeight="1">
      <c r="E81" s="163"/>
      <c r="K81" s="152">
        <v>18</v>
      </c>
      <c r="L81" s="185">
        <f t="shared" si="5"/>
        <v>1.98</v>
      </c>
      <c r="M81" s="185">
        <f>M79+IF(K81&lt;=$L$36,$C$14/100,0)</f>
        <v>0.21</v>
      </c>
      <c r="N81" s="227" t="e">
        <f>N80</f>
        <v>#DIV/0!</v>
      </c>
      <c r="O81" s="185" t="e">
        <f>IF(N81=0,0,O80)</f>
        <v>#DIV/0!</v>
      </c>
      <c r="P81" s="185" t="e">
        <f t="shared" si="0"/>
        <v>#DIV/0!</v>
      </c>
      <c r="Q81" s="228" t="e">
        <f>Q82</f>
        <v>#DIV/0!</v>
      </c>
      <c r="R81" s="227" t="e">
        <f>R80</f>
        <v>#DIV/0!</v>
      </c>
      <c r="S81" s="185" t="e">
        <f>IF(R81=0,0,S80)</f>
        <v>#DIV/0!</v>
      </c>
      <c r="T81" s="185" t="e">
        <f t="shared" si="6"/>
        <v>#DIV/0!</v>
      </c>
      <c r="U81" s="228" t="e">
        <f>U82</f>
        <v>#DIV/0!</v>
      </c>
      <c r="V81" s="227">
        <f>V80</f>
        <v>0</v>
      </c>
      <c r="W81" s="185">
        <f>IF(V81=0,0,W80)</f>
        <v>0</v>
      </c>
      <c r="X81" s="185">
        <f t="shared" si="7"/>
        <v>0</v>
      </c>
      <c r="Y81" s="228">
        <f>Y82</f>
        <v>0</v>
      </c>
      <c r="Z81" s="227">
        <f>Z80</f>
        <v>0</v>
      </c>
      <c r="AA81" s="185">
        <f>IF(Z81=0,0,AA80)</f>
        <v>0</v>
      </c>
      <c r="AB81" s="185">
        <f t="shared" si="8"/>
        <v>0</v>
      </c>
      <c r="AC81" s="228">
        <f>AC82</f>
        <v>0</v>
      </c>
    </row>
    <row r="82" spans="5:29" ht="14.25" customHeight="1">
      <c r="E82" s="163"/>
      <c r="K82" s="152">
        <v>18</v>
      </c>
      <c r="L82" s="185">
        <f t="shared" si="5"/>
        <v>2.02</v>
      </c>
      <c r="M82" s="185">
        <f>M81</f>
        <v>0.21</v>
      </c>
      <c r="N82" s="227" t="e">
        <f>MAX($N$47/Kalk3_Eingabe!$C$18*(Kalk3_Eingabe!$C$18-Kalk3_Lastfallkombi!M82),0)</f>
        <v>#DIV/0!</v>
      </c>
      <c r="O82" s="185" t="e">
        <f t="shared" si="1"/>
        <v>#DIV/0!</v>
      </c>
      <c r="P82" s="185" t="e">
        <f t="shared" si="0"/>
        <v>#DIV/0!</v>
      </c>
      <c r="Q82" s="228" t="e">
        <f>AVERAGE(P82,P81)</f>
        <v>#DIV/0!</v>
      </c>
      <c r="R82" s="227" t="e">
        <f>MAX($R$47/Kalk3_Eingabe!$C$18*(Kalk3_Eingabe!$C$18-Kalk3_Lastfallkombi!M82),0)</f>
        <v>#DIV/0!</v>
      </c>
      <c r="S82" s="185" t="e">
        <f t="shared" si="2"/>
        <v>#DIV/0!</v>
      </c>
      <c r="T82" s="185" t="e">
        <f t="shared" si="6"/>
        <v>#DIV/0!</v>
      </c>
      <c r="U82" s="228" t="e">
        <f>AVERAGE(T82,T81)</f>
        <v>#DIV/0!</v>
      </c>
      <c r="V82" s="227">
        <f>MAX($V$47/Kalk3_Eingabe!$C$24*(Kalk3_Eingabe!$C$24-Kalk3_Lastfallkombi!M82),0)</f>
        <v>0</v>
      </c>
      <c r="W82" s="185">
        <f t="shared" si="3"/>
        <v>0</v>
      </c>
      <c r="X82" s="185">
        <f t="shared" si="7"/>
        <v>0</v>
      </c>
      <c r="Y82" s="228">
        <f>AVERAGE(X82,X81)</f>
        <v>0</v>
      </c>
      <c r="Z82" s="227">
        <f>MAX($Z$47/Kalk3_Eingabe!$C$24*(Kalk3_Eingabe!$C$24-Kalk3_Lastfallkombi!M82),0)</f>
        <v>0</v>
      </c>
      <c r="AA82" s="185">
        <f t="shared" si="4"/>
        <v>0</v>
      </c>
      <c r="AB82" s="185">
        <f t="shared" si="8"/>
        <v>0</v>
      </c>
      <c r="AC82" s="228">
        <f>AVERAGE(AB82,AB81)</f>
        <v>0</v>
      </c>
    </row>
    <row r="83" spans="5:29" ht="14.25" customHeight="1">
      <c r="E83" s="163"/>
      <c r="K83" s="152">
        <v>19</v>
      </c>
      <c r="L83" s="185">
        <f t="shared" si="5"/>
        <v>1.98</v>
      </c>
      <c r="M83" s="185">
        <f>M81+IF(K83&lt;=$L$36,$C$14/100,0)</f>
        <v>0.21</v>
      </c>
      <c r="N83" s="227" t="e">
        <f>N82</f>
        <v>#DIV/0!</v>
      </c>
      <c r="O83" s="185" t="e">
        <f>IF(N83=0,0,O82)</f>
        <v>#DIV/0!</v>
      </c>
      <c r="P83" s="185" t="e">
        <f t="shared" si="0"/>
        <v>#DIV/0!</v>
      </c>
      <c r="Q83" s="228" t="e">
        <f>Q84</f>
        <v>#DIV/0!</v>
      </c>
      <c r="R83" s="227" t="e">
        <f>R82</f>
        <v>#DIV/0!</v>
      </c>
      <c r="S83" s="185" t="e">
        <f>IF(R83=0,0,S82)</f>
        <v>#DIV/0!</v>
      </c>
      <c r="T83" s="185" t="e">
        <f t="shared" si="6"/>
        <v>#DIV/0!</v>
      </c>
      <c r="U83" s="228" t="e">
        <f>U84</f>
        <v>#DIV/0!</v>
      </c>
      <c r="V83" s="227">
        <f>V82</f>
        <v>0</v>
      </c>
      <c r="W83" s="185">
        <f>IF(V83=0,0,W82)</f>
        <v>0</v>
      </c>
      <c r="X83" s="185">
        <f t="shared" si="7"/>
        <v>0</v>
      </c>
      <c r="Y83" s="228">
        <f>Y84</f>
        <v>0</v>
      </c>
      <c r="Z83" s="227">
        <f>Z82</f>
        <v>0</v>
      </c>
      <c r="AA83" s="185">
        <f>IF(Z83=0,0,AA82)</f>
        <v>0</v>
      </c>
      <c r="AB83" s="185">
        <f t="shared" si="8"/>
        <v>0</v>
      </c>
      <c r="AC83" s="228">
        <f>AC84</f>
        <v>0</v>
      </c>
    </row>
    <row r="84" spans="5:29" ht="14.25" customHeight="1">
      <c r="E84" s="163"/>
      <c r="K84" s="152">
        <v>19</v>
      </c>
      <c r="L84" s="185">
        <f t="shared" si="5"/>
        <v>2.02</v>
      </c>
      <c r="M84" s="185">
        <f>M83</f>
        <v>0.21</v>
      </c>
      <c r="N84" s="227" t="e">
        <f>MAX($N$47/Kalk3_Eingabe!$C$18*(Kalk3_Eingabe!$C$18-Kalk3_Lastfallkombi!M84),0)</f>
        <v>#DIV/0!</v>
      </c>
      <c r="O84" s="185" t="e">
        <f t="shared" si="1"/>
        <v>#DIV/0!</v>
      </c>
      <c r="P84" s="185" t="e">
        <f t="shared" si="0"/>
        <v>#DIV/0!</v>
      </c>
      <c r="Q84" s="228" t="e">
        <f>AVERAGE(P84,P83)</f>
        <v>#DIV/0!</v>
      </c>
      <c r="R84" s="227" t="e">
        <f>MAX($R$47/Kalk3_Eingabe!$C$18*(Kalk3_Eingabe!$C$18-Kalk3_Lastfallkombi!M84),0)</f>
        <v>#DIV/0!</v>
      </c>
      <c r="S84" s="185" t="e">
        <f t="shared" si="2"/>
        <v>#DIV/0!</v>
      </c>
      <c r="T84" s="185" t="e">
        <f t="shared" si="6"/>
        <v>#DIV/0!</v>
      </c>
      <c r="U84" s="228" t="e">
        <f>AVERAGE(T84,T83)</f>
        <v>#DIV/0!</v>
      </c>
      <c r="V84" s="227">
        <f>MAX($V$47/Kalk3_Eingabe!$C$24*(Kalk3_Eingabe!$C$24-Kalk3_Lastfallkombi!M84),0)</f>
        <v>0</v>
      </c>
      <c r="W84" s="185">
        <f t="shared" si="3"/>
        <v>0</v>
      </c>
      <c r="X84" s="185">
        <f t="shared" si="7"/>
        <v>0</v>
      </c>
      <c r="Y84" s="228">
        <f>AVERAGE(X84,X83)</f>
        <v>0</v>
      </c>
      <c r="Z84" s="227">
        <f>MAX($Z$47/Kalk3_Eingabe!$C$24*(Kalk3_Eingabe!$C$24-Kalk3_Lastfallkombi!M84),0)</f>
        <v>0</v>
      </c>
      <c r="AA84" s="185">
        <f t="shared" si="4"/>
        <v>0</v>
      </c>
      <c r="AB84" s="185">
        <f t="shared" si="8"/>
        <v>0</v>
      </c>
      <c r="AC84" s="228">
        <f>AVERAGE(AB84,AB83)</f>
        <v>0</v>
      </c>
    </row>
    <row r="85" spans="5:29" ht="14.25" customHeight="1">
      <c r="E85" s="163"/>
      <c r="K85" s="152">
        <v>20</v>
      </c>
      <c r="L85" s="185">
        <f t="shared" si="5"/>
        <v>1.98</v>
      </c>
      <c r="M85" s="185">
        <f>M83+IF(K85&lt;=$L$36,$C$14/100,0)</f>
        <v>0.21</v>
      </c>
      <c r="N85" s="227" t="e">
        <f>N84</f>
        <v>#DIV/0!</v>
      </c>
      <c r="O85" s="185" t="e">
        <f>IF(N85=0,0,O84)</f>
        <v>#DIV/0!</v>
      </c>
      <c r="P85" s="185" t="e">
        <f t="shared" si="0"/>
        <v>#DIV/0!</v>
      </c>
      <c r="Q85" s="228" t="e">
        <f>Q86</f>
        <v>#DIV/0!</v>
      </c>
      <c r="R85" s="227" t="e">
        <f>R84</f>
        <v>#DIV/0!</v>
      </c>
      <c r="S85" s="185" t="e">
        <f>IF(R85=0,0,S84)</f>
        <v>#DIV/0!</v>
      </c>
      <c r="T85" s="185" t="e">
        <f t="shared" si="6"/>
        <v>#DIV/0!</v>
      </c>
      <c r="U85" s="228" t="e">
        <f>U86</f>
        <v>#DIV/0!</v>
      </c>
      <c r="V85" s="227">
        <f>V84</f>
        <v>0</v>
      </c>
      <c r="W85" s="185">
        <f>IF(V85=0,0,W84)</f>
        <v>0</v>
      </c>
      <c r="X85" s="185">
        <f t="shared" si="7"/>
        <v>0</v>
      </c>
      <c r="Y85" s="228">
        <f>Y86</f>
        <v>0</v>
      </c>
      <c r="Z85" s="227">
        <f>Z84</f>
        <v>0</v>
      </c>
      <c r="AA85" s="185">
        <f>IF(Z85=0,0,AA84)</f>
        <v>0</v>
      </c>
      <c r="AB85" s="185">
        <f t="shared" si="8"/>
        <v>0</v>
      </c>
      <c r="AC85" s="228">
        <f>AC86</f>
        <v>0</v>
      </c>
    </row>
    <row r="86" spans="5:29" ht="14.25" customHeight="1">
      <c r="E86" s="163"/>
      <c r="K86" s="152">
        <v>20</v>
      </c>
      <c r="L86" s="185">
        <f t="shared" si="5"/>
        <v>2.02</v>
      </c>
      <c r="M86" s="185">
        <f>M85</f>
        <v>0.21</v>
      </c>
      <c r="N86" s="227" t="e">
        <f>MAX($N$47/Kalk3_Eingabe!$C$18*(Kalk3_Eingabe!$C$18-Kalk3_Lastfallkombi!M86),0)</f>
        <v>#DIV/0!</v>
      </c>
      <c r="O86" s="185" t="e">
        <f t="shared" si="1"/>
        <v>#DIV/0!</v>
      </c>
      <c r="P86" s="185" t="e">
        <f t="shared" si="0"/>
        <v>#DIV/0!</v>
      </c>
      <c r="Q86" s="228" t="e">
        <f>AVERAGE(P86,P85)</f>
        <v>#DIV/0!</v>
      </c>
      <c r="R86" s="227" t="e">
        <f>MAX($R$47/Kalk3_Eingabe!$C$18*(Kalk3_Eingabe!$C$18-Kalk3_Lastfallkombi!M86),0)</f>
        <v>#DIV/0!</v>
      </c>
      <c r="S86" s="185" t="e">
        <f t="shared" si="2"/>
        <v>#DIV/0!</v>
      </c>
      <c r="T86" s="185" t="e">
        <f t="shared" si="6"/>
        <v>#DIV/0!</v>
      </c>
      <c r="U86" s="228" t="e">
        <f>AVERAGE(T86,T85)</f>
        <v>#DIV/0!</v>
      </c>
      <c r="V86" s="227">
        <f>MAX($V$47/Kalk3_Eingabe!$C$24*(Kalk3_Eingabe!$C$24-Kalk3_Lastfallkombi!M86),0)</f>
        <v>0</v>
      </c>
      <c r="W86" s="185">
        <f t="shared" si="3"/>
        <v>0</v>
      </c>
      <c r="X86" s="185">
        <f t="shared" si="7"/>
        <v>0</v>
      </c>
      <c r="Y86" s="228">
        <f>AVERAGE(X86,X85)</f>
        <v>0</v>
      </c>
      <c r="Z86" s="227">
        <f>MAX($Z$47/Kalk3_Eingabe!$C$24*(Kalk3_Eingabe!$C$24-Kalk3_Lastfallkombi!M86),0)</f>
        <v>0</v>
      </c>
      <c r="AA86" s="185">
        <f t="shared" si="4"/>
        <v>0</v>
      </c>
      <c r="AB86" s="185">
        <f t="shared" si="8"/>
        <v>0</v>
      </c>
      <c r="AC86" s="228">
        <f>AVERAGE(AB86,AB85)</f>
        <v>0</v>
      </c>
    </row>
    <row r="87" spans="5:29" ht="14.25" customHeight="1">
      <c r="E87" s="163"/>
      <c r="K87" s="152">
        <v>21</v>
      </c>
      <c r="L87" s="185">
        <f t="shared" si="5"/>
        <v>1.98</v>
      </c>
      <c r="M87" s="185">
        <f>M85+IF(K87&lt;=$L$36,$C$14/100,0)</f>
        <v>0.21</v>
      </c>
      <c r="N87" s="227" t="e">
        <f>N86</f>
        <v>#DIV/0!</v>
      </c>
      <c r="O87" s="185" t="e">
        <f>IF(N87=0,0,O86)</f>
        <v>#DIV/0!</v>
      </c>
      <c r="P87" s="185" t="e">
        <f t="shared" si="0"/>
        <v>#DIV/0!</v>
      </c>
      <c r="Q87" s="228" t="e">
        <f>Q88</f>
        <v>#DIV/0!</v>
      </c>
      <c r="R87" s="227" t="e">
        <f>R86</f>
        <v>#DIV/0!</v>
      </c>
      <c r="S87" s="185" t="e">
        <f>IF(R87=0,0,S86)</f>
        <v>#DIV/0!</v>
      </c>
      <c r="T87" s="185" t="e">
        <f t="shared" si="6"/>
        <v>#DIV/0!</v>
      </c>
      <c r="U87" s="228" t="e">
        <f>U88</f>
        <v>#DIV/0!</v>
      </c>
      <c r="V87" s="227">
        <f>V86</f>
        <v>0</v>
      </c>
      <c r="W87" s="185">
        <f>IF(V87=0,0,W86)</f>
        <v>0</v>
      </c>
      <c r="X87" s="185">
        <f t="shared" si="7"/>
        <v>0</v>
      </c>
      <c r="Y87" s="228">
        <f>Y88</f>
        <v>0</v>
      </c>
      <c r="Z87" s="227">
        <f>Z86</f>
        <v>0</v>
      </c>
      <c r="AA87" s="185">
        <f>IF(Z87=0,0,AA86)</f>
        <v>0</v>
      </c>
      <c r="AB87" s="185">
        <f t="shared" si="8"/>
        <v>0</v>
      </c>
      <c r="AC87" s="228">
        <f>AC88</f>
        <v>0</v>
      </c>
    </row>
    <row r="88" spans="5:29" ht="14.25" customHeight="1">
      <c r="E88" s="163"/>
      <c r="K88" s="152">
        <v>21</v>
      </c>
      <c r="L88" s="185">
        <f t="shared" si="5"/>
        <v>2.02</v>
      </c>
      <c r="M88" s="185">
        <f>M87</f>
        <v>0.21</v>
      </c>
      <c r="N88" s="227" t="e">
        <f>MAX($N$47/Kalk3_Eingabe!$C$18*(Kalk3_Eingabe!$C$18-Kalk3_Lastfallkombi!M88),0)</f>
        <v>#DIV/0!</v>
      </c>
      <c r="O88" s="185" t="e">
        <f t="shared" si="1"/>
        <v>#DIV/0!</v>
      </c>
      <c r="P88" s="185" t="e">
        <f t="shared" si="0"/>
        <v>#DIV/0!</v>
      </c>
      <c r="Q88" s="228" t="e">
        <f t="shared" ref="Q88:Q94" si="9">AVERAGE(P88,P87)</f>
        <v>#DIV/0!</v>
      </c>
      <c r="R88" s="227" t="e">
        <f>MAX($R$47/Kalk3_Eingabe!$C$18*(Kalk3_Eingabe!$C$18-Kalk3_Lastfallkombi!M88),0)</f>
        <v>#DIV/0!</v>
      </c>
      <c r="S88" s="185" t="e">
        <f t="shared" si="2"/>
        <v>#DIV/0!</v>
      </c>
      <c r="T88" s="185" t="e">
        <f t="shared" si="6"/>
        <v>#DIV/0!</v>
      </c>
      <c r="U88" s="228" t="e">
        <f t="shared" ref="U88:U94" si="10">AVERAGE(T88,T87)</f>
        <v>#DIV/0!</v>
      </c>
      <c r="V88" s="227">
        <f>MAX($V$47/Kalk3_Eingabe!$C$24*(Kalk3_Eingabe!$C$24-Kalk3_Lastfallkombi!M88),0)</f>
        <v>0</v>
      </c>
      <c r="W88" s="185">
        <f t="shared" si="3"/>
        <v>0</v>
      </c>
      <c r="X88" s="185">
        <f t="shared" si="7"/>
        <v>0</v>
      </c>
      <c r="Y88" s="228">
        <f t="shared" ref="Y88:Y94" si="11">AVERAGE(X88,X87)</f>
        <v>0</v>
      </c>
      <c r="Z88" s="227">
        <f>MAX($Z$47/Kalk3_Eingabe!$C$24*(Kalk3_Eingabe!$C$24-Kalk3_Lastfallkombi!M88),0)</f>
        <v>0</v>
      </c>
      <c r="AA88" s="185">
        <f t="shared" si="4"/>
        <v>0</v>
      </c>
      <c r="AB88" s="185">
        <f t="shared" si="8"/>
        <v>0</v>
      </c>
      <c r="AC88" s="228">
        <f t="shared" ref="AC88:AC94" si="12">AVERAGE(AB88,AB87)</f>
        <v>0</v>
      </c>
    </row>
    <row r="89" spans="5:29" ht="14.25" customHeight="1">
      <c r="E89" s="163"/>
      <c r="K89" s="152">
        <v>22</v>
      </c>
      <c r="L89" s="185">
        <f t="shared" si="5"/>
        <v>1.98</v>
      </c>
      <c r="M89" s="185">
        <f>M87+IF(K89&lt;=$L$36,$C$14/100,0)</f>
        <v>0.21</v>
      </c>
      <c r="N89" s="227" t="e">
        <f>N88</f>
        <v>#DIV/0!</v>
      </c>
      <c r="O89" s="185" t="e">
        <f>IF(N89=0,0,O88)</f>
        <v>#DIV/0!</v>
      </c>
      <c r="P89" s="185" t="e">
        <f t="shared" si="0"/>
        <v>#DIV/0!</v>
      </c>
      <c r="Q89" s="228" t="e">
        <f>Q90</f>
        <v>#DIV/0!</v>
      </c>
      <c r="R89" s="227" t="e">
        <f>R88</f>
        <v>#DIV/0!</v>
      </c>
      <c r="S89" s="185" t="e">
        <f>IF(R89=0,0,S88)</f>
        <v>#DIV/0!</v>
      </c>
      <c r="T89" s="185" t="e">
        <f t="shared" si="6"/>
        <v>#DIV/0!</v>
      </c>
      <c r="U89" s="228" t="e">
        <f>U90</f>
        <v>#DIV/0!</v>
      </c>
      <c r="V89" s="227">
        <f>V88</f>
        <v>0</v>
      </c>
      <c r="W89" s="185">
        <f>IF(V89=0,0,W88)</f>
        <v>0</v>
      </c>
      <c r="X89" s="185">
        <f t="shared" si="7"/>
        <v>0</v>
      </c>
      <c r="Y89" s="228">
        <f>Y90</f>
        <v>0</v>
      </c>
      <c r="Z89" s="227">
        <f>Z88</f>
        <v>0</v>
      </c>
      <c r="AA89" s="185">
        <f>IF(Z89=0,0,AA88)</f>
        <v>0</v>
      </c>
      <c r="AB89" s="185">
        <f t="shared" si="8"/>
        <v>0</v>
      </c>
      <c r="AC89" s="228">
        <f>AC90</f>
        <v>0</v>
      </c>
    </row>
    <row r="90" spans="5:29" ht="14.25" customHeight="1">
      <c r="E90" s="163"/>
      <c r="K90" s="152">
        <v>22</v>
      </c>
      <c r="L90" s="185">
        <f t="shared" si="5"/>
        <v>2.02</v>
      </c>
      <c r="M90" s="185">
        <f>M89</f>
        <v>0.21</v>
      </c>
      <c r="N90" s="227" t="e">
        <f>MAX($N$47/Kalk3_Eingabe!$C$18*(Kalk3_Eingabe!$C$18-Kalk3_Lastfallkombi!M90),0)</f>
        <v>#DIV/0!</v>
      </c>
      <c r="O90" s="185" t="e">
        <f t="shared" si="1"/>
        <v>#DIV/0!</v>
      </c>
      <c r="P90" s="185" t="e">
        <f t="shared" si="0"/>
        <v>#DIV/0!</v>
      </c>
      <c r="Q90" s="228" t="e">
        <f t="shared" si="9"/>
        <v>#DIV/0!</v>
      </c>
      <c r="R90" s="227" t="e">
        <f>MAX($R$47/Kalk3_Eingabe!$C$18*(Kalk3_Eingabe!$C$18-Kalk3_Lastfallkombi!M90),0)</f>
        <v>#DIV/0!</v>
      </c>
      <c r="S90" s="185" t="e">
        <f t="shared" si="2"/>
        <v>#DIV/0!</v>
      </c>
      <c r="T90" s="185" t="e">
        <f t="shared" si="6"/>
        <v>#DIV/0!</v>
      </c>
      <c r="U90" s="228" t="e">
        <f t="shared" si="10"/>
        <v>#DIV/0!</v>
      </c>
      <c r="V90" s="227">
        <f>MAX($V$47/Kalk3_Eingabe!$C$24*(Kalk3_Eingabe!$C$24-Kalk3_Lastfallkombi!M90),0)</f>
        <v>0</v>
      </c>
      <c r="W90" s="185">
        <f t="shared" si="3"/>
        <v>0</v>
      </c>
      <c r="X90" s="185">
        <f t="shared" si="7"/>
        <v>0</v>
      </c>
      <c r="Y90" s="228">
        <f t="shared" si="11"/>
        <v>0</v>
      </c>
      <c r="Z90" s="227">
        <f>MAX($Z$47/Kalk3_Eingabe!$C$24*(Kalk3_Eingabe!$C$24-Kalk3_Lastfallkombi!M90),0)</f>
        <v>0</v>
      </c>
      <c r="AA90" s="185">
        <f t="shared" si="4"/>
        <v>0</v>
      </c>
      <c r="AB90" s="185">
        <f t="shared" si="8"/>
        <v>0</v>
      </c>
      <c r="AC90" s="228">
        <f t="shared" si="12"/>
        <v>0</v>
      </c>
    </row>
    <row r="91" spans="5:29" ht="14.25" customHeight="1">
      <c r="E91" s="163"/>
      <c r="K91" s="152">
        <v>23</v>
      </c>
      <c r="L91" s="185">
        <f t="shared" si="5"/>
        <v>1.98</v>
      </c>
      <c r="M91" s="185">
        <f>M89+IF(K91&lt;=$L$36,$C$14/100,0)</f>
        <v>0.21</v>
      </c>
      <c r="N91" s="227" t="e">
        <f>N90</f>
        <v>#DIV/0!</v>
      </c>
      <c r="O91" s="185" t="e">
        <f>IF(N91=0,0,O90)</f>
        <v>#DIV/0!</v>
      </c>
      <c r="P91" s="185" t="e">
        <f t="shared" si="0"/>
        <v>#DIV/0!</v>
      </c>
      <c r="Q91" s="228" t="e">
        <f>Q92</f>
        <v>#DIV/0!</v>
      </c>
      <c r="R91" s="227" t="e">
        <f>R90</f>
        <v>#DIV/0!</v>
      </c>
      <c r="S91" s="185" t="e">
        <f>IF(R91=0,0,S90)</f>
        <v>#DIV/0!</v>
      </c>
      <c r="T91" s="185" t="e">
        <f t="shared" si="6"/>
        <v>#DIV/0!</v>
      </c>
      <c r="U91" s="228" t="e">
        <f>U92</f>
        <v>#DIV/0!</v>
      </c>
      <c r="V91" s="227">
        <f>V90</f>
        <v>0</v>
      </c>
      <c r="W91" s="185">
        <f>IF(V91=0,0,W90)</f>
        <v>0</v>
      </c>
      <c r="X91" s="185">
        <f t="shared" si="7"/>
        <v>0</v>
      </c>
      <c r="Y91" s="228">
        <f>Y92</f>
        <v>0</v>
      </c>
      <c r="Z91" s="227">
        <f>Z90</f>
        <v>0</v>
      </c>
      <c r="AA91" s="185">
        <f>IF(Z91=0,0,AA90)</f>
        <v>0</v>
      </c>
      <c r="AB91" s="185">
        <f t="shared" si="8"/>
        <v>0</v>
      </c>
      <c r="AC91" s="228">
        <f>AC92</f>
        <v>0</v>
      </c>
    </row>
    <row r="92" spans="5:29" ht="14.25" customHeight="1">
      <c r="E92" s="163"/>
      <c r="K92" s="152">
        <v>23</v>
      </c>
      <c r="L92" s="185">
        <f t="shared" si="5"/>
        <v>2.02</v>
      </c>
      <c r="M92" s="185">
        <f>M91</f>
        <v>0.21</v>
      </c>
      <c r="N92" s="227" t="e">
        <f>MAX($N$47/Kalk3_Eingabe!$C$18*(Kalk3_Eingabe!$C$18-Kalk3_Lastfallkombi!M92),0)</f>
        <v>#DIV/0!</v>
      </c>
      <c r="O92" s="185" t="e">
        <f t="shared" si="1"/>
        <v>#DIV/0!</v>
      </c>
      <c r="P92" s="185" t="e">
        <f t="shared" si="0"/>
        <v>#DIV/0!</v>
      </c>
      <c r="Q92" s="228" t="e">
        <f t="shared" si="9"/>
        <v>#DIV/0!</v>
      </c>
      <c r="R92" s="227" t="e">
        <f>MAX($R$47/Kalk3_Eingabe!$C$18*(Kalk3_Eingabe!$C$18-Kalk3_Lastfallkombi!M92),0)</f>
        <v>#DIV/0!</v>
      </c>
      <c r="S92" s="185" t="e">
        <f t="shared" si="2"/>
        <v>#DIV/0!</v>
      </c>
      <c r="T92" s="185" t="e">
        <f t="shared" si="6"/>
        <v>#DIV/0!</v>
      </c>
      <c r="U92" s="228" t="e">
        <f t="shared" si="10"/>
        <v>#DIV/0!</v>
      </c>
      <c r="V92" s="227">
        <f>MAX($V$47/Kalk3_Eingabe!$C$24*(Kalk3_Eingabe!$C$24-Kalk3_Lastfallkombi!M92),0)</f>
        <v>0</v>
      </c>
      <c r="W92" s="185">
        <f t="shared" si="3"/>
        <v>0</v>
      </c>
      <c r="X92" s="185">
        <f t="shared" si="7"/>
        <v>0</v>
      </c>
      <c r="Y92" s="228">
        <f t="shared" si="11"/>
        <v>0</v>
      </c>
      <c r="Z92" s="227">
        <f>MAX($Z$47/Kalk3_Eingabe!$C$24*(Kalk3_Eingabe!$C$24-Kalk3_Lastfallkombi!M92),0)</f>
        <v>0</v>
      </c>
      <c r="AA92" s="185">
        <f t="shared" si="4"/>
        <v>0</v>
      </c>
      <c r="AB92" s="185">
        <f t="shared" si="8"/>
        <v>0</v>
      </c>
      <c r="AC92" s="228">
        <f t="shared" si="12"/>
        <v>0</v>
      </c>
    </row>
    <row r="93" spans="5:29" ht="14.25" customHeight="1">
      <c r="E93" s="163"/>
      <c r="K93" s="152">
        <v>24</v>
      </c>
      <c r="L93" s="185">
        <f t="shared" si="5"/>
        <v>1.98</v>
      </c>
      <c r="M93" s="185">
        <f>M91+IF(K93&lt;=$L$36,$C$14/100,0)</f>
        <v>0.21</v>
      </c>
      <c r="N93" s="227" t="e">
        <f>N92</f>
        <v>#DIV/0!</v>
      </c>
      <c r="O93" s="185" t="e">
        <f>IF(N93=0,0,O92)</f>
        <v>#DIV/0!</v>
      </c>
      <c r="P93" s="185" t="e">
        <f t="shared" si="0"/>
        <v>#DIV/0!</v>
      </c>
      <c r="Q93" s="228" t="e">
        <f>Q94</f>
        <v>#DIV/0!</v>
      </c>
      <c r="R93" s="227" t="e">
        <f>R92</f>
        <v>#DIV/0!</v>
      </c>
      <c r="S93" s="185" t="e">
        <f>IF(R93=0,0,S92)</f>
        <v>#DIV/0!</v>
      </c>
      <c r="T93" s="185" t="e">
        <f t="shared" si="6"/>
        <v>#DIV/0!</v>
      </c>
      <c r="U93" s="228" t="e">
        <f>U94</f>
        <v>#DIV/0!</v>
      </c>
      <c r="V93" s="227">
        <f>V92</f>
        <v>0</v>
      </c>
      <c r="W93" s="185">
        <f>IF(V93=0,0,W92)</f>
        <v>0</v>
      </c>
      <c r="X93" s="185">
        <f t="shared" si="7"/>
        <v>0</v>
      </c>
      <c r="Y93" s="228">
        <f>Y94</f>
        <v>0</v>
      </c>
      <c r="Z93" s="227">
        <f>Z92</f>
        <v>0</v>
      </c>
      <c r="AA93" s="185">
        <f>IF(Z93=0,0,AA92)</f>
        <v>0</v>
      </c>
      <c r="AB93" s="185">
        <f t="shared" si="8"/>
        <v>0</v>
      </c>
      <c r="AC93" s="228">
        <f>AC94</f>
        <v>0</v>
      </c>
    </row>
    <row r="94" spans="5:29" ht="14.25" customHeight="1">
      <c r="E94" s="163"/>
      <c r="K94" s="152">
        <v>24</v>
      </c>
      <c r="L94" s="185">
        <f t="shared" si="5"/>
        <v>2.02</v>
      </c>
      <c r="M94" s="185">
        <f>M93</f>
        <v>0.21</v>
      </c>
      <c r="N94" s="232" t="e">
        <f>MAX($N$47/Kalk3_Eingabe!$C$18*(Kalk3_Eingabe!$C$18-Kalk3_Lastfallkombi!M94),0)</f>
        <v>#DIV/0!</v>
      </c>
      <c r="O94" s="233" t="e">
        <f t="shared" si="1"/>
        <v>#DIV/0!</v>
      </c>
      <c r="P94" s="233" t="e">
        <f t="shared" si="0"/>
        <v>#DIV/0!</v>
      </c>
      <c r="Q94" s="234" t="e">
        <f t="shared" si="9"/>
        <v>#DIV/0!</v>
      </c>
      <c r="R94" s="232" t="e">
        <f>MAX($R$47/Kalk3_Eingabe!$C$18*(Kalk3_Eingabe!$C$18-Kalk3_Lastfallkombi!M94),0)</f>
        <v>#DIV/0!</v>
      </c>
      <c r="S94" s="233" t="e">
        <f t="shared" si="2"/>
        <v>#DIV/0!</v>
      </c>
      <c r="T94" s="233" t="e">
        <f t="shared" si="6"/>
        <v>#DIV/0!</v>
      </c>
      <c r="U94" s="234" t="e">
        <f t="shared" si="10"/>
        <v>#DIV/0!</v>
      </c>
      <c r="V94" s="232">
        <f>MAX($V$47/Kalk3_Eingabe!$C$24*(Kalk3_Eingabe!$C$24-Kalk3_Lastfallkombi!M94),0)</f>
        <v>0</v>
      </c>
      <c r="W94" s="233">
        <f t="shared" si="3"/>
        <v>0</v>
      </c>
      <c r="X94" s="233">
        <f t="shared" si="7"/>
        <v>0</v>
      </c>
      <c r="Y94" s="234">
        <f t="shared" si="11"/>
        <v>0</v>
      </c>
      <c r="Z94" s="232">
        <f>MAX($Z$47/Kalk3_Eingabe!$C$24*(Kalk3_Eingabe!$C$24-Kalk3_Lastfallkombi!M94),0)</f>
        <v>0</v>
      </c>
      <c r="AA94" s="233">
        <f t="shared" si="4"/>
        <v>0</v>
      </c>
      <c r="AB94" s="233">
        <f t="shared" si="8"/>
        <v>0</v>
      </c>
      <c r="AC94" s="234">
        <f t="shared" si="12"/>
        <v>0</v>
      </c>
    </row>
    <row r="95" spans="5:29" ht="14.25" customHeight="1">
      <c r="E95" s="163"/>
    </row>
    <row r="96" spans="5:29" ht="14.25" customHeight="1">
      <c r="E96" s="163"/>
      <c r="O96" s="152" t="s">
        <v>22574</v>
      </c>
      <c r="P96" s="185"/>
    </row>
    <row r="97" spans="5:18" ht="14.25" customHeight="1">
      <c r="E97" s="163"/>
      <c r="K97" s="152" t="s">
        <v>22575</v>
      </c>
      <c r="L97" s="185"/>
      <c r="M97" s="185"/>
      <c r="O97" s="185">
        <f>(M44+0.25-C15/100)/(C14/100)+1</f>
        <v>1.2</v>
      </c>
      <c r="P97" s="185">
        <f>IF(O97&gt;Kalk3_Lastfallkombi!L36,Kalk3_Lastfallkombi!L36,ROUNDUP(O97,0))</f>
        <v>0</v>
      </c>
      <c r="Q97" s="185">
        <f>C15/100+(P97-1)*C14/100</f>
        <v>9.9999999999999811E-3</v>
      </c>
      <c r="R97" s="185">
        <f>IF(Q97&gt;Kalk3_Eingabe!C24,Kalk3_Eingabe!C24,Q97)</f>
        <v>9.9999999999999811E-3</v>
      </c>
    </row>
    <row r="98" spans="5:18" ht="14.25" customHeight="1">
      <c r="E98" s="163"/>
      <c r="L98" s="185">
        <f>L42-0.2</f>
        <v>1.8</v>
      </c>
      <c r="M98" s="185">
        <f>M42</f>
        <v>0</v>
      </c>
      <c r="O98" s="185">
        <f>IF((M44-0.25-C15/100)/(C14/100)+1&lt;0,0,(M44-0.25-C15/100)/(C14/100)+1)</f>
        <v>0</v>
      </c>
      <c r="P98" s="185">
        <f>ROUNDDOWN(O98,0)</f>
        <v>0</v>
      </c>
      <c r="Q98" s="185"/>
      <c r="R98" s="185"/>
    </row>
    <row r="99" spans="5:18" ht="14.25" customHeight="1">
      <c r="E99" s="163"/>
      <c r="L99" s="185">
        <f>L98</f>
        <v>1.8</v>
      </c>
      <c r="M99" s="185">
        <f>M100</f>
        <v>0</v>
      </c>
      <c r="P99" s="152">
        <f>P97-P98</f>
        <v>0</v>
      </c>
      <c r="Q99" s="152" t="s">
        <v>20892</v>
      </c>
    </row>
    <row r="100" spans="5:18" ht="14.25" customHeight="1">
      <c r="E100" s="163"/>
      <c r="L100" s="185">
        <f>L98-C32/100</f>
        <v>1.8</v>
      </c>
      <c r="M100" s="185">
        <f>M44</f>
        <v>0</v>
      </c>
      <c r="O100" s="152" t="s">
        <v>22576</v>
      </c>
      <c r="P100" s="185"/>
    </row>
    <row r="101" spans="5:18" ht="14.25" customHeight="1">
      <c r="E101" s="163"/>
      <c r="L101" s="185">
        <f>L100-(C31/100+C32/100)</f>
        <v>1.8</v>
      </c>
      <c r="M101" s="185">
        <f>M98</f>
        <v>0</v>
      </c>
      <c r="O101" s="185">
        <f>Kalk3_Lastfallkombi!L36</f>
        <v>0</v>
      </c>
      <c r="P101" s="185">
        <f>O101</f>
        <v>0</v>
      </c>
      <c r="Q101" s="185"/>
      <c r="R101" s="185"/>
    </row>
    <row r="102" spans="5:18" ht="14.25" customHeight="1">
      <c r="E102" s="163"/>
      <c r="K102" s="152" t="s">
        <v>22577</v>
      </c>
      <c r="O102" s="185">
        <f>IF(O101-Kalk3_Eingabe!C48&lt;0,0,O101-Kalk3_Eingabe!C48)</f>
        <v>0</v>
      </c>
      <c r="P102" s="185">
        <f>ROUNDDOWN(O102,0)</f>
        <v>0</v>
      </c>
      <c r="Q102" s="185"/>
      <c r="R102" s="185"/>
    </row>
    <row r="103" spans="5:18" ht="14.25" customHeight="1">
      <c r="E103" s="163"/>
      <c r="L103" s="185">
        <f>L101-0.1</f>
        <v>1.7</v>
      </c>
      <c r="M103" s="152">
        <v>0</v>
      </c>
      <c r="P103" s="152">
        <f>P101-P102</f>
        <v>0</v>
      </c>
      <c r="Q103" s="152" t="s">
        <v>20892</v>
      </c>
    </row>
    <row r="104" spans="5:18" ht="14.25" customHeight="1">
      <c r="E104" s="163"/>
      <c r="L104" s="185">
        <f>L103</f>
        <v>1.7</v>
      </c>
      <c r="M104" s="185">
        <f>M44+0.25</f>
        <v>0.25</v>
      </c>
    </row>
    <row r="105" spans="5:18" ht="14.25" customHeight="1">
      <c r="E105" s="163"/>
      <c r="L105" s="185">
        <f>L104-0.05</f>
        <v>1.65</v>
      </c>
      <c r="M105" s="185">
        <f>M104</f>
        <v>0.25</v>
      </c>
    </row>
    <row r="106" spans="5:18" ht="14.25" customHeight="1">
      <c r="E106" s="163"/>
      <c r="L106" s="185">
        <f>L105</f>
        <v>1.65</v>
      </c>
      <c r="M106" s="185">
        <f>M104-0.5</f>
        <v>-0.25</v>
      </c>
      <c r="N106" s="152">
        <f>(M106-C15/100)/(C14/100)</f>
        <v>-2.2999999999999998</v>
      </c>
    </row>
    <row r="107" spans="5:18" ht="14.25" customHeight="1">
      <c r="E107" s="163"/>
      <c r="L107" s="185">
        <f>L104</f>
        <v>1.7</v>
      </c>
      <c r="M107" s="185">
        <f>M106</f>
        <v>-0.25</v>
      </c>
    </row>
    <row r="108" spans="5:18" ht="14.25" customHeight="1">
      <c r="E108" s="163"/>
      <c r="K108" s="152" t="s">
        <v>21191</v>
      </c>
      <c r="L108" s="152">
        <v>0</v>
      </c>
      <c r="M108" s="185">
        <f>Kalk3_Eingabe!C24</f>
        <v>2.5000000000000001E-2</v>
      </c>
    </row>
    <row r="109" spans="5:18" ht="14.25" customHeight="1">
      <c r="E109" s="163"/>
      <c r="L109" s="152">
        <f>L45</f>
        <v>2</v>
      </c>
      <c r="M109" s="185">
        <f>M108</f>
        <v>2.5000000000000001E-2</v>
      </c>
    </row>
    <row r="110" spans="5:18" ht="14.25" customHeight="1">
      <c r="E110" s="163"/>
      <c r="K110" s="152" t="s">
        <v>22578</v>
      </c>
      <c r="L110" s="185"/>
      <c r="M110" s="185"/>
    </row>
    <row r="111" spans="5:18" ht="14.25" customHeight="1">
      <c r="E111" s="163"/>
      <c r="L111" s="185">
        <f>L103-0.4</f>
        <v>1.2999999999999998</v>
      </c>
      <c r="M111" s="185">
        <v>0</v>
      </c>
    </row>
    <row r="112" spans="5:18" ht="14.25" customHeight="1">
      <c r="E112" s="163"/>
      <c r="L112" s="185">
        <f>L111</f>
        <v>1.2999999999999998</v>
      </c>
      <c r="M112" s="185">
        <f>Kalk3_Eingabe!C24</f>
        <v>2.5000000000000001E-2</v>
      </c>
    </row>
    <row r="113" spans="5:13" ht="14.25" customHeight="1">
      <c r="E113" s="163"/>
      <c r="L113" s="185">
        <f>L111-C20/100</f>
        <v>1.2999999999999998</v>
      </c>
      <c r="M113" s="185">
        <f>M112</f>
        <v>2.5000000000000001E-2</v>
      </c>
    </row>
    <row r="114" spans="5:13" ht="14.25" customHeight="1">
      <c r="E114" s="163"/>
      <c r="L114" s="185">
        <f>L113-(C19/100+C20/100)</f>
        <v>1.2969624999999998</v>
      </c>
      <c r="M114" s="185">
        <f>M111</f>
        <v>0</v>
      </c>
    </row>
    <row r="115" spans="5:13" ht="14.25" customHeight="1">
      <c r="E115" s="163"/>
      <c r="K115" s="152" t="s">
        <v>22579</v>
      </c>
    </row>
    <row r="116" spans="5:13" ht="14.25" customHeight="1">
      <c r="L116" s="185">
        <f>L114-0.1</f>
        <v>1.1969624999999997</v>
      </c>
      <c r="M116" s="152">
        <v>0</v>
      </c>
    </row>
    <row r="117" spans="5:13" ht="14.25" customHeight="1">
      <c r="L117" s="185">
        <f>L116</f>
        <v>1.1969624999999997</v>
      </c>
      <c r="M117" s="185">
        <f>Kalk3_Eingabe!C24</f>
        <v>2.5000000000000001E-2</v>
      </c>
    </row>
    <row r="118" spans="5:13" ht="14.25" customHeight="1">
      <c r="L118" s="185">
        <f>L117-0.05</f>
        <v>1.1469624999999997</v>
      </c>
      <c r="M118" s="185">
        <f>M117</f>
        <v>2.5000000000000001E-2</v>
      </c>
    </row>
    <row r="119" spans="5:13" ht="14.25" customHeight="1">
      <c r="L119" s="185">
        <f>L118</f>
        <v>1.1469624999999997</v>
      </c>
      <c r="M119" s="185">
        <f>M117-0.5</f>
        <v>-0.47499999999999998</v>
      </c>
    </row>
    <row r="120" spans="5:13" ht="14.25" customHeight="1">
      <c r="L120" s="185">
        <f>L117</f>
        <v>1.1969624999999997</v>
      </c>
      <c r="M120" s="185">
        <f>M119</f>
        <v>-0.47499999999999998</v>
      </c>
    </row>
    <row r="121" spans="5:13" ht="14.25" customHeight="1"/>
    <row r="122" spans="5:13" ht="14.25" customHeight="1"/>
    <row r="123" spans="5:13" ht="14.25" customHeight="1"/>
    <row r="124" spans="5:13" ht="14.25" customHeight="1"/>
    <row r="125" spans="5:13" ht="14.25" customHeight="1"/>
    <row r="126" spans="5:13" ht="14.25" customHeight="1"/>
    <row r="127" spans="5:13" ht="14.25" customHeight="1"/>
    <row r="128" spans="5:13"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sheetData>
  <mergeCells count="7">
    <mergeCell ref="Z44:AC44"/>
    <mergeCell ref="B1:C1"/>
    <mergeCell ref="C4:E4"/>
    <mergeCell ref="C5:E5"/>
    <mergeCell ref="N44:Q44"/>
    <mergeCell ref="R44:U44"/>
    <mergeCell ref="V44:Y44"/>
  </mergeCells>
  <pageMargins left="0.39370078740157483" right="0.39370078740157483" top="0.39370078740157483" bottom="0.39370078740157483" header="0.31496062992125984" footer="0.31496062992125984"/>
  <pageSetup paperSize="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E89CD-A3DF-4A9F-BCCD-45BD560CDAE0}">
  <sheetPr codeName="Tabelle50"/>
  <dimension ref="A1:R584"/>
  <sheetViews>
    <sheetView workbookViewId="0"/>
  </sheetViews>
  <sheetFormatPr baseColWidth="10" defaultColWidth="11.42578125" defaultRowHeight="12.75"/>
  <cols>
    <col min="1" max="1" width="4.28515625" style="152" customWidth="1"/>
    <col min="2" max="2" width="43.7109375" style="152" customWidth="1"/>
    <col min="3" max="3" width="20.7109375" style="152" customWidth="1"/>
    <col min="4" max="8" width="15.7109375" style="152" customWidth="1"/>
    <col min="9" max="9" width="6" style="152" customWidth="1"/>
    <col min="10" max="10" width="8.7109375" style="152" bestFit="1" customWidth="1"/>
    <col min="11" max="16384" width="11.42578125" style="152"/>
  </cols>
  <sheetData>
    <row r="1" spans="1:18" ht="42" customHeight="1">
      <c r="A1" s="148"/>
      <c r="B1" s="546"/>
      <c r="C1" s="546"/>
      <c r="D1" s="150"/>
      <c r="E1" s="151"/>
      <c r="F1" s="150"/>
      <c r="G1" s="150"/>
      <c r="H1" s="150"/>
      <c r="I1" s="150"/>
    </row>
    <row r="2" spans="1:18" ht="16.5" customHeight="1">
      <c r="A2" s="148"/>
      <c r="B2" s="149"/>
      <c r="C2" s="149"/>
      <c r="D2" s="150"/>
      <c r="E2" s="151"/>
      <c r="F2" s="153" t="s">
        <v>22309</v>
      </c>
      <c r="G2" s="154"/>
      <c r="H2" s="153" t="s">
        <v>22310</v>
      </c>
      <c r="I2" s="154" t="s">
        <v>22311</v>
      </c>
    </row>
    <row r="3" spans="1:18" ht="16.5" customHeight="1">
      <c r="A3" s="148"/>
      <c r="B3" s="155"/>
      <c r="C3" s="148"/>
      <c r="D3" s="150"/>
      <c r="E3" s="151"/>
      <c r="F3" s="156" t="s">
        <v>3225</v>
      </c>
      <c r="G3" s="157">
        <v>44894</v>
      </c>
      <c r="H3" s="156" t="s">
        <v>22312</v>
      </c>
      <c r="I3" s="158" t="s">
        <v>22313</v>
      </c>
      <c r="N3" s="159" t="s">
        <v>22314</v>
      </c>
      <c r="O3" s="159" t="s">
        <v>22315</v>
      </c>
    </row>
    <row r="4" spans="1:18" ht="16.5" customHeight="1">
      <c r="A4" s="148"/>
      <c r="B4" s="160" t="s">
        <v>22316</v>
      </c>
      <c r="C4" s="547" t="s">
        <v>22289</v>
      </c>
      <c r="D4" s="547"/>
      <c r="E4" s="548"/>
      <c r="F4" s="150"/>
      <c r="G4" s="150"/>
      <c r="H4" s="151"/>
      <c r="I4" s="148"/>
      <c r="N4" s="161" t="s">
        <v>22317</v>
      </c>
      <c r="O4" s="161" t="s">
        <v>22317</v>
      </c>
      <c r="Q4" s="162" t="s">
        <v>22314</v>
      </c>
      <c r="R4" s="163" t="s">
        <v>22318</v>
      </c>
    </row>
    <row r="5" spans="1:18" ht="16.5" customHeight="1">
      <c r="A5" s="148"/>
      <c r="B5" s="164" t="s">
        <v>22319</v>
      </c>
      <c r="C5" s="549" t="s">
        <v>22320</v>
      </c>
      <c r="D5" s="549"/>
      <c r="E5" s="550"/>
      <c r="F5" s="150"/>
      <c r="G5" s="150"/>
      <c r="H5" s="151"/>
      <c r="I5" s="148"/>
      <c r="L5" s="165" t="s">
        <v>22321</v>
      </c>
      <c r="M5" s="166" t="s">
        <v>22322</v>
      </c>
      <c r="N5" s="167">
        <v>15</v>
      </c>
      <c r="O5" s="167">
        <v>16</v>
      </c>
      <c r="Q5" s="162" t="s">
        <v>22315</v>
      </c>
      <c r="R5" s="163" t="s">
        <v>22323</v>
      </c>
    </row>
    <row r="6" spans="1:18" ht="16.5" customHeight="1">
      <c r="A6" s="148"/>
      <c r="B6" s="148"/>
      <c r="C6" s="148"/>
      <c r="D6" s="168"/>
      <c r="E6" s="168"/>
      <c r="F6" s="148"/>
      <c r="G6" s="148"/>
      <c r="H6" s="148"/>
      <c r="I6" s="148"/>
      <c r="L6" s="165" t="s">
        <v>22324</v>
      </c>
      <c r="M6" s="166" t="s">
        <v>22325</v>
      </c>
      <c r="N6" s="167">
        <v>20</v>
      </c>
      <c r="O6" s="167">
        <v>21</v>
      </c>
    </row>
    <row r="7" spans="1:18" ht="16.5" customHeight="1">
      <c r="A7" s="148"/>
      <c r="B7" s="169" t="s">
        <v>22326</v>
      </c>
      <c r="C7" s="148"/>
      <c r="D7" s="168"/>
      <c r="E7" s="168"/>
      <c r="F7" s="148"/>
      <c r="G7" s="148"/>
      <c r="H7" s="148"/>
      <c r="I7" s="148"/>
      <c r="L7" s="165" t="s">
        <v>22593</v>
      </c>
      <c r="M7" s="166" t="s">
        <v>22594</v>
      </c>
      <c r="N7" s="167">
        <v>20</v>
      </c>
      <c r="O7" s="167">
        <v>21</v>
      </c>
    </row>
    <row r="8" spans="1:18" ht="16.5" customHeight="1">
      <c r="A8" s="148"/>
      <c r="B8" s="170"/>
      <c r="C8" s="148"/>
      <c r="D8" s="168"/>
      <c r="E8" s="168"/>
      <c r="F8" s="148"/>
      <c r="G8" s="148"/>
      <c r="H8" s="148"/>
      <c r="I8" s="148"/>
      <c r="L8" s="165" t="s">
        <v>22614</v>
      </c>
      <c r="M8" s="166" t="s">
        <v>22615</v>
      </c>
      <c r="N8" s="167">
        <v>20.2</v>
      </c>
      <c r="O8" s="167">
        <v>22.9</v>
      </c>
    </row>
    <row r="9" spans="1:18" ht="14.25" customHeight="1">
      <c r="A9" s="148"/>
      <c r="B9" s="148"/>
      <c r="C9" s="148"/>
      <c r="D9" s="168"/>
      <c r="E9" s="168"/>
      <c r="F9" s="148"/>
      <c r="G9" s="148"/>
      <c r="H9" s="148"/>
      <c r="I9" s="148"/>
    </row>
    <row r="10" spans="1:18" ht="14.25" customHeight="1">
      <c r="A10" s="171" t="s">
        <v>22327</v>
      </c>
      <c r="B10" s="172" t="s">
        <v>22328</v>
      </c>
      <c r="C10" s="148"/>
      <c r="D10" s="168"/>
      <c r="E10" s="168"/>
      <c r="F10" s="148"/>
      <c r="G10" s="148"/>
      <c r="H10" s="148"/>
      <c r="I10" s="148"/>
    </row>
    <row r="11" spans="1:18" ht="14.25" customHeight="1">
      <c r="A11" s="148"/>
      <c r="B11" s="173"/>
      <c r="C11" s="174" t="s">
        <v>22329</v>
      </c>
      <c r="D11" s="168"/>
      <c r="E11" s="168"/>
      <c r="F11" s="148"/>
      <c r="G11" s="148"/>
      <c r="H11" s="148"/>
      <c r="I11" s="148"/>
    </row>
    <row r="12" spans="1:18" ht="14.25" customHeight="1">
      <c r="A12" s="148"/>
      <c r="B12" s="175" t="s">
        <v>22330</v>
      </c>
      <c r="C12" s="176">
        <f>Haftungsausschluß!L31/100</f>
        <v>10</v>
      </c>
      <c r="D12" s="168" t="s">
        <v>19775</v>
      </c>
      <c r="E12" s="163" t="s">
        <v>22331</v>
      </c>
      <c r="F12" s="177"/>
      <c r="G12" s="148"/>
      <c r="H12" s="148"/>
      <c r="I12" s="148"/>
    </row>
    <row r="13" spans="1:18" ht="14.25" customHeight="1">
      <c r="A13" s="148"/>
      <c r="B13" s="175" t="s">
        <v>22332</v>
      </c>
      <c r="C13" s="176">
        <f>Haftungsausschluß!L32</f>
        <v>4</v>
      </c>
      <c r="D13" s="168" t="s">
        <v>19893</v>
      </c>
      <c r="E13" s="163" t="s">
        <v>22333</v>
      </c>
      <c r="F13" s="177"/>
      <c r="G13" s="148"/>
      <c r="H13" s="148"/>
      <c r="I13" s="148"/>
    </row>
    <row r="14" spans="1:18" ht="14.25" customHeight="1">
      <c r="A14" s="148"/>
      <c r="B14" s="175" t="s">
        <v>22334</v>
      </c>
      <c r="C14" s="176">
        <f>Haftungsausschluß!L33</f>
        <v>0.4</v>
      </c>
      <c r="D14" s="168" t="s">
        <v>20987</v>
      </c>
      <c r="E14" s="163" t="s">
        <v>22335</v>
      </c>
      <c r="F14" s="177"/>
      <c r="G14" s="148"/>
      <c r="H14" s="148"/>
      <c r="I14" s="148"/>
    </row>
    <row r="15" spans="1:18" ht="14.25" customHeight="1">
      <c r="A15" s="148"/>
      <c r="B15" s="175" t="s">
        <v>22336</v>
      </c>
      <c r="C15" s="176">
        <f>Kalk4!H32</f>
        <v>0</v>
      </c>
      <c r="D15" s="168" t="s">
        <v>22337</v>
      </c>
      <c r="E15" s="163" t="s">
        <v>22338</v>
      </c>
      <c r="F15" s="177"/>
      <c r="G15" s="148"/>
      <c r="H15" s="148"/>
      <c r="I15" s="148"/>
    </row>
    <row r="16" spans="1:18" ht="5.0999999999999996" customHeight="1">
      <c r="F16" s="178"/>
      <c r="H16" s="148"/>
      <c r="I16" s="148"/>
    </row>
    <row r="17" spans="1:11" ht="14.25" customHeight="1">
      <c r="A17" s="179" t="s">
        <v>22339</v>
      </c>
      <c r="B17" s="180" t="s">
        <v>22340</v>
      </c>
      <c r="F17" s="178"/>
      <c r="G17" s="181"/>
      <c r="H17" s="148" t="s">
        <v>22347</v>
      </c>
      <c r="I17" s="148"/>
    </row>
    <row r="18" spans="1:11" ht="14.25" customHeight="1">
      <c r="A18" s="148"/>
      <c r="B18" s="182" t="s">
        <v>22341</v>
      </c>
      <c r="C18" s="176">
        <f>Kalk4!H29/1000</f>
        <v>0</v>
      </c>
      <c r="D18" s="168" t="s">
        <v>6945</v>
      </c>
      <c r="E18" s="183" t="s">
        <v>22342</v>
      </c>
      <c r="F18" s="177"/>
      <c r="G18" s="148"/>
      <c r="H18" s="148" t="s">
        <v>22602</v>
      </c>
      <c r="I18" s="148"/>
      <c r="K18" s="152" t="str">
        <f>IF(AND(OR(Kalk4!AA19=2,Kalk4!AA19=3),Kalk4!AA20=1),H17,IF(AND(Kalk4!AA19=4,Kalk4!AA20=1),H18,IF(AND(Kalk4!AA19=4,Kalk4!AA20=2),H19,H17)))</f>
        <v>System 50</v>
      </c>
    </row>
    <row r="19" spans="1:11" ht="14.25" customHeight="1">
      <c r="B19" s="182" t="s">
        <v>22343</v>
      </c>
      <c r="C19" s="176">
        <f>Kalk4!AH38/1000</f>
        <v>0</v>
      </c>
      <c r="D19" s="168" t="s">
        <v>6945</v>
      </c>
      <c r="E19" s="163" t="s">
        <v>22344</v>
      </c>
      <c r="H19" s="152" t="s">
        <v>22595</v>
      </c>
    </row>
    <row r="20" spans="1:11" ht="14.25" customHeight="1">
      <c r="B20" s="175" t="s">
        <v>22345</v>
      </c>
      <c r="C20" s="176">
        <f>Kalk4!H31/1000</f>
        <v>0</v>
      </c>
      <c r="D20" s="168" t="s">
        <v>6945</v>
      </c>
      <c r="E20" s="183" t="s">
        <v>21854</v>
      </c>
    </row>
    <row r="21" spans="1:11" ht="14.25" customHeight="1">
      <c r="B21" s="175" t="s">
        <v>22346</v>
      </c>
      <c r="C21" s="261" t="str">
        <f>K18</f>
        <v>System 50</v>
      </c>
      <c r="D21" s="168"/>
      <c r="E21" s="183"/>
      <c r="H21" s="152" t="s">
        <v>21827</v>
      </c>
    </row>
    <row r="22" spans="1:11" ht="14.25" customHeight="1">
      <c r="B22" s="175" t="s">
        <v>18752</v>
      </c>
      <c r="C22" s="261" t="str">
        <f>K23</f>
        <v>50/200</v>
      </c>
      <c r="D22" s="168"/>
      <c r="E22" s="183"/>
      <c r="H22" s="152" t="s">
        <v>21828</v>
      </c>
    </row>
    <row r="23" spans="1:11" ht="14.25" customHeight="1">
      <c r="B23" s="175" t="s">
        <v>22348</v>
      </c>
      <c r="C23" s="184" t="s">
        <v>22349</v>
      </c>
      <c r="D23" s="168"/>
      <c r="E23" s="183" t="s">
        <v>22350</v>
      </c>
      <c r="H23" s="152" t="s">
        <v>21829</v>
      </c>
      <c r="K23" s="152" t="str">
        <f>IF(Kalk4!AA19=1,H21,IF(Kalk4!AA19=2,H22,IF(Kalk4!AA19=3,H23,IF(Kalk4!AA19=4,H24,0))))</f>
        <v>50/200</v>
      </c>
    </row>
    <row r="24" spans="1:11" ht="14.25" customHeight="1">
      <c r="B24" s="175" t="s">
        <v>22351</v>
      </c>
      <c r="C24" s="185">
        <f>IF(C22="50/150",'Kalk4_DB_50-150'!C16,IF(C22="50/200",'Kalk4_DB_50-200'!C16,IF(C22="80/200",'Kalk4_DB_50-200'!C16,IF(C22="25/200",'Kalk4_DB_25-200'!C16))))</f>
        <v>2.5000000000000001E-2</v>
      </c>
      <c r="D24" s="168" t="s">
        <v>6945</v>
      </c>
      <c r="E24" s="183" t="s">
        <v>22352</v>
      </c>
      <c r="H24" s="152" t="s">
        <v>21830</v>
      </c>
    </row>
    <row r="25" spans="1:11" ht="5.0999999999999996" customHeight="1">
      <c r="D25" s="168"/>
    </row>
    <row r="26" spans="1:11" ht="14.25" customHeight="1">
      <c r="A26" s="171" t="s">
        <v>22353</v>
      </c>
      <c r="B26" s="172" t="s">
        <v>22354</v>
      </c>
      <c r="D26" s="168"/>
    </row>
    <row r="27" spans="1:11" ht="14.25" customHeight="1">
      <c r="A27" s="179" t="s">
        <v>22355</v>
      </c>
      <c r="B27" s="180" t="s">
        <v>22356</v>
      </c>
      <c r="D27" s="168"/>
    </row>
    <row r="28" spans="1:11" ht="14.25" customHeight="1">
      <c r="B28" s="165" t="s">
        <v>22357</v>
      </c>
      <c r="C28" s="185">
        <f>C18*C12</f>
        <v>0</v>
      </c>
      <c r="D28" s="168" t="s">
        <v>22358</v>
      </c>
      <c r="E28" s="163" t="s">
        <v>22359</v>
      </c>
    </row>
    <row r="29" spans="1:11" ht="14.25" customHeight="1">
      <c r="B29" s="165" t="s">
        <v>22360</v>
      </c>
      <c r="C29" s="185">
        <f>C24*C12</f>
        <v>0.25</v>
      </c>
      <c r="D29" s="168" t="s">
        <v>22358</v>
      </c>
      <c r="E29" s="163" t="s">
        <v>22361</v>
      </c>
    </row>
    <row r="30" spans="1:11" ht="5.0999999999999996" customHeight="1">
      <c r="B30" s="165"/>
      <c r="C30" s="185"/>
      <c r="D30" s="168"/>
      <c r="E30" s="163"/>
    </row>
    <row r="31" spans="1:11" ht="14.25" customHeight="1">
      <c r="A31" s="179" t="s">
        <v>22362</v>
      </c>
      <c r="B31" s="180" t="s">
        <v>22363</v>
      </c>
      <c r="D31" s="168"/>
      <c r="E31" s="163"/>
      <c r="H31" s="186"/>
    </row>
    <row r="32" spans="1:11" ht="14.25" customHeight="1">
      <c r="B32" s="165" t="s">
        <v>22364</v>
      </c>
      <c r="C32" s="185">
        <f>C12*100*(C13*SIN(RADIANS(C15)))^2/1000</f>
        <v>0</v>
      </c>
      <c r="D32" s="168" t="s">
        <v>22358</v>
      </c>
      <c r="E32" s="163" t="s">
        <v>22365</v>
      </c>
      <c r="H32" s="186"/>
    </row>
    <row r="33" spans="1:8" ht="5.0999999999999996" customHeight="1">
      <c r="B33" s="165"/>
      <c r="C33" s="185"/>
      <c r="D33" s="168"/>
      <c r="E33" s="163"/>
    </row>
    <row r="34" spans="1:8" ht="14.25" customHeight="1">
      <c r="A34" s="179" t="s">
        <v>22366</v>
      </c>
      <c r="B34" s="180" t="s">
        <v>22367</v>
      </c>
      <c r="C34" s="185"/>
      <c r="D34" s="168"/>
      <c r="E34" s="163"/>
      <c r="H34" s="186"/>
    </row>
    <row r="35" spans="1:8" ht="14.25" customHeight="1">
      <c r="B35" s="165" t="s">
        <v>22368</v>
      </c>
      <c r="C35" s="185" t="e">
        <f>1/(((C18*100)^3/(3*Kalk4_Sys_50!C18*Kalk4_Eingabe!C38)/2)+(Kalk4_Eingabe!C19*100)^3/(48*Kalk4_Sys_50!C18*Kalk4_Eingabe!C36))</f>
        <v>#DIV/0!</v>
      </c>
      <c r="D35" s="168" t="s">
        <v>22369</v>
      </c>
      <c r="E35" s="163" t="s">
        <v>22370</v>
      </c>
    </row>
    <row r="36" spans="1:8" ht="14.25" customHeight="1">
      <c r="B36" s="165" t="s">
        <v>22371</v>
      </c>
      <c r="C36" s="185">
        <f>IF(C22="50/150",'Kalk4_DB_50-150'!C12,IF(Kalk4_Eingabe!C22="50/200",'Kalk4_DB_50-200'!C12,IF(Kalk4_Eingabe!C22="80/200",'Kalk4_DB_80-200'!C12,IF(Kalk4_Eingabe!C22="25/200",'Kalk4_DB_25-200'!C12))))</f>
        <v>62.14</v>
      </c>
      <c r="D36" s="151" t="s">
        <v>22372</v>
      </c>
      <c r="E36" s="163" t="s">
        <v>22373</v>
      </c>
    </row>
    <row r="37" spans="1:8" ht="14.25" customHeight="1">
      <c r="B37" s="165" t="s">
        <v>22374</v>
      </c>
      <c r="C37" s="185" t="e">
        <f>3*Kalk4_Sys_50!C18*Kalk4_Eingabe!C38/(Kalk4_Eingabe!C18*100)^3</f>
        <v>#DIV/0!</v>
      </c>
      <c r="D37" s="168" t="s">
        <v>22369</v>
      </c>
      <c r="E37" s="163" t="s">
        <v>22375</v>
      </c>
    </row>
    <row r="38" spans="1:8" ht="14.25" customHeight="1">
      <c r="B38" s="165" t="s">
        <v>22376</v>
      </c>
      <c r="C38" s="185">
        <f>IF(C21="System 50",Kalk4_Sys_50!C13,IF(C21="System 80 (Klein)",Kalk4_Sys_80k!C13,IF(Kalk4_Eingabe!C21="System 80 (Gross)",Kalk4_Sys_80g!C13)))</f>
        <v>723.81</v>
      </c>
      <c r="D38" s="151" t="s">
        <v>22372</v>
      </c>
      <c r="E38" s="163" t="s">
        <v>22377</v>
      </c>
    </row>
    <row r="39" spans="1:8" ht="14.25" customHeight="1">
      <c r="B39" s="165" t="s">
        <v>22378</v>
      </c>
      <c r="C39" s="185" t="e">
        <f>C13*SIN(RADIANS(C15))*(C14*C35*100)^0.5</f>
        <v>#DIV/0!</v>
      </c>
      <c r="D39" s="168" t="s">
        <v>22379</v>
      </c>
      <c r="E39" s="163" t="s">
        <v>22380</v>
      </c>
      <c r="H39" s="185"/>
    </row>
    <row r="40" spans="1:8" ht="14.25" customHeight="1">
      <c r="B40" s="165" t="s">
        <v>22381</v>
      </c>
      <c r="C40" s="185" t="e">
        <f>C13*SIN(RADIANS(C15))*(C14*(C37*100))^0.5</f>
        <v>#DIV/0!</v>
      </c>
      <c r="D40" s="168" t="s">
        <v>22379</v>
      </c>
      <c r="E40" s="163" t="s">
        <v>22382</v>
      </c>
    </row>
    <row r="41" spans="1:8" ht="14.25" customHeight="1">
      <c r="B41" s="165" t="s">
        <v>22383</v>
      </c>
      <c r="C41" s="152">
        <f>Kalk4_Lastfallkombi!P99</f>
        <v>0</v>
      </c>
      <c r="E41" s="163" t="s">
        <v>22384</v>
      </c>
    </row>
    <row r="42" spans="1:8" ht="5.0999999999999996" customHeight="1">
      <c r="B42" s="165"/>
      <c r="C42" s="185"/>
      <c r="D42" s="168"/>
      <c r="E42" s="163"/>
    </row>
    <row r="43" spans="1:8" ht="14.25" customHeight="1">
      <c r="A43" s="179" t="s">
        <v>22385</v>
      </c>
      <c r="B43" s="180" t="s">
        <v>22386</v>
      </c>
      <c r="C43" s="185"/>
      <c r="D43" s="168"/>
      <c r="E43" s="163"/>
    </row>
    <row r="44" spans="1:8" ht="14.25" customHeight="1">
      <c r="B44" s="165" t="s">
        <v>22387</v>
      </c>
      <c r="C44" s="185">
        <f>1/((((C24-0.25)*100)^3/(3*Kalk4_Sys_50!C18*Kalk4_Eingabe!C38)/2)+(Kalk4_Eingabe!C19*100)^3/(48*Kalk4_Sys_50!C18*Kalk4_Eingabe!C36))</f>
        <v>-2668.8632098765429</v>
      </c>
      <c r="D44" s="168" t="s">
        <v>22369</v>
      </c>
      <c r="E44" s="163" t="s">
        <v>22370</v>
      </c>
    </row>
    <row r="45" spans="1:8" ht="14.25" customHeight="1">
      <c r="B45" s="165" t="s">
        <v>22388</v>
      </c>
      <c r="C45" s="185">
        <f>3*Kalk4_Sys_50!C18*Kalk4_Eingabe!C38/((Kalk4_Eingabe!C24-0.25)*100)^3</f>
        <v>-1334.4316049382714</v>
      </c>
      <c r="D45" s="168" t="s">
        <v>22369</v>
      </c>
      <c r="E45" s="163" t="s">
        <v>22375</v>
      </c>
    </row>
    <row r="46" spans="1:8" ht="14.25" customHeight="1">
      <c r="B46" s="165" t="s">
        <v>22378</v>
      </c>
      <c r="C46" s="185" t="e">
        <f>C13*SIN(RADIANS(C15))*(C14*C44*100)^0.5</f>
        <v>#NUM!</v>
      </c>
      <c r="D46" s="168" t="s">
        <v>22379</v>
      </c>
      <c r="E46" s="163" t="s">
        <v>22380</v>
      </c>
    </row>
    <row r="47" spans="1:8" ht="14.25" customHeight="1">
      <c r="B47" s="165" t="s">
        <v>22381</v>
      </c>
      <c r="C47" s="185" t="e">
        <f>C13*SIN(RADIANS(C15))*(C14*(C45*100))^0.5</f>
        <v>#NUM!</v>
      </c>
      <c r="D47" s="168" t="s">
        <v>22379</v>
      </c>
      <c r="E47" s="163" t="s">
        <v>22382</v>
      </c>
    </row>
    <row r="48" spans="1:8" ht="14.25" customHeight="1">
      <c r="B48" s="165" t="s">
        <v>22389</v>
      </c>
      <c r="C48" s="152">
        <f>ROUNDUP(50/Kalk4_Lastfallkombi!C14,0)</f>
        <v>3</v>
      </c>
      <c r="E48" s="163" t="s">
        <v>22384</v>
      </c>
    </row>
    <row r="49" spans="7:11" ht="14.25" customHeight="1"/>
    <row r="50" spans="7:11" ht="14.25" customHeight="1"/>
    <row r="51" spans="7:11" ht="14.25" customHeight="1"/>
    <row r="52" spans="7:11" ht="14.25" customHeight="1"/>
    <row r="53" spans="7:11" ht="14.25" customHeight="1">
      <c r="G53" s="545" t="s">
        <v>22591</v>
      </c>
      <c r="H53" s="545"/>
      <c r="I53" s="545"/>
      <c r="J53" s="545"/>
    </row>
    <row r="54" spans="7:11" ht="14.25" customHeight="1">
      <c r="G54" s="545" t="s">
        <v>21042</v>
      </c>
      <c r="H54" s="545"/>
      <c r="I54" s="443" t="e">
        <f>IF(C22=H24,MAX('Kalk4_DB_80-200'!C33,'Kalk4_DB_80-200'!C41),IF(C22=H23,MAX('Kalk4_DB_50-200'!C33,'Kalk4_DB_50-200'!C41),IF(C22=H22,MAX('Kalk4_DB_50-150'!C33,'Kalk4_DB_50-150'!C41),IF(C22=H21,MAX('Kalk4_DB_25-200'!C33,'Kalk4_DB_25-200'!C41),0))))</f>
        <v>#DIV/0!</v>
      </c>
      <c r="J54" s="443"/>
    </row>
    <row r="55" spans="7:11" ht="14.25" customHeight="1">
      <c r="G55" s="545" t="s">
        <v>19090</v>
      </c>
      <c r="H55" s="545"/>
      <c r="I55" s="260" t="s">
        <v>22590</v>
      </c>
      <c r="J55" s="252">
        <f>IF(C22=H24,Haftungsausschluß!L34/'Kalk4_DB_80-200'!C48,IF(C22=H23,Haftungsausschluß!L34/'Kalk4_DB_50-200'!C48,IF(C22=H22,Haftungsausschluß!L34/'Kalk4_DB_50-150'!C48,IF(C22=H21,Haftungsausschluß!L34/'Kalk4_DB_25-200'!C48,0))))</f>
        <v>176753777.77777779</v>
      </c>
      <c r="K55" s="259"/>
    </row>
    <row r="56" spans="7:11" ht="14.25" customHeight="1">
      <c r="G56" s="545" t="s">
        <v>19950</v>
      </c>
      <c r="H56" s="545"/>
      <c r="I56" s="443" t="e">
        <f>IF(C22=H24,'Kalk4_DB_80-200'!C57,IF(C22=H23,'Kalk4_DB_50-200'!C57,IF(C22=H22,'Kalk4_DB_50-150'!C57,IF(C22=H21,'Kalk4_DB_25-200'!C57,0))))</f>
        <v>#DIV/0!</v>
      </c>
      <c r="J56" s="443"/>
    </row>
    <row r="57" spans="7:11" ht="14.25" customHeight="1">
      <c r="H57" s="165"/>
      <c r="I57" s="257"/>
      <c r="J57" s="258"/>
    </row>
    <row r="58" spans="7:11" ht="14.25" customHeight="1">
      <c r="G58" s="545" t="s">
        <v>22589</v>
      </c>
      <c r="H58" s="545"/>
      <c r="I58" s="545"/>
      <c r="J58" s="545"/>
    </row>
    <row r="59" spans="7:11" ht="14.25" customHeight="1">
      <c r="G59" s="545" t="s">
        <v>21042</v>
      </c>
      <c r="H59" s="545"/>
      <c r="I59" s="443" t="e">
        <f>IF(C21=H18,MAX(Kalk4_Sys_80k!C42,Kalk4_Sys_80k!C51),IF(C21=H19,MAX(Kalk4_Sys_80g!C42,Kalk4_Sys_80g!C51),IF(C21=H17,MAX(Kalk4_Sys_50!C42,Kalk4_Sys_50!C51),0)))</f>
        <v>#NUM!</v>
      </c>
      <c r="J59" s="443"/>
    </row>
    <row r="60" spans="7:11" ht="14.25" customHeight="1">
      <c r="G60" s="545" t="s">
        <v>19090</v>
      </c>
      <c r="H60" s="545"/>
      <c r="I60" s="260" t="s">
        <v>22590</v>
      </c>
      <c r="J60" s="252" t="e">
        <f>IF(C21=H18,Haftungsausschluß!L34/Kalk4_Sys_80k!C70,IF(C21=H19,Haftungsausschluß!L34/Kalk4_Sys_80g!C70,IF(C21=H17,Haftungsausschluß!L34/Kalk4_Sys_50!C70,0)))</f>
        <v>#DIV/0!</v>
      </c>
      <c r="K60" s="259"/>
    </row>
    <row r="61" spans="7:11" ht="14.25" customHeight="1">
      <c r="G61" s="545" t="s">
        <v>19950</v>
      </c>
      <c r="H61" s="545"/>
      <c r="I61" s="443" t="e">
        <f>IF(C21=H18,MAX(Kalk4_Sys_80k!C41,Kalk4_Sys_80k!C50),IF(C21=H19,MAX(Kalk4_Sys_80g!C41,Kalk4_Sys_80g!C50),IF(C21=H17,MAX(Kalk4_Sys_50!C41,Kalk4_Sys_50!C50),0)))</f>
        <v>#NUM!</v>
      </c>
      <c r="J61" s="443"/>
    </row>
    <row r="62" spans="7:11" ht="14.25" customHeight="1"/>
    <row r="63" spans="7:11" ht="14.25" customHeight="1"/>
    <row r="64" spans="7: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sheetData>
  <mergeCells count="15">
    <mergeCell ref="G60:H60"/>
    <mergeCell ref="G61:H61"/>
    <mergeCell ref="I61:J61"/>
    <mergeCell ref="G55:H55"/>
    <mergeCell ref="G56:H56"/>
    <mergeCell ref="I56:J56"/>
    <mergeCell ref="G58:J58"/>
    <mergeCell ref="G59:H59"/>
    <mergeCell ref="I59:J59"/>
    <mergeCell ref="B1:C1"/>
    <mergeCell ref="C4:E4"/>
    <mergeCell ref="C5:E5"/>
    <mergeCell ref="G53:J53"/>
    <mergeCell ref="G54:H54"/>
    <mergeCell ref="I54:J54"/>
  </mergeCells>
  <dataValidations count="1">
    <dataValidation type="list" allowBlank="1" showInputMessage="1" showErrorMessage="1" sqref="C23" xr:uid="{66BAFE42-9327-4918-BF26-E391C5BA672A}">
      <formula1>"1/150,1/300"</formula1>
    </dataValidation>
  </dataValidations>
  <pageMargins left="0.7" right="0.7" top="0.78740157499999996" bottom="0.78740157499999996"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F843A-177E-4533-A0ED-AC03E3CF220F}">
  <sheetPr codeName="Tabelle51"/>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44894</v>
      </c>
      <c r="H3" s="156" t="s">
        <v>22312</v>
      </c>
      <c r="I3" s="158" t="s">
        <v>22313</v>
      </c>
    </row>
    <row r="4" spans="1:9" ht="16.5" customHeight="1">
      <c r="A4" s="148"/>
      <c r="B4" s="160" t="s">
        <v>22316</v>
      </c>
      <c r="C4" s="547" t="str">
        <f>Kalk4_Eingabe!C4</f>
        <v>PREFA</v>
      </c>
      <c r="D4" s="547"/>
      <c r="E4" s="548"/>
      <c r="F4" s="150"/>
      <c r="G4" s="150"/>
      <c r="H4" s="151"/>
      <c r="I4" s="148"/>
    </row>
    <row r="5" spans="1:9" ht="16.5" customHeight="1">
      <c r="A5" s="148"/>
      <c r="B5" s="164" t="s">
        <v>22319</v>
      </c>
      <c r="C5" s="549" t="str">
        <f>Kalk4_Eingabe!C5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22390</v>
      </c>
      <c r="C7" s="148"/>
      <c r="D7" s="168"/>
      <c r="E7" s="168"/>
      <c r="F7" s="148"/>
      <c r="G7" s="148"/>
      <c r="H7" s="148"/>
      <c r="I7" s="148"/>
    </row>
    <row r="8" spans="1:9" ht="16.5" customHeight="1">
      <c r="A8" s="148"/>
      <c r="B8" s="170" t="s">
        <v>22391</v>
      </c>
      <c r="C8" s="148"/>
      <c r="D8" s="168"/>
      <c r="E8" s="168"/>
      <c r="F8" s="148"/>
      <c r="G8" s="148"/>
      <c r="H8" s="148"/>
      <c r="I8" s="148"/>
    </row>
    <row r="9" spans="1:9" ht="14.25" customHeight="1">
      <c r="A9" s="148"/>
      <c r="B9" s="148"/>
      <c r="C9" s="148"/>
      <c r="D9" s="168"/>
      <c r="E9" s="168"/>
      <c r="F9" s="148"/>
      <c r="G9" s="148"/>
      <c r="H9" s="148"/>
      <c r="I9" s="148"/>
    </row>
    <row r="10" spans="1:9" ht="14.25" customHeight="1">
      <c r="A10" s="171" t="s">
        <v>22327</v>
      </c>
      <c r="B10" s="172" t="s">
        <v>22392</v>
      </c>
      <c r="C10" s="148"/>
      <c r="D10" s="168"/>
      <c r="E10" s="168"/>
      <c r="F10" s="148"/>
      <c r="G10" s="148"/>
      <c r="H10" s="148"/>
      <c r="I10" s="148"/>
    </row>
    <row r="11" spans="1:9" ht="14.25" customHeight="1">
      <c r="A11" s="148"/>
      <c r="B11" s="175" t="s">
        <v>22393</v>
      </c>
      <c r="C11" s="187">
        <v>38.46</v>
      </c>
      <c r="D11" s="168" t="s">
        <v>22394</v>
      </c>
      <c r="E11" s="163" t="s">
        <v>22395</v>
      </c>
      <c r="F11" s="177"/>
      <c r="G11" s="148"/>
      <c r="H11" s="148"/>
      <c r="I11" s="148"/>
    </row>
    <row r="12" spans="1:9" ht="14.25" customHeight="1">
      <c r="A12" s="148"/>
      <c r="B12" s="175" t="s">
        <v>22396</v>
      </c>
      <c r="C12" s="187">
        <v>7.13</v>
      </c>
      <c r="D12" s="151" t="s">
        <v>22394</v>
      </c>
      <c r="E12" s="163" t="s">
        <v>22397</v>
      </c>
      <c r="F12" s="177"/>
      <c r="G12" s="148"/>
      <c r="H12" s="148"/>
      <c r="I12" s="148"/>
    </row>
    <row r="13" spans="1:9" ht="14.25" customHeight="1">
      <c r="A13" s="179"/>
      <c r="B13" s="175" t="s">
        <v>22398</v>
      </c>
      <c r="C13" s="187">
        <v>723.81</v>
      </c>
      <c r="D13" s="151" t="s">
        <v>22372</v>
      </c>
      <c r="E13" s="163" t="s">
        <v>22399</v>
      </c>
      <c r="F13" s="178"/>
      <c r="G13" s="181"/>
      <c r="H13" s="148"/>
      <c r="I13" s="148"/>
    </row>
    <row r="14" spans="1:9" ht="14.25" customHeight="1">
      <c r="A14" s="148"/>
      <c r="B14" s="162" t="s">
        <v>22400</v>
      </c>
      <c r="C14" s="187">
        <v>101.99</v>
      </c>
      <c r="D14" s="168" t="s">
        <v>22401</v>
      </c>
      <c r="E14" s="183" t="s">
        <v>22402</v>
      </c>
      <c r="F14" s="177"/>
      <c r="G14" s="148"/>
      <c r="H14" s="148"/>
      <c r="I14" s="148"/>
    </row>
    <row r="15" spans="1:9" ht="14.25" customHeight="1">
      <c r="B15" s="162" t="s">
        <v>22403</v>
      </c>
      <c r="C15" s="187">
        <v>150.66999999999999</v>
      </c>
      <c r="D15" s="168" t="s">
        <v>22401</v>
      </c>
      <c r="E15" s="183" t="s">
        <v>22404</v>
      </c>
    </row>
    <row r="16" spans="1:9"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20</v>
      </c>
      <c r="D19" s="168" t="s">
        <v>22408</v>
      </c>
      <c r="E19" s="183"/>
    </row>
    <row r="20" spans="1:18" ht="14.25" customHeight="1">
      <c r="B20" s="165" t="s">
        <v>22410</v>
      </c>
      <c r="C20" s="185">
        <v>24.5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Kalk4_Lastfallkombi!C31*Kalk4_Eingabe!C18/2*Kalk4_Eingabe!C19</f>
        <v>0</v>
      </c>
      <c r="D27" s="191">
        <f>Kalk4_Lastfallkombi!C19*Kalk4_Eingabe!C24/2*Kalk4_Eingabe!C19</f>
        <v>0</v>
      </c>
      <c r="E27" s="168" t="s">
        <v>22379</v>
      </c>
      <c r="F27" s="183" t="s">
        <v>22425</v>
      </c>
      <c r="O27" s="188" t="s">
        <v>22414</v>
      </c>
      <c r="P27" s="189"/>
      <c r="Q27" s="189"/>
      <c r="R27" s="190"/>
    </row>
    <row r="28" spans="1:18" ht="14.25" customHeight="1">
      <c r="B28" s="178" t="s">
        <v>22427</v>
      </c>
      <c r="C28" s="191">
        <f>Kalk4_Lastfallkombi!C31*Kalk4_Eingabe!C18/2*(Kalk4_Eingabe!C18/3+Kalk4_Sys_50!C25/100)*Kalk4_Eingabe!C19</f>
        <v>0</v>
      </c>
      <c r="D28" s="191">
        <f>Kalk4_Lastfallkombi!C19*Kalk4_Eingabe!C24/2*(Kalk4_Eingabe!C24/3+Kalk4_Sys_50!C25/100)*Kalk4_Eingabe!C19</f>
        <v>0</v>
      </c>
      <c r="E28" s="168" t="s">
        <v>22428</v>
      </c>
      <c r="F28" s="183" t="s">
        <v>22429</v>
      </c>
      <c r="O28" s="178" t="s">
        <v>22418</v>
      </c>
      <c r="P28" s="191">
        <f>(Kalk4_Lastfallkombi!C31*Kalk4_Eingabe!C18/2*(Kalk4_Eingabe!C18/3+Kalk4_Sys_50!C25/100)*Kalk4_Eingabe!C19)/(P26/100)</f>
        <v>0</v>
      </c>
      <c r="Q28" s="189"/>
      <c r="R28" s="168" t="s">
        <v>22379</v>
      </c>
    </row>
    <row r="29" spans="1:18" ht="14.25" customHeight="1">
      <c r="B29" s="178" t="s">
        <v>22431</v>
      </c>
      <c r="C29" s="191">
        <f>Kalk4_Lastfallkombi!C32*Kalk4_Eingabe!C18*Kalk4_Eingabe!C19</f>
        <v>0</v>
      </c>
      <c r="D29" s="191">
        <f>Kalk4_Lastfallkombi!C20*Kalk4_Eingabe!C24*Kalk4_Eingabe!C19</f>
        <v>0</v>
      </c>
      <c r="E29" s="168" t="s">
        <v>22379</v>
      </c>
      <c r="F29" s="183" t="s">
        <v>22432</v>
      </c>
      <c r="O29" s="178" t="s">
        <v>22421</v>
      </c>
      <c r="P29" s="191">
        <f>P28+C27</f>
        <v>0</v>
      </c>
      <c r="Q29" s="189"/>
      <c r="R29" s="168" t="s">
        <v>22379</v>
      </c>
    </row>
    <row r="30" spans="1:18" ht="14.25" customHeight="1">
      <c r="B30" s="178" t="s">
        <v>22434</v>
      </c>
      <c r="C30" s="191">
        <f>Kalk4_Lastfallkombi!C32*Kalk4_Eingabe!C18*(Kalk4_Eingabe!C18/2+C25/100)*Kalk4_Eingabe!C19</f>
        <v>0</v>
      </c>
      <c r="D30" s="191">
        <f>Kalk4_Lastfallkombi!C20*Kalk4_Eingabe!C24*(Kalk4_Eingabe!C24/2+C25/100)*Kalk4_Eingabe!C19</f>
        <v>0</v>
      </c>
      <c r="E30" s="168" t="s">
        <v>22428</v>
      </c>
      <c r="F30" s="183" t="s">
        <v>22435</v>
      </c>
      <c r="O30" s="178" t="s">
        <v>22423</v>
      </c>
      <c r="P30" s="191">
        <f>Kalk4_Lastfallkombi!C32*Kalk4_Eingabe!C18*Kalk4_Eingabe!C19/(P26/100)</f>
        <v>0</v>
      </c>
      <c r="Q30" s="189"/>
      <c r="R30" s="168" t="s">
        <v>22379</v>
      </c>
    </row>
    <row r="31" spans="1:18" ht="14.25" customHeight="1">
      <c r="B31" s="178" t="s">
        <v>22436</v>
      </c>
      <c r="C31" s="191" t="e">
        <f>Kalk4_Lastfallkombi!C40</f>
        <v>#DIV/0!</v>
      </c>
      <c r="D31" s="191" t="e">
        <f>Kalk4_Lastfallkombi!C28</f>
        <v>#NUM!</v>
      </c>
      <c r="E31" s="168" t="s">
        <v>22379</v>
      </c>
      <c r="F31" s="183" t="s">
        <v>22437</v>
      </c>
      <c r="O31" s="178" t="s">
        <v>22426</v>
      </c>
      <c r="P31" s="191">
        <f>P30+C29</f>
        <v>0</v>
      </c>
      <c r="Q31" s="189"/>
      <c r="R31" s="168" t="s">
        <v>22379</v>
      </c>
    </row>
    <row r="32" spans="1:18" ht="14.25" customHeight="1" thickBot="1">
      <c r="B32" s="178" t="s">
        <v>22438</v>
      </c>
      <c r="C32" s="191" t="e">
        <f>C31*(Kalk4_Eingabe!C18+C25/100)</f>
        <v>#DIV/0!</v>
      </c>
      <c r="D32" s="191" t="e">
        <f>D31*(Kalk4_Eingabe!C24-0.25+C25/100)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74.845589442218753</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1.4773016962447298</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19.990039999999997</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Kalk4_Lastfallkombi!D31*Kalk4_Eingabe!C19</f>
        <v>0</v>
      </c>
      <c r="D55" s="185">
        <f>Kalk4_Lastfallkombi!D19*Kalk4_Eingabe!C19</f>
        <v>0</v>
      </c>
      <c r="E55" s="168" t="s">
        <v>22469</v>
      </c>
    </row>
    <row r="56" spans="1:7" ht="14.25" customHeight="1">
      <c r="B56" s="178" t="s">
        <v>22470</v>
      </c>
      <c r="C56" s="185">
        <f>C55/100*(Kalk4_Eingabe!C18*100)^4/(30*Kalk4_Sys_50!C13*Kalk4_Sys_50!C18)</f>
        <v>0</v>
      </c>
      <c r="D56" s="185">
        <f>D55/100*(Kalk4_Eingabe!C24*100)^4/(30*Kalk4_Sys_50!C13*Kalk4_Sys_50!C18)</f>
        <v>0</v>
      </c>
      <c r="E56" s="168" t="s">
        <v>22416</v>
      </c>
    </row>
    <row r="57" spans="1:7" ht="14.25" customHeight="1">
      <c r="B57" s="178" t="s">
        <v>22471</v>
      </c>
      <c r="C57" s="185">
        <f>Kalk4_Lastfallkombi!D32*Kalk4_Eingabe!C19</f>
        <v>0</v>
      </c>
      <c r="D57" s="185">
        <f>Kalk4_Lastfallkombi!D20*Kalk4_Eingabe!C19</f>
        <v>0</v>
      </c>
      <c r="E57" s="168" t="s">
        <v>22469</v>
      </c>
    </row>
    <row r="58" spans="1:7" ht="14.25" customHeight="1">
      <c r="B58" s="178" t="s">
        <v>22472</v>
      </c>
      <c r="C58" s="185">
        <f>C57/100*(Kalk4_Eingabe!C18*100)^4/(8*Kalk4_Sys_50!C13*Kalk4_Sys_50!C18)</f>
        <v>0</v>
      </c>
      <c r="D58" s="185">
        <f>D57/100*(Kalk4_Eingabe!C24*100)^4/(8*Kalk4_Sys_50!C13*Kalk4_Sys_50!C18)</f>
        <v>0</v>
      </c>
      <c r="E58" s="168" t="s">
        <v>22416</v>
      </c>
      <c r="G58" s="185"/>
    </row>
    <row r="59" spans="1:7" ht="14.25" customHeight="1" thickBot="1">
      <c r="B59" s="178" t="s">
        <v>22473</v>
      </c>
      <c r="C59" s="185">
        <f>IF(Kalk4_Eingabe!C23="1/150",Kalk4_Eingabe!C18*100/150,IF(Kalk4_Eingabe!C23="1/300",Kalk4_Eingabe!C18*100/300))</f>
        <v>0</v>
      </c>
      <c r="D59" s="185">
        <f>IF(Kalk4_Eingabe!C23="1/150",Kalk4_Eingabe!C24*100/150,IF(Kalk4_Eingabe!C23="1/300",Kalk4_Eingabe!C24*100/300))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Kalk4_Lastfallkombi!D31*Kalk4_Eingabe!C19</f>
        <v>0</v>
      </c>
      <c r="D62" s="185">
        <f>Kalk4_Lastfallkombi!D19*Kalk4_Eingabe!C19</f>
        <v>0</v>
      </c>
      <c r="E62" s="168" t="s">
        <v>22469</v>
      </c>
    </row>
    <row r="63" spans="1:7" ht="14.25" customHeight="1">
      <c r="B63" s="178" t="s">
        <v>22470</v>
      </c>
      <c r="C63" s="185">
        <f>C62/100*(Kalk4_Eingabe!C18*100)^4/(30*Kalk4_Sys_50!C13*Kalk4_Sys_50!C18)</f>
        <v>0</v>
      </c>
      <c r="D63" s="185">
        <f>D62/100*(Kalk4_Eingabe!C24*100)^4/(30*Kalk4_Sys_50!C13*Kalk4_Sys_50!C18)</f>
        <v>0</v>
      </c>
      <c r="E63" s="168" t="s">
        <v>22416</v>
      </c>
    </row>
    <row r="64" spans="1:7" ht="14.25" customHeight="1">
      <c r="B64" s="178" t="s">
        <v>22471</v>
      </c>
      <c r="C64" s="185">
        <f>Kalk4_Lastfallkombi!D32*Kalk4_Eingabe!C19</f>
        <v>0</v>
      </c>
      <c r="D64" s="185">
        <f>Kalk4_Lastfallkombi!D20*Kalk4_Eingabe!C19</f>
        <v>0</v>
      </c>
      <c r="E64" s="168" t="s">
        <v>22469</v>
      </c>
    </row>
    <row r="65" spans="2:5" ht="14.25" customHeight="1">
      <c r="B65" s="178" t="s">
        <v>22472</v>
      </c>
      <c r="C65" s="185">
        <f>C64/100*(Kalk4_Eingabe!C18*100)^4/(8*Kalk4_Sys_50!C13*Kalk4_Sys_50!C18)</f>
        <v>0</v>
      </c>
      <c r="D65" s="185">
        <f>D64/100*(Kalk4_Eingabe!C24*100)^4/(8*Kalk4_Sys_50!C13*Kalk4_Sys_50!C18)</f>
        <v>0</v>
      </c>
      <c r="E65" s="168" t="s">
        <v>22416</v>
      </c>
    </row>
    <row r="66" spans="2:5" ht="14.25" customHeight="1">
      <c r="B66" s="165" t="s">
        <v>22476</v>
      </c>
      <c r="C66" s="185" t="e">
        <f>Kalk4_Lastfallkombi!D40</f>
        <v>#DIV/0!</v>
      </c>
      <c r="D66" s="185" t="e">
        <f>Kalk4_Lastfallkombi!D28</f>
        <v>#NUM!</v>
      </c>
      <c r="E66" s="168" t="s">
        <v>22379</v>
      </c>
    </row>
    <row r="67" spans="2:5" ht="14.25" customHeight="1">
      <c r="B67" s="165" t="s">
        <v>22477</v>
      </c>
      <c r="C67" s="185" t="e">
        <f>C66*(Kalk4_Eingabe!C18*100)^3/(3*Kalk4_Sys_50!C18*Kalk4_Sys_50!C13)</f>
        <v>#DIV/0!</v>
      </c>
      <c r="D67" s="185" t="e">
        <f>D66*((Kalk4_Eingabe!C24-0.25)*100)^3/(3*Kalk4_Sys_50!C18*Kalk4_Sys_50!C13)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Kalk4_Eingabe!C18*100/150</f>
        <v>0</v>
      </c>
      <c r="D69" s="185">
        <f>Kalk4_Eingabe!C24*100/150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55" priority="10" operator="greaterThan">
      <formula>1</formula>
    </cfRule>
    <cfRule type="dataBar" priority="11">
      <dataBar>
        <cfvo type="num" val="0"/>
        <cfvo type="num" val="0.99"/>
        <color rgb="FF638EC6"/>
      </dataBar>
      <extLst>
        <ext xmlns:x14="http://schemas.microsoft.com/office/spreadsheetml/2009/9/main" uri="{B025F937-C7B1-47D3-B67F-A62EFF666E3E}">
          <x14:id>{5E44EC35-1116-4A8E-9344-85D9D917BBB6}</x14:id>
        </ext>
      </extLst>
    </cfRule>
    <cfRule type="dataBar" priority="12">
      <dataBar>
        <cfvo type="num" val="0"/>
        <cfvo type="num" val="1"/>
        <color rgb="FF638EC6"/>
      </dataBar>
      <extLst>
        <ext xmlns:x14="http://schemas.microsoft.com/office/spreadsheetml/2009/9/main" uri="{B025F937-C7B1-47D3-B67F-A62EFF666E3E}">
          <x14:id>{8E17B731-ACD6-453F-B237-3609CB5CF98E}</x14:id>
        </ext>
      </extLst>
    </cfRule>
  </conditionalFormatting>
  <conditionalFormatting sqref="C50:C51">
    <cfRule type="cellIs" dxfId="54" priority="7" operator="greaterThan">
      <formula>1</formula>
    </cfRule>
    <cfRule type="dataBar" priority="8">
      <dataBar>
        <cfvo type="num" val="0"/>
        <cfvo type="num" val="0.99"/>
        <color rgb="FF638EC6"/>
      </dataBar>
      <extLst>
        <ext xmlns:x14="http://schemas.microsoft.com/office/spreadsheetml/2009/9/main" uri="{B025F937-C7B1-47D3-B67F-A62EFF666E3E}">
          <x14:id>{6E26AB59-BBFE-4DD9-A1C7-968F528BD9C9}</x14:id>
        </ext>
      </extLst>
    </cfRule>
    <cfRule type="dataBar" priority="9">
      <dataBar>
        <cfvo type="num" val="0"/>
        <cfvo type="num" val="1"/>
        <color rgb="FF638EC6"/>
      </dataBar>
      <extLst>
        <ext xmlns:x14="http://schemas.microsoft.com/office/spreadsheetml/2009/9/main" uri="{B025F937-C7B1-47D3-B67F-A62EFF666E3E}">
          <x14:id>{F79073B7-F61D-4D87-87FA-E71FDB70DB9B}</x14:id>
        </ext>
      </extLst>
    </cfRule>
  </conditionalFormatting>
  <conditionalFormatting sqref="C60">
    <cfRule type="cellIs" dxfId="53" priority="4" operator="greaterThan">
      <formula>1</formula>
    </cfRule>
    <cfRule type="dataBar" priority="5">
      <dataBar>
        <cfvo type="num" val="0"/>
        <cfvo type="num" val="0.99"/>
        <color rgb="FF638EC6"/>
      </dataBar>
      <extLst>
        <ext xmlns:x14="http://schemas.microsoft.com/office/spreadsheetml/2009/9/main" uri="{B025F937-C7B1-47D3-B67F-A62EFF666E3E}">
          <x14:id>{B7CD9AB7-B7D2-49AF-8245-D35FE41D1C6A}</x14:id>
        </ext>
      </extLst>
    </cfRule>
    <cfRule type="dataBar" priority="6">
      <dataBar>
        <cfvo type="num" val="0"/>
        <cfvo type="num" val="1"/>
        <color rgb="FF638EC6"/>
      </dataBar>
      <extLst>
        <ext xmlns:x14="http://schemas.microsoft.com/office/spreadsheetml/2009/9/main" uri="{B025F937-C7B1-47D3-B67F-A62EFF666E3E}">
          <x14:id>{79EEC577-6224-49F3-AE90-8A947B993A42}</x14:id>
        </ext>
      </extLst>
    </cfRule>
  </conditionalFormatting>
  <conditionalFormatting sqref="C70">
    <cfRule type="cellIs" dxfId="52" priority="1" operator="greaterThan">
      <formula>1</formula>
    </cfRule>
    <cfRule type="dataBar" priority="2">
      <dataBar>
        <cfvo type="num" val="0"/>
        <cfvo type="num" val="0.99"/>
        <color rgb="FF638EC6"/>
      </dataBar>
      <extLst>
        <ext xmlns:x14="http://schemas.microsoft.com/office/spreadsheetml/2009/9/main" uri="{B025F937-C7B1-47D3-B67F-A62EFF666E3E}">
          <x14:id>{497023D4-1CAD-4151-9585-8830F948D2EF}</x14:id>
        </ext>
      </extLst>
    </cfRule>
    <cfRule type="dataBar" priority="3">
      <dataBar>
        <cfvo type="num" val="0"/>
        <cfvo type="num" val="1"/>
        <color rgb="FF638EC6"/>
      </dataBar>
      <extLst>
        <ext xmlns:x14="http://schemas.microsoft.com/office/spreadsheetml/2009/9/main" uri="{B025F937-C7B1-47D3-B67F-A62EFF666E3E}">
          <x14:id>{6A157159-C228-4982-A50A-7E983AE78E36}</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5E44EC35-1116-4A8E-9344-85D9D917BBB6}">
            <x14:dataBar minLength="0" maxLength="100">
              <x14:cfvo type="num">
                <xm:f>0</xm:f>
              </x14:cfvo>
              <x14:cfvo type="num">
                <xm:f>0.99</xm:f>
              </x14:cfvo>
              <x14:negativeFillColor rgb="FFFF0000"/>
              <x14:axisColor rgb="FF000000"/>
            </x14:dataBar>
          </x14:cfRule>
          <x14:cfRule type="dataBar" id="{8E17B731-ACD6-453F-B237-3609CB5CF98E}">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6E26AB59-BBFE-4DD9-A1C7-968F528BD9C9}">
            <x14:dataBar minLength="0" maxLength="100">
              <x14:cfvo type="num">
                <xm:f>0</xm:f>
              </x14:cfvo>
              <x14:cfvo type="num">
                <xm:f>0.99</xm:f>
              </x14:cfvo>
              <x14:negativeFillColor rgb="FFFF0000"/>
              <x14:axisColor rgb="FF000000"/>
            </x14:dataBar>
          </x14:cfRule>
          <x14:cfRule type="dataBar" id="{F79073B7-F61D-4D87-87FA-E71FDB70DB9B}">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B7CD9AB7-B7D2-49AF-8245-D35FE41D1C6A}">
            <x14:dataBar minLength="0" maxLength="100">
              <x14:cfvo type="num">
                <xm:f>0</xm:f>
              </x14:cfvo>
              <x14:cfvo type="num">
                <xm:f>0.99</xm:f>
              </x14:cfvo>
              <x14:negativeFillColor rgb="FFFF0000"/>
              <x14:axisColor rgb="FF000000"/>
            </x14:dataBar>
          </x14:cfRule>
          <x14:cfRule type="dataBar" id="{79EEC577-6224-49F3-AE90-8A947B993A42}">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497023D4-1CAD-4151-9585-8830F948D2EF}">
            <x14:dataBar minLength="0" maxLength="100">
              <x14:cfvo type="num">
                <xm:f>0</xm:f>
              </x14:cfvo>
              <x14:cfvo type="num">
                <xm:f>0.99</xm:f>
              </x14:cfvo>
              <x14:negativeFillColor rgb="FFFF0000"/>
              <x14:axisColor rgb="FF000000"/>
            </x14:dataBar>
          </x14:cfRule>
          <x14:cfRule type="dataBar" id="{6A157159-C228-4982-A50A-7E983AE78E36}">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4EF6A-00BD-4E8C-851B-AD643F7F312A}">
  <sheetPr codeName="Tabelle52"/>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44894</v>
      </c>
      <c r="H3" s="156" t="s">
        <v>22312</v>
      </c>
      <c r="I3" s="158" t="s">
        <v>22313</v>
      </c>
    </row>
    <row r="4" spans="1:9" ht="16.5" customHeight="1">
      <c r="A4" s="148"/>
      <c r="B4" s="160" t="s">
        <v>22316</v>
      </c>
      <c r="C4" s="547" t="str">
        <f>Kalk4_Eingabe!C4</f>
        <v>PREFA</v>
      </c>
      <c r="D4" s="547"/>
      <c r="E4" s="548"/>
      <c r="F4" s="150"/>
      <c r="G4" s="150"/>
      <c r="H4" s="151"/>
      <c r="I4" s="148"/>
    </row>
    <row r="5" spans="1:9" ht="16.5" customHeight="1">
      <c r="A5" s="148"/>
      <c r="B5" s="164" t="s">
        <v>22319</v>
      </c>
      <c r="C5" s="549" t="str">
        <f>Kalk4_Eingabe!C5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22596</v>
      </c>
      <c r="C7" s="148"/>
      <c r="D7" s="168"/>
      <c r="E7" s="168"/>
      <c r="F7" s="148"/>
      <c r="G7" s="148"/>
      <c r="H7" s="148"/>
      <c r="I7" s="148"/>
    </row>
    <row r="8" spans="1:9" ht="16.5" customHeight="1">
      <c r="A8" s="148"/>
      <c r="B8" s="170" t="s">
        <v>22391</v>
      </c>
      <c r="C8" s="148"/>
      <c r="D8" s="168"/>
      <c r="E8" s="168"/>
      <c r="F8" s="148"/>
      <c r="G8" s="148"/>
      <c r="H8" s="148"/>
      <c r="I8" s="148"/>
    </row>
    <row r="9" spans="1:9" ht="14.25" customHeight="1">
      <c r="A9" s="148"/>
      <c r="B9" s="148"/>
      <c r="C9" s="148"/>
      <c r="D9" s="168"/>
      <c r="E9" s="168"/>
      <c r="F9" s="148"/>
      <c r="G9" s="148"/>
      <c r="H9" s="148"/>
      <c r="I9" s="148"/>
    </row>
    <row r="10" spans="1:9" ht="14.25" customHeight="1">
      <c r="A10" s="171" t="s">
        <v>22327</v>
      </c>
      <c r="B10" s="172" t="s">
        <v>22392</v>
      </c>
      <c r="C10" s="148"/>
      <c r="D10" s="168"/>
      <c r="E10" s="168"/>
      <c r="F10" s="148"/>
      <c r="G10" s="148"/>
      <c r="H10" s="148"/>
      <c r="I10" s="148"/>
    </row>
    <row r="11" spans="1:9" ht="14.25" customHeight="1">
      <c r="A11" s="148"/>
      <c r="B11" s="175" t="s">
        <v>22393</v>
      </c>
      <c r="C11" s="187">
        <v>38.74</v>
      </c>
      <c r="D11" s="168" t="s">
        <v>22394</v>
      </c>
      <c r="E11" s="163" t="s">
        <v>22395</v>
      </c>
      <c r="F11" s="177"/>
      <c r="G11" s="148"/>
      <c r="H11" s="148"/>
      <c r="I11" s="148"/>
    </row>
    <row r="12" spans="1:9" ht="14.25" customHeight="1">
      <c r="A12" s="148"/>
      <c r="B12" s="175" t="s">
        <v>22396</v>
      </c>
      <c r="C12" s="187">
        <v>7.58</v>
      </c>
      <c r="D12" s="151" t="s">
        <v>22394</v>
      </c>
      <c r="E12" s="163" t="s">
        <v>22397</v>
      </c>
      <c r="F12" s="177"/>
      <c r="G12" s="148"/>
      <c r="H12" s="148"/>
      <c r="I12" s="148"/>
    </row>
    <row r="13" spans="1:9" ht="14.25" customHeight="1">
      <c r="A13" s="179"/>
      <c r="B13" s="175" t="s">
        <v>22398</v>
      </c>
      <c r="C13" s="187">
        <v>1047.58</v>
      </c>
      <c r="D13" s="151" t="s">
        <v>22372</v>
      </c>
      <c r="E13" s="163" t="s">
        <v>22399</v>
      </c>
      <c r="F13" s="178"/>
      <c r="G13" s="181"/>
      <c r="H13" s="148"/>
      <c r="I13" s="148"/>
    </row>
    <row r="14" spans="1:9" ht="14.25" customHeight="1">
      <c r="A14" s="148"/>
      <c r="B14" s="162" t="s">
        <v>22400</v>
      </c>
      <c r="C14" s="187">
        <v>147.32</v>
      </c>
      <c r="D14" s="168" t="s">
        <v>22401</v>
      </c>
      <c r="E14" s="183" t="s">
        <v>22402</v>
      </c>
      <c r="F14" s="177"/>
      <c r="G14" s="148"/>
      <c r="H14" s="148"/>
      <c r="I14" s="148"/>
    </row>
    <row r="15" spans="1:9" ht="14.25" customHeight="1">
      <c r="B15" s="162" t="s">
        <v>22403</v>
      </c>
      <c r="C15" s="187">
        <v>192.51</v>
      </c>
      <c r="D15" s="168" t="s">
        <v>22401</v>
      </c>
      <c r="E15" s="183" t="s">
        <v>22404</v>
      </c>
    </row>
    <row r="16" spans="1:9"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18</v>
      </c>
      <c r="D19" s="168" t="s">
        <v>22408</v>
      </c>
      <c r="E19" s="183"/>
    </row>
    <row r="20" spans="1:18" ht="14.25" customHeight="1">
      <c r="B20" s="165" t="s">
        <v>22410</v>
      </c>
      <c r="C20" s="185">
        <v>22.5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Kalk4_Lastfallkombi!C31*Kalk4_Eingabe!C18/2*Kalk4_Eingabe!C19</f>
        <v>0</v>
      </c>
      <c r="D27" s="191">
        <f>Kalk4_Lastfallkombi!C19*Kalk4_Eingabe!C24/2*Kalk4_Eingabe!C19</f>
        <v>0</v>
      </c>
      <c r="E27" s="168" t="s">
        <v>22379</v>
      </c>
      <c r="F27" s="183" t="s">
        <v>22425</v>
      </c>
      <c r="O27" s="188" t="s">
        <v>22414</v>
      </c>
      <c r="P27" s="189"/>
      <c r="Q27" s="189"/>
      <c r="R27" s="190"/>
    </row>
    <row r="28" spans="1:18" ht="14.25" customHeight="1">
      <c r="B28" s="178" t="s">
        <v>22427</v>
      </c>
      <c r="C28" s="191">
        <f>Kalk4_Lastfallkombi!C31*Kalk4_Eingabe!C18/2*(Kalk4_Eingabe!C18/3+Kalk4_Sys_80k!C25/100)*Kalk4_Eingabe!C19</f>
        <v>0</v>
      </c>
      <c r="D28" s="191">
        <f>Kalk4_Lastfallkombi!C19*Kalk4_Eingabe!C24/2*(Kalk4_Eingabe!C24/3+Kalk4_Sys_80k!C25/100)*Kalk4_Eingabe!C19</f>
        <v>0</v>
      </c>
      <c r="E28" s="168" t="s">
        <v>22428</v>
      </c>
      <c r="F28" s="183" t="s">
        <v>22429</v>
      </c>
      <c r="O28" s="178" t="s">
        <v>22418</v>
      </c>
      <c r="P28" s="191">
        <f>(Kalk4_Lastfallkombi!C31*Kalk4_Eingabe!C18/2*(Kalk4_Eingabe!C18/3+Kalk4_Sys_80k!C25/100)*Kalk4_Eingabe!C19)/(P26/100)</f>
        <v>0</v>
      </c>
      <c r="Q28" s="189"/>
      <c r="R28" s="168" t="s">
        <v>22379</v>
      </c>
    </row>
    <row r="29" spans="1:18" ht="14.25" customHeight="1">
      <c r="B29" s="178" t="s">
        <v>22431</v>
      </c>
      <c r="C29" s="191">
        <f>Kalk4_Lastfallkombi!C32*Kalk4_Eingabe!C18*Kalk4_Eingabe!C19</f>
        <v>0</v>
      </c>
      <c r="D29" s="191">
        <f>Kalk4_Lastfallkombi!C20*Kalk4_Eingabe!C24*Kalk4_Eingabe!C19</f>
        <v>0</v>
      </c>
      <c r="E29" s="168" t="s">
        <v>22379</v>
      </c>
      <c r="F29" s="183" t="s">
        <v>22432</v>
      </c>
      <c r="O29" s="178" t="s">
        <v>22421</v>
      </c>
      <c r="P29" s="191">
        <f>P28+C27</f>
        <v>0</v>
      </c>
      <c r="Q29" s="189"/>
      <c r="R29" s="168" t="s">
        <v>22379</v>
      </c>
    </row>
    <row r="30" spans="1:18" ht="14.25" customHeight="1">
      <c r="B30" s="178" t="s">
        <v>22434</v>
      </c>
      <c r="C30" s="191">
        <f>Kalk4_Lastfallkombi!C32*Kalk4_Eingabe!C18*(Kalk4_Eingabe!C18/2+C25/100)*Kalk4_Eingabe!C19</f>
        <v>0</v>
      </c>
      <c r="D30" s="191">
        <f>Kalk4_Lastfallkombi!C20*Kalk4_Eingabe!C24*(Kalk4_Eingabe!C24/2+C25/100)*Kalk4_Eingabe!C19</f>
        <v>0</v>
      </c>
      <c r="E30" s="168" t="s">
        <v>22428</v>
      </c>
      <c r="F30" s="183" t="s">
        <v>22435</v>
      </c>
      <c r="O30" s="178" t="s">
        <v>22423</v>
      </c>
      <c r="P30" s="191">
        <f>Kalk4_Lastfallkombi!C32*Kalk4_Eingabe!C18*Kalk4_Eingabe!C19/(P26/100)</f>
        <v>0</v>
      </c>
      <c r="Q30" s="189"/>
      <c r="R30" s="168" t="s">
        <v>22379</v>
      </c>
    </row>
    <row r="31" spans="1:18" ht="14.25" customHeight="1">
      <c r="B31" s="178" t="s">
        <v>22436</v>
      </c>
      <c r="C31" s="191" t="e">
        <f>Kalk4_Lastfallkombi!C40</f>
        <v>#DIV/0!</v>
      </c>
      <c r="D31" s="191" t="e">
        <f>Kalk4_Lastfallkombi!C28</f>
        <v>#NUM!</v>
      </c>
      <c r="E31" s="168" t="s">
        <v>22379</v>
      </c>
      <c r="F31" s="183" t="s">
        <v>22437</v>
      </c>
      <c r="O31" s="178" t="s">
        <v>22426</v>
      </c>
      <c r="P31" s="191">
        <f>P30+C29</f>
        <v>0</v>
      </c>
      <c r="Q31" s="189"/>
      <c r="R31" s="168" t="s">
        <v>22379</v>
      </c>
    </row>
    <row r="32" spans="1:18" ht="14.25" customHeight="1" thickBot="1">
      <c r="B32" s="178" t="s">
        <v>22438</v>
      </c>
      <c r="C32" s="191" t="e">
        <f>C31*(Kalk4_Eingabe!C18+C25/100)</f>
        <v>#DIV/0!</v>
      </c>
      <c r="D32" s="191" t="e">
        <f>D31*(Kalk4_Eingabe!C24-0.25+C25/100)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71.612427934756852</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1.3067472169427097</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26.517599999999998</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Kalk4_Lastfallkombi!D31*Kalk4_Eingabe!C19</f>
        <v>0</v>
      </c>
      <c r="D55" s="185">
        <f>Kalk4_Lastfallkombi!D19*Kalk4_Eingabe!C19</f>
        <v>0</v>
      </c>
      <c r="E55" s="168" t="s">
        <v>22469</v>
      </c>
    </row>
    <row r="56" spans="1:7" ht="14.25" customHeight="1">
      <c r="B56" s="178" t="s">
        <v>22470</v>
      </c>
      <c r="C56" s="185">
        <f>C55/100*(Kalk4_Eingabe!C18*100)^4/(30*Kalk4_Sys_80k!C13*Kalk4_Sys_80k!C18)</f>
        <v>0</v>
      </c>
      <c r="D56" s="185">
        <f>D55/100*(Kalk4_Eingabe!C24*100)^4/(30*Kalk4_Sys_80k!C13*Kalk4_Sys_80k!C18)</f>
        <v>0</v>
      </c>
      <c r="E56" s="168" t="s">
        <v>22416</v>
      </c>
    </row>
    <row r="57" spans="1:7" ht="14.25" customHeight="1">
      <c r="B57" s="178" t="s">
        <v>22471</v>
      </c>
      <c r="C57" s="185">
        <f>Kalk4_Lastfallkombi!D32*Kalk4_Eingabe!C19</f>
        <v>0</v>
      </c>
      <c r="D57" s="185">
        <f>Kalk4_Lastfallkombi!D20*Kalk4_Eingabe!C19</f>
        <v>0</v>
      </c>
      <c r="E57" s="168" t="s">
        <v>22469</v>
      </c>
    </row>
    <row r="58" spans="1:7" ht="14.25" customHeight="1">
      <c r="B58" s="178" t="s">
        <v>22472</v>
      </c>
      <c r="C58" s="185">
        <f>C57/100*(Kalk4_Eingabe!C18*100)^4/(8*Kalk4_Sys_80k!C13*Kalk4_Sys_80k!C18)</f>
        <v>0</v>
      </c>
      <c r="D58" s="185">
        <f>D57/100*(Kalk4_Eingabe!C24*100)^4/(8*Kalk4_Sys_80k!C13*Kalk4_Sys_80k!C18)</f>
        <v>0</v>
      </c>
      <c r="E58" s="168" t="s">
        <v>22416</v>
      </c>
      <c r="G58" s="185"/>
    </row>
    <row r="59" spans="1:7" ht="14.25" customHeight="1" thickBot="1">
      <c r="B59" s="178" t="s">
        <v>22473</v>
      </c>
      <c r="C59" s="185">
        <f>IF(Kalk4_Eingabe!C23="1/150",Kalk4_Eingabe!C18*100/150,IF(Kalk4_Eingabe!C23="1/300",Kalk4_Eingabe!C18*100/300))</f>
        <v>0</v>
      </c>
      <c r="D59" s="185">
        <f>IF(Kalk4_Eingabe!C23="1/150",Kalk4_Eingabe!C24*100/150,IF(Kalk4_Eingabe!C23="1/300",Kalk4_Eingabe!C24*100/300))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Kalk4_Lastfallkombi!D31*Kalk4_Eingabe!C19</f>
        <v>0</v>
      </c>
      <c r="D62" s="185">
        <f>Kalk4_Lastfallkombi!D19*Kalk4_Eingabe!C19</f>
        <v>0</v>
      </c>
      <c r="E62" s="168" t="s">
        <v>22469</v>
      </c>
    </row>
    <row r="63" spans="1:7" ht="14.25" customHeight="1">
      <c r="B63" s="178" t="s">
        <v>22470</v>
      </c>
      <c r="C63" s="185">
        <f>C62/100*(Kalk4_Eingabe!C18*100)^4/(30*Kalk4_Sys_80k!C13*Kalk4_Sys_80k!C18)</f>
        <v>0</v>
      </c>
      <c r="D63" s="185">
        <f>D62/100*(Kalk4_Eingabe!C24*100)^4/(30*Kalk4_Sys_80k!C13*Kalk4_Sys_80k!C18)</f>
        <v>0</v>
      </c>
      <c r="E63" s="168" t="s">
        <v>22416</v>
      </c>
    </row>
    <row r="64" spans="1:7" ht="14.25" customHeight="1">
      <c r="B64" s="178" t="s">
        <v>22471</v>
      </c>
      <c r="C64" s="185">
        <f>Kalk4_Lastfallkombi!D32*Kalk4_Eingabe!C19</f>
        <v>0</v>
      </c>
      <c r="D64" s="185">
        <f>Kalk4_Lastfallkombi!D20*Kalk4_Eingabe!C19</f>
        <v>0</v>
      </c>
      <c r="E64" s="168" t="s">
        <v>22469</v>
      </c>
    </row>
    <row r="65" spans="2:5" ht="14.25" customHeight="1">
      <c r="B65" s="178" t="s">
        <v>22472</v>
      </c>
      <c r="C65" s="185">
        <f>C64/100*(Kalk4_Eingabe!C18*100)^4/(8*Kalk4_Sys_80k!C13*Kalk4_Sys_80k!C18)</f>
        <v>0</v>
      </c>
      <c r="D65" s="185">
        <f>D64/100*(Kalk4_Eingabe!C24*100)^4/(8*Kalk4_Sys_80k!C13*Kalk4_Sys_80k!C18)</f>
        <v>0</v>
      </c>
      <c r="E65" s="168" t="s">
        <v>22416</v>
      </c>
    </row>
    <row r="66" spans="2:5" ht="14.25" customHeight="1">
      <c r="B66" s="165" t="s">
        <v>22476</v>
      </c>
      <c r="C66" s="185" t="e">
        <f>Kalk4_Lastfallkombi!D40</f>
        <v>#DIV/0!</v>
      </c>
      <c r="D66" s="185" t="e">
        <f>Kalk4_Lastfallkombi!D28</f>
        <v>#NUM!</v>
      </c>
      <c r="E66" s="168" t="s">
        <v>22379</v>
      </c>
    </row>
    <row r="67" spans="2:5" ht="14.25" customHeight="1">
      <c r="B67" s="165" t="s">
        <v>22477</v>
      </c>
      <c r="C67" s="185" t="e">
        <f>C66*(Kalk4_Eingabe!C18*100)^3/(3*Kalk4_Sys_80k!C18*Kalk4_Sys_80k!C13)</f>
        <v>#DIV/0!</v>
      </c>
      <c r="D67" s="185" t="e">
        <f>D66*((Kalk4_Eingabe!C24-0.25)*100)^3/(3*Kalk4_Sys_80k!C18*Kalk4_Sys_80k!C13)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Kalk4_Eingabe!C18*100/150</f>
        <v>0</v>
      </c>
      <c r="D69" s="185">
        <f>Kalk4_Eingabe!C24*100/150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51" priority="10" operator="greaterThan">
      <formula>1</formula>
    </cfRule>
    <cfRule type="dataBar" priority="11">
      <dataBar>
        <cfvo type="num" val="0"/>
        <cfvo type="num" val="0.99"/>
        <color rgb="FF638EC6"/>
      </dataBar>
      <extLst>
        <ext xmlns:x14="http://schemas.microsoft.com/office/spreadsheetml/2009/9/main" uri="{B025F937-C7B1-47D3-B67F-A62EFF666E3E}">
          <x14:id>{A4246429-32CE-47A7-8D46-388074BBDD57}</x14:id>
        </ext>
      </extLst>
    </cfRule>
    <cfRule type="dataBar" priority="12">
      <dataBar>
        <cfvo type="num" val="0"/>
        <cfvo type="num" val="1"/>
        <color rgb="FF638EC6"/>
      </dataBar>
      <extLst>
        <ext xmlns:x14="http://schemas.microsoft.com/office/spreadsheetml/2009/9/main" uri="{B025F937-C7B1-47D3-B67F-A62EFF666E3E}">
          <x14:id>{4B599009-F1E2-4089-941C-36455A549AEC}</x14:id>
        </ext>
      </extLst>
    </cfRule>
  </conditionalFormatting>
  <conditionalFormatting sqref="C50:C51">
    <cfRule type="cellIs" dxfId="50" priority="7" operator="greaterThan">
      <formula>1</formula>
    </cfRule>
    <cfRule type="dataBar" priority="8">
      <dataBar>
        <cfvo type="num" val="0"/>
        <cfvo type="num" val="0.99"/>
        <color rgb="FF638EC6"/>
      </dataBar>
      <extLst>
        <ext xmlns:x14="http://schemas.microsoft.com/office/spreadsheetml/2009/9/main" uri="{B025F937-C7B1-47D3-B67F-A62EFF666E3E}">
          <x14:id>{22BE0710-E5C3-40F5-8435-76814F8785B2}</x14:id>
        </ext>
      </extLst>
    </cfRule>
    <cfRule type="dataBar" priority="9">
      <dataBar>
        <cfvo type="num" val="0"/>
        <cfvo type="num" val="1"/>
        <color rgb="FF638EC6"/>
      </dataBar>
      <extLst>
        <ext xmlns:x14="http://schemas.microsoft.com/office/spreadsheetml/2009/9/main" uri="{B025F937-C7B1-47D3-B67F-A62EFF666E3E}">
          <x14:id>{A33FBBF6-ACAF-45F9-B9C7-62D04F535005}</x14:id>
        </ext>
      </extLst>
    </cfRule>
  </conditionalFormatting>
  <conditionalFormatting sqref="C60">
    <cfRule type="cellIs" dxfId="49" priority="4" operator="greaterThan">
      <formula>1</formula>
    </cfRule>
    <cfRule type="dataBar" priority="5">
      <dataBar>
        <cfvo type="num" val="0"/>
        <cfvo type="num" val="0.99"/>
        <color rgb="FF638EC6"/>
      </dataBar>
      <extLst>
        <ext xmlns:x14="http://schemas.microsoft.com/office/spreadsheetml/2009/9/main" uri="{B025F937-C7B1-47D3-B67F-A62EFF666E3E}">
          <x14:id>{50235D0F-881C-40EA-8F24-5100083FEDE4}</x14:id>
        </ext>
      </extLst>
    </cfRule>
    <cfRule type="dataBar" priority="6">
      <dataBar>
        <cfvo type="num" val="0"/>
        <cfvo type="num" val="1"/>
        <color rgb="FF638EC6"/>
      </dataBar>
      <extLst>
        <ext xmlns:x14="http://schemas.microsoft.com/office/spreadsheetml/2009/9/main" uri="{B025F937-C7B1-47D3-B67F-A62EFF666E3E}">
          <x14:id>{677EF88A-A9C5-4C77-BA55-38D881C5A7A0}</x14:id>
        </ext>
      </extLst>
    </cfRule>
  </conditionalFormatting>
  <conditionalFormatting sqref="C70">
    <cfRule type="cellIs" dxfId="48" priority="1" operator="greaterThan">
      <formula>1</formula>
    </cfRule>
    <cfRule type="dataBar" priority="2">
      <dataBar>
        <cfvo type="num" val="0"/>
        <cfvo type="num" val="0.99"/>
        <color rgb="FF638EC6"/>
      </dataBar>
      <extLst>
        <ext xmlns:x14="http://schemas.microsoft.com/office/spreadsheetml/2009/9/main" uri="{B025F937-C7B1-47D3-B67F-A62EFF666E3E}">
          <x14:id>{BA7F5C96-AC83-46F0-8F99-A1236626D439}</x14:id>
        </ext>
      </extLst>
    </cfRule>
    <cfRule type="dataBar" priority="3">
      <dataBar>
        <cfvo type="num" val="0"/>
        <cfvo type="num" val="1"/>
        <color rgb="FF638EC6"/>
      </dataBar>
      <extLst>
        <ext xmlns:x14="http://schemas.microsoft.com/office/spreadsheetml/2009/9/main" uri="{B025F937-C7B1-47D3-B67F-A62EFF666E3E}">
          <x14:id>{9CB28F59-2A6F-429E-B3B8-D181F55C31D2}</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A4246429-32CE-47A7-8D46-388074BBDD57}">
            <x14:dataBar minLength="0" maxLength="100">
              <x14:cfvo type="num">
                <xm:f>0</xm:f>
              </x14:cfvo>
              <x14:cfvo type="num">
                <xm:f>0.99</xm:f>
              </x14:cfvo>
              <x14:negativeFillColor rgb="FFFF0000"/>
              <x14:axisColor rgb="FF000000"/>
            </x14:dataBar>
          </x14:cfRule>
          <x14:cfRule type="dataBar" id="{4B599009-F1E2-4089-941C-36455A549AEC}">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22BE0710-E5C3-40F5-8435-76814F8785B2}">
            <x14:dataBar minLength="0" maxLength="100">
              <x14:cfvo type="num">
                <xm:f>0</xm:f>
              </x14:cfvo>
              <x14:cfvo type="num">
                <xm:f>0.99</xm:f>
              </x14:cfvo>
              <x14:negativeFillColor rgb="FFFF0000"/>
              <x14:axisColor rgb="FF000000"/>
            </x14:dataBar>
          </x14:cfRule>
          <x14:cfRule type="dataBar" id="{A33FBBF6-ACAF-45F9-B9C7-62D04F535005}">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50235D0F-881C-40EA-8F24-5100083FEDE4}">
            <x14:dataBar minLength="0" maxLength="100">
              <x14:cfvo type="num">
                <xm:f>0</xm:f>
              </x14:cfvo>
              <x14:cfvo type="num">
                <xm:f>0.99</xm:f>
              </x14:cfvo>
              <x14:negativeFillColor rgb="FFFF0000"/>
              <x14:axisColor rgb="FF000000"/>
            </x14:dataBar>
          </x14:cfRule>
          <x14:cfRule type="dataBar" id="{677EF88A-A9C5-4C77-BA55-38D881C5A7A0}">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BA7F5C96-AC83-46F0-8F99-A1236626D439}">
            <x14:dataBar minLength="0" maxLength="100">
              <x14:cfvo type="num">
                <xm:f>0</xm:f>
              </x14:cfvo>
              <x14:cfvo type="num">
                <xm:f>0.99</xm:f>
              </x14:cfvo>
              <x14:negativeFillColor rgb="FFFF0000"/>
              <x14:axisColor rgb="FF000000"/>
            </x14:dataBar>
          </x14:cfRule>
          <x14:cfRule type="dataBar" id="{9CB28F59-2A6F-429E-B3B8-D181F55C31D2}">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863F4-6F1B-4EEA-822B-84F4BC70A9A6}">
  <sheetPr codeName="Tabelle53"/>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14" ht="42" customHeight="1">
      <c r="A1" s="148"/>
      <c r="B1" s="546"/>
      <c r="C1" s="546"/>
      <c r="D1" s="150"/>
      <c r="E1" s="151"/>
      <c r="F1" s="150"/>
      <c r="G1" s="150"/>
      <c r="H1" s="150"/>
      <c r="I1" s="150"/>
    </row>
    <row r="2" spans="1:14" ht="16.5" customHeight="1">
      <c r="A2" s="148"/>
      <c r="B2" s="149"/>
      <c r="C2" s="149"/>
      <c r="D2" s="150"/>
      <c r="E2" s="151"/>
      <c r="F2" s="153" t="s">
        <v>22309</v>
      </c>
      <c r="G2" s="154"/>
      <c r="H2" s="153" t="s">
        <v>22310</v>
      </c>
      <c r="I2" s="154" t="s">
        <v>22311</v>
      </c>
    </row>
    <row r="3" spans="1:14" ht="16.5" customHeight="1">
      <c r="A3" s="148"/>
      <c r="B3" s="155"/>
      <c r="C3" s="148"/>
      <c r="D3" s="150"/>
      <c r="E3" s="151"/>
      <c r="F3" s="156" t="s">
        <v>3225</v>
      </c>
      <c r="G3" s="157">
        <v>44894</v>
      </c>
      <c r="H3" s="156" t="s">
        <v>22312</v>
      </c>
      <c r="I3" s="158" t="s">
        <v>22313</v>
      </c>
    </row>
    <row r="4" spans="1:14" ht="16.5" customHeight="1">
      <c r="A4" s="148"/>
      <c r="B4" s="160" t="s">
        <v>22316</v>
      </c>
      <c r="C4" s="547" t="str">
        <f>Kalk4_Eingabe!C4</f>
        <v>PREFA</v>
      </c>
      <c r="D4" s="547"/>
      <c r="E4" s="548"/>
      <c r="F4" s="150"/>
      <c r="G4" s="150"/>
      <c r="H4" s="151"/>
      <c r="I4" s="148"/>
    </row>
    <row r="5" spans="1:14" ht="16.5" customHeight="1">
      <c r="A5" s="148"/>
      <c r="B5" s="164" t="s">
        <v>22319</v>
      </c>
      <c r="C5" s="549" t="str">
        <f>Kalk4_Eingabe!C5</f>
        <v>Dammblaken 50/150 - H = 1,50 m</v>
      </c>
      <c r="D5" s="549"/>
      <c r="E5" s="550"/>
      <c r="F5" s="150"/>
      <c r="G5" s="150"/>
      <c r="H5" s="151"/>
      <c r="I5" s="148"/>
    </row>
    <row r="6" spans="1:14" ht="16.5" customHeight="1">
      <c r="A6" s="148"/>
      <c r="B6" s="148"/>
      <c r="C6" s="148"/>
      <c r="D6" s="168"/>
      <c r="E6" s="168"/>
      <c r="F6" s="148"/>
      <c r="G6" s="148"/>
      <c r="H6" s="148"/>
      <c r="I6" s="148"/>
    </row>
    <row r="7" spans="1:14" ht="16.5" customHeight="1">
      <c r="A7" s="148"/>
      <c r="B7" s="169" t="s">
        <v>22597</v>
      </c>
      <c r="C7" s="148"/>
      <c r="D7" s="168"/>
      <c r="E7" s="168"/>
      <c r="F7" s="148"/>
      <c r="G7" s="148"/>
      <c r="H7" s="148"/>
      <c r="I7" s="148"/>
    </row>
    <row r="8" spans="1:14" ht="16.5" customHeight="1">
      <c r="A8" s="148"/>
      <c r="B8" s="170" t="s">
        <v>22391</v>
      </c>
      <c r="C8" s="148"/>
      <c r="D8" s="168"/>
      <c r="E8" s="168"/>
      <c r="F8" s="148"/>
      <c r="G8" s="148"/>
      <c r="H8" s="148"/>
      <c r="I8" s="148"/>
    </row>
    <row r="9" spans="1:14" ht="14.25" customHeight="1">
      <c r="A9" s="148"/>
      <c r="B9" s="148"/>
      <c r="C9" s="148"/>
      <c r="D9" s="168"/>
      <c r="E9" s="168"/>
      <c r="F9" s="148"/>
      <c r="G9" s="148"/>
      <c r="H9" s="148"/>
      <c r="I9" s="148"/>
      <c r="N9" s="152">
        <f>1786/86.29</f>
        <v>20.697647467841001</v>
      </c>
    </row>
    <row r="10" spans="1:14" ht="14.25" customHeight="1">
      <c r="A10" s="171" t="s">
        <v>22327</v>
      </c>
      <c r="B10" s="172" t="s">
        <v>22392</v>
      </c>
      <c r="C10" s="148"/>
      <c r="D10" s="168"/>
      <c r="E10" s="168"/>
      <c r="F10" s="148"/>
      <c r="G10" s="148"/>
      <c r="H10" s="148"/>
      <c r="I10" s="148"/>
    </row>
    <row r="11" spans="1:14" ht="14.25" customHeight="1">
      <c r="A11" s="148"/>
      <c r="B11" s="175" t="s">
        <v>22393</v>
      </c>
      <c r="C11" s="187">
        <v>51.41</v>
      </c>
      <c r="D11" s="168" t="s">
        <v>22394</v>
      </c>
      <c r="E11" s="163" t="s">
        <v>22395</v>
      </c>
      <c r="F11" s="177"/>
      <c r="G11" s="148"/>
      <c r="H11" s="148"/>
      <c r="I11" s="148"/>
      <c r="N11" s="152">
        <f>1534.43/86.29</f>
        <v>17.782245914937999</v>
      </c>
    </row>
    <row r="12" spans="1:14" ht="14.25" customHeight="1">
      <c r="A12" s="148"/>
      <c r="B12" s="175" t="s">
        <v>22396</v>
      </c>
      <c r="C12" s="187">
        <v>7.77</v>
      </c>
      <c r="D12" s="151" t="s">
        <v>22394</v>
      </c>
      <c r="E12" s="163" t="s">
        <v>22397</v>
      </c>
      <c r="F12" s="177"/>
      <c r="G12" s="148"/>
      <c r="H12" s="148"/>
      <c r="I12" s="148"/>
    </row>
    <row r="13" spans="1:14" ht="14.25" customHeight="1">
      <c r="A13" s="179"/>
      <c r="B13" s="175" t="s">
        <v>22398</v>
      </c>
      <c r="C13" s="187">
        <v>2073.15</v>
      </c>
      <c r="D13" s="151" t="s">
        <v>22372</v>
      </c>
      <c r="E13" s="163" t="s">
        <v>22399</v>
      </c>
      <c r="F13" s="178"/>
      <c r="G13" s="181"/>
      <c r="H13" s="148"/>
      <c r="I13" s="148"/>
    </row>
    <row r="14" spans="1:14" ht="14.25" customHeight="1">
      <c r="A14" s="148"/>
      <c r="B14" s="162" t="s">
        <v>22400</v>
      </c>
      <c r="C14" s="187">
        <v>223.56</v>
      </c>
      <c r="D14" s="168" t="s">
        <v>22401</v>
      </c>
      <c r="E14" s="183" t="s">
        <v>22402</v>
      </c>
      <c r="F14" s="177"/>
      <c r="G14" s="148"/>
      <c r="H14" s="148"/>
      <c r="I14" s="148"/>
    </row>
    <row r="15" spans="1:14" ht="14.25" customHeight="1">
      <c r="B15" s="162" t="s">
        <v>22403</v>
      </c>
      <c r="C15" s="187">
        <v>309.02</v>
      </c>
      <c r="D15" s="168" t="s">
        <v>22401</v>
      </c>
      <c r="E15" s="183" t="s">
        <v>22404</v>
      </c>
    </row>
    <row r="16" spans="1:14"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20</v>
      </c>
      <c r="D19" s="168" t="s">
        <v>22408</v>
      </c>
      <c r="E19" s="183"/>
    </row>
    <row r="20" spans="1:18" ht="14.25" customHeight="1">
      <c r="B20" s="165" t="s">
        <v>22410</v>
      </c>
      <c r="C20" s="185">
        <v>24.5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Kalk4_Lastfallkombi!C31*Kalk4_Eingabe!C18/2*Kalk4_Eingabe!C19</f>
        <v>0</v>
      </c>
      <c r="D27" s="191">
        <f>Kalk4_Lastfallkombi!C19*Kalk4_Eingabe!C24/2*Kalk4_Eingabe!C19</f>
        <v>0</v>
      </c>
      <c r="E27" s="168" t="s">
        <v>22379</v>
      </c>
      <c r="F27" s="183" t="s">
        <v>22425</v>
      </c>
      <c r="O27" s="188" t="s">
        <v>22414</v>
      </c>
      <c r="P27" s="189"/>
      <c r="Q27" s="189"/>
      <c r="R27" s="190"/>
    </row>
    <row r="28" spans="1:18" ht="14.25" customHeight="1">
      <c r="B28" s="178" t="s">
        <v>22427</v>
      </c>
      <c r="C28" s="191">
        <f>Kalk4_Lastfallkombi!C31*Kalk4_Eingabe!C18/2*(Kalk4_Eingabe!C18/3+Kalk4_Sys_80g!C25/100)*Kalk4_Eingabe!C19</f>
        <v>0</v>
      </c>
      <c r="D28" s="191">
        <f>Kalk4_Lastfallkombi!C19*Kalk4_Eingabe!C24/2*(Kalk4_Eingabe!C24/3+Kalk4_Sys_80g!C25/100)*Kalk4_Eingabe!C19</f>
        <v>0</v>
      </c>
      <c r="E28" s="168" t="s">
        <v>22428</v>
      </c>
      <c r="F28" s="183" t="s">
        <v>22429</v>
      </c>
      <c r="O28" s="178" t="s">
        <v>22418</v>
      </c>
      <c r="P28" s="191">
        <f>(Kalk4_Lastfallkombi!C31*Kalk4_Eingabe!C18/2*(Kalk4_Eingabe!C18/3+Kalk4_Sys_80g!C25/100)*Kalk4_Eingabe!C19)/(P26/100)</f>
        <v>0</v>
      </c>
      <c r="Q28" s="189"/>
      <c r="R28" s="168" t="s">
        <v>22379</v>
      </c>
    </row>
    <row r="29" spans="1:18" ht="14.25" customHeight="1">
      <c r="B29" s="178" t="s">
        <v>22431</v>
      </c>
      <c r="C29" s="191">
        <f>Kalk4_Lastfallkombi!C32*Kalk4_Eingabe!C18*Kalk4_Eingabe!C19</f>
        <v>0</v>
      </c>
      <c r="D29" s="191">
        <f>Kalk4_Lastfallkombi!C20*Kalk4_Eingabe!C24*Kalk4_Eingabe!C19</f>
        <v>0</v>
      </c>
      <c r="E29" s="168" t="s">
        <v>22379</v>
      </c>
      <c r="F29" s="183" t="s">
        <v>22432</v>
      </c>
      <c r="O29" s="178" t="s">
        <v>22421</v>
      </c>
      <c r="P29" s="191">
        <f>P28+C27</f>
        <v>0</v>
      </c>
      <c r="Q29" s="189"/>
      <c r="R29" s="168" t="s">
        <v>22379</v>
      </c>
    </row>
    <row r="30" spans="1:18" ht="14.25" customHeight="1">
      <c r="B30" s="178" t="s">
        <v>22434</v>
      </c>
      <c r="C30" s="191">
        <f>Kalk4_Lastfallkombi!C32*Kalk4_Eingabe!C18*(Kalk4_Eingabe!C18/2+C25/100)*Kalk4_Eingabe!C19</f>
        <v>0</v>
      </c>
      <c r="D30" s="191">
        <f>Kalk4_Lastfallkombi!C20*Kalk4_Eingabe!C24*(Kalk4_Eingabe!C24/2+C25/100)*Kalk4_Eingabe!C19</f>
        <v>0</v>
      </c>
      <c r="E30" s="168" t="s">
        <v>22428</v>
      </c>
      <c r="F30" s="183" t="s">
        <v>22435</v>
      </c>
      <c r="O30" s="178" t="s">
        <v>22423</v>
      </c>
      <c r="P30" s="191">
        <f>Kalk4_Lastfallkombi!C32*Kalk4_Eingabe!C18*Kalk4_Eingabe!C19/(P26/100)</f>
        <v>0</v>
      </c>
      <c r="Q30" s="189"/>
      <c r="R30" s="168" t="s">
        <v>22379</v>
      </c>
    </row>
    <row r="31" spans="1:18" ht="14.25" customHeight="1">
      <c r="B31" s="178" t="s">
        <v>22436</v>
      </c>
      <c r="C31" s="191" t="e">
        <f>Kalk4_Lastfallkombi!C40</f>
        <v>#DIV/0!</v>
      </c>
      <c r="D31" s="191" t="e">
        <f>Kalk4_Lastfallkombi!C28</f>
        <v>#NUM!</v>
      </c>
      <c r="E31" s="168" t="s">
        <v>22379</v>
      </c>
      <c r="F31" s="183" t="s">
        <v>22437</v>
      </c>
      <c r="O31" s="178" t="s">
        <v>22426</v>
      </c>
      <c r="P31" s="191">
        <f>P30+C29</f>
        <v>0</v>
      </c>
      <c r="Q31" s="189"/>
      <c r="R31" s="168" t="s">
        <v>22379</v>
      </c>
    </row>
    <row r="32" spans="1:18" ht="14.25" customHeight="1" thickBot="1">
      <c r="B32" s="178" t="s">
        <v>22438</v>
      </c>
      <c r="C32" s="191" t="e">
        <f>C31*(Kalk4_Eingabe!C18+C25/100)</f>
        <v>#DIV/0!</v>
      </c>
      <c r="D32" s="191" t="e">
        <f>D31*(Kalk4_Eingabe!C24-0.25+C25/100)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81.563847120061666</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1.3822687421721238</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43.81776</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Kalk4_Lastfallkombi!D31*Kalk4_Eingabe!C19</f>
        <v>0</v>
      </c>
      <c r="D55" s="185">
        <f>Kalk4_Lastfallkombi!D19*Kalk4_Eingabe!C19</f>
        <v>0</v>
      </c>
      <c r="E55" s="168" t="s">
        <v>22469</v>
      </c>
    </row>
    <row r="56" spans="1:7" ht="14.25" customHeight="1">
      <c r="B56" s="178" t="s">
        <v>22470</v>
      </c>
      <c r="C56" s="185">
        <f>C55/100*(Kalk4_Eingabe!C18*100)^4/(30*Kalk4_Sys_80g!C13*Kalk4_Sys_80g!C18)</f>
        <v>0</v>
      </c>
      <c r="D56" s="185">
        <f>D55/100*(Kalk4_Eingabe!C24*100)^4/(30*Kalk4_Sys_80g!C13*Kalk4_Sys_80g!C18)</f>
        <v>0</v>
      </c>
      <c r="E56" s="168" t="s">
        <v>22416</v>
      </c>
    </row>
    <row r="57" spans="1:7" ht="14.25" customHeight="1">
      <c r="B57" s="178" t="s">
        <v>22471</v>
      </c>
      <c r="C57" s="185">
        <f>Kalk4_Lastfallkombi!D32*Kalk4_Eingabe!C19</f>
        <v>0</v>
      </c>
      <c r="D57" s="185">
        <f>Kalk4_Lastfallkombi!D20*Kalk4_Eingabe!C19</f>
        <v>0</v>
      </c>
      <c r="E57" s="168" t="s">
        <v>22469</v>
      </c>
    </row>
    <row r="58" spans="1:7" ht="14.25" customHeight="1">
      <c r="B58" s="178" t="s">
        <v>22472</v>
      </c>
      <c r="C58" s="185">
        <f>C57/100*(Kalk4_Eingabe!C18*100)^4/(8*Kalk4_Sys_80g!C13*Kalk4_Sys_80g!C18)</f>
        <v>0</v>
      </c>
      <c r="D58" s="185">
        <f>D57/100*(Kalk4_Eingabe!C24*100)^4/(8*Kalk4_Sys_80g!C13*Kalk4_Sys_80g!C18)</f>
        <v>0</v>
      </c>
      <c r="E58" s="168" t="s">
        <v>22416</v>
      </c>
      <c r="G58" s="185"/>
    </row>
    <row r="59" spans="1:7" ht="14.25" customHeight="1" thickBot="1">
      <c r="B59" s="178" t="s">
        <v>22473</v>
      </c>
      <c r="C59" s="185">
        <f>IF(Kalk4_Eingabe!C23="1/150",Kalk4_Eingabe!C18*100/150,IF(Kalk4_Eingabe!C23="1/300",Kalk4_Eingabe!C18*100/300))</f>
        <v>0</v>
      </c>
      <c r="D59" s="185">
        <f>IF(Kalk4_Eingabe!C23="1/150",Kalk4_Eingabe!C24*100/150,IF(Kalk4_Eingabe!C23="1/300",Kalk4_Eingabe!C24*100/300))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Kalk4_Lastfallkombi!D31*Kalk4_Eingabe!C19</f>
        <v>0</v>
      </c>
      <c r="D62" s="185">
        <f>Kalk4_Lastfallkombi!D19*Kalk4_Eingabe!C19</f>
        <v>0</v>
      </c>
      <c r="E62" s="168" t="s">
        <v>22469</v>
      </c>
    </row>
    <row r="63" spans="1:7" ht="14.25" customHeight="1">
      <c r="B63" s="178" t="s">
        <v>22470</v>
      </c>
      <c r="C63" s="185">
        <f>C62/100*(Kalk4_Eingabe!C18*100)^4/(30*Kalk4_Sys_80g!C13*Kalk4_Sys_80g!C18)</f>
        <v>0</v>
      </c>
      <c r="D63" s="185">
        <f>D62/100*(Kalk4_Eingabe!C24*100)^4/(30*Kalk4_Sys_80g!C13*Kalk4_Sys_80g!C18)</f>
        <v>0</v>
      </c>
      <c r="E63" s="168" t="s">
        <v>22416</v>
      </c>
    </row>
    <row r="64" spans="1:7" ht="14.25" customHeight="1">
      <c r="B64" s="178" t="s">
        <v>22471</v>
      </c>
      <c r="C64" s="185">
        <f>Kalk4_Lastfallkombi!D32*Kalk4_Eingabe!C19</f>
        <v>0</v>
      </c>
      <c r="D64" s="185">
        <f>Kalk4_Lastfallkombi!D20*Kalk4_Eingabe!C19</f>
        <v>0</v>
      </c>
      <c r="E64" s="168" t="s">
        <v>22469</v>
      </c>
    </row>
    <row r="65" spans="2:5" ht="14.25" customHeight="1">
      <c r="B65" s="178" t="s">
        <v>22472</v>
      </c>
      <c r="C65" s="185">
        <f>C64/100*(Kalk4_Eingabe!C18*100)^4/(8*Kalk4_Sys_80g!C13*Kalk4_Sys_80g!C18)</f>
        <v>0</v>
      </c>
      <c r="D65" s="185">
        <f>D64/100*(Kalk4_Eingabe!C24*100)^4/(8*Kalk4_Sys_80g!C13*Kalk4_Sys_80g!C18)</f>
        <v>0</v>
      </c>
      <c r="E65" s="168" t="s">
        <v>22416</v>
      </c>
    </row>
    <row r="66" spans="2:5" ht="14.25" customHeight="1">
      <c r="B66" s="165" t="s">
        <v>22476</v>
      </c>
      <c r="C66" s="185" t="e">
        <f>Kalk4_Lastfallkombi!D40</f>
        <v>#DIV/0!</v>
      </c>
      <c r="D66" s="185" t="e">
        <f>Kalk4_Lastfallkombi!D28</f>
        <v>#NUM!</v>
      </c>
      <c r="E66" s="168" t="s">
        <v>22379</v>
      </c>
    </row>
    <row r="67" spans="2:5" ht="14.25" customHeight="1">
      <c r="B67" s="165" t="s">
        <v>22477</v>
      </c>
      <c r="C67" s="185" t="e">
        <f>C66*(Kalk4_Eingabe!C18*100)^3/(3*Kalk4_Sys_80g!C18*Kalk4_Sys_80g!C13)</f>
        <v>#DIV/0!</v>
      </c>
      <c r="D67" s="185" t="e">
        <f>D66*((Kalk4_Eingabe!C24-0.25)*100)^3/(3*Kalk4_Sys_80g!C18*Kalk4_Sys_80g!C13)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Kalk4_Eingabe!C18*100/150</f>
        <v>0</v>
      </c>
      <c r="D69" s="185">
        <f>Kalk4_Eingabe!C24*100/150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47" priority="10" operator="greaterThan">
      <formula>1</formula>
    </cfRule>
    <cfRule type="dataBar" priority="11">
      <dataBar>
        <cfvo type="num" val="0"/>
        <cfvo type="num" val="0.99"/>
        <color rgb="FF638EC6"/>
      </dataBar>
      <extLst>
        <ext xmlns:x14="http://schemas.microsoft.com/office/spreadsheetml/2009/9/main" uri="{B025F937-C7B1-47D3-B67F-A62EFF666E3E}">
          <x14:id>{A987651B-7735-444E-AABA-5F9981AC931A}</x14:id>
        </ext>
      </extLst>
    </cfRule>
    <cfRule type="dataBar" priority="12">
      <dataBar>
        <cfvo type="num" val="0"/>
        <cfvo type="num" val="1"/>
        <color rgb="FF638EC6"/>
      </dataBar>
      <extLst>
        <ext xmlns:x14="http://schemas.microsoft.com/office/spreadsheetml/2009/9/main" uri="{B025F937-C7B1-47D3-B67F-A62EFF666E3E}">
          <x14:id>{9B18A17F-2CFE-4264-B4AC-1756AC181ADA}</x14:id>
        </ext>
      </extLst>
    </cfRule>
  </conditionalFormatting>
  <conditionalFormatting sqref="C50:C51">
    <cfRule type="cellIs" dxfId="46" priority="7" operator="greaterThan">
      <formula>1</formula>
    </cfRule>
    <cfRule type="dataBar" priority="8">
      <dataBar>
        <cfvo type="num" val="0"/>
        <cfvo type="num" val="0.99"/>
        <color rgb="FF638EC6"/>
      </dataBar>
      <extLst>
        <ext xmlns:x14="http://schemas.microsoft.com/office/spreadsheetml/2009/9/main" uri="{B025F937-C7B1-47D3-B67F-A62EFF666E3E}">
          <x14:id>{EA60418A-6F44-4AD5-8801-41FC2037222B}</x14:id>
        </ext>
      </extLst>
    </cfRule>
    <cfRule type="dataBar" priority="9">
      <dataBar>
        <cfvo type="num" val="0"/>
        <cfvo type="num" val="1"/>
        <color rgb="FF638EC6"/>
      </dataBar>
      <extLst>
        <ext xmlns:x14="http://schemas.microsoft.com/office/spreadsheetml/2009/9/main" uri="{B025F937-C7B1-47D3-B67F-A62EFF666E3E}">
          <x14:id>{A0987A34-0029-458C-8609-62EADE1A7E36}</x14:id>
        </ext>
      </extLst>
    </cfRule>
  </conditionalFormatting>
  <conditionalFormatting sqref="C60">
    <cfRule type="cellIs" dxfId="45" priority="4" operator="greaterThan">
      <formula>1</formula>
    </cfRule>
    <cfRule type="dataBar" priority="5">
      <dataBar>
        <cfvo type="num" val="0"/>
        <cfvo type="num" val="0.99"/>
        <color rgb="FF638EC6"/>
      </dataBar>
      <extLst>
        <ext xmlns:x14="http://schemas.microsoft.com/office/spreadsheetml/2009/9/main" uri="{B025F937-C7B1-47D3-B67F-A62EFF666E3E}">
          <x14:id>{43070202-44BF-470A-8A09-1E64F15A6D30}</x14:id>
        </ext>
      </extLst>
    </cfRule>
    <cfRule type="dataBar" priority="6">
      <dataBar>
        <cfvo type="num" val="0"/>
        <cfvo type="num" val="1"/>
        <color rgb="FF638EC6"/>
      </dataBar>
      <extLst>
        <ext xmlns:x14="http://schemas.microsoft.com/office/spreadsheetml/2009/9/main" uri="{B025F937-C7B1-47D3-B67F-A62EFF666E3E}">
          <x14:id>{F181AE9A-65D1-4AD7-864B-D547AD909783}</x14:id>
        </ext>
      </extLst>
    </cfRule>
  </conditionalFormatting>
  <conditionalFormatting sqref="C70">
    <cfRule type="cellIs" dxfId="44" priority="1" operator="greaterThan">
      <formula>1</formula>
    </cfRule>
    <cfRule type="dataBar" priority="2">
      <dataBar>
        <cfvo type="num" val="0"/>
        <cfvo type="num" val="0.99"/>
        <color rgb="FF638EC6"/>
      </dataBar>
      <extLst>
        <ext xmlns:x14="http://schemas.microsoft.com/office/spreadsheetml/2009/9/main" uri="{B025F937-C7B1-47D3-B67F-A62EFF666E3E}">
          <x14:id>{5888A85F-F0A1-4EE2-8DF0-32D1506FC00C}</x14:id>
        </ext>
      </extLst>
    </cfRule>
    <cfRule type="dataBar" priority="3">
      <dataBar>
        <cfvo type="num" val="0"/>
        <cfvo type="num" val="1"/>
        <color rgb="FF638EC6"/>
      </dataBar>
      <extLst>
        <ext xmlns:x14="http://schemas.microsoft.com/office/spreadsheetml/2009/9/main" uri="{B025F937-C7B1-47D3-B67F-A62EFF666E3E}">
          <x14:id>{BEA149EF-B365-42A0-B3EA-3ABF2376CFEE}</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A987651B-7735-444E-AABA-5F9981AC931A}">
            <x14:dataBar minLength="0" maxLength="100">
              <x14:cfvo type="num">
                <xm:f>0</xm:f>
              </x14:cfvo>
              <x14:cfvo type="num">
                <xm:f>0.99</xm:f>
              </x14:cfvo>
              <x14:negativeFillColor rgb="FFFF0000"/>
              <x14:axisColor rgb="FF000000"/>
            </x14:dataBar>
          </x14:cfRule>
          <x14:cfRule type="dataBar" id="{9B18A17F-2CFE-4264-B4AC-1756AC181ADA}">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EA60418A-6F44-4AD5-8801-41FC2037222B}">
            <x14:dataBar minLength="0" maxLength="100">
              <x14:cfvo type="num">
                <xm:f>0</xm:f>
              </x14:cfvo>
              <x14:cfvo type="num">
                <xm:f>0.99</xm:f>
              </x14:cfvo>
              <x14:negativeFillColor rgb="FFFF0000"/>
              <x14:axisColor rgb="FF000000"/>
            </x14:dataBar>
          </x14:cfRule>
          <x14:cfRule type="dataBar" id="{A0987A34-0029-458C-8609-62EADE1A7E36}">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43070202-44BF-470A-8A09-1E64F15A6D30}">
            <x14:dataBar minLength="0" maxLength="100">
              <x14:cfvo type="num">
                <xm:f>0</xm:f>
              </x14:cfvo>
              <x14:cfvo type="num">
                <xm:f>0.99</xm:f>
              </x14:cfvo>
              <x14:negativeFillColor rgb="FFFF0000"/>
              <x14:axisColor rgb="FF000000"/>
            </x14:dataBar>
          </x14:cfRule>
          <x14:cfRule type="dataBar" id="{F181AE9A-65D1-4AD7-864B-D547AD909783}">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5888A85F-F0A1-4EE2-8DF0-32D1506FC00C}">
            <x14:dataBar minLength="0" maxLength="100">
              <x14:cfvo type="num">
                <xm:f>0</xm:f>
              </x14:cfvo>
              <x14:cfvo type="num">
                <xm:f>0.99</xm:f>
              </x14:cfvo>
              <x14:negativeFillColor rgb="FFFF0000"/>
              <x14:axisColor rgb="FF000000"/>
            </x14:dataBar>
          </x14:cfRule>
          <x14:cfRule type="dataBar" id="{BEA149EF-B365-42A0-B3EA-3ABF2376CFEE}">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D5852-AD6B-482D-91A9-844D2F630706}">
  <sheetPr codeName="Tabelle54">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Kalk4_Eingabe!C4</f>
        <v>PREFA</v>
      </c>
      <c r="D4" s="547"/>
      <c r="E4" s="548"/>
      <c r="F4" s="150"/>
      <c r="G4" s="150"/>
      <c r="H4" s="151"/>
      <c r="I4" s="148"/>
    </row>
    <row r="5" spans="1:11" ht="16.5" customHeight="1">
      <c r="A5" s="148"/>
      <c r="B5" s="164" t="s">
        <v>22319</v>
      </c>
      <c r="C5" s="549" t="str">
        <f>Kalk4_Eingabe!C5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22606</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0.79</v>
      </c>
      <c r="D11" s="151" t="s">
        <v>22394</v>
      </c>
      <c r="E11" s="163" t="s">
        <v>22397</v>
      </c>
      <c r="F11" s="177"/>
      <c r="G11" s="148"/>
      <c r="H11" s="148"/>
      <c r="I11" s="148"/>
    </row>
    <row r="12" spans="1:11" ht="14.25" customHeight="1">
      <c r="A12" s="179"/>
      <c r="B12" s="175" t="s">
        <v>22398</v>
      </c>
      <c r="C12" s="187">
        <v>11.84</v>
      </c>
      <c r="D12" s="151" t="s">
        <v>22372</v>
      </c>
      <c r="E12" s="163" t="s">
        <v>22399</v>
      </c>
      <c r="F12" s="178"/>
      <c r="G12" s="181"/>
      <c r="H12" s="148"/>
      <c r="I12" s="148"/>
    </row>
    <row r="13" spans="1:11" ht="14.25" customHeight="1">
      <c r="A13" s="148"/>
      <c r="B13" s="162" t="s">
        <v>22400</v>
      </c>
      <c r="C13" s="187">
        <v>9.89</v>
      </c>
      <c r="D13" s="168" t="s">
        <v>22401</v>
      </c>
      <c r="E13" s="183" t="s">
        <v>22402</v>
      </c>
      <c r="F13" s="177"/>
      <c r="G13" s="148"/>
      <c r="H13" s="148"/>
      <c r="I13" s="148"/>
    </row>
    <row r="14" spans="1:11" ht="14.25" customHeight="1">
      <c r="B14" s="162" t="s">
        <v>22502</v>
      </c>
      <c r="C14" s="187">
        <v>8.1199999999999992</v>
      </c>
      <c r="D14" s="168" t="s">
        <v>22401</v>
      </c>
      <c r="E14" s="183" t="s">
        <v>22503</v>
      </c>
      <c r="H14" s="152" t="s">
        <v>24944</v>
      </c>
    </row>
    <row r="15" spans="1:11" ht="14.25" customHeight="1">
      <c r="B15" s="165" t="s">
        <v>22504</v>
      </c>
      <c r="C15" s="185">
        <f>ROUNDUP((Kalk4_Eingabe!C18+Kalk4_Eingabe!C20)/0.202,0)</f>
        <v>0</v>
      </c>
      <c r="D15" s="168" t="s">
        <v>20892</v>
      </c>
      <c r="E15" s="183" t="s">
        <v>22484</v>
      </c>
      <c r="H15" s="165" t="s">
        <v>22504</v>
      </c>
      <c r="I15" s="185">
        <f>ROUNDUP((Kalk4_Eingabe!C18+Kalk4_Eingabe!C20)/0.202,0)</f>
        <v>0</v>
      </c>
      <c r="J15" s="168" t="s">
        <v>20892</v>
      </c>
      <c r="K15" s="183" t="s">
        <v>22484</v>
      </c>
    </row>
    <row r="16" spans="1:11" ht="14.25" customHeight="1">
      <c r="B16" s="165" t="s">
        <v>22607</v>
      </c>
      <c r="C16" s="185">
        <f>(17+Kalk4!H29+10)/1000</f>
        <v>2.7E-2</v>
      </c>
      <c r="D16" s="168" t="s">
        <v>6945</v>
      </c>
      <c r="E16" s="183" t="s">
        <v>22352</v>
      </c>
      <c r="H16" s="165" t="s">
        <v>22607</v>
      </c>
      <c r="I16" s="185">
        <f>(17+C15*202+10)/1000</f>
        <v>2.7E-2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22611</v>
      </c>
    </row>
    <row r="27" spans="1:8" ht="14.25" customHeight="1" thickBot="1">
      <c r="B27" s="193" t="s">
        <v>22486</v>
      </c>
      <c r="C27" s="194" t="e">
        <f>MAX(Kalk4_Lastfallkombi!C50,Kalk4_Lastfallkombi!C60,Kalk4_Lastfallkombi!C65,Kalk4_Lastfallkombi!C69)</f>
        <v>#DIV/0!</v>
      </c>
      <c r="D27" s="190" t="s">
        <v>22379</v>
      </c>
      <c r="E27" s="183" t="s">
        <v>22487</v>
      </c>
    </row>
    <row r="28" spans="1:8" ht="14.25" customHeight="1" thickBot="1">
      <c r="B28" s="193" t="s">
        <v>22488</v>
      </c>
      <c r="C28" s="194" t="e">
        <f>MAX(Kalk4_Lastfallkombi!C51,Kalk4_Lastfallkombi!C61,Kalk4_Lastfallkombi!C66,Kalk4_Lastfallkombi!C70)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8.2928493210873526</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0.82103134479271977</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1.5915199999999998</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Kalk4_Lastfallkombi!D24*Kalk4_Lastfallkombi!C15/100</f>
        <v>-0.1512</v>
      </c>
      <c r="D45" s="168" t="s">
        <v>22469</v>
      </c>
    </row>
    <row r="46" spans="1:4" ht="14.25" customHeight="1">
      <c r="B46" s="178" t="s">
        <v>22492</v>
      </c>
      <c r="C46" s="185">
        <f>5*C45/100*(Kalk4_Eingabe!C19*100-5)^4/(384*'Kalk4_DB_25-200'!C19*'Kalk4_DB_25-200'!C12)</f>
        <v>-1.4846389358108107E-7</v>
      </c>
      <c r="D46" s="168" t="s">
        <v>22416</v>
      </c>
    </row>
    <row r="47" spans="1:4" ht="14.25" customHeight="1" thickBot="1">
      <c r="B47" s="178" t="s">
        <v>22473</v>
      </c>
      <c r="C47" s="185">
        <f>(Kalk4_Eingabe!C19*100-5)/Haftungsausschluß!L34</f>
        <v>-3.3333333333333333E-2</v>
      </c>
      <c r="D47" s="168" t="s">
        <v>22416</v>
      </c>
    </row>
    <row r="48" spans="1:4" ht="14.25" customHeight="1" thickBot="1">
      <c r="B48" s="193" t="s">
        <v>22474</v>
      </c>
      <c r="C48" s="196">
        <f>C46/C47</f>
        <v>4.4539168074324327E-6</v>
      </c>
    </row>
    <row r="49" spans="2:5" ht="14.25" customHeight="1">
      <c r="B49" s="200" t="s">
        <v>22493</v>
      </c>
      <c r="C49" s="199" t="s">
        <v>22422</v>
      </c>
      <c r="D49" s="199" t="s">
        <v>21191</v>
      </c>
    </row>
    <row r="50" spans="2:5" ht="14.25" customHeight="1">
      <c r="B50" s="178" t="s">
        <v>22494</v>
      </c>
      <c r="C50" s="185" t="e">
        <f>Kalk4_Lastfallkombi!D38*Kalk4_Lastfallkombi!C14/100</f>
        <v>#DIV/0!</v>
      </c>
      <c r="D50" s="185">
        <f>Kalk4_Lastfallkombi!D26*Kalk4_Lastfallkombi!C14/100</f>
        <v>-0.14399999999999999</v>
      </c>
      <c r="E50" s="168" t="s">
        <v>22469</v>
      </c>
    </row>
    <row r="51" spans="2:5" ht="14.25" customHeight="1">
      <c r="B51" s="178" t="s">
        <v>22495</v>
      </c>
      <c r="C51" s="185" t="e">
        <f>5*C50/100*(Kalk4_Eingabe!C19*100-5)^4/(384*'Kalk4_DB_25-200'!C19*'Kalk4_DB_25-200'!C12)</f>
        <v>#DIV/0!</v>
      </c>
      <c r="D51" s="185">
        <f>5*D50/100*(Kalk4_Eingabe!C19*100-5)^4/(384*'Kalk4_DB_25-200'!C19*'Kalk4_DB_25-200'!C12)</f>
        <v>-1.4139418436293436E-7</v>
      </c>
      <c r="E51" s="168" t="s">
        <v>22416</v>
      </c>
    </row>
    <row r="52" spans="2:5" ht="14.25" customHeight="1">
      <c r="B52" s="165" t="s">
        <v>22496</v>
      </c>
      <c r="C52" s="185" t="e">
        <f>Kalk4_Lastfallkombi!D44</f>
        <v>#DIV/0!</v>
      </c>
      <c r="D52" s="185" t="e">
        <f>Kalk4_Lastfallkombi!D54</f>
        <v>#NUM!</v>
      </c>
      <c r="E52" s="168" t="s">
        <v>22469</v>
      </c>
    </row>
    <row r="53" spans="2:5" ht="14.25" customHeight="1">
      <c r="B53" s="165" t="s">
        <v>22497</v>
      </c>
      <c r="C53" s="185">
        <f>(Kalk4_Eingabe!C19-0.5-0.05)/2</f>
        <v>-0.27500000000000002</v>
      </c>
      <c r="D53" s="185">
        <f>C53</f>
        <v>-0.27500000000000002</v>
      </c>
      <c r="E53" s="168" t="s">
        <v>6945</v>
      </c>
    </row>
    <row r="54" spans="2:5" ht="14.25" customHeight="1">
      <c r="B54" s="165" t="s">
        <v>22498</v>
      </c>
      <c r="C54" s="185" t="e">
        <f>C52/100*(Kalk4_Eingabe!C19*100-5)^4/(384*'Kalk4_DB_25-200'!C19*'Kalk4_DB_25-200'!C12)*(5-24*('Kalk4_DB_25-200'!C53*100)^2/(Kalk4_Eingabe!C19*100-5)^2+16*('Kalk4_DB_25-200'!C53*100)^4/(Kalk4_Eingabe!C19*100-5)^4)</f>
        <v>#DIV/0!</v>
      </c>
      <c r="D54" s="185" t="e">
        <f>D52/100*(Kalk4_Eingabe!C19*100-5)^4/(384*'Kalk4_DB_25-200'!C19*'Kalk4_DB_25-200'!C12)*(5-24*('Kalk4_DB_25-200'!C53*100)^2/(Kalk4_Eingabe!C19*100-5)^2+16*('Kalk4_DB_25-200'!C53*100)^4/(Kalk4_Eingabe!C19*100-5)^4)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(Kalk4_Eingabe!C19*100-5)/150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43" priority="10" operator="greaterThan">
      <formula>1</formula>
    </cfRule>
    <cfRule type="dataBar" priority="11">
      <dataBar>
        <cfvo type="num" val="0"/>
        <cfvo type="num" val="0.99"/>
        <color rgb="FF638EC6"/>
      </dataBar>
      <extLst>
        <ext xmlns:x14="http://schemas.microsoft.com/office/spreadsheetml/2009/9/main" uri="{B025F937-C7B1-47D3-B67F-A62EFF666E3E}">
          <x14:id>{AB6E191E-4413-4E50-B758-948A7049FCB3}</x14:id>
        </ext>
      </extLst>
    </cfRule>
    <cfRule type="dataBar" priority="12">
      <dataBar>
        <cfvo type="num" val="0"/>
        <cfvo type="num" val="1"/>
        <color rgb="FF638EC6"/>
      </dataBar>
      <extLst>
        <ext xmlns:x14="http://schemas.microsoft.com/office/spreadsheetml/2009/9/main" uri="{B025F937-C7B1-47D3-B67F-A62EFF666E3E}">
          <x14:id>{59EE4A6E-AA17-4F0B-833F-A315D07D52A3}</x14:id>
        </ext>
      </extLst>
    </cfRule>
  </conditionalFormatting>
  <conditionalFormatting sqref="C41">
    <cfRule type="cellIs" dxfId="42" priority="7" operator="greaterThan">
      <formula>1</formula>
    </cfRule>
    <cfRule type="dataBar" priority="8">
      <dataBar>
        <cfvo type="num" val="0"/>
        <cfvo type="num" val="0.99"/>
        <color rgb="FF638EC6"/>
      </dataBar>
      <extLst>
        <ext xmlns:x14="http://schemas.microsoft.com/office/spreadsheetml/2009/9/main" uri="{B025F937-C7B1-47D3-B67F-A62EFF666E3E}">
          <x14:id>{3789CE69-BA2E-4E6F-9755-8051AB276EEE}</x14:id>
        </ext>
      </extLst>
    </cfRule>
    <cfRule type="dataBar" priority="9">
      <dataBar>
        <cfvo type="num" val="0"/>
        <cfvo type="num" val="1"/>
        <color rgb="FF638EC6"/>
      </dataBar>
      <extLst>
        <ext xmlns:x14="http://schemas.microsoft.com/office/spreadsheetml/2009/9/main" uri="{B025F937-C7B1-47D3-B67F-A62EFF666E3E}">
          <x14:id>{6EA1EA81-E14D-4414-92BA-557A4B8E54FD}</x14:id>
        </ext>
      </extLst>
    </cfRule>
  </conditionalFormatting>
  <conditionalFormatting sqref="C48">
    <cfRule type="cellIs" dxfId="41" priority="4" operator="greaterThan">
      <formula>1</formula>
    </cfRule>
    <cfRule type="dataBar" priority="5">
      <dataBar>
        <cfvo type="num" val="0"/>
        <cfvo type="num" val="0.99"/>
        <color rgb="FF638EC6"/>
      </dataBar>
      <extLst>
        <ext xmlns:x14="http://schemas.microsoft.com/office/spreadsheetml/2009/9/main" uri="{B025F937-C7B1-47D3-B67F-A62EFF666E3E}">
          <x14:id>{F84F3683-E808-4ABA-9591-95F1F233B921}</x14:id>
        </ext>
      </extLst>
    </cfRule>
    <cfRule type="dataBar" priority="6">
      <dataBar>
        <cfvo type="num" val="0"/>
        <cfvo type="num" val="1"/>
        <color rgb="FF638EC6"/>
      </dataBar>
      <extLst>
        <ext xmlns:x14="http://schemas.microsoft.com/office/spreadsheetml/2009/9/main" uri="{B025F937-C7B1-47D3-B67F-A62EFF666E3E}">
          <x14:id>{D7E4DE88-C2BB-4451-AA0F-3B4A3484EC67}</x14:id>
        </ext>
      </extLst>
    </cfRule>
  </conditionalFormatting>
  <conditionalFormatting sqref="C57">
    <cfRule type="cellIs" dxfId="40" priority="1" operator="greaterThan">
      <formula>1</formula>
    </cfRule>
    <cfRule type="dataBar" priority="2">
      <dataBar>
        <cfvo type="num" val="0"/>
        <cfvo type="num" val="0.99"/>
        <color rgb="FF638EC6"/>
      </dataBar>
      <extLst>
        <ext xmlns:x14="http://schemas.microsoft.com/office/spreadsheetml/2009/9/main" uri="{B025F937-C7B1-47D3-B67F-A62EFF666E3E}">
          <x14:id>{555ACBA8-82C5-45DB-BE6C-D9EF56F34D9A}</x14:id>
        </ext>
      </extLst>
    </cfRule>
    <cfRule type="dataBar" priority="3">
      <dataBar>
        <cfvo type="num" val="0"/>
        <cfvo type="num" val="1"/>
        <color rgb="FF638EC6"/>
      </dataBar>
      <extLst>
        <ext xmlns:x14="http://schemas.microsoft.com/office/spreadsheetml/2009/9/main" uri="{B025F937-C7B1-47D3-B67F-A62EFF666E3E}">
          <x14:id>{A034289D-5BDA-4FCB-A8A0-FFF414840088}</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AB6E191E-4413-4E50-B758-948A7049FCB3}">
            <x14:dataBar minLength="0" maxLength="100">
              <x14:cfvo type="num">
                <xm:f>0</xm:f>
              </x14:cfvo>
              <x14:cfvo type="num">
                <xm:f>0.99</xm:f>
              </x14:cfvo>
              <x14:negativeFillColor rgb="FFFF0000"/>
              <x14:axisColor rgb="FF000000"/>
            </x14:dataBar>
          </x14:cfRule>
          <x14:cfRule type="dataBar" id="{59EE4A6E-AA17-4F0B-833F-A315D07D52A3}">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3789CE69-BA2E-4E6F-9755-8051AB276EEE}">
            <x14:dataBar minLength="0" maxLength="100">
              <x14:cfvo type="num">
                <xm:f>0</xm:f>
              </x14:cfvo>
              <x14:cfvo type="num">
                <xm:f>0.99</xm:f>
              </x14:cfvo>
              <x14:negativeFillColor rgb="FFFF0000"/>
              <x14:axisColor rgb="FF000000"/>
            </x14:dataBar>
          </x14:cfRule>
          <x14:cfRule type="dataBar" id="{6EA1EA81-E14D-4414-92BA-557A4B8E54FD}">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F84F3683-E808-4ABA-9591-95F1F233B921}">
            <x14:dataBar minLength="0" maxLength="100">
              <x14:cfvo type="num">
                <xm:f>0</xm:f>
              </x14:cfvo>
              <x14:cfvo type="num">
                <xm:f>0.99</xm:f>
              </x14:cfvo>
              <x14:negativeFillColor rgb="FFFF0000"/>
              <x14:axisColor rgb="FF000000"/>
            </x14:dataBar>
          </x14:cfRule>
          <x14:cfRule type="dataBar" id="{D7E4DE88-C2BB-4451-AA0F-3B4A3484EC67}">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555ACBA8-82C5-45DB-BE6C-D9EF56F34D9A}">
            <x14:dataBar minLength="0" maxLength="100">
              <x14:cfvo type="num">
                <xm:f>0</xm:f>
              </x14:cfvo>
              <x14:cfvo type="num">
                <xm:f>0.99</xm:f>
              </x14:cfvo>
              <x14:negativeFillColor rgb="FFFF0000"/>
              <x14:axisColor rgb="FF000000"/>
            </x14:dataBar>
          </x14:cfRule>
          <x14:cfRule type="dataBar" id="{A034289D-5BDA-4FCB-A8A0-FFF414840088}">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E43B7-5514-4071-A974-8B319D813C68}">
  <sheetPr codeName="Tabelle55">
    <pageSetUpPr fitToPage="1"/>
  </sheetPr>
  <dimension ref="A1:K57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Kalk4_Eingabe!C4</f>
        <v>PREFA</v>
      </c>
      <c r="D4" s="547"/>
      <c r="E4" s="548"/>
      <c r="F4" s="150"/>
      <c r="G4" s="150"/>
      <c r="H4" s="151"/>
      <c r="I4" s="148"/>
    </row>
    <row r="5" spans="1:11" ht="16.5" customHeight="1">
      <c r="A5" s="148"/>
      <c r="B5" s="164" t="s">
        <v>22319</v>
      </c>
      <c r="C5" s="549" t="str">
        <f>Kalk4_Eingabe!C5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22481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3.13</v>
      </c>
      <c r="D11" s="151" t="s">
        <v>22394</v>
      </c>
      <c r="E11" s="163" t="s">
        <v>22397</v>
      </c>
      <c r="F11" s="177"/>
      <c r="G11" s="148"/>
      <c r="H11" s="148"/>
      <c r="I11" s="148"/>
    </row>
    <row r="12" spans="1:11" ht="14.25" customHeight="1">
      <c r="A12" s="179"/>
      <c r="B12" s="175" t="s">
        <v>22398</v>
      </c>
      <c r="C12" s="187">
        <v>82.62</v>
      </c>
      <c r="D12" s="151" t="s">
        <v>22372</v>
      </c>
      <c r="E12" s="163" t="s">
        <v>22399</v>
      </c>
      <c r="F12" s="178"/>
      <c r="G12" s="181"/>
      <c r="H12" s="148"/>
      <c r="I12" s="148"/>
    </row>
    <row r="13" spans="1:11" ht="14.25" customHeight="1">
      <c r="A13" s="148"/>
      <c r="B13" s="162" t="s">
        <v>22400</v>
      </c>
      <c r="C13" s="187">
        <v>33.049999999999997</v>
      </c>
      <c r="D13" s="168" t="s">
        <v>22401</v>
      </c>
      <c r="E13" s="183" t="s">
        <v>22402</v>
      </c>
      <c r="F13" s="177"/>
      <c r="G13" s="148"/>
      <c r="H13" s="148"/>
      <c r="I13" s="148"/>
    </row>
    <row r="14" spans="1:11" ht="14.25" customHeight="1">
      <c r="B14" s="162" t="s">
        <v>22403</v>
      </c>
      <c r="C14" s="187">
        <v>39.35</v>
      </c>
      <c r="D14" s="168" t="s">
        <v>22401</v>
      </c>
      <c r="E14" s="183" t="s">
        <v>22404</v>
      </c>
      <c r="H14" s="152" t="s">
        <v>24944</v>
      </c>
    </row>
    <row r="15" spans="1:11" ht="14.25" customHeight="1">
      <c r="B15" s="165" t="s">
        <v>22483</v>
      </c>
      <c r="C15" s="185">
        <f>ROUNDUP((Kalk4_Eingabe!C18+Kalk4_Eingabe!C20)/0.15,0)</f>
        <v>0</v>
      </c>
      <c r="D15" s="168" t="s">
        <v>20892</v>
      </c>
      <c r="E15" s="183" t="s">
        <v>22484</v>
      </c>
      <c r="H15" s="165" t="s">
        <v>22483</v>
      </c>
      <c r="I15" s="185">
        <f>ROUNDUP((Kalk4_Eingabe!C18+Kalk4_Eingabe!C20)/0.15,0)</f>
        <v>0</v>
      </c>
      <c r="J15" s="168" t="s">
        <v>20892</v>
      </c>
      <c r="K15" s="183" t="s">
        <v>22484</v>
      </c>
    </row>
    <row r="16" spans="1:11" ht="14.25" customHeight="1">
      <c r="B16" s="165" t="s">
        <v>22598</v>
      </c>
      <c r="C16" s="185">
        <f>(15+Kalk4!H29+10)/1000</f>
        <v>2.5000000000000001E-2</v>
      </c>
      <c r="D16" s="168" t="s">
        <v>6945</v>
      </c>
      <c r="E16" s="183" t="s">
        <v>22352</v>
      </c>
      <c r="H16" s="165" t="s">
        <v>22598</v>
      </c>
      <c r="I16" s="185">
        <f>(15+C15*150+10)/1000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MAX(Kalk4_Lastfallkombi!C50,Kalk4_Lastfallkombi!C60,Kalk4_Lastfallkombi!C65,Kalk4_Lastfallkombi!C69)</f>
        <v>#DIV/0!</v>
      </c>
      <c r="D27" s="190" t="s">
        <v>22379</v>
      </c>
      <c r="E27" s="183" t="s">
        <v>22487</v>
      </c>
    </row>
    <row r="28" spans="1:8" ht="14.25" customHeight="1" thickBot="1">
      <c r="B28" s="193" t="s">
        <v>22488</v>
      </c>
      <c r="C28" s="194" t="e">
        <f>MAX(Kalk4_Lastfallkombi!C51,Kalk4_Lastfallkombi!C61,Kalk4_Lastfallkombi!C66,Kalk4_Lastfallkombi!C70)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32.856478955700517</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1.1906202723146748</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7.7126000000000001</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Kalk4_Lastfallkombi!D24*Kalk4_Lastfallkombi!C15/100</f>
        <v>-0.1512</v>
      </c>
      <c r="D45" s="168" t="s">
        <v>22469</v>
      </c>
    </row>
    <row r="46" spans="1:4" ht="14.25" customHeight="1">
      <c r="B46" s="178" t="s">
        <v>22492</v>
      </c>
      <c r="C46" s="185">
        <f>5*C45/100*(Kalk4_Eingabe!C19*100-5)^4/(384*'Kalk4_DB_50-150'!C19*'Kalk4_DB_50-150'!C12)</f>
        <v>-2.1275871459694988E-8</v>
      </c>
      <c r="D46" s="168" t="s">
        <v>22416</v>
      </c>
    </row>
    <row r="47" spans="1:4" ht="14.25" customHeight="1" thickBot="1">
      <c r="B47" s="178" t="s">
        <v>22473</v>
      </c>
      <c r="C47" s="185">
        <f>(Kalk4_Eingabe!C19*100-5)/Haftungsausschluß!L34</f>
        <v>-3.3333333333333333E-2</v>
      </c>
      <c r="D47" s="168" t="s">
        <v>22416</v>
      </c>
    </row>
    <row r="48" spans="1:4" ht="14.25" customHeight="1" thickBot="1">
      <c r="B48" s="193" t="s">
        <v>22474</v>
      </c>
      <c r="C48" s="196">
        <f>C46/C47</f>
        <v>6.3827614379084963E-7</v>
      </c>
    </row>
    <row r="49" spans="2:5" ht="14.25" customHeight="1">
      <c r="B49" s="200" t="s">
        <v>22493</v>
      </c>
      <c r="C49" s="199" t="s">
        <v>22422</v>
      </c>
      <c r="D49" s="199" t="s">
        <v>21191</v>
      </c>
    </row>
    <row r="50" spans="2:5" ht="14.25" customHeight="1">
      <c r="B50" s="178" t="s">
        <v>22494</v>
      </c>
      <c r="C50" s="185" t="e">
        <f>Kalk4_Lastfallkombi!D38*Kalk4_Lastfallkombi!C14/100</f>
        <v>#DIV/0!</v>
      </c>
      <c r="D50" s="185">
        <f>Kalk4_Lastfallkombi!D26*Kalk4_Lastfallkombi!C14/100</f>
        <v>-0.14399999999999999</v>
      </c>
      <c r="E50" s="168" t="s">
        <v>22469</v>
      </c>
    </row>
    <row r="51" spans="2:5" ht="14.25" customHeight="1">
      <c r="B51" s="178" t="s">
        <v>22495</v>
      </c>
      <c r="C51" s="185" t="e">
        <f>5*C50/100*(Kalk4_Eingabe!C19*100-5)^4/(384*'Kalk4_DB_50-150'!C19*'Kalk4_DB_50-150'!C12)</f>
        <v>#DIV/0!</v>
      </c>
      <c r="D51" s="185">
        <f>5*D50/100*(Kalk4_Eingabe!C19*100-5)^4/(384*'Kalk4_DB_50-150'!C19*'Kalk4_DB_50-150'!C12)</f>
        <v>-2.0262734723519038E-8</v>
      </c>
      <c r="E51" s="168" t="s">
        <v>22416</v>
      </c>
    </row>
    <row r="52" spans="2:5" ht="14.25" customHeight="1">
      <c r="B52" s="165" t="s">
        <v>22496</v>
      </c>
      <c r="C52" s="185" t="e">
        <f>Kalk4_Lastfallkombi!D44</f>
        <v>#DIV/0!</v>
      </c>
      <c r="D52" s="185" t="e">
        <f>Kalk4_Lastfallkombi!D54</f>
        <v>#NUM!</v>
      </c>
      <c r="E52" s="168" t="s">
        <v>22469</v>
      </c>
    </row>
    <row r="53" spans="2:5" ht="14.25" customHeight="1">
      <c r="B53" s="165" t="s">
        <v>22497</v>
      </c>
      <c r="C53" s="185">
        <f>(Kalk4_Eingabe!C19-0.5-0.05)/2</f>
        <v>-0.27500000000000002</v>
      </c>
      <c r="D53" s="185">
        <f>C53</f>
        <v>-0.27500000000000002</v>
      </c>
      <c r="E53" s="168" t="s">
        <v>6945</v>
      </c>
    </row>
    <row r="54" spans="2:5" ht="14.25" customHeight="1">
      <c r="B54" s="165" t="s">
        <v>22498</v>
      </c>
      <c r="C54" s="185" t="e">
        <f>C52/100*(Kalk4_Eingabe!C19*100-5)^4/(384*'Kalk4_DB_50-150'!C19*'Kalk4_DB_50-150'!C12)*(5-24*('Kalk4_DB_50-150'!C53*100)^2/(Kalk4_Eingabe!C19*100-5)^2+16*('Kalk4_DB_50-150'!C53*100)^4/(Kalk4_Eingabe!C19*100-5)^4)</f>
        <v>#DIV/0!</v>
      </c>
      <c r="D54" s="185" t="e">
        <f>D52/100*(Kalk4_Eingabe!C19*100-5)^4/(384*'Kalk4_DB_50-150'!C19*'Kalk4_DB_50-150'!C12)*(5-24*('Kalk4_DB_50-150'!C53*100)^2/(Kalk4_Eingabe!C19*100-5)^2+16*('Kalk4_DB_50-150'!C53*100)^4/(Kalk4_Eingabe!C19*100-5)^4)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(Kalk4_Eingabe!C19*100-5)/150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sheetData>
  <mergeCells count="3">
    <mergeCell ref="B1:C1"/>
    <mergeCell ref="C4:E4"/>
    <mergeCell ref="C5:E5"/>
  </mergeCells>
  <conditionalFormatting sqref="C33:C34">
    <cfRule type="cellIs" dxfId="39" priority="10" operator="greaterThan">
      <formula>1</formula>
    </cfRule>
    <cfRule type="dataBar" priority="11">
      <dataBar>
        <cfvo type="num" val="0"/>
        <cfvo type="num" val="0.99"/>
        <color rgb="FF638EC6"/>
      </dataBar>
      <extLst>
        <ext xmlns:x14="http://schemas.microsoft.com/office/spreadsheetml/2009/9/main" uri="{B025F937-C7B1-47D3-B67F-A62EFF666E3E}">
          <x14:id>{A853F6AA-11CA-4E4C-A2DD-C7E3B4D5715D}</x14:id>
        </ext>
      </extLst>
    </cfRule>
    <cfRule type="dataBar" priority="12">
      <dataBar>
        <cfvo type="num" val="0"/>
        <cfvo type="num" val="1"/>
        <color rgb="FF638EC6"/>
      </dataBar>
      <extLst>
        <ext xmlns:x14="http://schemas.microsoft.com/office/spreadsheetml/2009/9/main" uri="{B025F937-C7B1-47D3-B67F-A62EFF666E3E}">
          <x14:id>{982C4625-2109-4432-8CB4-89A29B2CDA5D}</x14:id>
        </ext>
      </extLst>
    </cfRule>
  </conditionalFormatting>
  <conditionalFormatting sqref="C41">
    <cfRule type="cellIs" dxfId="38" priority="7" operator="greaterThan">
      <formula>1</formula>
    </cfRule>
    <cfRule type="dataBar" priority="8">
      <dataBar>
        <cfvo type="num" val="0"/>
        <cfvo type="num" val="0.99"/>
        <color rgb="FF638EC6"/>
      </dataBar>
      <extLst>
        <ext xmlns:x14="http://schemas.microsoft.com/office/spreadsheetml/2009/9/main" uri="{B025F937-C7B1-47D3-B67F-A62EFF666E3E}">
          <x14:id>{60099007-A665-4390-ADA8-0E49E7C98310}</x14:id>
        </ext>
      </extLst>
    </cfRule>
    <cfRule type="dataBar" priority="9">
      <dataBar>
        <cfvo type="num" val="0"/>
        <cfvo type="num" val="1"/>
        <color rgb="FF638EC6"/>
      </dataBar>
      <extLst>
        <ext xmlns:x14="http://schemas.microsoft.com/office/spreadsheetml/2009/9/main" uri="{B025F937-C7B1-47D3-B67F-A62EFF666E3E}">
          <x14:id>{AD80F56E-4827-4BE0-A13F-5955A4A83FDE}</x14:id>
        </ext>
      </extLst>
    </cfRule>
  </conditionalFormatting>
  <conditionalFormatting sqref="C48">
    <cfRule type="cellIs" dxfId="37" priority="4" operator="greaterThan">
      <formula>1</formula>
    </cfRule>
    <cfRule type="dataBar" priority="5">
      <dataBar>
        <cfvo type="num" val="0"/>
        <cfvo type="num" val="0.99"/>
        <color rgb="FF638EC6"/>
      </dataBar>
      <extLst>
        <ext xmlns:x14="http://schemas.microsoft.com/office/spreadsheetml/2009/9/main" uri="{B025F937-C7B1-47D3-B67F-A62EFF666E3E}">
          <x14:id>{552613FC-BAC7-45C4-90AB-DD3D49C52EF7}</x14:id>
        </ext>
      </extLst>
    </cfRule>
    <cfRule type="dataBar" priority="6">
      <dataBar>
        <cfvo type="num" val="0"/>
        <cfvo type="num" val="1"/>
        <color rgb="FF638EC6"/>
      </dataBar>
      <extLst>
        <ext xmlns:x14="http://schemas.microsoft.com/office/spreadsheetml/2009/9/main" uri="{B025F937-C7B1-47D3-B67F-A62EFF666E3E}">
          <x14:id>{6E0936DF-8CAD-4A55-9E7F-9D8DC838B46A}</x14:id>
        </ext>
      </extLst>
    </cfRule>
  </conditionalFormatting>
  <conditionalFormatting sqref="C57">
    <cfRule type="cellIs" dxfId="36" priority="1" operator="greaterThan">
      <formula>1</formula>
    </cfRule>
    <cfRule type="dataBar" priority="2">
      <dataBar>
        <cfvo type="num" val="0"/>
        <cfvo type="num" val="0.99"/>
        <color rgb="FF638EC6"/>
      </dataBar>
      <extLst>
        <ext xmlns:x14="http://schemas.microsoft.com/office/spreadsheetml/2009/9/main" uri="{B025F937-C7B1-47D3-B67F-A62EFF666E3E}">
          <x14:id>{5C5A61B0-9CCE-45CC-9EC6-DF38F7863589}</x14:id>
        </ext>
      </extLst>
    </cfRule>
    <cfRule type="dataBar" priority="3">
      <dataBar>
        <cfvo type="num" val="0"/>
        <cfvo type="num" val="1"/>
        <color rgb="FF638EC6"/>
      </dataBar>
      <extLst>
        <ext xmlns:x14="http://schemas.microsoft.com/office/spreadsheetml/2009/9/main" uri="{B025F937-C7B1-47D3-B67F-A62EFF666E3E}">
          <x14:id>{69D9061C-1E9C-46D3-BF8C-853F756D5E78}</x14:id>
        </ext>
      </extLst>
    </cfRule>
  </conditionalFormatting>
  <pageMargins left="0.39370078740157483" right="0.39370078740157483" top="0.39370078740157483" bottom="0.39370078740157483" header="0.31496062992125984" footer="0.31496062992125984"/>
  <pageSetup paperSize="9" scale="79"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A853F6AA-11CA-4E4C-A2DD-C7E3B4D5715D}">
            <x14:dataBar minLength="0" maxLength="100">
              <x14:cfvo type="num">
                <xm:f>0</xm:f>
              </x14:cfvo>
              <x14:cfvo type="num">
                <xm:f>0.99</xm:f>
              </x14:cfvo>
              <x14:negativeFillColor rgb="FFFF0000"/>
              <x14:axisColor rgb="FF000000"/>
            </x14:dataBar>
          </x14:cfRule>
          <x14:cfRule type="dataBar" id="{982C4625-2109-4432-8CB4-89A29B2CDA5D}">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60099007-A665-4390-ADA8-0E49E7C98310}">
            <x14:dataBar minLength="0" maxLength="100">
              <x14:cfvo type="num">
                <xm:f>0</xm:f>
              </x14:cfvo>
              <x14:cfvo type="num">
                <xm:f>0.99</xm:f>
              </x14:cfvo>
              <x14:negativeFillColor rgb="FFFF0000"/>
              <x14:axisColor rgb="FF000000"/>
            </x14:dataBar>
          </x14:cfRule>
          <x14:cfRule type="dataBar" id="{AD80F56E-4827-4BE0-A13F-5955A4A83FDE}">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552613FC-BAC7-45C4-90AB-DD3D49C52EF7}">
            <x14:dataBar minLength="0" maxLength="100">
              <x14:cfvo type="num">
                <xm:f>0</xm:f>
              </x14:cfvo>
              <x14:cfvo type="num">
                <xm:f>0.99</xm:f>
              </x14:cfvo>
              <x14:negativeFillColor rgb="FFFF0000"/>
              <x14:axisColor rgb="FF000000"/>
            </x14:dataBar>
          </x14:cfRule>
          <x14:cfRule type="dataBar" id="{6E0936DF-8CAD-4A55-9E7F-9D8DC838B46A}">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5C5A61B0-9CCE-45CC-9EC6-DF38F7863589}">
            <x14:dataBar minLength="0" maxLength="100">
              <x14:cfvo type="num">
                <xm:f>0</xm:f>
              </x14:cfvo>
              <x14:cfvo type="num">
                <xm:f>0.99</xm:f>
              </x14:cfvo>
              <x14:negativeFillColor rgb="FFFF0000"/>
              <x14:axisColor rgb="FF000000"/>
            </x14:dataBar>
          </x14:cfRule>
          <x14:cfRule type="dataBar" id="{69D9061C-1E9C-46D3-BF8C-853F756D5E78}">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205C1-2703-4C83-969A-E1979C07BC69}">
  <sheetPr codeName="Tabelle56">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Kalk4_Eingabe!C4</f>
        <v>PREFA</v>
      </c>
      <c r="D4" s="547"/>
      <c r="E4" s="548"/>
      <c r="F4" s="150"/>
      <c r="G4" s="150"/>
      <c r="H4" s="151"/>
      <c r="I4" s="148"/>
    </row>
    <row r="5" spans="1:11" ht="16.5" customHeight="1">
      <c r="A5" s="148"/>
      <c r="B5" s="164" t="s">
        <v>22319</v>
      </c>
      <c r="C5" s="549" t="str">
        <f>Kalk4_Eingabe!C5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22501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2.11</v>
      </c>
      <c r="D11" s="151" t="s">
        <v>22394</v>
      </c>
      <c r="E11" s="163" t="s">
        <v>22397</v>
      </c>
      <c r="F11" s="177"/>
      <c r="G11" s="148"/>
      <c r="H11" s="148"/>
      <c r="I11" s="148"/>
    </row>
    <row r="12" spans="1:11" ht="14.25" customHeight="1">
      <c r="A12" s="179"/>
      <c r="B12" s="175" t="s">
        <v>22398</v>
      </c>
      <c r="C12" s="187">
        <v>62.14</v>
      </c>
      <c r="D12" s="151" t="s">
        <v>22372</v>
      </c>
      <c r="E12" s="163" t="s">
        <v>22399</v>
      </c>
      <c r="F12" s="178"/>
      <c r="G12" s="181"/>
      <c r="H12" s="148"/>
      <c r="I12" s="148"/>
    </row>
    <row r="13" spans="1:11" ht="14.25" customHeight="1">
      <c r="A13" s="148"/>
      <c r="B13" s="162" t="s">
        <v>22400</v>
      </c>
      <c r="C13" s="187">
        <v>25.78</v>
      </c>
      <c r="D13" s="168" t="s">
        <v>22401</v>
      </c>
      <c r="E13" s="183" t="s">
        <v>22402</v>
      </c>
      <c r="F13" s="177"/>
      <c r="G13" s="148"/>
      <c r="H13" s="148"/>
      <c r="I13" s="148"/>
    </row>
    <row r="14" spans="1:11" ht="14.25" customHeight="1">
      <c r="B14" s="162" t="s">
        <v>22502</v>
      </c>
      <c r="C14" s="187">
        <v>21.34</v>
      </c>
      <c r="D14" s="168" t="s">
        <v>22401</v>
      </c>
      <c r="E14" s="183" t="s">
        <v>22503</v>
      </c>
      <c r="H14" s="152" t="s">
        <v>24944</v>
      </c>
    </row>
    <row r="15" spans="1:11" ht="14.25" customHeight="1">
      <c r="B15" s="165" t="s">
        <v>22504</v>
      </c>
      <c r="C15" s="185">
        <f>ROUNDUP((Kalk4_Eingabe!C18+Kalk4_Eingabe!C20)/0.2,0)</f>
        <v>0</v>
      </c>
      <c r="D15" s="168" t="s">
        <v>20892</v>
      </c>
      <c r="E15" s="183" t="s">
        <v>22484</v>
      </c>
      <c r="H15" s="165" t="s">
        <v>22504</v>
      </c>
      <c r="I15" s="185">
        <f>ROUNDUP((Kalk4_Eingabe!C18+Kalk4_Eingabe!C20)/0.2,0)</f>
        <v>0</v>
      </c>
      <c r="J15" s="168" t="s">
        <v>20892</v>
      </c>
      <c r="K15" s="183" t="s">
        <v>22484</v>
      </c>
    </row>
    <row r="16" spans="1:11" ht="14.25" customHeight="1">
      <c r="B16" s="165" t="s">
        <v>22599</v>
      </c>
      <c r="C16" s="185">
        <f>(15+Kalk4!H29+10)/1000</f>
        <v>2.5000000000000001E-2</v>
      </c>
      <c r="D16" s="168" t="s">
        <v>6945</v>
      </c>
      <c r="E16" s="183" t="s">
        <v>22352</v>
      </c>
      <c r="H16" s="165" t="s">
        <v>22599</v>
      </c>
      <c r="I16" s="185">
        <f>(15+C15*200+10)/1000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MAX(Kalk4_Lastfallkombi!C50,Kalk4_Lastfallkombi!C60,Kalk4_Lastfallkombi!C65,Kalk4_Lastfallkombi!C69)</f>
        <v>#DIV/0!</v>
      </c>
      <c r="D27" s="190" t="s">
        <v>22379</v>
      </c>
      <c r="E27" s="183" t="s">
        <v>22487</v>
      </c>
    </row>
    <row r="28" spans="1:8" ht="14.25" customHeight="1" thickBot="1">
      <c r="B28" s="193" t="s">
        <v>22488</v>
      </c>
      <c r="C28" s="194" t="e">
        <f>MAX(Kalk4_Lastfallkombi!C51,Kalk4_Lastfallkombi!C61,Kalk4_Lastfallkombi!C66,Kalk4_Lastfallkombi!C70)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22.149255781638367</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0.82777346780449956</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4.1826400000000001</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Kalk4_Lastfallkombi!D24*Kalk4_Lastfallkombi!C15/100</f>
        <v>-0.1512</v>
      </c>
      <c r="D45" s="168" t="s">
        <v>22469</v>
      </c>
    </row>
    <row r="46" spans="1:4" ht="14.25" customHeight="1">
      <c r="B46" s="178" t="s">
        <v>22492</v>
      </c>
      <c r="C46" s="185">
        <f>5*C45/100*(Kalk4_Eingabe!C19*100-5)^4/(384*'Kalk4_DB_50-200'!C19*'Kalk4_DB_50-200'!C12)</f>
        <v>-2.8287938525909236E-8</v>
      </c>
      <c r="D46" s="168" t="s">
        <v>22416</v>
      </c>
    </row>
    <row r="47" spans="1:4" ht="14.25" customHeight="1" thickBot="1">
      <c r="B47" s="178" t="s">
        <v>22473</v>
      </c>
      <c r="C47" s="185">
        <f>(Kalk4_Eingabe!C19*100-5)/Haftungsausschluß!L34</f>
        <v>-3.3333333333333333E-2</v>
      </c>
      <c r="D47" s="168" t="s">
        <v>22416</v>
      </c>
    </row>
    <row r="48" spans="1:4" ht="14.25" customHeight="1" thickBot="1">
      <c r="B48" s="193" t="s">
        <v>22474</v>
      </c>
      <c r="C48" s="196">
        <f>C46/C47</f>
        <v>8.4863815577727707E-7</v>
      </c>
    </row>
    <row r="49" spans="2:5" ht="14.25" customHeight="1">
      <c r="B49" s="200" t="s">
        <v>22493</v>
      </c>
      <c r="C49" s="199" t="s">
        <v>22422</v>
      </c>
      <c r="D49" s="199" t="s">
        <v>21191</v>
      </c>
    </row>
    <row r="50" spans="2:5" ht="14.25" customHeight="1">
      <c r="B50" s="178" t="s">
        <v>22494</v>
      </c>
      <c r="C50" s="185" t="e">
        <f>Kalk4_Lastfallkombi!D38*Kalk4_Lastfallkombi!C14/100</f>
        <v>#DIV/0!</v>
      </c>
      <c r="D50" s="185">
        <f>Kalk4_Lastfallkombi!D26*Kalk4_Lastfallkombi!C14/100</f>
        <v>-0.14399999999999999</v>
      </c>
      <c r="E50" s="168" t="s">
        <v>22469</v>
      </c>
    </row>
    <row r="51" spans="2:5" ht="14.25" customHeight="1">
      <c r="B51" s="178" t="s">
        <v>22495</v>
      </c>
      <c r="C51" s="185" t="e">
        <f>5*C50/100*(Kalk4_Eingabe!C19*100-5)^4/(384*'Kalk4_DB_50-200'!C19*'Kalk4_DB_50-200'!C12)</f>
        <v>#DIV/0!</v>
      </c>
      <c r="D51" s="185">
        <f>5*D50/100*(Kalk4_Eingabe!C19*100-5)^4/(384*'Kalk4_DB_50-200'!C19*'Kalk4_DB_50-200'!C12)</f>
        <v>-2.6940893834199275E-8</v>
      </c>
      <c r="E51" s="168" t="s">
        <v>22416</v>
      </c>
    </row>
    <row r="52" spans="2:5" ht="14.25" customHeight="1">
      <c r="B52" s="165" t="s">
        <v>22496</v>
      </c>
      <c r="C52" s="185" t="e">
        <f>Kalk4_Lastfallkombi!D44</f>
        <v>#DIV/0!</v>
      </c>
      <c r="D52" s="185" t="e">
        <f>Kalk4_Lastfallkombi!D54</f>
        <v>#NUM!</v>
      </c>
      <c r="E52" s="168" t="s">
        <v>22469</v>
      </c>
    </row>
    <row r="53" spans="2:5" ht="14.25" customHeight="1">
      <c r="B53" s="165" t="s">
        <v>22497</v>
      </c>
      <c r="C53" s="185">
        <f>(Kalk4_Eingabe!C19-0.5-0.05)/2</f>
        <v>-0.27500000000000002</v>
      </c>
      <c r="D53" s="185">
        <f>C53</f>
        <v>-0.27500000000000002</v>
      </c>
      <c r="E53" s="168" t="s">
        <v>6945</v>
      </c>
    </row>
    <row r="54" spans="2:5" ht="14.25" customHeight="1">
      <c r="B54" s="165" t="s">
        <v>22498</v>
      </c>
      <c r="C54" s="185" t="e">
        <f>C52/100*(Kalk4_Eingabe!C19*100-5)^4/(384*'Kalk4_DB_50-200'!C19*'Kalk4_DB_50-200'!C12)*(5-24*('Kalk4_DB_50-200'!C53*100)^2/(Kalk4_Eingabe!C19*100-5)^2+16*('Kalk4_DB_50-200'!C53*100)^4/(Kalk4_Eingabe!C19*100-5)^4)</f>
        <v>#DIV/0!</v>
      </c>
      <c r="D54" s="185" t="e">
        <f>D52/100*(Kalk4_Eingabe!C19*100-5)^4/(384*'Kalk4_DB_50-200'!C19*'Kalk4_DB_50-200'!C12)*(5-24*('Kalk4_DB_50-200'!C53*100)^2/(Kalk4_Eingabe!C19*100-5)^2+16*('Kalk4_DB_50-200'!C53*100)^4/(Kalk4_Eingabe!C19*100-5)^4)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(Kalk4_Eingabe!C19*100-5)/150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35" priority="10" operator="greaterThan">
      <formula>1</formula>
    </cfRule>
    <cfRule type="dataBar" priority="11">
      <dataBar>
        <cfvo type="num" val="0"/>
        <cfvo type="num" val="0.99"/>
        <color rgb="FF638EC6"/>
      </dataBar>
      <extLst>
        <ext xmlns:x14="http://schemas.microsoft.com/office/spreadsheetml/2009/9/main" uri="{B025F937-C7B1-47D3-B67F-A62EFF666E3E}">
          <x14:id>{868DE88D-102D-48AB-9BB7-6CF8F03722A4}</x14:id>
        </ext>
      </extLst>
    </cfRule>
    <cfRule type="dataBar" priority="12">
      <dataBar>
        <cfvo type="num" val="0"/>
        <cfvo type="num" val="1"/>
        <color rgb="FF638EC6"/>
      </dataBar>
      <extLst>
        <ext xmlns:x14="http://schemas.microsoft.com/office/spreadsheetml/2009/9/main" uri="{B025F937-C7B1-47D3-B67F-A62EFF666E3E}">
          <x14:id>{7805AF53-042F-49AD-AB87-93D2905A70B9}</x14:id>
        </ext>
      </extLst>
    </cfRule>
  </conditionalFormatting>
  <conditionalFormatting sqref="C41">
    <cfRule type="cellIs" dxfId="34" priority="7" operator="greaterThan">
      <formula>1</formula>
    </cfRule>
    <cfRule type="dataBar" priority="8">
      <dataBar>
        <cfvo type="num" val="0"/>
        <cfvo type="num" val="0.99"/>
        <color rgb="FF638EC6"/>
      </dataBar>
      <extLst>
        <ext xmlns:x14="http://schemas.microsoft.com/office/spreadsheetml/2009/9/main" uri="{B025F937-C7B1-47D3-B67F-A62EFF666E3E}">
          <x14:id>{7D65D6A6-0DA8-4893-970B-A7CD9369513D}</x14:id>
        </ext>
      </extLst>
    </cfRule>
    <cfRule type="dataBar" priority="9">
      <dataBar>
        <cfvo type="num" val="0"/>
        <cfvo type="num" val="1"/>
        <color rgb="FF638EC6"/>
      </dataBar>
      <extLst>
        <ext xmlns:x14="http://schemas.microsoft.com/office/spreadsheetml/2009/9/main" uri="{B025F937-C7B1-47D3-B67F-A62EFF666E3E}">
          <x14:id>{26E70288-8C74-483E-9CA8-46A4976AE440}</x14:id>
        </ext>
      </extLst>
    </cfRule>
  </conditionalFormatting>
  <conditionalFormatting sqref="C48">
    <cfRule type="cellIs" dxfId="33" priority="4" operator="greaterThan">
      <formula>1</formula>
    </cfRule>
    <cfRule type="dataBar" priority="5">
      <dataBar>
        <cfvo type="num" val="0"/>
        <cfvo type="num" val="0.99"/>
        <color rgb="FF638EC6"/>
      </dataBar>
      <extLst>
        <ext xmlns:x14="http://schemas.microsoft.com/office/spreadsheetml/2009/9/main" uri="{B025F937-C7B1-47D3-B67F-A62EFF666E3E}">
          <x14:id>{D3D74A68-CFD6-4C57-B711-004430DE58D9}</x14:id>
        </ext>
      </extLst>
    </cfRule>
    <cfRule type="dataBar" priority="6">
      <dataBar>
        <cfvo type="num" val="0"/>
        <cfvo type="num" val="1"/>
        <color rgb="FF638EC6"/>
      </dataBar>
      <extLst>
        <ext xmlns:x14="http://schemas.microsoft.com/office/spreadsheetml/2009/9/main" uri="{B025F937-C7B1-47D3-B67F-A62EFF666E3E}">
          <x14:id>{66154E86-26A9-413A-9359-8A86EFD74378}</x14:id>
        </ext>
      </extLst>
    </cfRule>
  </conditionalFormatting>
  <conditionalFormatting sqref="C57">
    <cfRule type="cellIs" dxfId="32" priority="1" operator="greaterThan">
      <formula>1</formula>
    </cfRule>
    <cfRule type="dataBar" priority="2">
      <dataBar>
        <cfvo type="num" val="0"/>
        <cfvo type="num" val="0.99"/>
        <color rgb="FF638EC6"/>
      </dataBar>
      <extLst>
        <ext xmlns:x14="http://schemas.microsoft.com/office/spreadsheetml/2009/9/main" uri="{B025F937-C7B1-47D3-B67F-A62EFF666E3E}">
          <x14:id>{6DB7CA43-39CD-4987-9667-478B97A8E9DE}</x14:id>
        </ext>
      </extLst>
    </cfRule>
    <cfRule type="dataBar" priority="3">
      <dataBar>
        <cfvo type="num" val="0"/>
        <cfvo type="num" val="1"/>
        <color rgb="FF638EC6"/>
      </dataBar>
      <extLst>
        <ext xmlns:x14="http://schemas.microsoft.com/office/spreadsheetml/2009/9/main" uri="{B025F937-C7B1-47D3-B67F-A62EFF666E3E}">
          <x14:id>{EE977CEE-7027-4F78-9AE3-9CCB938AB1B7}</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868DE88D-102D-48AB-9BB7-6CF8F03722A4}">
            <x14:dataBar minLength="0" maxLength="100">
              <x14:cfvo type="num">
                <xm:f>0</xm:f>
              </x14:cfvo>
              <x14:cfvo type="num">
                <xm:f>0.99</xm:f>
              </x14:cfvo>
              <x14:negativeFillColor rgb="FFFF0000"/>
              <x14:axisColor rgb="FF000000"/>
            </x14:dataBar>
          </x14:cfRule>
          <x14:cfRule type="dataBar" id="{7805AF53-042F-49AD-AB87-93D2905A70B9}">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7D65D6A6-0DA8-4893-970B-A7CD9369513D}">
            <x14:dataBar minLength="0" maxLength="100">
              <x14:cfvo type="num">
                <xm:f>0</xm:f>
              </x14:cfvo>
              <x14:cfvo type="num">
                <xm:f>0.99</xm:f>
              </x14:cfvo>
              <x14:negativeFillColor rgb="FFFF0000"/>
              <x14:axisColor rgb="FF000000"/>
            </x14:dataBar>
          </x14:cfRule>
          <x14:cfRule type="dataBar" id="{26E70288-8C74-483E-9CA8-46A4976AE440}">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D3D74A68-CFD6-4C57-B711-004430DE58D9}">
            <x14:dataBar minLength="0" maxLength="100">
              <x14:cfvo type="num">
                <xm:f>0</xm:f>
              </x14:cfvo>
              <x14:cfvo type="num">
                <xm:f>0.99</xm:f>
              </x14:cfvo>
              <x14:negativeFillColor rgb="FFFF0000"/>
              <x14:axisColor rgb="FF000000"/>
            </x14:dataBar>
          </x14:cfRule>
          <x14:cfRule type="dataBar" id="{66154E86-26A9-413A-9359-8A86EFD74378}">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6DB7CA43-39CD-4987-9667-478B97A8E9DE}">
            <x14:dataBar minLength="0" maxLength="100">
              <x14:cfvo type="num">
                <xm:f>0</xm:f>
              </x14:cfvo>
              <x14:cfvo type="num">
                <xm:f>0.99</xm:f>
              </x14:cfvo>
              <x14:negativeFillColor rgb="FFFF0000"/>
              <x14:axisColor rgb="FF000000"/>
            </x14:dataBar>
          </x14:cfRule>
          <x14:cfRule type="dataBar" id="{EE977CEE-7027-4F78-9AE3-9CCB938AB1B7}">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8604B-97E0-47C2-8C69-48A9032A5C64}">
  <sheetPr codeName="Tabelle57">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Kalk4_Eingabe!C4</f>
        <v>PREFA</v>
      </c>
      <c r="D4" s="547"/>
      <c r="E4" s="548"/>
      <c r="F4" s="150"/>
      <c r="G4" s="150"/>
      <c r="H4" s="151"/>
      <c r="I4" s="148"/>
    </row>
    <row r="5" spans="1:11" ht="16.5" customHeight="1">
      <c r="A5" s="148"/>
      <c r="B5" s="164" t="s">
        <v>22319</v>
      </c>
      <c r="C5" s="549" t="str">
        <f>Kalk4_Eingabe!C5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22501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5.51</v>
      </c>
      <c r="D11" s="151" t="s">
        <v>22394</v>
      </c>
      <c r="E11" s="163" t="s">
        <v>22397</v>
      </c>
      <c r="F11" s="177"/>
      <c r="G11" s="148"/>
      <c r="H11" s="148"/>
      <c r="I11" s="148"/>
    </row>
    <row r="12" spans="1:11" ht="14.25" customHeight="1">
      <c r="A12" s="179"/>
      <c r="B12" s="175" t="s">
        <v>22398</v>
      </c>
      <c r="C12" s="187">
        <v>309.92</v>
      </c>
      <c r="D12" s="151" t="s">
        <v>22372</v>
      </c>
      <c r="E12" s="163" t="s">
        <v>22399</v>
      </c>
      <c r="F12" s="178"/>
      <c r="G12" s="181"/>
      <c r="H12" s="148"/>
      <c r="I12" s="148"/>
    </row>
    <row r="13" spans="1:11" ht="14.25" customHeight="1">
      <c r="A13" s="148"/>
      <c r="B13" s="162" t="s">
        <v>22400</v>
      </c>
      <c r="C13" s="187">
        <v>77.48</v>
      </c>
      <c r="D13" s="168" t="s">
        <v>22401</v>
      </c>
      <c r="E13" s="183" t="s">
        <v>22402</v>
      </c>
      <c r="F13" s="177"/>
      <c r="G13" s="148"/>
      <c r="H13" s="148"/>
      <c r="I13" s="148"/>
    </row>
    <row r="14" spans="1:11" ht="14.25" customHeight="1">
      <c r="B14" s="162" t="s">
        <v>22403</v>
      </c>
      <c r="C14" s="187">
        <v>88.67</v>
      </c>
      <c r="D14" s="168" t="s">
        <v>22401</v>
      </c>
      <c r="E14" s="183" t="s">
        <v>22404</v>
      </c>
      <c r="H14" s="152" t="s">
        <v>24944</v>
      </c>
    </row>
    <row r="15" spans="1:11" ht="14.25" customHeight="1">
      <c r="B15" s="165" t="s">
        <v>22504</v>
      </c>
      <c r="C15" s="185">
        <f>ROUNDUP((Kalk4_Eingabe!C18+Kalk4_Eingabe!C20)/0.2,0)</f>
        <v>0</v>
      </c>
      <c r="D15" s="168" t="s">
        <v>20892</v>
      </c>
      <c r="E15" s="183" t="s">
        <v>22484</v>
      </c>
      <c r="H15" s="165" t="s">
        <v>22504</v>
      </c>
      <c r="I15" s="185">
        <f>ROUNDUP((Kalk4_Eingabe!C18+Kalk4_Eingabe!C20)/0.2,0)</f>
        <v>0</v>
      </c>
      <c r="J15" s="168" t="s">
        <v>20892</v>
      </c>
      <c r="K15" s="183" t="s">
        <v>22484</v>
      </c>
    </row>
    <row r="16" spans="1:11" ht="14.25" customHeight="1">
      <c r="B16" s="165" t="s">
        <v>22599</v>
      </c>
      <c r="C16" s="185">
        <f>(15+Kalk4!H29+10)/1000</f>
        <v>2.5000000000000001E-2</v>
      </c>
      <c r="D16" s="168" t="s">
        <v>6945</v>
      </c>
      <c r="E16" s="183" t="s">
        <v>22352</v>
      </c>
      <c r="H16" s="165" t="s">
        <v>22599</v>
      </c>
      <c r="I16" s="185">
        <f>(15+C15*200+10)/1000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MAX(Kalk4_Lastfallkombi!C50,Kalk4_Lastfallkombi!C60,Kalk4_Lastfallkombi!C65,Kalk4_Lastfallkombi!C69)</f>
        <v>#DIV/0!</v>
      </c>
      <c r="D27" s="190" t="s">
        <v>22379</v>
      </c>
      <c r="E27" s="183" t="s">
        <v>22487</v>
      </c>
    </row>
    <row r="28" spans="1:8" ht="14.25" customHeight="1" thickBot="1">
      <c r="B28" s="193" t="s">
        <v>22488</v>
      </c>
      <c r="C28" s="194" t="e">
        <f>MAX(Kalk4_Lastfallkombi!C51,Kalk4_Lastfallkombi!C61,Kalk4_Lastfallkombi!C66,Kalk4_Lastfallkombi!C70)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57.839999695178861</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22600</v>
      </c>
      <c r="C36" s="185">
        <v>1.0900000000000001</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22601</v>
      </c>
      <c r="C39" s="185">
        <f>C13*C21/C23/100</f>
        <v>15.186079999999999</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Kalk4_Lastfallkombi!D24*Kalk4_Lastfallkombi!C15/100</f>
        <v>-0.1512</v>
      </c>
      <c r="D45" s="168" t="s">
        <v>22469</v>
      </c>
    </row>
    <row r="46" spans="1:4" ht="14.25" customHeight="1">
      <c r="B46" s="178" t="s">
        <v>22492</v>
      </c>
      <c r="C46" s="185">
        <f>5*C45/100*(Kalk4_Eingabe!C19*100-5)^4/(384*'Kalk4_DB_80-200'!C19*'Kalk4_DB_80-200'!C12)</f>
        <v>-5.6718266004130092E-9</v>
      </c>
      <c r="D46" s="168" t="s">
        <v>22416</v>
      </c>
    </row>
    <row r="47" spans="1:4" ht="14.25" customHeight="1" thickBot="1">
      <c r="B47" s="178" t="s">
        <v>22473</v>
      </c>
      <c r="C47" s="185">
        <f>(Kalk4_Eingabe!C19*100-5)/Haftungsausschluß!L34</f>
        <v>-3.3333333333333333E-2</v>
      </c>
      <c r="D47" s="168" t="s">
        <v>22416</v>
      </c>
    </row>
    <row r="48" spans="1:4" ht="14.25" customHeight="1" thickBot="1">
      <c r="B48" s="193" t="s">
        <v>22474</v>
      </c>
      <c r="C48" s="196">
        <f>C46/C47</f>
        <v>1.7015479801239028E-7</v>
      </c>
    </row>
    <row r="49" spans="2:5" ht="14.25" customHeight="1">
      <c r="B49" s="200" t="s">
        <v>22493</v>
      </c>
      <c r="C49" s="199" t="s">
        <v>22422</v>
      </c>
      <c r="D49" s="199" t="s">
        <v>21191</v>
      </c>
    </row>
    <row r="50" spans="2:5" ht="14.25" customHeight="1">
      <c r="B50" s="178" t="s">
        <v>22494</v>
      </c>
      <c r="C50" s="185" t="e">
        <f>Kalk4_Lastfallkombi!D38*Kalk4_Lastfallkombi!C14/100</f>
        <v>#DIV/0!</v>
      </c>
      <c r="D50" s="185">
        <f>Kalk4_Lastfallkombi!D26*Kalk4_Lastfallkombi!C14/100</f>
        <v>-0.14399999999999999</v>
      </c>
      <c r="E50" s="168" t="s">
        <v>22469</v>
      </c>
    </row>
    <row r="51" spans="2:5" ht="14.25" customHeight="1">
      <c r="B51" s="178" t="s">
        <v>22495</v>
      </c>
      <c r="C51" s="185" t="e">
        <f>5*C50/100*(Kalk4_Eingabe!C19*100-5)^4/(384*'Kalk4_DB_80-200'!C19*'Kalk4_DB_80-200'!C12)</f>
        <v>#DIV/0!</v>
      </c>
      <c r="D51" s="185">
        <f>5*D50/100*(Kalk4_Eingabe!C19*100-5)^4/(384*'Kalk4_DB_80-200'!C19*'Kalk4_DB_80-200'!C12)</f>
        <v>-5.4017396194409619E-9</v>
      </c>
      <c r="E51" s="168" t="s">
        <v>22416</v>
      </c>
    </row>
    <row r="52" spans="2:5" ht="14.25" customHeight="1">
      <c r="B52" s="165" t="s">
        <v>22496</v>
      </c>
      <c r="C52" s="185" t="e">
        <f>Kalk4_Lastfallkombi!D44</f>
        <v>#DIV/0!</v>
      </c>
      <c r="D52" s="185" t="e">
        <f>Kalk4_Lastfallkombi!D54</f>
        <v>#NUM!</v>
      </c>
      <c r="E52" s="168" t="s">
        <v>22469</v>
      </c>
    </row>
    <row r="53" spans="2:5" ht="14.25" customHeight="1">
      <c r="B53" s="165" t="s">
        <v>22497</v>
      </c>
      <c r="C53" s="185">
        <f>(Kalk4_Eingabe!C19-0.5-0.05)/2</f>
        <v>-0.27500000000000002</v>
      </c>
      <c r="D53" s="185">
        <f>C53</f>
        <v>-0.27500000000000002</v>
      </c>
      <c r="E53" s="168" t="s">
        <v>6945</v>
      </c>
    </row>
    <row r="54" spans="2:5" ht="14.25" customHeight="1">
      <c r="B54" s="165" t="s">
        <v>22498</v>
      </c>
      <c r="C54" s="185" t="e">
        <f>C52/100*(Kalk4_Eingabe!C19*100-5)^4/(384*'Kalk4_DB_80-200'!C19*'Kalk4_DB_80-200'!C12)*(5-24*('Kalk4_DB_80-200'!C53*100)^2/(Kalk4_Eingabe!C19*100-5)^2+16*('Kalk4_DB_80-200'!C53*100)^4/(Kalk4_Eingabe!C19*100-5)^4)</f>
        <v>#DIV/0!</v>
      </c>
      <c r="D54" s="185" t="e">
        <f>D52/100*(Kalk4_Eingabe!C19*100-5)^4/(384*'Kalk4_DB_80-200'!C19*'Kalk4_DB_80-200'!C12)*(5-24*('Kalk4_DB_80-200'!C53*100)^2/(Kalk4_Eingabe!C19*100-5)^2+16*('Kalk4_DB_80-200'!C53*100)^4/(Kalk4_Eingabe!C19*100-5)^4)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(Kalk4_Eingabe!C19*100-5)/150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31" priority="10" operator="greaterThan">
      <formula>1</formula>
    </cfRule>
    <cfRule type="dataBar" priority="11">
      <dataBar>
        <cfvo type="num" val="0"/>
        <cfvo type="num" val="0.99"/>
        <color rgb="FF638EC6"/>
      </dataBar>
      <extLst>
        <ext xmlns:x14="http://schemas.microsoft.com/office/spreadsheetml/2009/9/main" uri="{B025F937-C7B1-47D3-B67F-A62EFF666E3E}">
          <x14:id>{09B3991F-BAF1-47BB-AF96-31DD4D1D7AFF}</x14:id>
        </ext>
      </extLst>
    </cfRule>
    <cfRule type="dataBar" priority="12">
      <dataBar>
        <cfvo type="num" val="0"/>
        <cfvo type="num" val="1"/>
        <color rgb="FF638EC6"/>
      </dataBar>
      <extLst>
        <ext xmlns:x14="http://schemas.microsoft.com/office/spreadsheetml/2009/9/main" uri="{B025F937-C7B1-47D3-B67F-A62EFF666E3E}">
          <x14:id>{48E0CBB7-2C46-410A-89D6-9F93116AB49C}</x14:id>
        </ext>
      </extLst>
    </cfRule>
  </conditionalFormatting>
  <conditionalFormatting sqref="C41">
    <cfRule type="cellIs" dxfId="30" priority="7" operator="greaterThan">
      <formula>1</formula>
    </cfRule>
    <cfRule type="dataBar" priority="8">
      <dataBar>
        <cfvo type="num" val="0"/>
        <cfvo type="num" val="0.99"/>
        <color rgb="FF638EC6"/>
      </dataBar>
      <extLst>
        <ext xmlns:x14="http://schemas.microsoft.com/office/spreadsheetml/2009/9/main" uri="{B025F937-C7B1-47D3-B67F-A62EFF666E3E}">
          <x14:id>{5C947A20-59DC-4F7D-B2FB-DA928055278B}</x14:id>
        </ext>
      </extLst>
    </cfRule>
    <cfRule type="dataBar" priority="9">
      <dataBar>
        <cfvo type="num" val="0"/>
        <cfvo type="num" val="1"/>
        <color rgb="FF638EC6"/>
      </dataBar>
      <extLst>
        <ext xmlns:x14="http://schemas.microsoft.com/office/spreadsheetml/2009/9/main" uri="{B025F937-C7B1-47D3-B67F-A62EFF666E3E}">
          <x14:id>{DF2C510B-77EC-4151-AF5C-A01D493B9D52}</x14:id>
        </ext>
      </extLst>
    </cfRule>
  </conditionalFormatting>
  <conditionalFormatting sqref="C48">
    <cfRule type="cellIs" dxfId="29" priority="4" operator="greaterThan">
      <formula>1</formula>
    </cfRule>
    <cfRule type="dataBar" priority="5">
      <dataBar>
        <cfvo type="num" val="0"/>
        <cfvo type="num" val="0.99"/>
        <color rgb="FF638EC6"/>
      </dataBar>
      <extLst>
        <ext xmlns:x14="http://schemas.microsoft.com/office/spreadsheetml/2009/9/main" uri="{B025F937-C7B1-47D3-B67F-A62EFF666E3E}">
          <x14:id>{2586A7DF-BEBE-408D-AB1F-F4C61D715CD1}</x14:id>
        </ext>
      </extLst>
    </cfRule>
    <cfRule type="dataBar" priority="6">
      <dataBar>
        <cfvo type="num" val="0"/>
        <cfvo type="num" val="1"/>
        <color rgb="FF638EC6"/>
      </dataBar>
      <extLst>
        <ext xmlns:x14="http://schemas.microsoft.com/office/spreadsheetml/2009/9/main" uri="{B025F937-C7B1-47D3-B67F-A62EFF666E3E}">
          <x14:id>{14AB40D4-4249-4433-8866-BEE74C0477DB}</x14:id>
        </ext>
      </extLst>
    </cfRule>
  </conditionalFormatting>
  <conditionalFormatting sqref="C57">
    <cfRule type="cellIs" dxfId="28" priority="1" operator="greaterThan">
      <formula>1</formula>
    </cfRule>
    <cfRule type="dataBar" priority="2">
      <dataBar>
        <cfvo type="num" val="0"/>
        <cfvo type="num" val="0.99"/>
        <color rgb="FF638EC6"/>
      </dataBar>
      <extLst>
        <ext xmlns:x14="http://schemas.microsoft.com/office/spreadsheetml/2009/9/main" uri="{B025F937-C7B1-47D3-B67F-A62EFF666E3E}">
          <x14:id>{260BDFDE-D5B1-4317-B9BA-A6D05AA86D14}</x14:id>
        </ext>
      </extLst>
    </cfRule>
    <cfRule type="dataBar" priority="3">
      <dataBar>
        <cfvo type="num" val="0"/>
        <cfvo type="num" val="1"/>
        <color rgb="FF638EC6"/>
      </dataBar>
      <extLst>
        <ext xmlns:x14="http://schemas.microsoft.com/office/spreadsheetml/2009/9/main" uri="{B025F937-C7B1-47D3-B67F-A62EFF666E3E}">
          <x14:id>{6F30484A-6221-4B08-9633-E39FD6508DB6}</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09B3991F-BAF1-47BB-AF96-31DD4D1D7AFF}">
            <x14:dataBar minLength="0" maxLength="100">
              <x14:cfvo type="num">
                <xm:f>0</xm:f>
              </x14:cfvo>
              <x14:cfvo type="num">
                <xm:f>0.99</xm:f>
              </x14:cfvo>
              <x14:negativeFillColor rgb="FFFF0000"/>
              <x14:axisColor rgb="FF000000"/>
            </x14:dataBar>
          </x14:cfRule>
          <x14:cfRule type="dataBar" id="{48E0CBB7-2C46-410A-89D6-9F93116AB49C}">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5C947A20-59DC-4F7D-B2FB-DA928055278B}">
            <x14:dataBar minLength="0" maxLength="100">
              <x14:cfvo type="num">
                <xm:f>0</xm:f>
              </x14:cfvo>
              <x14:cfvo type="num">
                <xm:f>0.99</xm:f>
              </x14:cfvo>
              <x14:negativeFillColor rgb="FFFF0000"/>
              <x14:axisColor rgb="FF000000"/>
            </x14:dataBar>
          </x14:cfRule>
          <x14:cfRule type="dataBar" id="{DF2C510B-77EC-4151-AF5C-A01D493B9D52}">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2586A7DF-BEBE-408D-AB1F-F4C61D715CD1}">
            <x14:dataBar minLength="0" maxLength="100">
              <x14:cfvo type="num">
                <xm:f>0</xm:f>
              </x14:cfvo>
              <x14:cfvo type="num">
                <xm:f>0.99</xm:f>
              </x14:cfvo>
              <x14:negativeFillColor rgb="FFFF0000"/>
              <x14:axisColor rgb="FF000000"/>
            </x14:dataBar>
          </x14:cfRule>
          <x14:cfRule type="dataBar" id="{14AB40D4-4249-4433-8866-BEE74C0477DB}">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260BDFDE-D5B1-4317-B9BA-A6D05AA86D14}">
            <x14:dataBar minLength="0" maxLength="100">
              <x14:cfvo type="num">
                <xm:f>0</xm:f>
              </x14:cfvo>
              <x14:cfvo type="num">
                <xm:f>0.99</xm:f>
              </x14:cfvo>
              <x14:negativeFillColor rgb="FFFF0000"/>
              <x14:axisColor rgb="FF000000"/>
            </x14:dataBar>
          </x14:cfRule>
          <x14:cfRule type="dataBar" id="{6F30484A-6221-4B08-9633-E39FD6508DB6}">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4B939-29D7-409B-85C5-7ABA0E802A66}">
  <sheetPr codeName="Tabelle58"/>
  <dimension ref="A1:AC582"/>
  <sheetViews>
    <sheetView workbookViewId="0"/>
  </sheetViews>
  <sheetFormatPr baseColWidth="10" defaultColWidth="11.42578125" defaultRowHeight="12.75"/>
  <cols>
    <col min="1" max="1" width="4.28515625" style="152" customWidth="1"/>
    <col min="2" max="2" width="38.7109375" style="152" customWidth="1"/>
    <col min="3" max="4" width="20.7109375" style="152" customWidth="1"/>
    <col min="5"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44901</v>
      </c>
      <c r="H3" s="156" t="s">
        <v>22312</v>
      </c>
      <c r="I3" s="158" t="s">
        <v>22313</v>
      </c>
    </row>
    <row r="4" spans="1:9" ht="16.5" customHeight="1">
      <c r="A4" s="148"/>
      <c r="B4" s="160" t="s">
        <v>22316</v>
      </c>
      <c r="C4" s="547" t="str">
        <f>Kalk4_Eingabe!C4</f>
        <v>PREFA</v>
      </c>
      <c r="D4" s="547"/>
      <c r="E4" s="548"/>
      <c r="F4" s="150"/>
      <c r="G4" s="150"/>
      <c r="H4" s="151"/>
      <c r="I4" s="148"/>
    </row>
    <row r="5" spans="1:9" ht="16.5" customHeight="1">
      <c r="A5" s="148"/>
      <c r="B5" s="164" t="s">
        <v>22319</v>
      </c>
      <c r="C5" s="549" t="str">
        <f>Kalk4_Eingabe!C5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22326</v>
      </c>
      <c r="C7" s="148"/>
      <c r="D7" s="168"/>
      <c r="E7" s="168"/>
      <c r="F7" s="148"/>
      <c r="G7" s="148"/>
      <c r="H7" s="148"/>
      <c r="I7" s="148"/>
    </row>
    <row r="8" spans="1:9" ht="16.5" customHeight="1">
      <c r="A8" s="148"/>
      <c r="B8" s="170"/>
      <c r="C8" s="148"/>
      <c r="D8" s="168"/>
      <c r="E8" s="168"/>
      <c r="F8" s="148"/>
      <c r="G8" s="148"/>
      <c r="H8" s="148"/>
      <c r="I8" s="148"/>
    </row>
    <row r="9" spans="1:9" ht="14.25" customHeight="1">
      <c r="A9" s="148"/>
      <c r="B9" s="148"/>
      <c r="C9" s="148"/>
      <c r="D9" s="168"/>
      <c r="E9" s="168"/>
      <c r="F9" s="148"/>
      <c r="G9" s="148"/>
      <c r="H9" s="148"/>
      <c r="I9" s="148"/>
    </row>
    <row r="10" spans="1:9" ht="14.25" customHeight="1" thickBot="1">
      <c r="A10" s="171" t="s">
        <v>22327</v>
      </c>
      <c r="B10" s="172" t="s">
        <v>22505</v>
      </c>
      <c r="C10" s="148"/>
      <c r="D10" s="168"/>
      <c r="E10" s="168"/>
      <c r="F10" s="148"/>
      <c r="G10" s="148"/>
      <c r="H10" s="148"/>
      <c r="I10" s="148"/>
    </row>
    <row r="11" spans="1:9" ht="14.25" customHeight="1" thickBot="1">
      <c r="A11" s="148"/>
      <c r="B11" s="173"/>
      <c r="C11" s="201" t="s">
        <v>22506</v>
      </c>
      <c r="D11" s="201" t="s">
        <v>22507</v>
      </c>
      <c r="E11" s="168"/>
      <c r="F11" s="148"/>
      <c r="G11" s="148"/>
      <c r="H11" s="148"/>
      <c r="I11" s="148"/>
    </row>
    <row r="12" spans="1:9" ht="14.25" customHeight="1">
      <c r="A12" s="148"/>
      <c r="B12" s="175" t="s">
        <v>22508</v>
      </c>
      <c r="C12" s="202">
        <v>1.35</v>
      </c>
      <c r="D12" s="202">
        <v>1</v>
      </c>
      <c r="F12" s="177"/>
      <c r="G12" s="148"/>
      <c r="H12" s="148"/>
      <c r="I12" s="148"/>
    </row>
    <row r="13" spans="1:9" ht="14.25" customHeight="1">
      <c r="A13" s="148"/>
      <c r="B13" s="175" t="s">
        <v>22509</v>
      </c>
      <c r="C13" s="203">
        <v>0.9</v>
      </c>
      <c r="D13" s="203">
        <f>C13</f>
        <v>0.9</v>
      </c>
      <c r="F13" s="177"/>
      <c r="G13" s="148"/>
      <c r="H13" s="148"/>
      <c r="I13" s="148"/>
    </row>
    <row r="14" spans="1:9" ht="14.25" customHeight="1">
      <c r="A14" s="148"/>
      <c r="B14" s="175" t="s">
        <v>22314</v>
      </c>
      <c r="C14" s="203">
        <f>IF(Kalk4_Eingabe!C22="50/150",Kalk4_Eingabe!N5,IF(Kalk4_Eingabe!C22="50/200",Kalk4_Eingabe!N6,IF(Kalk4_Eingabe!C22="80/200",Kalk4_Eingabe!N7,IF(Kalk4_Eingabe!C22="25/200",Kalk4_Eingabe!N8))))</f>
        <v>20</v>
      </c>
      <c r="D14" s="204"/>
      <c r="E14" s="168" t="s">
        <v>22416</v>
      </c>
      <c r="F14" s="163" t="s">
        <v>22318</v>
      </c>
      <c r="G14" s="148"/>
      <c r="I14" s="148"/>
    </row>
    <row r="15" spans="1:9" ht="14.25" customHeight="1" thickBot="1">
      <c r="A15" s="148"/>
      <c r="B15" s="175" t="s">
        <v>22315</v>
      </c>
      <c r="C15" s="205">
        <f>IF(Kalk4_Eingabe!C22="50/150",Kalk4_Eingabe!O5,IF(Kalk4_Eingabe!C22="50/200",Kalk4_Eingabe!O6,IF(Kalk4_Eingabe!C22="80/200",Kalk4_Eingabe!O7,IF(Kalk4_Eingabe!C22="25/200",Kalk4_Eingabe!O8))))</f>
        <v>21</v>
      </c>
      <c r="D15" s="206"/>
      <c r="E15" s="168" t="s">
        <v>22416</v>
      </c>
      <c r="F15" s="163" t="s">
        <v>22323</v>
      </c>
      <c r="G15" s="148"/>
      <c r="I15" s="148"/>
    </row>
    <row r="16" spans="1:9" ht="5.0999999999999996" customHeight="1">
      <c r="A16" s="148"/>
      <c r="B16" s="175"/>
      <c r="C16" s="207"/>
      <c r="D16" s="208"/>
      <c r="E16" s="168"/>
      <c r="F16" s="163"/>
      <c r="G16" s="148"/>
      <c r="I16" s="148"/>
    </row>
    <row r="17" spans="1:9" ht="24" customHeight="1" thickBot="1">
      <c r="A17" s="171" t="s">
        <v>22353</v>
      </c>
      <c r="B17" s="172" t="s">
        <v>22510</v>
      </c>
      <c r="C17" s="209" t="s">
        <v>22511</v>
      </c>
      <c r="D17" s="210" t="s">
        <v>22512</v>
      </c>
      <c r="I17" s="148"/>
    </row>
    <row r="18" spans="1:9" ht="14.25" customHeight="1">
      <c r="A18" s="211" t="s">
        <v>22513</v>
      </c>
      <c r="B18" s="212" t="s">
        <v>21191</v>
      </c>
      <c r="C18" s="213"/>
      <c r="D18" s="213"/>
      <c r="G18" s="181"/>
      <c r="I18" s="148"/>
    </row>
    <row r="19" spans="1:9" ht="14.25" customHeight="1">
      <c r="A19" s="179"/>
      <c r="B19" s="175" t="s">
        <v>22514</v>
      </c>
      <c r="C19" s="203">
        <f>C13*C12*Kalk4_Eingabe!C29</f>
        <v>0.30375000000000002</v>
      </c>
      <c r="D19" s="203">
        <f>D13*D12*Kalk4_Eingabe!C29</f>
        <v>0.22500000000000001</v>
      </c>
      <c r="E19" s="168" t="s">
        <v>22358</v>
      </c>
      <c r="G19" s="148"/>
      <c r="I19" s="148"/>
    </row>
    <row r="20" spans="1:9" ht="14.25" customHeight="1">
      <c r="A20" s="179"/>
      <c r="B20" s="175" t="s">
        <v>22515</v>
      </c>
      <c r="C20" s="203">
        <f>C13*Kalk4_Lastfallkombi!C12*Kalk4_Eingabe!C32</f>
        <v>0</v>
      </c>
      <c r="D20" s="203">
        <f>D13*Kalk4_Lastfallkombi!D12*Kalk4_Eingabe!C32</f>
        <v>0</v>
      </c>
      <c r="E20" s="168"/>
      <c r="G20" s="148"/>
      <c r="I20" s="148"/>
    </row>
    <row r="21" spans="1:9" ht="14.25" customHeight="1">
      <c r="B21" s="214" t="s">
        <v>22516</v>
      </c>
      <c r="C21" s="215"/>
      <c r="D21" s="203"/>
      <c r="E21" s="168"/>
    </row>
    <row r="22" spans="1:9" ht="14.25" customHeight="1">
      <c r="B22" s="175" t="s">
        <v>22517</v>
      </c>
      <c r="C22" s="203">
        <f>C19</f>
        <v>0.30375000000000002</v>
      </c>
      <c r="D22" s="203">
        <f>D19</f>
        <v>0.22500000000000001</v>
      </c>
      <c r="E22" s="168" t="s">
        <v>22358</v>
      </c>
    </row>
    <row r="23" spans="1:9" ht="14.25" customHeight="1">
      <c r="A23" s="179"/>
      <c r="B23" s="175" t="s">
        <v>22518</v>
      </c>
      <c r="C23" s="203">
        <f>C19*(Kalk4_Eingabe!C24-C15/100)/Kalk4_Eingabe!C24</f>
        <v>-2.2477499999999999</v>
      </c>
      <c r="D23" s="203">
        <f>D19*(Kalk4_Eingabe!C24-C15/100)/Kalk4_Eingabe!C24</f>
        <v>-1.665</v>
      </c>
      <c r="E23" s="168" t="s">
        <v>22358</v>
      </c>
    </row>
    <row r="24" spans="1:9" ht="14.25" customHeight="1">
      <c r="B24" s="175" t="s">
        <v>22519</v>
      </c>
      <c r="C24" s="203">
        <f>(C22+C23)/2+C20</f>
        <v>-0.97199999999999998</v>
      </c>
      <c r="D24" s="203">
        <f>(D22+D23)/2+D20</f>
        <v>-0.72</v>
      </c>
      <c r="E24" s="168" t="s">
        <v>22358</v>
      </c>
      <c r="F24" s="163" t="s">
        <v>22520</v>
      </c>
    </row>
    <row r="25" spans="1:9" ht="14.25" customHeight="1">
      <c r="B25" s="214" t="s">
        <v>22521</v>
      </c>
      <c r="C25" s="215"/>
      <c r="D25" s="215"/>
      <c r="E25" s="168"/>
    </row>
    <row r="26" spans="1:9" ht="14.25" customHeight="1">
      <c r="B26" s="175" t="s">
        <v>22522</v>
      </c>
      <c r="C26" s="203">
        <f>VLOOKUP(P102+1,K47:Y94,15,FALSE)</f>
        <v>-0.97199999999999998</v>
      </c>
      <c r="D26" s="203">
        <f>VLOOKUP(P102+1,K47:AC94,19,FALSE)</f>
        <v>-0.72</v>
      </c>
      <c r="E26" s="168" t="s">
        <v>22358</v>
      </c>
      <c r="F26" s="163" t="s">
        <v>22523</v>
      </c>
    </row>
    <row r="27" spans="1:9" ht="14.25" customHeight="1">
      <c r="B27" s="165" t="s">
        <v>22524</v>
      </c>
      <c r="C27" s="203" t="e">
        <f>C12*C13*Kalk4_Eingabe!C46</f>
        <v>#NUM!</v>
      </c>
      <c r="D27" s="203" t="e">
        <f>D12*D13*Kalk4_Eingabe!C46</f>
        <v>#NUM!</v>
      </c>
      <c r="E27" s="168" t="s">
        <v>22379</v>
      </c>
      <c r="F27" s="163" t="s">
        <v>22525</v>
      </c>
    </row>
    <row r="28" spans="1:9" ht="14.25" customHeight="1">
      <c r="B28" s="165" t="s">
        <v>22526</v>
      </c>
      <c r="C28" s="203" t="e">
        <f>C12*C13*Kalk4_Eingabe!C47</f>
        <v>#NUM!</v>
      </c>
      <c r="D28" s="203" t="e">
        <f>D12*D13*Kalk4_Eingabe!C47</f>
        <v>#NUM!</v>
      </c>
      <c r="E28" s="168" t="s">
        <v>22379</v>
      </c>
      <c r="F28" s="163" t="s">
        <v>22527</v>
      </c>
    </row>
    <row r="29" spans="1:9" ht="5.0999999999999996" customHeight="1">
      <c r="B29" s="165"/>
      <c r="C29" s="203"/>
      <c r="D29" s="203"/>
      <c r="F29" s="163"/>
    </row>
    <row r="30" spans="1:9" ht="14.25" customHeight="1">
      <c r="A30" s="216" t="s">
        <v>22528</v>
      </c>
      <c r="B30" s="212" t="s">
        <v>22422</v>
      </c>
      <c r="C30" s="203"/>
      <c r="D30" s="203"/>
      <c r="F30" s="163"/>
    </row>
    <row r="31" spans="1:9" ht="14.25" customHeight="1">
      <c r="B31" s="175" t="s">
        <v>22529</v>
      </c>
      <c r="C31" s="203">
        <f>C12*Kalk4_Eingabe!C28</f>
        <v>0</v>
      </c>
      <c r="D31" s="203">
        <f>D12*Kalk4_Eingabe!C28</f>
        <v>0</v>
      </c>
      <c r="E31" s="168" t="s">
        <v>22358</v>
      </c>
      <c r="F31" s="163"/>
      <c r="G31" s="185"/>
    </row>
    <row r="32" spans="1:9" ht="14.25" customHeight="1">
      <c r="B32" s="175" t="s">
        <v>22530</v>
      </c>
      <c r="C32" s="203">
        <f>Kalk4_Lastfallkombi!C12*Kalk4_Eingabe!C32</f>
        <v>0</v>
      </c>
      <c r="D32" s="203">
        <f>Kalk4_Lastfallkombi!D12*Kalk4_Eingabe!C32</f>
        <v>0</v>
      </c>
      <c r="E32" s="168"/>
      <c r="F32" s="163"/>
    </row>
    <row r="33" spans="1:29" ht="14.25" customHeight="1">
      <c r="B33" s="214" t="s">
        <v>22516</v>
      </c>
      <c r="C33" s="215"/>
      <c r="D33" s="215"/>
      <c r="E33" s="168"/>
      <c r="F33" s="163"/>
      <c r="G33" s="185"/>
    </row>
    <row r="34" spans="1:29" ht="14.25" customHeight="1">
      <c r="B34" s="175" t="s">
        <v>22531</v>
      </c>
      <c r="C34" s="203">
        <f>C31</f>
        <v>0</v>
      </c>
      <c r="D34" s="203">
        <f>D31</f>
        <v>0</v>
      </c>
      <c r="E34" s="168" t="s">
        <v>22358</v>
      </c>
      <c r="F34" s="183"/>
      <c r="G34" s="185"/>
    </row>
    <row r="35" spans="1:29" ht="14.25" customHeight="1">
      <c r="B35" s="175" t="s">
        <v>22532</v>
      </c>
      <c r="C35" s="203" t="e">
        <f>C31*(Kalk4_Eingabe!C18-Kalk4_Lastfallkombi!C15/100)/Kalk4_Eingabe!C18</f>
        <v>#DIV/0!</v>
      </c>
      <c r="D35" s="203" t="e">
        <f>D31*(Kalk4_Eingabe!C18-Kalk4_Lastfallkombi!C15/100)/Kalk4_Eingabe!C18</f>
        <v>#DIV/0!</v>
      </c>
      <c r="E35" s="168" t="s">
        <v>22358</v>
      </c>
      <c r="F35" s="183"/>
      <c r="G35" s="185"/>
    </row>
    <row r="36" spans="1:29" ht="14.25" customHeight="1">
      <c r="B36" s="175" t="s">
        <v>22533</v>
      </c>
      <c r="C36" s="203" t="e">
        <f>(C34+C35)/2+C32</f>
        <v>#DIV/0!</v>
      </c>
      <c r="D36" s="203" t="e">
        <f>(D34+D35)/2+D32</f>
        <v>#DIV/0!</v>
      </c>
      <c r="E36" s="168" t="s">
        <v>22358</v>
      </c>
      <c r="F36" s="163" t="s">
        <v>22520</v>
      </c>
      <c r="K36" s="152" t="s">
        <v>22534</v>
      </c>
      <c r="L36" s="152">
        <f>IF(Kalk4_Eingabe!C22="50/150",'Kalk4_DB_50-150'!C15,IF(Kalk4_Eingabe!C22="50/200",'Kalk4_DB_50-200'!C15,IF(Kalk4_Eingabe!C22="80/200",'Kalk4_DB_80-200'!C15,IF(Kalk4_Eingabe!C22="25/200",'Kalk4_DB_25-200'!C15))))</f>
        <v>0</v>
      </c>
      <c r="M36" s="152" t="s">
        <v>20892</v>
      </c>
    </row>
    <row r="37" spans="1:29" ht="14.25" customHeight="1">
      <c r="B37" s="214" t="s">
        <v>22535</v>
      </c>
      <c r="C37" s="215"/>
      <c r="D37" s="215"/>
      <c r="E37" s="168"/>
      <c r="L37" s="152">
        <v>2</v>
      </c>
    </row>
    <row r="38" spans="1:29" ht="14.25" customHeight="1">
      <c r="B38" s="217" t="s">
        <v>22536</v>
      </c>
      <c r="C38" s="203" t="e">
        <f>VLOOKUP(P98+1,K47:U94,7,FALSE)</f>
        <v>#DIV/0!</v>
      </c>
      <c r="D38" s="203" t="e">
        <f>VLOOKUP(P98+1,K47:U94,11,FALSE)</f>
        <v>#DIV/0!</v>
      </c>
      <c r="E38" s="168" t="s">
        <v>22358</v>
      </c>
      <c r="F38" s="218" t="s">
        <v>22523</v>
      </c>
      <c r="K38" s="152" t="s">
        <v>22537</v>
      </c>
    </row>
    <row r="39" spans="1:29" ht="14.25" customHeight="1">
      <c r="B39" s="165" t="s">
        <v>22538</v>
      </c>
      <c r="C39" s="203" t="e">
        <f>C12*Kalk4_Eingabe!C39</f>
        <v>#DIV/0!</v>
      </c>
      <c r="D39" s="203" t="e">
        <f>D12*Kalk4_Eingabe!C39</f>
        <v>#DIV/0!</v>
      </c>
      <c r="E39" s="168" t="s">
        <v>22379</v>
      </c>
      <c r="F39" s="218" t="s">
        <v>22525</v>
      </c>
      <c r="L39" s="152" t="s">
        <v>22539</v>
      </c>
      <c r="M39" s="152" t="s">
        <v>22540</v>
      </c>
    </row>
    <row r="40" spans="1:29" ht="14.25" customHeight="1">
      <c r="B40" s="165" t="s">
        <v>22541</v>
      </c>
      <c r="C40" s="203" t="e">
        <f>C12*Kalk4_Eingabe!C40</f>
        <v>#DIV/0!</v>
      </c>
      <c r="D40" s="203" t="e">
        <f>D12*Kalk4_Eingabe!C40</f>
        <v>#DIV/0!</v>
      </c>
      <c r="E40" s="168" t="s">
        <v>22379</v>
      </c>
      <c r="F40" s="218" t="s">
        <v>22527</v>
      </c>
      <c r="K40" s="152" t="s">
        <v>22542</v>
      </c>
      <c r="L40" s="152">
        <v>0</v>
      </c>
      <c r="M40" s="152">
        <v>0</v>
      </c>
    </row>
    <row r="41" spans="1:29" ht="5.0999999999999996" customHeight="1" thickBot="1">
      <c r="C41" s="206"/>
      <c r="D41" s="206"/>
      <c r="L41" s="152">
        <f>L37+0.5</f>
        <v>2.5</v>
      </c>
      <c r="M41" s="152">
        <v>0</v>
      </c>
    </row>
    <row r="42" spans="1:29" ht="14.25" customHeight="1" thickBot="1">
      <c r="A42" s="171" t="s">
        <v>22413</v>
      </c>
      <c r="B42" s="172" t="s">
        <v>22543</v>
      </c>
      <c r="C42" s="201" t="s">
        <v>22506</v>
      </c>
      <c r="D42" s="201" t="s">
        <v>22507</v>
      </c>
      <c r="K42" s="152" t="s">
        <v>22544</v>
      </c>
      <c r="L42" s="152">
        <f>L37</f>
        <v>2</v>
      </c>
      <c r="M42" s="152">
        <v>0</v>
      </c>
    </row>
    <row r="43" spans="1:29" ht="14.25" customHeight="1">
      <c r="A43" s="219" t="s">
        <v>22528</v>
      </c>
      <c r="B43" s="192" t="s">
        <v>22545</v>
      </c>
      <c r="C43" s="213"/>
      <c r="D43" s="213"/>
      <c r="L43" s="152">
        <f>L42</f>
        <v>2</v>
      </c>
      <c r="M43" s="185">
        <f>Kalk4_Eingabe!C24</f>
        <v>2.5000000000000001E-2</v>
      </c>
    </row>
    <row r="44" spans="1:29" ht="14.25" customHeight="1">
      <c r="B44" s="165" t="s">
        <v>22496</v>
      </c>
      <c r="C44" s="203" t="e">
        <f>C39/Kalk4_Eingabe!C41/0.5</f>
        <v>#DIV/0!</v>
      </c>
      <c r="D44" s="203" t="e">
        <f>D39/Kalk4_Eingabe!C41/0.5</f>
        <v>#DIV/0!</v>
      </c>
      <c r="E44" s="168" t="s">
        <v>22469</v>
      </c>
      <c r="K44" s="152" t="s">
        <v>22422</v>
      </c>
      <c r="L44" s="152">
        <v>0</v>
      </c>
      <c r="M44" s="185">
        <f>Kalk4_Eingabe!C18</f>
        <v>0</v>
      </c>
      <c r="N44" s="551" t="s">
        <v>22546</v>
      </c>
      <c r="O44" s="552"/>
      <c r="P44" s="552"/>
      <c r="Q44" s="553"/>
      <c r="R44" s="551" t="s">
        <v>22547</v>
      </c>
      <c r="S44" s="552"/>
      <c r="T44" s="552"/>
      <c r="U44" s="553"/>
      <c r="V44" s="551" t="s">
        <v>22548</v>
      </c>
      <c r="W44" s="552"/>
      <c r="X44" s="552"/>
      <c r="Y44" s="553"/>
      <c r="Z44" s="551" t="s">
        <v>22547</v>
      </c>
      <c r="AA44" s="552"/>
      <c r="AB44" s="552"/>
      <c r="AC44" s="553"/>
    </row>
    <row r="45" spans="1:29" ht="14.25" customHeight="1">
      <c r="B45" s="165" t="s">
        <v>22549</v>
      </c>
      <c r="C45" s="203" t="e">
        <f>C44*0.5*(2*((Kalk4_Eingabe!C19-0.5)/2)+0.5)/(2*Kalk4_Eingabe!C19)</f>
        <v>#DIV/0!</v>
      </c>
      <c r="D45" s="203" t="e">
        <f>D44*0.5*(2*((Kalk4_Eingabe!C19-0.5)/2)+0.5)/(2*Kalk4_Eingabe!C19)</f>
        <v>#DIV/0!</v>
      </c>
      <c r="E45" s="168" t="s">
        <v>22379</v>
      </c>
      <c r="F45" s="163"/>
      <c r="L45" s="152">
        <f>L43</f>
        <v>2</v>
      </c>
      <c r="M45" s="185">
        <f>M44</f>
        <v>0</v>
      </c>
      <c r="N45" s="220"/>
      <c r="O45" s="221"/>
      <c r="P45" s="221"/>
      <c r="Q45" s="222"/>
      <c r="R45" s="220"/>
      <c r="S45" s="221"/>
      <c r="T45" s="221"/>
      <c r="U45" s="222"/>
      <c r="V45" s="220"/>
      <c r="W45" s="221"/>
      <c r="X45" s="221"/>
      <c r="Y45" s="222"/>
      <c r="Z45" s="220"/>
      <c r="AA45" s="221"/>
      <c r="AB45" s="221"/>
      <c r="AC45" s="222"/>
    </row>
    <row r="46" spans="1:29" ht="14.25" customHeight="1">
      <c r="B46" s="165" t="s">
        <v>22550</v>
      </c>
      <c r="C46" s="203" t="e">
        <f>IF(C44=0,0,C45*(((Kalk4_Eingabe!C19-0.5)/2)+Kalk4_Lastfallkombi!C45/(2*Kalk4_Lastfallkombi!C44)))</f>
        <v>#DIV/0!</v>
      </c>
      <c r="D46" s="203" t="e">
        <f>IF(D44=0,0,D45*(((Kalk4_Eingabe!C19-0.5)/2)+Kalk4_Lastfallkombi!D45/(2*Kalk4_Lastfallkombi!D44)))</f>
        <v>#DIV/0!</v>
      </c>
      <c r="E46" s="168" t="s">
        <v>22428</v>
      </c>
      <c r="F46" s="163"/>
      <c r="K46" s="152" t="s">
        <v>22551</v>
      </c>
      <c r="N46" s="223" t="s">
        <v>22552</v>
      </c>
      <c r="O46" s="224" t="s">
        <v>22553</v>
      </c>
      <c r="P46" s="225" t="s">
        <v>22554</v>
      </c>
      <c r="Q46" s="226" t="s">
        <v>22555</v>
      </c>
      <c r="R46" s="223" t="s">
        <v>22552</v>
      </c>
      <c r="S46" s="224" t="s">
        <v>22553</v>
      </c>
      <c r="T46" s="225" t="s">
        <v>22554</v>
      </c>
      <c r="U46" s="226" t="s">
        <v>22555</v>
      </c>
      <c r="V46" s="223" t="s">
        <v>22552</v>
      </c>
      <c r="W46" s="224" t="s">
        <v>22553</v>
      </c>
      <c r="X46" s="225" t="s">
        <v>22554</v>
      </c>
      <c r="Y46" s="226" t="s">
        <v>22555</v>
      </c>
      <c r="Z46" s="223" t="s">
        <v>22552</v>
      </c>
      <c r="AA46" s="224" t="s">
        <v>22553</v>
      </c>
      <c r="AB46" s="225" t="s">
        <v>22554</v>
      </c>
      <c r="AC46" s="226" t="s">
        <v>22555</v>
      </c>
    </row>
    <row r="47" spans="1:29" ht="14.25" customHeight="1">
      <c r="B47" s="192" t="s">
        <v>22556</v>
      </c>
      <c r="C47" s="204"/>
      <c r="D47" s="204"/>
      <c r="F47" s="163"/>
      <c r="K47" s="152">
        <v>1</v>
      </c>
      <c r="L47" s="185">
        <f>L42-0.02</f>
        <v>1.98</v>
      </c>
      <c r="M47" s="185">
        <f>C15/100</f>
        <v>0.21</v>
      </c>
      <c r="N47" s="227">
        <f>C31</f>
        <v>0</v>
      </c>
      <c r="O47" s="185">
        <f>C32</f>
        <v>0</v>
      </c>
      <c r="P47" s="185">
        <f>O47+N47</f>
        <v>0</v>
      </c>
      <c r="Q47" s="228" t="e">
        <f>Q48</f>
        <v>#DIV/0!</v>
      </c>
      <c r="R47" s="227">
        <f>D31</f>
        <v>0</v>
      </c>
      <c r="S47" s="185">
        <f>D32</f>
        <v>0</v>
      </c>
      <c r="T47" s="185">
        <f>S47+R47</f>
        <v>0</v>
      </c>
      <c r="U47" s="228" t="e">
        <f>U48</f>
        <v>#DIV/0!</v>
      </c>
      <c r="V47" s="229">
        <f>C19</f>
        <v>0.30375000000000002</v>
      </c>
      <c r="W47" s="230">
        <f>C20</f>
        <v>0</v>
      </c>
      <c r="X47" s="230">
        <f>W47+V47</f>
        <v>0.30375000000000002</v>
      </c>
      <c r="Y47" s="231">
        <f>Y48</f>
        <v>-0.97199999999999998</v>
      </c>
      <c r="Z47" s="229">
        <f>D19</f>
        <v>0.22500000000000001</v>
      </c>
      <c r="AA47" s="230">
        <f>D20</f>
        <v>0</v>
      </c>
      <c r="AB47" s="230">
        <f>AA47+Z47</f>
        <v>0.22500000000000001</v>
      </c>
      <c r="AC47" s="231">
        <f>AC48</f>
        <v>-0.72</v>
      </c>
    </row>
    <row r="48" spans="1:29" ht="14.25" customHeight="1">
      <c r="B48" s="165" t="s">
        <v>22557</v>
      </c>
      <c r="C48" s="203" t="e">
        <f>C38*C14/100*Kalk4_Eingabe!C19/2</f>
        <v>#DIV/0!</v>
      </c>
      <c r="D48" s="203" t="e">
        <f>D38*C14/100*Kalk4_Eingabe!C19/2</f>
        <v>#DIV/0!</v>
      </c>
      <c r="E48" s="168" t="s">
        <v>22379</v>
      </c>
      <c r="K48" s="152">
        <v>1</v>
      </c>
      <c r="L48" s="185">
        <f>L42+0.02</f>
        <v>2.02</v>
      </c>
      <c r="M48" s="185">
        <f>M47</f>
        <v>0.21</v>
      </c>
      <c r="N48" s="227" t="e">
        <f>$N$47/Kalk4_Eingabe!$C$18*(Kalk4_Eingabe!$C$18-Kalk4_Lastfallkombi!M48)</f>
        <v>#DIV/0!</v>
      </c>
      <c r="O48" s="185">
        <f>O47</f>
        <v>0</v>
      </c>
      <c r="P48" s="185" t="e">
        <f t="shared" ref="P48:P94" si="0">O48+N48</f>
        <v>#DIV/0!</v>
      </c>
      <c r="Q48" s="228" t="e">
        <f>AVERAGE(P48,P47)</f>
        <v>#DIV/0!</v>
      </c>
      <c r="R48" s="227" t="e">
        <f>$R$47/Kalk4_Eingabe!$C$18*(Kalk4_Eingabe!$C$18-Kalk4_Lastfallkombi!M48)</f>
        <v>#DIV/0!</v>
      </c>
      <c r="S48" s="185">
        <f>S47</f>
        <v>0</v>
      </c>
      <c r="T48" s="185" t="e">
        <f>S48+R48</f>
        <v>#DIV/0!</v>
      </c>
      <c r="U48" s="228" t="e">
        <f>AVERAGE(T48,T47)</f>
        <v>#DIV/0!</v>
      </c>
      <c r="V48" s="227">
        <f>$V$47/Kalk4_Eingabe!$C$24*(Kalk4_Eingabe!$C$24-Kalk4_Lastfallkombi!M48)</f>
        <v>-2.2477499999999999</v>
      </c>
      <c r="W48" s="185">
        <f>W47</f>
        <v>0</v>
      </c>
      <c r="X48" s="185">
        <f>W48+V48</f>
        <v>-2.2477499999999999</v>
      </c>
      <c r="Y48" s="228">
        <f>AVERAGE(X48,X47)</f>
        <v>-0.97199999999999998</v>
      </c>
      <c r="Z48" s="227">
        <f>$Z$47/Kalk4_Eingabe!$C$24*(Kalk4_Eingabe!$C$24-Kalk4_Lastfallkombi!M48)</f>
        <v>-1.665</v>
      </c>
      <c r="AA48" s="185">
        <f>AA47</f>
        <v>0</v>
      </c>
      <c r="AB48" s="185">
        <f>AA48+Z48</f>
        <v>-1.665</v>
      </c>
      <c r="AC48" s="228">
        <f>AVERAGE(AB48,AB47)</f>
        <v>-0.72</v>
      </c>
    </row>
    <row r="49" spans="1:29" ht="14.25" customHeight="1" thickBot="1">
      <c r="B49" s="165" t="s">
        <v>22558</v>
      </c>
      <c r="C49" s="203" t="e">
        <f>C38*C14/100*Kalk4_Eingabe!C19^2/8</f>
        <v>#DIV/0!</v>
      </c>
      <c r="D49" s="203" t="e">
        <f>D38*C14/100*Kalk4_Eingabe!C19^2/8</f>
        <v>#DIV/0!</v>
      </c>
      <c r="E49" s="168" t="s">
        <v>22428</v>
      </c>
      <c r="K49" s="152">
        <v>2</v>
      </c>
      <c r="L49" s="185">
        <f>L47</f>
        <v>1.98</v>
      </c>
      <c r="M49" s="185">
        <f>M47+IF(K49&lt;=$L$36,$C$14/100,0)</f>
        <v>0.21</v>
      </c>
      <c r="N49" s="227" t="e">
        <f>N48</f>
        <v>#DIV/0!</v>
      </c>
      <c r="O49" s="185" t="e">
        <f>IF(N49=0,0,O48)</f>
        <v>#DIV/0!</v>
      </c>
      <c r="P49" s="185" t="e">
        <f t="shared" si="0"/>
        <v>#DIV/0!</v>
      </c>
      <c r="Q49" s="228" t="e">
        <f>Q50</f>
        <v>#DIV/0!</v>
      </c>
      <c r="R49" s="227" t="e">
        <f>R48</f>
        <v>#DIV/0!</v>
      </c>
      <c r="S49" s="185" t="e">
        <f>IF(R49=0,0,S48)</f>
        <v>#DIV/0!</v>
      </c>
      <c r="T49" s="185" t="e">
        <f>S49+R49</f>
        <v>#DIV/0!</v>
      </c>
      <c r="U49" s="228" t="e">
        <f>U50</f>
        <v>#DIV/0!</v>
      </c>
      <c r="V49" s="227">
        <f>V48</f>
        <v>-2.2477499999999999</v>
      </c>
      <c r="W49" s="185">
        <f>IF(V49=0,0,W48)</f>
        <v>0</v>
      </c>
      <c r="X49" s="185">
        <f>W49+V49</f>
        <v>-2.2477499999999999</v>
      </c>
      <c r="Y49" s="228">
        <f>Y50</f>
        <v>-1.123875</v>
      </c>
      <c r="Z49" s="227">
        <f>Z48</f>
        <v>-1.665</v>
      </c>
      <c r="AA49" s="185">
        <f>IF(Z49=0,0,AA48)</f>
        <v>0</v>
      </c>
      <c r="AB49" s="185">
        <f>AA49+Z49</f>
        <v>-1.665</v>
      </c>
      <c r="AC49" s="228">
        <f>AC50</f>
        <v>-0.83250000000000002</v>
      </c>
    </row>
    <row r="50" spans="1:29" ht="14.25" customHeight="1" thickBot="1">
      <c r="A50" s="216" t="s">
        <v>22528</v>
      </c>
      <c r="B50" s="195" t="s">
        <v>22559</v>
      </c>
      <c r="C50" s="194" t="e">
        <f>C48+C45</f>
        <v>#DIV/0!</v>
      </c>
      <c r="D50" s="194" t="e">
        <f>D48+D45</f>
        <v>#DIV/0!</v>
      </c>
      <c r="E50" s="190" t="s">
        <v>22379</v>
      </c>
      <c r="K50" s="152">
        <v>2</v>
      </c>
      <c r="L50" s="185">
        <f>L48</f>
        <v>2.02</v>
      </c>
      <c r="M50" s="185">
        <f>M49</f>
        <v>0.21</v>
      </c>
      <c r="N50" s="227" t="e">
        <f>MAX($N$47/Kalk4_Eingabe!$C$18*(Kalk4_Eingabe!$C$18-Kalk4_Lastfallkombi!M50),0)</f>
        <v>#DIV/0!</v>
      </c>
      <c r="O50" s="185" t="e">
        <f t="shared" ref="O50:O94" si="1">O49</f>
        <v>#DIV/0!</v>
      </c>
      <c r="P50" s="185" t="e">
        <f t="shared" si="0"/>
        <v>#DIV/0!</v>
      </c>
      <c r="Q50" s="228" t="e">
        <f>AVERAGE(P50,P49)</f>
        <v>#DIV/0!</v>
      </c>
      <c r="R50" s="227" t="e">
        <f>MAX($R$47/Kalk4_Eingabe!$C$18*(Kalk4_Eingabe!$C$18-Kalk4_Lastfallkombi!M50),0)</f>
        <v>#DIV/0!</v>
      </c>
      <c r="S50" s="185" t="e">
        <f t="shared" ref="S50:S94" si="2">S49</f>
        <v>#DIV/0!</v>
      </c>
      <c r="T50" s="185" t="e">
        <f>S50+R50</f>
        <v>#DIV/0!</v>
      </c>
      <c r="U50" s="228" t="e">
        <f>AVERAGE(T50,T49)</f>
        <v>#DIV/0!</v>
      </c>
      <c r="V50" s="227">
        <f>MAX($V$47/Kalk4_Eingabe!$C$24*(Kalk4_Eingabe!$C$24-Kalk4_Lastfallkombi!M50),0)</f>
        <v>0</v>
      </c>
      <c r="W50" s="185">
        <f t="shared" ref="W50:W94" si="3">W49</f>
        <v>0</v>
      </c>
      <c r="X50" s="185">
        <f>W50+V50</f>
        <v>0</v>
      </c>
      <c r="Y50" s="228">
        <f>AVERAGE(X50,X49)</f>
        <v>-1.123875</v>
      </c>
      <c r="Z50" s="227">
        <f>MAX($Z$47/Kalk4_Eingabe!$C$24*(Kalk4_Eingabe!$C$24-Kalk4_Lastfallkombi!M50),0)</f>
        <v>0</v>
      </c>
      <c r="AA50" s="185">
        <f t="shared" ref="AA50:AA94" si="4">AA49</f>
        <v>0</v>
      </c>
      <c r="AB50" s="185">
        <f>AA50+Z50</f>
        <v>0</v>
      </c>
      <c r="AC50" s="228">
        <f>AVERAGE(AB50,AB49)</f>
        <v>-0.83250000000000002</v>
      </c>
    </row>
    <row r="51" spans="1:29" ht="14.25" customHeight="1" thickBot="1">
      <c r="B51" s="195" t="s">
        <v>22560</v>
      </c>
      <c r="C51" s="194" t="e">
        <f>C46+C49</f>
        <v>#DIV/0!</v>
      </c>
      <c r="D51" s="194" t="e">
        <f>D46+D49</f>
        <v>#DIV/0!</v>
      </c>
      <c r="E51" s="190" t="s">
        <v>22428</v>
      </c>
      <c r="K51" s="152">
        <v>3</v>
      </c>
      <c r="L51" s="185">
        <f t="shared" ref="L51:L94" si="5">L49</f>
        <v>1.98</v>
      </c>
      <c r="M51" s="185">
        <f>M49+IF(K51&lt;=$L$36,$C$14/100,0)</f>
        <v>0.21</v>
      </c>
      <c r="N51" s="227" t="e">
        <f>N50</f>
        <v>#DIV/0!</v>
      </c>
      <c r="O51" s="185" t="e">
        <f>IF(N51=0,0,O50)</f>
        <v>#DIV/0!</v>
      </c>
      <c r="P51" s="185" t="e">
        <f t="shared" si="0"/>
        <v>#DIV/0!</v>
      </c>
      <c r="Q51" s="228" t="e">
        <f>Q52</f>
        <v>#DIV/0!</v>
      </c>
      <c r="R51" s="227" t="e">
        <f>R50</f>
        <v>#DIV/0!</v>
      </c>
      <c r="S51" s="185" t="e">
        <f>IF(R51=0,0,S50)</f>
        <v>#DIV/0!</v>
      </c>
      <c r="T51" s="185" t="e">
        <f t="shared" ref="T51:T94" si="6">S51+R51</f>
        <v>#DIV/0!</v>
      </c>
      <c r="U51" s="228" t="e">
        <f>U52</f>
        <v>#DIV/0!</v>
      </c>
      <c r="V51" s="227">
        <f>V50</f>
        <v>0</v>
      </c>
      <c r="W51" s="185">
        <f>IF(V51=0,0,W50)</f>
        <v>0</v>
      </c>
      <c r="X51" s="185">
        <f t="shared" ref="X51:X94" si="7">W51+V51</f>
        <v>0</v>
      </c>
      <c r="Y51" s="228">
        <f>Y52</f>
        <v>0</v>
      </c>
      <c r="Z51" s="227">
        <f>Z50</f>
        <v>0</v>
      </c>
      <c r="AA51" s="185">
        <f>IF(Z51=0,0,AA50)</f>
        <v>0</v>
      </c>
      <c r="AB51" s="185">
        <f t="shared" ref="AB51:AB94" si="8">AA51+Z51</f>
        <v>0</v>
      </c>
      <c r="AC51" s="228">
        <f>AC52</f>
        <v>0</v>
      </c>
    </row>
    <row r="52" spans="1:29" ht="5.0999999999999996" customHeight="1">
      <c r="C52" s="204"/>
      <c r="D52" s="204"/>
      <c r="H52" s="163"/>
      <c r="K52" s="152">
        <v>3</v>
      </c>
      <c r="L52" s="185">
        <f t="shared" si="5"/>
        <v>2.02</v>
      </c>
      <c r="M52" s="185">
        <f>M51</f>
        <v>0.21</v>
      </c>
      <c r="N52" s="227" t="e">
        <f>MAX($N$47/Kalk4_Eingabe!$C$18*(Kalk4_Eingabe!$C$18-Kalk4_Lastfallkombi!M52),0)</f>
        <v>#DIV/0!</v>
      </c>
      <c r="O52" s="185" t="e">
        <f t="shared" si="1"/>
        <v>#DIV/0!</v>
      </c>
      <c r="P52" s="185" t="e">
        <f t="shared" si="0"/>
        <v>#DIV/0!</v>
      </c>
      <c r="Q52" s="228" t="e">
        <f>AVERAGE(P52,P51)</f>
        <v>#DIV/0!</v>
      </c>
      <c r="R52" s="227" t="e">
        <f>MAX($R$47/Kalk4_Eingabe!$C$18*(Kalk4_Eingabe!$C$18-Kalk4_Lastfallkombi!M52),0)</f>
        <v>#DIV/0!</v>
      </c>
      <c r="S52" s="185" t="e">
        <f t="shared" si="2"/>
        <v>#DIV/0!</v>
      </c>
      <c r="T52" s="185" t="e">
        <f t="shared" si="6"/>
        <v>#DIV/0!</v>
      </c>
      <c r="U52" s="228" t="e">
        <f>AVERAGE(T52,T51)</f>
        <v>#DIV/0!</v>
      </c>
      <c r="V52" s="227">
        <f>MAX($V$47/Kalk4_Eingabe!$C$24*(Kalk4_Eingabe!$C$24-Kalk4_Lastfallkombi!M52),0)</f>
        <v>0</v>
      </c>
      <c r="W52" s="185">
        <f t="shared" si="3"/>
        <v>0</v>
      </c>
      <c r="X52" s="185">
        <f t="shared" si="7"/>
        <v>0</v>
      </c>
      <c r="Y52" s="228">
        <f>AVERAGE(X52,X51)</f>
        <v>0</v>
      </c>
      <c r="Z52" s="227">
        <f>MAX($Z$47/Kalk4_Eingabe!$C$24*(Kalk4_Eingabe!$C$24-Kalk4_Lastfallkombi!M52),0)</f>
        <v>0</v>
      </c>
      <c r="AA52" s="185">
        <f t="shared" si="4"/>
        <v>0</v>
      </c>
      <c r="AB52" s="185">
        <f t="shared" si="8"/>
        <v>0</v>
      </c>
      <c r="AC52" s="228">
        <f>AVERAGE(AB52,AB51)</f>
        <v>0</v>
      </c>
    </row>
    <row r="53" spans="1:29" ht="14.25" customHeight="1">
      <c r="A53" s="219" t="s">
        <v>22513</v>
      </c>
      <c r="B53" s="192" t="s">
        <v>22561</v>
      </c>
      <c r="C53" s="204"/>
      <c r="D53" s="204"/>
      <c r="H53" s="163"/>
      <c r="K53" s="152">
        <v>4</v>
      </c>
      <c r="L53" s="185">
        <f t="shared" si="5"/>
        <v>1.98</v>
      </c>
      <c r="M53" s="185">
        <f>M51+IF(K53&lt;=$L$36,$C$14/100,0)</f>
        <v>0.21</v>
      </c>
      <c r="N53" s="227" t="e">
        <f>N52</f>
        <v>#DIV/0!</v>
      </c>
      <c r="O53" s="185" t="e">
        <f>IF(N53=0,0,O52)</f>
        <v>#DIV/0!</v>
      </c>
      <c r="P53" s="185" t="e">
        <f t="shared" si="0"/>
        <v>#DIV/0!</v>
      </c>
      <c r="Q53" s="228" t="e">
        <f>Q54</f>
        <v>#DIV/0!</v>
      </c>
      <c r="R53" s="227" t="e">
        <f>R52</f>
        <v>#DIV/0!</v>
      </c>
      <c r="S53" s="185" t="e">
        <f>IF(R53=0,0,S52)</f>
        <v>#DIV/0!</v>
      </c>
      <c r="T53" s="185" t="e">
        <f t="shared" si="6"/>
        <v>#DIV/0!</v>
      </c>
      <c r="U53" s="228" t="e">
        <f>U54</f>
        <v>#DIV/0!</v>
      </c>
      <c r="V53" s="227">
        <f>V52</f>
        <v>0</v>
      </c>
      <c r="W53" s="185">
        <f>IF(V53=0,0,W52)</f>
        <v>0</v>
      </c>
      <c r="X53" s="185">
        <f t="shared" si="7"/>
        <v>0</v>
      </c>
      <c r="Y53" s="228">
        <f>Y54</f>
        <v>0</v>
      </c>
      <c r="Z53" s="227">
        <f>Z52</f>
        <v>0</v>
      </c>
      <c r="AA53" s="185">
        <f>IF(Z53=0,0,AA52)</f>
        <v>0</v>
      </c>
      <c r="AB53" s="185">
        <f t="shared" si="8"/>
        <v>0</v>
      </c>
      <c r="AC53" s="228">
        <f>AC54</f>
        <v>0</v>
      </c>
    </row>
    <row r="54" spans="1:29" ht="14.25" customHeight="1">
      <c r="B54" s="165" t="s">
        <v>22562</v>
      </c>
      <c r="C54" s="203" t="e">
        <f>C27/Kalk4_Eingabe!C48/0.5</f>
        <v>#NUM!</v>
      </c>
      <c r="D54" s="203" t="e">
        <f>D27/Kalk4_Eingabe!C48/0.5</f>
        <v>#NUM!</v>
      </c>
      <c r="E54" s="168" t="s">
        <v>22469</v>
      </c>
      <c r="H54" s="163"/>
      <c r="K54" s="152">
        <v>4</v>
      </c>
      <c r="L54" s="185">
        <f t="shared" si="5"/>
        <v>2.02</v>
      </c>
      <c r="M54" s="185">
        <f>M53</f>
        <v>0.21</v>
      </c>
      <c r="N54" s="227" t="e">
        <f>MAX($N$47/Kalk4_Eingabe!$C$18*(Kalk4_Eingabe!$C$18-Kalk4_Lastfallkombi!M54),0)</f>
        <v>#DIV/0!</v>
      </c>
      <c r="O54" s="185" t="e">
        <f t="shared" si="1"/>
        <v>#DIV/0!</v>
      </c>
      <c r="P54" s="185" t="e">
        <f t="shared" si="0"/>
        <v>#DIV/0!</v>
      </c>
      <c r="Q54" s="228" t="e">
        <f>AVERAGE(P54,P53)</f>
        <v>#DIV/0!</v>
      </c>
      <c r="R54" s="227" t="e">
        <f>MAX($R$47/Kalk4_Eingabe!$C$18*(Kalk4_Eingabe!$C$18-Kalk4_Lastfallkombi!M54),0)</f>
        <v>#DIV/0!</v>
      </c>
      <c r="S54" s="185" t="e">
        <f t="shared" si="2"/>
        <v>#DIV/0!</v>
      </c>
      <c r="T54" s="185" t="e">
        <f t="shared" si="6"/>
        <v>#DIV/0!</v>
      </c>
      <c r="U54" s="228" t="e">
        <f>AVERAGE(T54,T53)</f>
        <v>#DIV/0!</v>
      </c>
      <c r="V54" s="227">
        <f>MAX($V$47/Kalk4_Eingabe!$C$24*(Kalk4_Eingabe!$C$24-Kalk4_Lastfallkombi!M54),0)</f>
        <v>0</v>
      </c>
      <c r="W54" s="185">
        <f t="shared" si="3"/>
        <v>0</v>
      </c>
      <c r="X54" s="185">
        <f t="shared" si="7"/>
        <v>0</v>
      </c>
      <c r="Y54" s="228">
        <f>AVERAGE(X54,X53)</f>
        <v>0</v>
      </c>
      <c r="Z54" s="227">
        <f>MAX($Z$47/Kalk4_Eingabe!$C$24*(Kalk4_Eingabe!$C$24-Kalk4_Lastfallkombi!M54),0)</f>
        <v>0</v>
      </c>
      <c r="AA54" s="185">
        <f t="shared" si="4"/>
        <v>0</v>
      </c>
      <c r="AB54" s="185">
        <f t="shared" si="8"/>
        <v>0</v>
      </c>
      <c r="AC54" s="228">
        <f>AVERAGE(AB54,AB53)</f>
        <v>0</v>
      </c>
    </row>
    <row r="55" spans="1:29" ht="14.25" customHeight="1">
      <c r="B55" s="165" t="s">
        <v>22549</v>
      </c>
      <c r="C55" s="203" t="e">
        <f>C54*0.5*(2*((Kalk4_Eingabe!C19-0.5)/2)+0.5)/(2*Kalk4_Eingabe!C19)</f>
        <v>#NUM!</v>
      </c>
      <c r="D55" s="203" t="e">
        <f>D54*0.5*(2*((Kalk4_Eingabe!C19-0.5)/2)+0.5)/(2*Kalk4_Eingabe!C19)</f>
        <v>#NUM!</v>
      </c>
      <c r="E55" s="168" t="s">
        <v>22379</v>
      </c>
      <c r="H55" s="163"/>
      <c r="K55" s="152">
        <v>5</v>
      </c>
      <c r="L55" s="185">
        <f t="shared" si="5"/>
        <v>1.98</v>
      </c>
      <c r="M55" s="185">
        <f>M53+IF(K55&lt;=$L$36,$C$14/100,0)</f>
        <v>0.21</v>
      </c>
      <c r="N55" s="227" t="e">
        <f>N54</f>
        <v>#DIV/0!</v>
      </c>
      <c r="O55" s="185" t="e">
        <f>IF(N55=0,0,O54)</f>
        <v>#DIV/0!</v>
      </c>
      <c r="P55" s="185" t="e">
        <f t="shared" si="0"/>
        <v>#DIV/0!</v>
      </c>
      <c r="Q55" s="228" t="e">
        <f>Q56</f>
        <v>#DIV/0!</v>
      </c>
      <c r="R55" s="227" t="e">
        <f>R54</f>
        <v>#DIV/0!</v>
      </c>
      <c r="S55" s="185" t="e">
        <f>IF(R55=0,0,S54)</f>
        <v>#DIV/0!</v>
      </c>
      <c r="T55" s="185" t="e">
        <f t="shared" si="6"/>
        <v>#DIV/0!</v>
      </c>
      <c r="U55" s="228" t="e">
        <f>U56</f>
        <v>#DIV/0!</v>
      </c>
      <c r="V55" s="227">
        <f>V54</f>
        <v>0</v>
      </c>
      <c r="W55" s="185">
        <f>IF(V55=0,0,W54)</f>
        <v>0</v>
      </c>
      <c r="X55" s="185">
        <f t="shared" si="7"/>
        <v>0</v>
      </c>
      <c r="Y55" s="228">
        <f>Y56</f>
        <v>0</v>
      </c>
      <c r="Z55" s="227">
        <f>Z54</f>
        <v>0</v>
      </c>
      <c r="AA55" s="185">
        <f>IF(Z55=0,0,AA54)</f>
        <v>0</v>
      </c>
      <c r="AB55" s="185">
        <f t="shared" si="8"/>
        <v>0</v>
      </c>
      <c r="AC55" s="228">
        <f>AC56</f>
        <v>0</v>
      </c>
    </row>
    <row r="56" spans="1:29" ht="14.25" customHeight="1">
      <c r="B56" s="165" t="s">
        <v>22550</v>
      </c>
      <c r="C56" s="203" t="e">
        <f>IF(C54=0,0,C55*(((Kalk4_Eingabe!C19-0.5)/2)+Kalk4_Lastfallkombi!C55/(2*Kalk4_Lastfallkombi!C54)))</f>
        <v>#NUM!</v>
      </c>
      <c r="D56" s="203" t="e">
        <f>IF(D54=0,0,D55*(((Kalk4_Eingabe!C19-0.5)/2)+Kalk4_Lastfallkombi!D55/(2*Kalk4_Lastfallkombi!D54)))</f>
        <v>#NUM!</v>
      </c>
      <c r="E56" s="168" t="s">
        <v>22428</v>
      </c>
      <c r="H56" s="163"/>
      <c r="K56" s="152">
        <v>5</v>
      </c>
      <c r="L56" s="185">
        <f t="shared" si="5"/>
        <v>2.02</v>
      </c>
      <c r="M56" s="185">
        <f>M55</f>
        <v>0.21</v>
      </c>
      <c r="N56" s="227" t="e">
        <f>MAX($N$47/Kalk4_Eingabe!$C$18*(Kalk4_Eingabe!$C$18-Kalk4_Lastfallkombi!M56),0)</f>
        <v>#DIV/0!</v>
      </c>
      <c r="O56" s="185" t="e">
        <f t="shared" si="1"/>
        <v>#DIV/0!</v>
      </c>
      <c r="P56" s="185" t="e">
        <f t="shared" si="0"/>
        <v>#DIV/0!</v>
      </c>
      <c r="Q56" s="228" t="e">
        <f>AVERAGE(P56,P55)</f>
        <v>#DIV/0!</v>
      </c>
      <c r="R56" s="227" t="e">
        <f>MAX($R$47/Kalk4_Eingabe!$C$18*(Kalk4_Eingabe!$C$18-Kalk4_Lastfallkombi!M56),0)</f>
        <v>#DIV/0!</v>
      </c>
      <c r="S56" s="185" t="e">
        <f t="shared" si="2"/>
        <v>#DIV/0!</v>
      </c>
      <c r="T56" s="185" t="e">
        <f t="shared" si="6"/>
        <v>#DIV/0!</v>
      </c>
      <c r="U56" s="228" t="e">
        <f>AVERAGE(T56,T55)</f>
        <v>#DIV/0!</v>
      </c>
      <c r="V56" s="227">
        <f>MAX($V$47/Kalk4_Eingabe!$C$24*(Kalk4_Eingabe!$C$24-Kalk4_Lastfallkombi!M56),0)</f>
        <v>0</v>
      </c>
      <c r="W56" s="185">
        <f t="shared" si="3"/>
        <v>0</v>
      </c>
      <c r="X56" s="185">
        <f t="shared" si="7"/>
        <v>0</v>
      </c>
      <c r="Y56" s="228">
        <f>AVERAGE(X56,X55)</f>
        <v>0</v>
      </c>
      <c r="Z56" s="227">
        <f>MAX($Z$47/Kalk4_Eingabe!$C$24*(Kalk4_Eingabe!$C$24-Kalk4_Lastfallkombi!M56),0)</f>
        <v>0</v>
      </c>
      <c r="AA56" s="185">
        <f t="shared" si="4"/>
        <v>0</v>
      </c>
      <c r="AB56" s="185">
        <f t="shared" si="8"/>
        <v>0</v>
      </c>
      <c r="AC56" s="228">
        <f>AVERAGE(AB56,AB55)</f>
        <v>0</v>
      </c>
    </row>
    <row r="57" spans="1:29" ht="14.25" customHeight="1">
      <c r="B57" s="192" t="s">
        <v>22556</v>
      </c>
      <c r="C57" s="204"/>
      <c r="D57" s="204"/>
      <c r="H57" s="163"/>
      <c r="K57" s="152">
        <v>6</v>
      </c>
      <c r="L57" s="185">
        <f t="shared" si="5"/>
        <v>1.98</v>
      </c>
      <c r="M57" s="185">
        <f>M55+IF(K57&lt;=$L$36,$C$14/100,0)</f>
        <v>0.21</v>
      </c>
      <c r="N57" s="227" t="e">
        <f>N56</f>
        <v>#DIV/0!</v>
      </c>
      <c r="O57" s="185" t="e">
        <f>IF(N57=0,0,O56)</f>
        <v>#DIV/0!</v>
      </c>
      <c r="P57" s="185" t="e">
        <f t="shared" si="0"/>
        <v>#DIV/0!</v>
      </c>
      <c r="Q57" s="228" t="e">
        <f>Q58</f>
        <v>#DIV/0!</v>
      </c>
      <c r="R57" s="227" t="e">
        <f>R56</f>
        <v>#DIV/0!</v>
      </c>
      <c r="S57" s="185" t="e">
        <f>IF(R57=0,0,S56)</f>
        <v>#DIV/0!</v>
      </c>
      <c r="T57" s="185" t="e">
        <f t="shared" si="6"/>
        <v>#DIV/0!</v>
      </c>
      <c r="U57" s="228" t="e">
        <f>U58</f>
        <v>#DIV/0!</v>
      </c>
      <c r="V57" s="227">
        <f>V56</f>
        <v>0</v>
      </c>
      <c r="W57" s="185">
        <f>IF(V57=0,0,W56)</f>
        <v>0</v>
      </c>
      <c r="X57" s="185">
        <f t="shared" si="7"/>
        <v>0</v>
      </c>
      <c r="Y57" s="228">
        <f>Y58</f>
        <v>0</v>
      </c>
      <c r="Z57" s="227">
        <f>Z56</f>
        <v>0</v>
      </c>
      <c r="AA57" s="185">
        <f>IF(Z57=0,0,AA56)</f>
        <v>0</v>
      </c>
      <c r="AB57" s="185">
        <f t="shared" si="8"/>
        <v>0</v>
      </c>
      <c r="AC57" s="228">
        <f>AC58</f>
        <v>0</v>
      </c>
    </row>
    <row r="58" spans="1:29" ht="14.25" customHeight="1">
      <c r="B58" s="165" t="s">
        <v>22563</v>
      </c>
      <c r="C58" s="203">
        <f>C26*C14/100*Kalk4_Eingabe!C19/2</f>
        <v>0</v>
      </c>
      <c r="D58" s="203">
        <f>D26*C14/100*Kalk4_Eingabe!C19/2</f>
        <v>0</v>
      </c>
      <c r="E58" s="168" t="s">
        <v>22379</v>
      </c>
      <c r="H58" s="163"/>
      <c r="K58" s="152">
        <v>6</v>
      </c>
      <c r="L58" s="185">
        <f t="shared" si="5"/>
        <v>2.02</v>
      </c>
      <c r="M58" s="185">
        <f>M57</f>
        <v>0.21</v>
      </c>
      <c r="N58" s="227" t="e">
        <f>MAX($N$47/Kalk4_Eingabe!$C$18*(Kalk4_Eingabe!$C$18-Kalk4_Lastfallkombi!M58),0)</f>
        <v>#DIV/0!</v>
      </c>
      <c r="O58" s="185" t="e">
        <f t="shared" si="1"/>
        <v>#DIV/0!</v>
      </c>
      <c r="P58" s="185" t="e">
        <f t="shared" si="0"/>
        <v>#DIV/0!</v>
      </c>
      <c r="Q58" s="228" t="e">
        <f>AVERAGE(P58,P57)</f>
        <v>#DIV/0!</v>
      </c>
      <c r="R58" s="227" t="e">
        <f>MAX($R$47/Kalk4_Eingabe!$C$18*(Kalk4_Eingabe!$C$18-Kalk4_Lastfallkombi!M58),0)</f>
        <v>#DIV/0!</v>
      </c>
      <c r="S58" s="185" t="e">
        <f t="shared" si="2"/>
        <v>#DIV/0!</v>
      </c>
      <c r="T58" s="185" t="e">
        <f t="shared" si="6"/>
        <v>#DIV/0!</v>
      </c>
      <c r="U58" s="228" t="e">
        <f>AVERAGE(T58,T57)</f>
        <v>#DIV/0!</v>
      </c>
      <c r="V58" s="227">
        <f>MAX($V$47/Kalk4_Eingabe!$C$24*(Kalk4_Eingabe!$C$24-Kalk4_Lastfallkombi!M58),0)</f>
        <v>0</v>
      </c>
      <c r="W58" s="185">
        <f t="shared" si="3"/>
        <v>0</v>
      </c>
      <c r="X58" s="185">
        <f t="shared" si="7"/>
        <v>0</v>
      </c>
      <c r="Y58" s="228">
        <f>AVERAGE(X58,X57)</f>
        <v>0</v>
      </c>
      <c r="Z58" s="227">
        <f>MAX($Z$47/Kalk4_Eingabe!$C$24*(Kalk4_Eingabe!$C$24-Kalk4_Lastfallkombi!M58),0)</f>
        <v>0</v>
      </c>
      <c r="AA58" s="185">
        <f t="shared" si="4"/>
        <v>0</v>
      </c>
      <c r="AB58" s="185">
        <f t="shared" si="8"/>
        <v>0</v>
      </c>
      <c r="AC58" s="228">
        <f>AVERAGE(AB58,AB57)</f>
        <v>0</v>
      </c>
    </row>
    <row r="59" spans="1:29" ht="14.25" customHeight="1" thickBot="1">
      <c r="B59" s="165" t="s">
        <v>22564</v>
      </c>
      <c r="C59" s="203">
        <f>C26*C14/100*Kalk4_Eingabe!C19^2/8</f>
        <v>0</v>
      </c>
      <c r="D59" s="203">
        <f>D26*C14/100*Kalk4_Eingabe!C19^2/8</f>
        <v>0</v>
      </c>
      <c r="E59" s="168" t="s">
        <v>22428</v>
      </c>
      <c r="H59" s="163"/>
      <c r="K59" s="152">
        <v>7</v>
      </c>
      <c r="L59" s="185">
        <f t="shared" si="5"/>
        <v>1.98</v>
      </c>
      <c r="M59" s="185">
        <f>M57+IF(K59&lt;=$L$36,$C$14/100,0)</f>
        <v>0.21</v>
      </c>
      <c r="N59" s="227" t="e">
        <f>N58</f>
        <v>#DIV/0!</v>
      </c>
      <c r="O59" s="185" t="e">
        <f>IF(N59=0,0,O58)</f>
        <v>#DIV/0!</v>
      </c>
      <c r="P59" s="185" t="e">
        <f t="shared" si="0"/>
        <v>#DIV/0!</v>
      </c>
      <c r="Q59" s="228" t="e">
        <f>Q60</f>
        <v>#DIV/0!</v>
      </c>
      <c r="R59" s="227" t="e">
        <f>R58</f>
        <v>#DIV/0!</v>
      </c>
      <c r="S59" s="185" t="e">
        <f>IF(R59=0,0,S58)</f>
        <v>#DIV/0!</v>
      </c>
      <c r="T59" s="185" t="e">
        <f t="shared" si="6"/>
        <v>#DIV/0!</v>
      </c>
      <c r="U59" s="228" t="e">
        <f>U60</f>
        <v>#DIV/0!</v>
      </c>
      <c r="V59" s="227">
        <f>V58</f>
        <v>0</v>
      </c>
      <c r="W59" s="185">
        <f>IF(V59=0,0,W58)</f>
        <v>0</v>
      </c>
      <c r="X59" s="185">
        <f t="shared" si="7"/>
        <v>0</v>
      </c>
      <c r="Y59" s="228">
        <f>Y60</f>
        <v>0</v>
      </c>
      <c r="Z59" s="227">
        <f>Z58</f>
        <v>0</v>
      </c>
      <c r="AA59" s="185">
        <f>IF(Z59=0,0,AA58)</f>
        <v>0</v>
      </c>
      <c r="AB59" s="185">
        <f t="shared" si="8"/>
        <v>0</v>
      </c>
      <c r="AC59" s="228">
        <f>AC60</f>
        <v>0</v>
      </c>
    </row>
    <row r="60" spans="1:29" ht="14.25" customHeight="1" thickBot="1">
      <c r="A60" s="216" t="s">
        <v>22513</v>
      </c>
      <c r="B60" s="195" t="s">
        <v>22565</v>
      </c>
      <c r="C60" s="194" t="e">
        <f>C58+C55</f>
        <v>#NUM!</v>
      </c>
      <c r="D60" s="194" t="e">
        <f>D58+D55</f>
        <v>#NUM!</v>
      </c>
      <c r="E60" s="190" t="s">
        <v>22379</v>
      </c>
      <c r="H60" s="163"/>
      <c r="K60" s="152">
        <v>7</v>
      </c>
      <c r="L60" s="185">
        <f t="shared" si="5"/>
        <v>2.02</v>
      </c>
      <c r="M60" s="185">
        <f>M59</f>
        <v>0.21</v>
      </c>
      <c r="N60" s="227" t="e">
        <f>MAX($N$47/Kalk4_Eingabe!$C$18*(Kalk4_Eingabe!$C$18-Kalk4_Lastfallkombi!M60),0)</f>
        <v>#DIV/0!</v>
      </c>
      <c r="O60" s="185" t="e">
        <f t="shared" si="1"/>
        <v>#DIV/0!</v>
      </c>
      <c r="P60" s="185" t="e">
        <f t="shared" si="0"/>
        <v>#DIV/0!</v>
      </c>
      <c r="Q60" s="228" t="e">
        <f>AVERAGE(P60,P59)</f>
        <v>#DIV/0!</v>
      </c>
      <c r="R60" s="227" t="e">
        <f>MAX($R$47/Kalk4_Eingabe!$C$18*(Kalk4_Eingabe!$C$18-Kalk4_Lastfallkombi!M60),0)</f>
        <v>#DIV/0!</v>
      </c>
      <c r="S60" s="185" t="e">
        <f t="shared" si="2"/>
        <v>#DIV/0!</v>
      </c>
      <c r="T60" s="185" t="e">
        <f t="shared" si="6"/>
        <v>#DIV/0!</v>
      </c>
      <c r="U60" s="228" t="e">
        <f>AVERAGE(T60,T59)</f>
        <v>#DIV/0!</v>
      </c>
      <c r="V60" s="227">
        <f>MAX($V$47/Kalk4_Eingabe!$C$24*(Kalk4_Eingabe!$C$24-Kalk4_Lastfallkombi!M60),0)</f>
        <v>0</v>
      </c>
      <c r="W60" s="185">
        <f t="shared" si="3"/>
        <v>0</v>
      </c>
      <c r="X60" s="185">
        <f t="shared" si="7"/>
        <v>0</v>
      </c>
      <c r="Y60" s="228">
        <f>AVERAGE(X60,X59)</f>
        <v>0</v>
      </c>
      <c r="Z60" s="227">
        <f>MAX($Z$47/Kalk4_Eingabe!$C$24*(Kalk4_Eingabe!$C$24-Kalk4_Lastfallkombi!M60),0)</f>
        <v>0</v>
      </c>
      <c r="AA60" s="185">
        <f t="shared" si="4"/>
        <v>0</v>
      </c>
      <c r="AB60" s="185">
        <f t="shared" si="8"/>
        <v>0</v>
      </c>
      <c r="AC60" s="228">
        <f>AVERAGE(AB60,AB59)</f>
        <v>0</v>
      </c>
    </row>
    <row r="61" spans="1:29" ht="14.25" customHeight="1" thickBot="1">
      <c r="B61" s="195" t="s">
        <v>22566</v>
      </c>
      <c r="C61" s="194" t="e">
        <f>C56+C59</f>
        <v>#NUM!</v>
      </c>
      <c r="D61" s="194" t="e">
        <f>D56+D59</f>
        <v>#NUM!</v>
      </c>
      <c r="E61" s="190" t="s">
        <v>22428</v>
      </c>
      <c r="H61" s="163"/>
      <c r="K61" s="152">
        <v>8</v>
      </c>
      <c r="L61" s="185">
        <f t="shared" si="5"/>
        <v>1.98</v>
      </c>
      <c r="M61" s="185">
        <f>M59+IF(K61&lt;=$L$36,$C$14/100,0)</f>
        <v>0.21</v>
      </c>
      <c r="N61" s="227" t="e">
        <f>N60</f>
        <v>#DIV/0!</v>
      </c>
      <c r="O61" s="185" t="e">
        <f>IF(N61=0,0,O60)</f>
        <v>#DIV/0!</v>
      </c>
      <c r="P61" s="185" t="e">
        <f t="shared" si="0"/>
        <v>#DIV/0!</v>
      </c>
      <c r="Q61" s="228" t="e">
        <f>Q62</f>
        <v>#DIV/0!</v>
      </c>
      <c r="R61" s="227" t="e">
        <f>R60</f>
        <v>#DIV/0!</v>
      </c>
      <c r="S61" s="185" t="e">
        <f>IF(R61=0,0,S60)</f>
        <v>#DIV/0!</v>
      </c>
      <c r="T61" s="185" t="e">
        <f t="shared" si="6"/>
        <v>#DIV/0!</v>
      </c>
      <c r="U61" s="228" t="e">
        <f>U62</f>
        <v>#DIV/0!</v>
      </c>
      <c r="V61" s="227">
        <f>V60</f>
        <v>0</v>
      </c>
      <c r="W61" s="185">
        <f>IF(V61=0,0,W60)</f>
        <v>0</v>
      </c>
      <c r="X61" s="185">
        <f t="shared" si="7"/>
        <v>0</v>
      </c>
      <c r="Y61" s="228">
        <f>Y62</f>
        <v>0</v>
      </c>
      <c r="Z61" s="227">
        <f>Z60</f>
        <v>0</v>
      </c>
      <c r="AA61" s="185">
        <f>IF(Z61=0,0,AA60)</f>
        <v>0</v>
      </c>
      <c r="AB61" s="185">
        <f t="shared" si="8"/>
        <v>0</v>
      </c>
      <c r="AC61" s="228">
        <f>AC62</f>
        <v>0</v>
      </c>
    </row>
    <row r="62" spans="1:29" ht="5.0999999999999996" customHeight="1" thickBot="1">
      <c r="H62" s="163"/>
      <c r="K62" s="152">
        <v>8</v>
      </c>
      <c r="L62" s="185">
        <f t="shared" si="5"/>
        <v>2.02</v>
      </c>
      <c r="M62" s="185">
        <f>M61</f>
        <v>0.21</v>
      </c>
      <c r="N62" s="227" t="e">
        <f>MAX($N$47/Kalk4_Eingabe!$C$18*(Kalk4_Eingabe!$C$18-Kalk4_Lastfallkombi!M62),0)</f>
        <v>#DIV/0!</v>
      </c>
      <c r="O62" s="185" t="e">
        <f t="shared" si="1"/>
        <v>#DIV/0!</v>
      </c>
      <c r="P62" s="185" t="e">
        <f t="shared" si="0"/>
        <v>#DIV/0!</v>
      </c>
      <c r="Q62" s="228" t="e">
        <f>AVERAGE(P62,P61)</f>
        <v>#DIV/0!</v>
      </c>
      <c r="R62" s="227" t="e">
        <f>MAX($R$47/Kalk4_Eingabe!$C$18*(Kalk4_Eingabe!$C$18-Kalk4_Lastfallkombi!M62),0)</f>
        <v>#DIV/0!</v>
      </c>
      <c r="S62" s="185" t="e">
        <f t="shared" si="2"/>
        <v>#DIV/0!</v>
      </c>
      <c r="T62" s="185" t="e">
        <f t="shared" si="6"/>
        <v>#DIV/0!</v>
      </c>
      <c r="U62" s="228" t="e">
        <f>AVERAGE(T62,T61)</f>
        <v>#DIV/0!</v>
      </c>
      <c r="V62" s="227">
        <f>MAX($V$47/Kalk4_Eingabe!$C$24*(Kalk4_Eingabe!$C$24-Kalk4_Lastfallkombi!M62),0)</f>
        <v>0</v>
      </c>
      <c r="W62" s="185">
        <f t="shared" si="3"/>
        <v>0</v>
      </c>
      <c r="X62" s="185">
        <f t="shared" si="7"/>
        <v>0</v>
      </c>
      <c r="Y62" s="228">
        <f>AVERAGE(X62,X61)</f>
        <v>0</v>
      </c>
      <c r="Z62" s="227">
        <f>MAX($Z$47/Kalk4_Eingabe!$C$24*(Kalk4_Eingabe!$C$24-Kalk4_Lastfallkombi!M62),0)</f>
        <v>0</v>
      </c>
      <c r="AA62" s="185">
        <f t="shared" si="4"/>
        <v>0</v>
      </c>
      <c r="AB62" s="185">
        <f t="shared" si="8"/>
        <v>0</v>
      </c>
      <c r="AC62" s="228">
        <f>AVERAGE(AB62,AB61)</f>
        <v>0</v>
      </c>
    </row>
    <row r="63" spans="1:29" ht="14.25" customHeight="1" thickBot="1">
      <c r="A63" s="171" t="s">
        <v>22448</v>
      </c>
      <c r="B63" s="172" t="s">
        <v>22567</v>
      </c>
      <c r="C63" s="201" t="s">
        <v>22506</v>
      </c>
      <c r="D63" s="201" t="s">
        <v>22507</v>
      </c>
      <c r="H63" s="163"/>
      <c r="K63" s="152">
        <v>9</v>
      </c>
      <c r="L63" s="185">
        <f t="shared" si="5"/>
        <v>1.98</v>
      </c>
      <c r="M63" s="185">
        <f>M61+IF(K63&lt;=$L$36,$C$14/100,0)</f>
        <v>0.21</v>
      </c>
      <c r="N63" s="227" t="e">
        <f>N62</f>
        <v>#DIV/0!</v>
      </c>
      <c r="O63" s="185" t="e">
        <f>IF(N63=0,0,O62)</f>
        <v>#DIV/0!</v>
      </c>
      <c r="P63" s="185" t="e">
        <f t="shared" si="0"/>
        <v>#DIV/0!</v>
      </c>
      <c r="Q63" s="228" t="e">
        <f>Q64</f>
        <v>#DIV/0!</v>
      </c>
      <c r="R63" s="227" t="e">
        <f>R62</f>
        <v>#DIV/0!</v>
      </c>
      <c r="S63" s="185" t="e">
        <f>IF(R63=0,0,S62)</f>
        <v>#DIV/0!</v>
      </c>
      <c r="T63" s="185" t="e">
        <f t="shared" si="6"/>
        <v>#DIV/0!</v>
      </c>
      <c r="U63" s="228" t="e">
        <f>U64</f>
        <v>#DIV/0!</v>
      </c>
      <c r="V63" s="227">
        <f>V62</f>
        <v>0</v>
      </c>
      <c r="W63" s="185">
        <f>IF(V63=0,0,W62)</f>
        <v>0</v>
      </c>
      <c r="X63" s="185">
        <f t="shared" si="7"/>
        <v>0</v>
      </c>
      <c r="Y63" s="228">
        <f>Y64</f>
        <v>0</v>
      </c>
      <c r="Z63" s="227">
        <f>Z62</f>
        <v>0</v>
      </c>
      <c r="AA63" s="185">
        <f>IF(Z63=0,0,AA62)</f>
        <v>0</v>
      </c>
      <c r="AB63" s="185">
        <f t="shared" si="8"/>
        <v>0</v>
      </c>
      <c r="AC63" s="228">
        <f>AC64</f>
        <v>0</v>
      </c>
    </row>
    <row r="64" spans="1:29" ht="14.25" customHeight="1" thickBot="1">
      <c r="A64" s="219"/>
      <c r="B64" s="192" t="s">
        <v>22568</v>
      </c>
      <c r="C64" s="213"/>
      <c r="D64" s="213"/>
      <c r="H64" s="163"/>
      <c r="K64" s="152">
        <v>9</v>
      </c>
      <c r="L64" s="185">
        <f t="shared" si="5"/>
        <v>2.02</v>
      </c>
      <c r="M64" s="185">
        <f>M63</f>
        <v>0.21</v>
      </c>
      <c r="N64" s="227" t="e">
        <f>MAX($N$47/Kalk4_Eingabe!$C$18*(Kalk4_Eingabe!$C$18-Kalk4_Lastfallkombi!M64),0)</f>
        <v>#DIV/0!</v>
      </c>
      <c r="O64" s="185" t="e">
        <f t="shared" si="1"/>
        <v>#DIV/0!</v>
      </c>
      <c r="P64" s="185" t="e">
        <f t="shared" si="0"/>
        <v>#DIV/0!</v>
      </c>
      <c r="Q64" s="228" t="e">
        <f>AVERAGE(P64,P63)</f>
        <v>#DIV/0!</v>
      </c>
      <c r="R64" s="227" t="e">
        <f>MAX($R$47/Kalk4_Eingabe!$C$18*(Kalk4_Eingabe!$C$18-Kalk4_Lastfallkombi!M64),0)</f>
        <v>#DIV/0!</v>
      </c>
      <c r="S64" s="185" t="e">
        <f t="shared" si="2"/>
        <v>#DIV/0!</v>
      </c>
      <c r="T64" s="185" t="e">
        <f t="shared" si="6"/>
        <v>#DIV/0!</v>
      </c>
      <c r="U64" s="228" t="e">
        <f>AVERAGE(T64,T63)</f>
        <v>#DIV/0!</v>
      </c>
      <c r="V64" s="227">
        <f>MAX($V$47/Kalk4_Eingabe!$C$24*(Kalk4_Eingabe!$C$24-Kalk4_Lastfallkombi!M64),0)</f>
        <v>0</v>
      </c>
      <c r="W64" s="185">
        <f t="shared" si="3"/>
        <v>0</v>
      </c>
      <c r="X64" s="185">
        <f t="shared" si="7"/>
        <v>0</v>
      </c>
      <c r="Y64" s="228">
        <f>AVERAGE(X64,X63)</f>
        <v>0</v>
      </c>
      <c r="Z64" s="227">
        <f>MAX($Z$47/Kalk4_Eingabe!$C$24*(Kalk4_Eingabe!$C$24-Kalk4_Lastfallkombi!M64),0)</f>
        <v>0</v>
      </c>
      <c r="AA64" s="185">
        <f t="shared" si="4"/>
        <v>0</v>
      </c>
      <c r="AB64" s="185">
        <f t="shared" si="8"/>
        <v>0</v>
      </c>
      <c r="AC64" s="228">
        <f>AVERAGE(AB64,AB63)</f>
        <v>0</v>
      </c>
    </row>
    <row r="65" spans="1:29" ht="14.25" customHeight="1" thickBot="1">
      <c r="A65" s="216" t="s">
        <v>22528</v>
      </c>
      <c r="B65" s="195" t="s">
        <v>22569</v>
      </c>
      <c r="C65" s="194" t="e">
        <f>C36*C15/100*Kalk4_Eingabe!$C$19/2</f>
        <v>#DIV/0!</v>
      </c>
      <c r="D65" s="194" t="e">
        <f>D36*$C$15/100*Kalk4_Eingabe!$C$19/2</f>
        <v>#DIV/0!</v>
      </c>
      <c r="E65" s="190" t="s">
        <v>22379</v>
      </c>
      <c r="H65" s="163"/>
      <c r="K65" s="152">
        <v>10</v>
      </c>
      <c r="L65" s="185">
        <f t="shared" si="5"/>
        <v>1.98</v>
      </c>
      <c r="M65" s="185">
        <f>M63+IF(K65&lt;=$L$36,$C$14/100,0)</f>
        <v>0.21</v>
      </c>
      <c r="N65" s="227" t="e">
        <f>N64</f>
        <v>#DIV/0!</v>
      </c>
      <c r="O65" s="185" t="e">
        <f>IF(N65=0,0,O64)</f>
        <v>#DIV/0!</v>
      </c>
      <c r="P65" s="185" t="e">
        <f t="shared" si="0"/>
        <v>#DIV/0!</v>
      </c>
      <c r="Q65" s="228" t="e">
        <f>Q66</f>
        <v>#DIV/0!</v>
      </c>
      <c r="R65" s="227" t="e">
        <f>R64</f>
        <v>#DIV/0!</v>
      </c>
      <c r="S65" s="185" t="e">
        <f>IF(R65=0,0,S64)</f>
        <v>#DIV/0!</v>
      </c>
      <c r="T65" s="185" t="e">
        <f t="shared" si="6"/>
        <v>#DIV/0!</v>
      </c>
      <c r="U65" s="228" t="e">
        <f>U66</f>
        <v>#DIV/0!</v>
      </c>
      <c r="V65" s="227">
        <f>V64</f>
        <v>0</v>
      </c>
      <c r="W65" s="185">
        <f>IF(V65=0,0,W64)</f>
        <v>0</v>
      </c>
      <c r="X65" s="185">
        <f t="shared" si="7"/>
        <v>0</v>
      </c>
      <c r="Y65" s="228">
        <f>Y66</f>
        <v>0</v>
      </c>
      <c r="Z65" s="227">
        <f>Z64</f>
        <v>0</v>
      </c>
      <c r="AA65" s="185">
        <f>IF(Z65=0,0,AA64)</f>
        <v>0</v>
      </c>
      <c r="AB65" s="185">
        <f t="shared" si="8"/>
        <v>0</v>
      </c>
      <c r="AC65" s="228">
        <f>AC66</f>
        <v>0</v>
      </c>
    </row>
    <row r="66" spans="1:29" ht="14.25" customHeight="1" thickBot="1">
      <c r="B66" s="195" t="s">
        <v>22570</v>
      </c>
      <c r="C66" s="194" t="e">
        <f>C36*C15/100*Kalk4_Eingabe!$C$19^2/8</f>
        <v>#DIV/0!</v>
      </c>
      <c r="D66" s="194" t="e">
        <f>D36*$C$15/100*Kalk4_Eingabe!$C$19^2/8</f>
        <v>#DIV/0!</v>
      </c>
      <c r="E66" s="190" t="s">
        <v>22428</v>
      </c>
      <c r="K66" s="152">
        <v>10</v>
      </c>
      <c r="L66" s="185">
        <f t="shared" si="5"/>
        <v>2.02</v>
      </c>
      <c r="M66" s="185">
        <f>M65</f>
        <v>0.21</v>
      </c>
      <c r="N66" s="227" t="e">
        <f>MAX($N$47/Kalk4_Eingabe!$C$18*(Kalk4_Eingabe!$C$18-Kalk4_Lastfallkombi!M66),0)</f>
        <v>#DIV/0!</v>
      </c>
      <c r="O66" s="185" t="e">
        <f t="shared" si="1"/>
        <v>#DIV/0!</v>
      </c>
      <c r="P66" s="185" t="e">
        <f t="shared" si="0"/>
        <v>#DIV/0!</v>
      </c>
      <c r="Q66" s="228" t="e">
        <f>AVERAGE(P66,P65)</f>
        <v>#DIV/0!</v>
      </c>
      <c r="R66" s="227" t="e">
        <f>MAX($R$47/Kalk4_Eingabe!$C$18*(Kalk4_Eingabe!$C$18-Kalk4_Lastfallkombi!M66),0)</f>
        <v>#DIV/0!</v>
      </c>
      <c r="S66" s="185" t="e">
        <f t="shared" si="2"/>
        <v>#DIV/0!</v>
      </c>
      <c r="T66" s="185" t="e">
        <f t="shared" si="6"/>
        <v>#DIV/0!</v>
      </c>
      <c r="U66" s="228" t="e">
        <f>AVERAGE(T66,T65)</f>
        <v>#DIV/0!</v>
      </c>
      <c r="V66" s="227">
        <f>MAX($V$47/Kalk4_Eingabe!$C$24*(Kalk4_Eingabe!$C$24-Kalk4_Lastfallkombi!M66),0)</f>
        <v>0</v>
      </c>
      <c r="W66" s="185">
        <f t="shared" si="3"/>
        <v>0</v>
      </c>
      <c r="X66" s="185">
        <f t="shared" si="7"/>
        <v>0</v>
      </c>
      <c r="Y66" s="228">
        <f>AVERAGE(X66,X65)</f>
        <v>0</v>
      </c>
      <c r="Z66" s="227">
        <f>MAX($Z$47/Kalk4_Eingabe!$C$24*(Kalk4_Eingabe!$C$24-Kalk4_Lastfallkombi!M66),0)</f>
        <v>0</v>
      </c>
      <c r="AA66" s="185">
        <f t="shared" si="4"/>
        <v>0</v>
      </c>
      <c r="AB66" s="185">
        <f t="shared" si="8"/>
        <v>0</v>
      </c>
      <c r="AC66" s="228">
        <f>AVERAGE(AB66,AB65)</f>
        <v>0</v>
      </c>
    </row>
    <row r="67" spans="1:29" ht="5.0999999999999996" customHeight="1">
      <c r="E67" s="163"/>
      <c r="K67" s="152">
        <v>11</v>
      </c>
      <c r="L67" s="185">
        <f t="shared" si="5"/>
        <v>1.98</v>
      </c>
      <c r="M67" s="185">
        <f>M65+IF(K67&lt;=$L$36,$C$14/100,0)</f>
        <v>0.21</v>
      </c>
      <c r="N67" s="227" t="e">
        <f>N66</f>
        <v>#DIV/0!</v>
      </c>
      <c r="O67" s="185" t="e">
        <f>IF(N67=0,0,O66)</f>
        <v>#DIV/0!</v>
      </c>
      <c r="P67" s="185" t="e">
        <f t="shared" si="0"/>
        <v>#DIV/0!</v>
      </c>
      <c r="Q67" s="228" t="e">
        <f>Q68</f>
        <v>#DIV/0!</v>
      </c>
      <c r="R67" s="227" t="e">
        <f>R66</f>
        <v>#DIV/0!</v>
      </c>
      <c r="S67" s="185" t="e">
        <f>IF(R67=0,0,S66)</f>
        <v>#DIV/0!</v>
      </c>
      <c r="T67" s="185" t="e">
        <f t="shared" si="6"/>
        <v>#DIV/0!</v>
      </c>
      <c r="U67" s="228" t="e">
        <f>U68</f>
        <v>#DIV/0!</v>
      </c>
      <c r="V67" s="227">
        <f>V66</f>
        <v>0</v>
      </c>
      <c r="W67" s="185">
        <f>IF(V67=0,0,W66)</f>
        <v>0</v>
      </c>
      <c r="X67" s="185">
        <f t="shared" si="7"/>
        <v>0</v>
      </c>
      <c r="Y67" s="228">
        <f>Y68</f>
        <v>0</v>
      </c>
      <c r="Z67" s="227">
        <f>Z66</f>
        <v>0</v>
      </c>
      <c r="AA67" s="185">
        <f>IF(Z67=0,0,AA66)</f>
        <v>0</v>
      </c>
      <c r="AB67" s="185">
        <f t="shared" si="8"/>
        <v>0</v>
      </c>
      <c r="AC67" s="228">
        <f>AC68</f>
        <v>0</v>
      </c>
    </row>
    <row r="68" spans="1:29" ht="14.25" customHeight="1" thickBot="1">
      <c r="B68" s="192" t="s">
        <v>22571</v>
      </c>
      <c r="E68" s="163"/>
      <c r="K68" s="152">
        <v>11</v>
      </c>
      <c r="L68" s="185">
        <f t="shared" si="5"/>
        <v>2.02</v>
      </c>
      <c r="M68" s="185">
        <f>M67</f>
        <v>0.21</v>
      </c>
      <c r="N68" s="227" t="e">
        <f>MAX($N$47/Kalk4_Eingabe!$C$18*(Kalk4_Eingabe!$C$18-Kalk4_Lastfallkombi!M68),0)</f>
        <v>#DIV/0!</v>
      </c>
      <c r="O68" s="185" t="e">
        <f t="shared" si="1"/>
        <v>#DIV/0!</v>
      </c>
      <c r="P68" s="185" t="e">
        <f t="shared" si="0"/>
        <v>#DIV/0!</v>
      </c>
      <c r="Q68" s="228" t="e">
        <f>AVERAGE(P68,P67)</f>
        <v>#DIV/0!</v>
      </c>
      <c r="R68" s="227" t="e">
        <f>MAX($R$47/Kalk4_Eingabe!$C$18*(Kalk4_Eingabe!$C$18-Kalk4_Lastfallkombi!M68),0)</f>
        <v>#DIV/0!</v>
      </c>
      <c r="S68" s="185" t="e">
        <f t="shared" si="2"/>
        <v>#DIV/0!</v>
      </c>
      <c r="T68" s="185" t="e">
        <f t="shared" si="6"/>
        <v>#DIV/0!</v>
      </c>
      <c r="U68" s="228" t="e">
        <f>AVERAGE(T68,T67)</f>
        <v>#DIV/0!</v>
      </c>
      <c r="V68" s="227">
        <f>MAX($V$47/Kalk4_Eingabe!$C$24*(Kalk4_Eingabe!$C$24-Kalk4_Lastfallkombi!M68),0)</f>
        <v>0</v>
      </c>
      <c r="W68" s="185">
        <f t="shared" si="3"/>
        <v>0</v>
      </c>
      <c r="X68" s="185">
        <f t="shared" si="7"/>
        <v>0</v>
      </c>
      <c r="Y68" s="228">
        <f>AVERAGE(X68,X67)</f>
        <v>0</v>
      </c>
      <c r="Z68" s="227">
        <f>MAX($Z$47/Kalk4_Eingabe!$C$24*(Kalk4_Eingabe!$C$24-Kalk4_Lastfallkombi!M68),0)</f>
        <v>0</v>
      </c>
      <c r="AA68" s="185">
        <f t="shared" si="4"/>
        <v>0</v>
      </c>
      <c r="AB68" s="185">
        <f t="shared" si="8"/>
        <v>0</v>
      </c>
      <c r="AC68" s="228">
        <f>AVERAGE(AB68,AB67)</f>
        <v>0</v>
      </c>
    </row>
    <row r="69" spans="1:29" ht="14.25" customHeight="1" thickBot="1">
      <c r="A69" s="216" t="s">
        <v>22513</v>
      </c>
      <c r="B69" s="195" t="s">
        <v>22572</v>
      </c>
      <c r="C69" s="194">
        <f>C24*C15/100*Kalk4_Eingabe!$C$19/2</f>
        <v>0</v>
      </c>
      <c r="D69" s="194">
        <f>D24*$C$15/100*Kalk4_Eingabe!$C$19/2</f>
        <v>0</v>
      </c>
      <c r="E69" s="190" t="s">
        <v>22379</v>
      </c>
      <c r="K69" s="152">
        <v>12</v>
      </c>
      <c r="L69" s="185">
        <f t="shared" si="5"/>
        <v>1.98</v>
      </c>
      <c r="M69" s="185">
        <f>M67+IF(K69&lt;=$L$36,$C$14/100,0)</f>
        <v>0.21</v>
      </c>
      <c r="N69" s="227" t="e">
        <f>N68</f>
        <v>#DIV/0!</v>
      </c>
      <c r="O69" s="185" t="e">
        <f>IF(N69=0,0,O68)</f>
        <v>#DIV/0!</v>
      </c>
      <c r="P69" s="185" t="e">
        <f t="shared" si="0"/>
        <v>#DIV/0!</v>
      </c>
      <c r="Q69" s="228" t="e">
        <f>Q70</f>
        <v>#DIV/0!</v>
      </c>
      <c r="R69" s="227" t="e">
        <f>R68</f>
        <v>#DIV/0!</v>
      </c>
      <c r="S69" s="185" t="e">
        <f>IF(R69=0,0,S68)</f>
        <v>#DIV/0!</v>
      </c>
      <c r="T69" s="185" t="e">
        <f t="shared" si="6"/>
        <v>#DIV/0!</v>
      </c>
      <c r="U69" s="228" t="e">
        <f>U70</f>
        <v>#DIV/0!</v>
      </c>
      <c r="V69" s="227">
        <f>V68</f>
        <v>0</v>
      </c>
      <c r="W69" s="185">
        <f>IF(V69=0,0,W68)</f>
        <v>0</v>
      </c>
      <c r="X69" s="185">
        <f t="shared" si="7"/>
        <v>0</v>
      </c>
      <c r="Y69" s="228">
        <f>Y70</f>
        <v>0</v>
      </c>
      <c r="Z69" s="227">
        <f>Z68</f>
        <v>0</v>
      </c>
      <c r="AA69" s="185">
        <f>IF(Z69=0,0,AA68)</f>
        <v>0</v>
      </c>
      <c r="AB69" s="185">
        <f t="shared" si="8"/>
        <v>0</v>
      </c>
      <c r="AC69" s="228">
        <f>AC70</f>
        <v>0</v>
      </c>
    </row>
    <row r="70" spans="1:29" ht="14.25" customHeight="1" thickBot="1">
      <c r="B70" s="195" t="s">
        <v>22573</v>
      </c>
      <c r="C70" s="194">
        <f>C24*C15/100*Kalk4_Eingabe!$C$19^2/8</f>
        <v>0</v>
      </c>
      <c r="D70" s="194">
        <f>D24*$C$15/100*Kalk4_Eingabe!$C$19^2/8</f>
        <v>0</v>
      </c>
      <c r="E70" s="190" t="s">
        <v>22428</v>
      </c>
      <c r="K70" s="152">
        <v>12</v>
      </c>
      <c r="L70" s="185">
        <f t="shared" si="5"/>
        <v>2.02</v>
      </c>
      <c r="M70" s="185">
        <f>M69</f>
        <v>0.21</v>
      </c>
      <c r="N70" s="227" t="e">
        <f>MAX($N$47/Kalk4_Eingabe!$C$18*(Kalk4_Eingabe!$C$18-Kalk4_Lastfallkombi!M70),0)</f>
        <v>#DIV/0!</v>
      </c>
      <c r="O70" s="185" t="e">
        <f t="shared" si="1"/>
        <v>#DIV/0!</v>
      </c>
      <c r="P70" s="185" t="e">
        <f t="shared" si="0"/>
        <v>#DIV/0!</v>
      </c>
      <c r="Q70" s="228" t="e">
        <f>AVERAGE(P70,P69)</f>
        <v>#DIV/0!</v>
      </c>
      <c r="R70" s="227" t="e">
        <f>MAX($R$47/Kalk4_Eingabe!$C$18*(Kalk4_Eingabe!$C$18-Kalk4_Lastfallkombi!M70),0)</f>
        <v>#DIV/0!</v>
      </c>
      <c r="S70" s="185" t="e">
        <f t="shared" si="2"/>
        <v>#DIV/0!</v>
      </c>
      <c r="T70" s="185" t="e">
        <f t="shared" si="6"/>
        <v>#DIV/0!</v>
      </c>
      <c r="U70" s="228" t="e">
        <f>AVERAGE(T70,T69)</f>
        <v>#DIV/0!</v>
      </c>
      <c r="V70" s="227">
        <f>MAX($V$47/Kalk4_Eingabe!$C$24*(Kalk4_Eingabe!$C$24-Kalk4_Lastfallkombi!M70),0)</f>
        <v>0</v>
      </c>
      <c r="W70" s="185">
        <f t="shared" si="3"/>
        <v>0</v>
      </c>
      <c r="X70" s="185">
        <f t="shared" si="7"/>
        <v>0</v>
      </c>
      <c r="Y70" s="228">
        <f>AVERAGE(X70,X69)</f>
        <v>0</v>
      </c>
      <c r="Z70" s="227">
        <f>MAX($Z$47/Kalk4_Eingabe!$C$24*(Kalk4_Eingabe!$C$24-Kalk4_Lastfallkombi!M70),0)</f>
        <v>0</v>
      </c>
      <c r="AA70" s="185">
        <f t="shared" si="4"/>
        <v>0</v>
      </c>
      <c r="AB70" s="185">
        <f t="shared" si="8"/>
        <v>0</v>
      </c>
      <c r="AC70" s="228">
        <f>AVERAGE(AB70,AB69)</f>
        <v>0</v>
      </c>
    </row>
    <row r="71" spans="1:29" ht="14.25" customHeight="1">
      <c r="E71" s="163"/>
      <c r="K71" s="152">
        <v>13</v>
      </c>
      <c r="L71" s="185">
        <f t="shared" si="5"/>
        <v>1.98</v>
      </c>
      <c r="M71" s="185">
        <f>M69+IF(K71&lt;=$L$36,$C$14/100,0)</f>
        <v>0.21</v>
      </c>
      <c r="N71" s="227" t="e">
        <f>N70</f>
        <v>#DIV/0!</v>
      </c>
      <c r="O71" s="185" t="e">
        <f>IF(N71=0,0,O70)</f>
        <v>#DIV/0!</v>
      </c>
      <c r="P71" s="185" t="e">
        <f t="shared" si="0"/>
        <v>#DIV/0!</v>
      </c>
      <c r="Q71" s="228" t="e">
        <f>Q72</f>
        <v>#DIV/0!</v>
      </c>
      <c r="R71" s="227" t="e">
        <f>R70</f>
        <v>#DIV/0!</v>
      </c>
      <c r="S71" s="185" t="e">
        <f>IF(R71=0,0,S70)</f>
        <v>#DIV/0!</v>
      </c>
      <c r="T71" s="185" t="e">
        <f t="shared" si="6"/>
        <v>#DIV/0!</v>
      </c>
      <c r="U71" s="228" t="e">
        <f>U72</f>
        <v>#DIV/0!</v>
      </c>
      <c r="V71" s="227">
        <f>V70</f>
        <v>0</v>
      </c>
      <c r="W71" s="185">
        <f>IF(V71=0,0,W70)</f>
        <v>0</v>
      </c>
      <c r="X71" s="185">
        <f t="shared" si="7"/>
        <v>0</v>
      </c>
      <c r="Y71" s="228">
        <f>Y72</f>
        <v>0</v>
      </c>
      <c r="Z71" s="227">
        <f>Z70</f>
        <v>0</v>
      </c>
      <c r="AA71" s="185">
        <f>IF(Z71=0,0,AA70)</f>
        <v>0</v>
      </c>
      <c r="AB71" s="185">
        <f t="shared" si="8"/>
        <v>0</v>
      </c>
      <c r="AC71" s="228">
        <f>AC72</f>
        <v>0</v>
      </c>
    </row>
    <row r="72" spans="1:29" ht="14.25" customHeight="1">
      <c r="E72" s="163"/>
      <c r="K72" s="152">
        <v>13</v>
      </c>
      <c r="L72" s="185">
        <f t="shared" si="5"/>
        <v>2.02</v>
      </c>
      <c r="M72" s="185">
        <f>M71</f>
        <v>0.21</v>
      </c>
      <c r="N72" s="227" t="e">
        <f>MAX($N$47/Kalk4_Eingabe!$C$18*(Kalk4_Eingabe!$C$18-Kalk4_Lastfallkombi!M72),0)</f>
        <v>#DIV/0!</v>
      </c>
      <c r="O72" s="185" t="e">
        <f t="shared" si="1"/>
        <v>#DIV/0!</v>
      </c>
      <c r="P72" s="185" t="e">
        <f t="shared" si="0"/>
        <v>#DIV/0!</v>
      </c>
      <c r="Q72" s="228" t="e">
        <f>AVERAGE(P72,P71)</f>
        <v>#DIV/0!</v>
      </c>
      <c r="R72" s="227" t="e">
        <f>MAX($R$47/Kalk4_Eingabe!$C$18*(Kalk4_Eingabe!$C$18-Kalk4_Lastfallkombi!M72),0)</f>
        <v>#DIV/0!</v>
      </c>
      <c r="S72" s="185" t="e">
        <f t="shared" si="2"/>
        <v>#DIV/0!</v>
      </c>
      <c r="T72" s="185" t="e">
        <f t="shared" si="6"/>
        <v>#DIV/0!</v>
      </c>
      <c r="U72" s="228" t="e">
        <f>AVERAGE(T72,T71)</f>
        <v>#DIV/0!</v>
      </c>
      <c r="V72" s="227">
        <f>MAX($V$47/Kalk4_Eingabe!$C$24*(Kalk4_Eingabe!$C$24-Kalk4_Lastfallkombi!M72),0)</f>
        <v>0</v>
      </c>
      <c r="W72" s="185">
        <f t="shared" si="3"/>
        <v>0</v>
      </c>
      <c r="X72" s="185">
        <f t="shared" si="7"/>
        <v>0</v>
      </c>
      <c r="Y72" s="228">
        <f>AVERAGE(X72,X71)</f>
        <v>0</v>
      </c>
      <c r="Z72" s="227">
        <f>MAX($Z$47/Kalk4_Eingabe!$C$24*(Kalk4_Eingabe!$C$24-Kalk4_Lastfallkombi!M72),0)</f>
        <v>0</v>
      </c>
      <c r="AA72" s="185">
        <f t="shared" si="4"/>
        <v>0</v>
      </c>
      <c r="AB72" s="185">
        <f t="shared" si="8"/>
        <v>0</v>
      </c>
      <c r="AC72" s="228">
        <f>AVERAGE(AB72,AB71)</f>
        <v>0</v>
      </c>
    </row>
    <row r="73" spans="1:29" ht="14.25" customHeight="1">
      <c r="E73" s="163"/>
      <c r="K73" s="152">
        <v>14</v>
      </c>
      <c r="L73" s="185">
        <f t="shared" si="5"/>
        <v>1.98</v>
      </c>
      <c r="M73" s="185">
        <f>M71+IF(K73&lt;=$L$36,$C$14/100,0)</f>
        <v>0.21</v>
      </c>
      <c r="N73" s="227" t="e">
        <f>N72</f>
        <v>#DIV/0!</v>
      </c>
      <c r="O73" s="185" t="e">
        <f>IF(N73=0,0,O72)</f>
        <v>#DIV/0!</v>
      </c>
      <c r="P73" s="185" t="e">
        <f t="shared" si="0"/>
        <v>#DIV/0!</v>
      </c>
      <c r="Q73" s="228" t="e">
        <f>Q74</f>
        <v>#DIV/0!</v>
      </c>
      <c r="R73" s="227" t="e">
        <f>R72</f>
        <v>#DIV/0!</v>
      </c>
      <c r="S73" s="185" t="e">
        <f>IF(R73=0,0,S72)</f>
        <v>#DIV/0!</v>
      </c>
      <c r="T73" s="185" t="e">
        <f t="shared" si="6"/>
        <v>#DIV/0!</v>
      </c>
      <c r="U73" s="228" t="e">
        <f>U74</f>
        <v>#DIV/0!</v>
      </c>
      <c r="V73" s="227">
        <f>V72</f>
        <v>0</v>
      </c>
      <c r="W73" s="185">
        <f>IF(V73=0,0,W72)</f>
        <v>0</v>
      </c>
      <c r="X73" s="185">
        <f t="shared" si="7"/>
        <v>0</v>
      </c>
      <c r="Y73" s="228">
        <f>Y74</f>
        <v>0</v>
      </c>
      <c r="Z73" s="227">
        <f>Z72</f>
        <v>0</v>
      </c>
      <c r="AA73" s="185">
        <f>IF(Z73=0,0,AA72)</f>
        <v>0</v>
      </c>
      <c r="AB73" s="185">
        <f t="shared" si="8"/>
        <v>0</v>
      </c>
      <c r="AC73" s="228">
        <f>AC74</f>
        <v>0</v>
      </c>
    </row>
    <row r="74" spans="1:29" ht="14.25" customHeight="1">
      <c r="E74" s="163"/>
      <c r="K74" s="152">
        <v>14</v>
      </c>
      <c r="L74" s="185">
        <f t="shared" si="5"/>
        <v>2.02</v>
      </c>
      <c r="M74" s="185">
        <f>M73</f>
        <v>0.21</v>
      </c>
      <c r="N74" s="227" t="e">
        <f>MAX($N$47/Kalk4_Eingabe!$C$18*(Kalk4_Eingabe!$C$18-Kalk4_Lastfallkombi!M74),0)</f>
        <v>#DIV/0!</v>
      </c>
      <c r="O74" s="185" t="e">
        <f t="shared" si="1"/>
        <v>#DIV/0!</v>
      </c>
      <c r="P74" s="185" t="e">
        <f t="shared" si="0"/>
        <v>#DIV/0!</v>
      </c>
      <c r="Q74" s="228" t="e">
        <f>AVERAGE(P74,P73)</f>
        <v>#DIV/0!</v>
      </c>
      <c r="R74" s="227" t="e">
        <f>MAX($R$47/Kalk4_Eingabe!$C$18*(Kalk4_Eingabe!$C$18-Kalk4_Lastfallkombi!M74),0)</f>
        <v>#DIV/0!</v>
      </c>
      <c r="S74" s="185" t="e">
        <f t="shared" si="2"/>
        <v>#DIV/0!</v>
      </c>
      <c r="T74" s="185" t="e">
        <f t="shared" si="6"/>
        <v>#DIV/0!</v>
      </c>
      <c r="U74" s="228" t="e">
        <f>AVERAGE(T74,T73)</f>
        <v>#DIV/0!</v>
      </c>
      <c r="V74" s="227">
        <f>MAX($V$47/Kalk4_Eingabe!$C$24*(Kalk4_Eingabe!$C$24-Kalk4_Lastfallkombi!M74),0)</f>
        <v>0</v>
      </c>
      <c r="W74" s="185">
        <f t="shared" si="3"/>
        <v>0</v>
      </c>
      <c r="X74" s="185">
        <f t="shared" si="7"/>
        <v>0</v>
      </c>
      <c r="Y74" s="228">
        <f>AVERAGE(X74,X73)</f>
        <v>0</v>
      </c>
      <c r="Z74" s="227">
        <f>MAX($Z$47/Kalk4_Eingabe!$C$24*(Kalk4_Eingabe!$C$24-Kalk4_Lastfallkombi!M74),0)</f>
        <v>0</v>
      </c>
      <c r="AA74" s="185">
        <f t="shared" si="4"/>
        <v>0</v>
      </c>
      <c r="AB74" s="185">
        <f t="shared" si="8"/>
        <v>0</v>
      </c>
      <c r="AC74" s="228">
        <f>AVERAGE(AB74,AB73)</f>
        <v>0</v>
      </c>
    </row>
    <row r="75" spans="1:29" ht="14.25" customHeight="1">
      <c r="E75" s="163"/>
      <c r="K75" s="152">
        <v>15</v>
      </c>
      <c r="L75" s="185">
        <f t="shared" si="5"/>
        <v>1.98</v>
      </c>
      <c r="M75" s="185">
        <f>M73+IF(K75&lt;=$L$36,$C$14/100,0)</f>
        <v>0.21</v>
      </c>
      <c r="N75" s="227" t="e">
        <f>N74</f>
        <v>#DIV/0!</v>
      </c>
      <c r="O75" s="185" t="e">
        <f>IF(N75=0,0,O74)</f>
        <v>#DIV/0!</v>
      </c>
      <c r="P75" s="185" t="e">
        <f t="shared" si="0"/>
        <v>#DIV/0!</v>
      </c>
      <c r="Q75" s="228" t="e">
        <f>Q76</f>
        <v>#DIV/0!</v>
      </c>
      <c r="R75" s="227" t="e">
        <f>R74</f>
        <v>#DIV/0!</v>
      </c>
      <c r="S75" s="185" t="e">
        <f>IF(R75=0,0,S74)</f>
        <v>#DIV/0!</v>
      </c>
      <c r="T75" s="185" t="e">
        <f t="shared" si="6"/>
        <v>#DIV/0!</v>
      </c>
      <c r="U75" s="228" t="e">
        <f>U76</f>
        <v>#DIV/0!</v>
      </c>
      <c r="V75" s="227">
        <f>V74</f>
        <v>0</v>
      </c>
      <c r="W75" s="185">
        <f>IF(V75=0,0,W74)</f>
        <v>0</v>
      </c>
      <c r="X75" s="185">
        <f t="shared" si="7"/>
        <v>0</v>
      </c>
      <c r="Y75" s="228">
        <f>Y76</f>
        <v>0</v>
      </c>
      <c r="Z75" s="227">
        <f>Z74</f>
        <v>0</v>
      </c>
      <c r="AA75" s="185">
        <f>IF(Z75=0,0,AA74)</f>
        <v>0</v>
      </c>
      <c r="AB75" s="185">
        <f t="shared" si="8"/>
        <v>0</v>
      </c>
      <c r="AC75" s="228">
        <f>AC76</f>
        <v>0</v>
      </c>
    </row>
    <row r="76" spans="1:29" ht="14.25" customHeight="1">
      <c r="E76" s="163"/>
      <c r="K76" s="152">
        <v>15</v>
      </c>
      <c r="L76" s="185">
        <f t="shared" si="5"/>
        <v>2.02</v>
      </c>
      <c r="M76" s="185">
        <f>M75</f>
        <v>0.21</v>
      </c>
      <c r="N76" s="227" t="e">
        <f>MAX($N$47/Kalk4_Eingabe!$C$18*(Kalk4_Eingabe!$C$18-Kalk4_Lastfallkombi!M76),0)</f>
        <v>#DIV/0!</v>
      </c>
      <c r="O76" s="185" t="e">
        <f t="shared" si="1"/>
        <v>#DIV/0!</v>
      </c>
      <c r="P76" s="185" t="e">
        <f t="shared" si="0"/>
        <v>#DIV/0!</v>
      </c>
      <c r="Q76" s="228" t="e">
        <f>AVERAGE(P76,P75)</f>
        <v>#DIV/0!</v>
      </c>
      <c r="R76" s="227" t="e">
        <f>MAX($R$47/Kalk4_Eingabe!$C$18*(Kalk4_Eingabe!$C$18-Kalk4_Lastfallkombi!M76),0)</f>
        <v>#DIV/0!</v>
      </c>
      <c r="S76" s="185" t="e">
        <f t="shared" si="2"/>
        <v>#DIV/0!</v>
      </c>
      <c r="T76" s="185" t="e">
        <f t="shared" si="6"/>
        <v>#DIV/0!</v>
      </c>
      <c r="U76" s="228" t="e">
        <f>AVERAGE(T76,T75)</f>
        <v>#DIV/0!</v>
      </c>
      <c r="V76" s="227">
        <f>MAX($V$47/Kalk4_Eingabe!$C$24*(Kalk4_Eingabe!$C$24-Kalk4_Lastfallkombi!M76),0)</f>
        <v>0</v>
      </c>
      <c r="W76" s="185">
        <f t="shared" si="3"/>
        <v>0</v>
      </c>
      <c r="X76" s="185">
        <f t="shared" si="7"/>
        <v>0</v>
      </c>
      <c r="Y76" s="228">
        <f>AVERAGE(X76,X75)</f>
        <v>0</v>
      </c>
      <c r="Z76" s="227">
        <f>MAX($Z$47/Kalk4_Eingabe!$C$24*(Kalk4_Eingabe!$C$24-Kalk4_Lastfallkombi!M76),0)</f>
        <v>0</v>
      </c>
      <c r="AA76" s="185">
        <f t="shared" si="4"/>
        <v>0</v>
      </c>
      <c r="AB76" s="185">
        <f t="shared" si="8"/>
        <v>0</v>
      </c>
      <c r="AC76" s="228">
        <f>AVERAGE(AB76,AB75)</f>
        <v>0</v>
      </c>
    </row>
    <row r="77" spans="1:29" ht="14.25" customHeight="1">
      <c r="E77" s="163"/>
      <c r="K77" s="152">
        <v>16</v>
      </c>
      <c r="L77" s="185">
        <f t="shared" si="5"/>
        <v>1.98</v>
      </c>
      <c r="M77" s="185">
        <f>M75+IF(K77&lt;=$L$36,$C$14/100,0)</f>
        <v>0.21</v>
      </c>
      <c r="N77" s="227" t="e">
        <f>N76</f>
        <v>#DIV/0!</v>
      </c>
      <c r="O77" s="185" t="e">
        <f>IF(N77=0,0,O76)</f>
        <v>#DIV/0!</v>
      </c>
      <c r="P77" s="185" t="e">
        <f t="shared" si="0"/>
        <v>#DIV/0!</v>
      </c>
      <c r="Q77" s="228" t="e">
        <f>Q78</f>
        <v>#DIV/0!</v>
      </c>
      <c r="R77" s="227" t="e">
        <f>R76</f>
        <v>#DIV/0!</v>
      </c>
      <c r="S77" s="185" t="e">
        <f>IF(R77=0,0,S76)</f>
        <v>#DIV/0!</v>
      </c>
      <c r="T77" s="185" t="e">
        <f t="shared" si="6"/>
        <v>#DIV/0!</v>
      </c>
      <c r="U77" s="228" t="e">
        <f>U78</f>
        <v>#DIV/0!</v>
      </c>
      <c r="V77" s="227">
        <f>V76</f>
        <v>0</v>
      </c>
      <c r="W77" s="185">
        <f>IF(V77=0,0,W76)</f>
        <v>0</v>
      </c>
      <c r="X77" s="185">
        <f t="shared" si="7"/>
        <v>0</v>
      </c>
      <c r="Y77" s="228">
        <f>Y78</f>
        <v>0</v>
      </c>
      <c r="Z77" s="227">
        <f>Z76</f>
        <v>0</v>
      </c>
      <c r="AA77" s="185">
        <f>IF(Z77=0,0,AA76)</f>
        <v>0</v>
      </c>
      <c r="AB77" s="185">
        <f t="shared" si="8"/>
        <v>0</v>
      </c>
      <c r="AC77" s="228">
        <f>AC78</f>
        <v>0</v>
      </c>
    </row>
    <row r="78" spans="1:29" ht="14.25" customHeight="1">
      <c r="E78" s="163"/>
      <c r="K78" s="152">
        <v>16</v>
      </c>
      <c r="L78" s="185">
        <f t="shared" si="5"/>
        <v>2.02</v>
      </c>
      <c r="M78" s="185">
        <f>M77</f>
        <v>0.21</v>
      </c>
      <c r="N78" s="227" t="e">
        <f>MAX($N$47/Kalk4_Eingabe!$C$18*(Kalk4_Eingabe!$C$18-Kalk4_Lastfallkombi!M78),0)</f>
        <v>#DIV/0!</v>
      </c>
      <c r="O78" s="185" t="e">
        <f t="shared" si="1"/>
        <v>#DIV/0!</v>
      </c>
      <c r="P78" s="185" t="e">
        <f t="shared" si="0"/>
        <v>#DIV/0!</v>
      </c>
      <c r="Q78" s="228" t="e">
        <f>AVERAGE(P78,P77)</f>
        <v>#DIV/0!</v>
      </c>
      <c r="R78" s="227" t="e">
        <f>MAX($R$47/Kalk4_Eingabe!$C$18*(Kalk4_Eingabe!$C$18-Kalk4_Lastfallkombi!M78),0)</f>
        <v>#DIV/0!</v>
      </c>
      <c r="S78" s="185" t="e">
        <f t="shared" si="2"/>
        <v>#DIV/0!</v>
      </c>
      <c r="T78" s="185" t="e">
        <f t="shared" si="6"/>
        <v>#DIV/0!</v>
      </c>
      <c r="U78" s="228" t="e">
        <f>AVERAGE(T78,T77)</f>
        <v>#DIV/0!</v>
      </c>
      <c r="V78" s="227">
        <f>MAX($V$47/Kalk4_Eingabe!$C$24*(Kalk4_Eingabe!$C$24-Kalk4_Lastfallkombi!M78),0)</f>
        <v>0</v>
      </c>
      <c r="W78" s="185">
        <f t="shared" si="3"/>
        <v>0</v>
      </c>
      <c r="X78" s="185">
        <f t="shared" si="7"/>
        <v>0</v>
      </c>
      <c r="Y78" s="228">
        <f>AVERAGE(X78,X77)</f>
        <v>0</v>
      </c>
      <c r="Z78" s="227">
        <f>MAX($Z$47/Kalk4_Eingabe!$C$24*(Kalk4_Eingabe!$C$24-Kalk4_Lastfallkombi!M78),0)</f>
        <v>0</v>
      </c>
      <c r="AA78" s="185">
        <f t="shared" si="4"/>
        <v>0</v>
      </c>
      <c r="AB78" s="185">
        <f t="shared" si="8"/>
        <v>0</v>
      </c>
      <c r="AC78" s="228">
        <f>AVERAGE(AB78,AB77)</f>
        <v>0</v>
      </c>
    </row>
    <row r="79" spans="1:29" ht="14.25" customHeight="1">
      <c r="E79" s="163"/>
      <c r="K79" s="152">
        <v>17</v>
      </c>
      <c r="L79" s="185">
        <f t="shared" si="5"/>
        <v>1.98</v>
      </c>
      <c r="M79" s="185">
        <f>M77+IF(K79&lt;=$L$36,$C$14/100,0)</f>
        <v>0.21</v>
      </c>
      <c r="N79" s="227" t="e">
        <f>N78</f>
        <v>#DIV/0!</v>
      </c>
      <c r="O79" s="185" t="e">
        <f>IF(N79=0,0,O78)</f>
        <v>#DIV/0!</v>
      </c>
      <c r="P79" s="185" t="e">
        <f t="shared" si="0"/>
        <v>#DIV/0!</v>
      </c>
      <c r="Q79" s="228" t="e">
        <f>Q80</f>
        <v>#DIV/0!</v>
      </c>
      <c r="R79" s="227" t="e">
        <f>R78</f>
        <v>#DIV/0!</v>
      </c>
      <c r="S79" s="185" t="e">
        <f>IF(R79=0,0,S78)</f>
        <v>#DIV/0!</v>
      </c>
      <c r="T79" s="185" t="e">
        <f t="shared" si="6"/>
        <v>#DIV/0!</v>
      </c>
      <c r="U79" s="228" t="e">
        <f>U80</f>
        <v>#DIV/0!</v>
      </c>
      <c r="V79" s="227">
        <f>V78</f>
        <v>0</v>
      </c>
      <c r="W79" s="185">
        <f>IF(V79=0,0,W78)</f>
        <v>0</v>
      </c>
      <c r="X79" s="185">
        <f t="shared" si="7"/>
        <v>0</v>
      </c>
      <c r="Y79" s="228">
        <f>Y80</f>
        <v>0</v>
      </c>
      <c r="Z79" s="227">
        <f>Z78</f>
        <v>0</v>
      </c>
      <c r="AA79" s="185">
        <f>IF(Z79=0,0,AA78)</f>
        <v>0</v>
      </c>
      <c r="AB79" s="185">
        <f t="shared" si="8"/>
        <v>0</v>
      </c>
      <c r="AC79" s="228">
        <f>AC80</f>
        <v>0</v>
      </c>
    </row>
    <row r="80" spans="1:29" ht="14.25" customHeight="1">
      <c r="E80" s="163"/>
      <c r="K80" s="152">
        <v>17</v>
      </c>
      <c r="L80" s="185">
        <f t="shared" si="5"/>
        <v>2.02</v>
      </c>
      <c r="M80" s="185">
        <f>M79</f>
        <v>0.21</v>
      </c>
      <c r="N80" s="227" t="e">
        <f>MAX($N$47/Kalk4_Eingabe!$C$18*(Kalk4_Eingabe!$C$18-Kalk4_Lastfallkombi!M80),0)</f>
        <v>#DIV/0!</v>
      </c>
      <c r="O80" s="185" t="e">
        <f t="shared" si="1"/>
        <v>#DIV/0!</v>
      </c>
      <c r="P80" s="185" t="e">
        <f t="shared" si="0"/>
        <v>#DIV/0!</v>
      </c>
      <c r="Q80" s="228" t="e">
        <f>AVERAGE(P80,P79)</f>
        <v>#DIV/0!</v>
      </c>
      <c r="R80" s="227" t="e">
        <f>MAX($R$47/Kalk4_Eingabe!$C$18*(Kalk4_Eingabe!$C$18-Kalk4_Lastfallkombi!M80),0)</f>
        <v>#DIV/0!</v>
      </c>
      <c r="S80" s="185" t="e">
        <f t="shared" si="2"/>
        <v>#DIV/0!</v>
      </c>
      <c r="T80" s="185" t="e">
        <f t="shared" si="6"/>
        <v>#DIV/0!</v>
      </c>
      <c r="U80" s="228" t="e">
        <f>AVERAGE(T80,T79)</f>
        <v>#DIV/0!</v>
      </c>
      <c r="V80" s="227">
        <f>MAX($V$47/Kalk4_Eingabe!$C$24*(Kalk4_Eingabe!$C$24-Kalk4_Lastfallkombi!M80),0)</f>
        <v>0</v>
      </c>
      <c r="W80" s="185">
        <f t="shared" si="3"/>
        <v>0</v>
      </c>
      <c r="X80" s="185">
        <f t="shared" si="7"/>
        <v>0</v>
      </c>
      <c r="Y80" s="228">
        <f>AVERAGE(X80,X79)</f>
        <v>0</v>
      </c>
      <c r="Z80" s="227">
        <f>MAX($Z$47/Kalk4_Eingabe!$C$24*(Kalk4_Eingabe!$C$24-Kalk4_Lastfallkombi!M80),0)</f>
        <v>0</v>
      </c>
      <c r="AA80" s="185">
        <f t="shared" si="4"/>
        <v>0</v>
      </c>
      <c r="AB80" s="185">
        <f t="shared" si="8"/>
        <v>0</v>
      </c>
      <c r="AC80" s="228">
        <f>AVERAGE(AB80,AB79)</f>
        <v>0</v>
      </c>
    </row>
    <row r="81" spans="5:29" ht="14.25" customHeight="1">
      <c r="E81" s="163"/>
      <c r="K81" s="152">
        <v>18</v>
      </c>
      <c r="L81" s="185">
        <f t="shared" si="5"/>
        <v>1.98</v>
      </c>
      <c r="M81" s="185">
        <f>M79+IF(K81&lt;=$L$36,$C$14/100,0)</f>
        <v>0.21</v>
      </c>
      <c r="N81" s="227" t="e">
        <f>N80</f>
        <v>#DIV/0!</v>
      </c>
      <c r="O81" s="185" t="e">
        <f>IF(N81=0,0,O80)</f>
        <v>#DIV/0!</v>
      </c>
      <c r="P81" s="185" t="e">
        <f t="shared" si="0"/>
        <v>#DIV/0!</v>
      </c>
      <c r="Q81" s="228" t="e">
        <f>Q82</f>
        <v>#DIV/0!</v>
      </c>
      <c r="R81" s="227" t="e">
        <f>R80</f>
        <v>#DIV/0!</v>
      </c>
      <c r="S81" s="185" t="e">
        <f>IF(R81=0,0,S80)</f>
        <v>#DIV/0!</v>
      </c>
      <c r="T81" s="185" t="e">
        <f t="shared" si="6"/>
        <v>#DIV/0!</v>
      </c>
      <c r="U81" s="228" t="e">
        <f>U82</f>
        <v>#DIV/0!</v>
      </c>
      <c r="V81" s="227">
        <f>V80</f>
        <v>0</v>
      </c>
      <c r="W81" s="185">
        <f>IF(V81=0,0,W80)</f>
        <v>0</v>
      </c>
      <c r="X81" s="185">
        <f t="shared" si="7"/>
        <v>0</v>
      </c>
      <c r="Y81" s="228">
        <f>Y82</f>
        <v>0</v>
      </c>
      <c r="Z81" s="227">
        <f>Z80</f>
        <v>0</v>
      </c>
      <c r="AA81" s="185">
        <f>IF(Z81=0,0,AA80)</f>
        <v>0</v>
      </c>
      <c r="AB81" s="185">
        <f t="shared" si="8"/>
        <v>0</v>
      </c>
      <c r="AC81" s="228">
        <f>AC82</f>
        <v>0</v>
      </c>
    </row>
    <row r="82" spans="5:29" ht="14.25" customHeight="1">
      <c r="E82" s="163"/>
      <c r="K82" s="152">
        <v>18</v>
      </c>
      <c r="L82" s="185">
        <f t="shared" si="5"/>
        <v>2.02</v>
      </c>
      <c r="M82" s="185">
        <f>M81</f>
        <v>0.21</v>
      </c>
      <c r="N82" s="227" t="e">
        <f>MAX($N$47/Kalk4_Eingabe!$C$18*(Kalk4_Eingabe!$C$18-Kalk4_Lastfallkombi!M82),0)</f>
        <v>#DIV/0!</v>
      </c>
      <c r="O82" s="185" t="e">
        <f t="shared" si="1"/>
        <v>#DIV/0!</v>
      </c>
      <c r="P82" s="185" t="e">
        <f t="shared" si="0"/>
        <v>#DIV/0!</v>
      </c>
      <c r="Q82" s="228" t="e">
        <f>AVERAGE(P82,P81)</f>
        <v>#DIV/0!</v>
      </c>
      <c r="R82" s="227" t="e">
        <f>MAX($R$47/Kalk4_Eingabe!$C$18*(Kalk4_Eingabe!$C$18-Kalk4_Lastfallkombi!M82),0)</f>
        <v>#DIV/0!</v>
      </c>
      <c r="S82" s="185" t="e">
        <f t="shared" si="2"/>
        <v>#DIV/0!</v>
      </c>
      <c r="T82" s="185" t="e">
        <f t="shared" si="6"/>
        <v>#DIV/0!</v>
      </c>
      <c r="U82" s="228" t="e">
        <f>AVERAGE(T82,T81)</f>
        <v>#DIV/0!</v>
      </c>
      <c r="V82" s="227">
        <f>MAX($V$47/Kalk4_Eingabe!$C$24*(Kalk4_Eingabe!$C$24-Kalk4_Lastfallkombi!M82),0)</f>
        <v>0</v>
      </c>
      <c r="W82" s="185">
        <f t="shared" si="3"/>
        <v>0</v>
      </c>
      <c r="X82" s="185">
        <f t="shared" si="7"/>
        <v>0</v>
      </c>
      <c r="Y82" s="228">
        <f>AVERAGE(X82,X81)</f>
        <v>0</v>
      </c>
      <c r="Z82" s="227">
        <f>MAX($Z$47/Kalk4_Eingabe!$C$24*(Kalk4_Eingabe!$C$24-Kalk4_Lastfallkombi!M82),0)</f>
        <v>0</v>
      </c>
      <c r="AA82" s="185">
        <f t="shared" si="4"/>
        <v>0</v>
      </c>
      <c r="AB82" s="185">
        <f t="shared" si="8"/>
        <v>0</v>
      </c>
      <c r="AC82" s="228">
        <f>AVERAGE(AB82,AB81)</f>
        <v>0</v>
      </c>
    </row>
    <row r="83" spans="5:29" ht="14.25" customHeight="1">
      <c r="E83" s="163"/>
      <c r="K83" s="152">
        <v>19</v>
      </c>
      <c r="L83" s="185">
        <f t="shared" si="5"/>
        <v>1.98</v>
      </c>
      <c r="M83" s="185">
        <f>M81+IF(K83&lt;=$L$36,$C$14/100,0)</f>
        <v>0.21</v>
      </c>
      <c r="N83" s="227" t="e">
        <f>N82</f>
        <v>#DIV/0!</v>
      </c>
      <c r="O83" s="185" t="e">
        <f>IF(N83=0,0,O82)</f>
        <v>#DIV/0!</v>
      </c>
      <c r="P83" s="185" t="e">
        <f t="shared" si="0"/>
        <v>#DIV/0!</v>
      </c>
      <c r="Q83" s="228" t="e">
        <f>Q84</f>
        <v>#DIV/0!</v>
      </c>
      <c r="R83" s="227" t="e">
        <f>R82</f>
        <v>#DIV/0!</v>
      </c>
      <c r="S83" s="185" t="e">
        <f>IF(R83=0,0,S82)</f>
        <v>#DIV/0!</v>
      </c>
      <c r="T83" s="185" t="e">
        <f t="shared" si="6"/>
        <v>#DIV/0!</v>
      </c>
      <c r="U83" s="228" t="e">
        <f>U84</f>
        <v>#DIV/0!</v>
      </c>
      <c r="V83" s="227">
        <f>V82</f>
        <v>0</v>
      </c>
      <c r="W83" s="185">
        <f>IF(V83=0,0,W82)</f>
        <v>0</v>
      </c>
      <c r="X83" s="185">
        <f t="shared" si="7"/>
        <v>0</v>
      </c>
      <c r="Y83" s="228">
        <f>Y84</f>
        <v>0</v>
      </c>
      <c r="Z83" s="227">
        <f>Z82</f>
        <v>0</v>
      </c>
      <c r="AA83" s="185">
        <f>IF(Z83=0,0,AA82)</f>
        <v>0</v>
      </c>
      <c r="AB83" s="185">
        <f t="shared" si="8"/>
        <v>0</v>
      </c>
      <c r="AC83" s="228">
        <f>AC84</f>
        <v>0</v>
      </c>
    </row>
    <row r="84" spans="5:29" ht="14.25" customHeight="1">
      <c r="E84" s="163"/>
      <c r="K84" s="152">
        <v>19</v>
      </c>
      <c r="L84" s="185">
        <f t="shared" si="5"/>
        <v>2.02</v>
      </c>
      <c r="M84" s="185">
        <f>M83</f>
        <v>0.21</v>
      </c>
      <c r="N84" s="227" t="e">
        <f>MAX($N$47/Kalk4_Eingabe!$C$18*(Kalk4_Eingabe!$C$18-Kalk4_Lastfallkombi!M84),0)</f>
        <v>#DIV/0!</v>
      </c>
      <c r="O84" s="185" t="e">
        <f t="shared" si="1"/>
        <v>#DIV/0!</v>
      </c>
      <c r="P84" s="185" t="e">
        <f t="shared" si="0"/>
        <v>#DIV/0!</v>
      </c>
      <c r="Q84" s="228" t="e">
        <f>AVERAGE(P84,P83)</f>
        <v>#DIV/0!</v>
      </c>
      <c r="R84" s="227" t="e">
        <f>MAX($R$47/Kalk4_Eingabe!$C$18*(Kalk4_Eingabe!$C$18-Kalk4_Lastfallkombi!M84),0)</f>
        <v>#DIV/0!</v>
      </c>
      <c r="S84" s="185" t="e">
        <f t="shared" si="2"/>
        <v>#DIV/0!</v>
      </c>
      <c r="T84" s="185" t="e">
        <f t="shared" si="6"/>
        <v>#DIV/0!</v>
      </c>
      <c r="U84" s="228" t="e">
        <f>AVERAGE(T84,T83)</f>
        <v>#DIV/0!</v>
      </c>
      <c r="V84" s="227">
        <f>MAX($V$47/Kalk4_Eingabe!$C$24*(Kalk4_Eingabe!$C$24-Kalk4_Lastfallkombi!M84),0)</f>
        <v>0</v>
      </c>
      <c r="W84" s="185">
        <f t="shared" si="3"/>
        <v>0</v>
      </c>
      <c r="X84" s="185">
        <f t="shared" si="7"/>
        <v>0</v>
      </c>
      <c r="Y84" s="228">
        <f>AVERAGE(X84,X83)</f>
        <v>0</v>
      </c>
      <c r="Z84" s="227">
        <f>MAX($Z$47/Kalk4_Eingabe!$C$24*(Kalk4_Eingabe!$C$24-Kalk4_Lastfallkombi!M84),0)</f>
        <v>0</v>
      </c>
      <c r="AA84" s="185">
        <f t="shared" si="4"/>
        <v>0</v>
      </c>
      <c r="AB84" s="185">
        <f t="shared" si="8"/>
        <v>0</v>
      </c>
      <c r="AC84" s="228">
        <f>AVERAGE(AB84,AB83)</f>
        <v>0</v>
      </c>
    </row>
    <row r="85" spans="5:29" ht="14.25" customHeight="1">
      <c r="E85" s="163"/>
      <c r="K85" s="152">
        <v>20</v>
      </c>
      <c r="L85" s="185">
        <f t="shared" si="5"/>
        <v>1.98</v>
      </c>
      <c r="M85" s="185">
        <f>M83+IF(K85&lt;=$L$36,$C$14/100,0)</f>
        <v>0.21</v>
      </c>
      <c r="N85" s="227" t="e">
        <f>N84</f>
        <v>#DIV/0!</v>
      </c>
      <c r="O85" s="185" t="e">
        <f>IF(N85=0,0,O84)</f>
        <v>#DIV/0!</v>
      </c>
      <c r="P85" s="185" t="e">
        <f t="shared" si="0"/>
        <v>#DIV/0!</v>
      </c>
      <c r="Q85" s="228" t="e">
        <f>Q86</f>
        <v>#DIV/0!</v>
      </c>
      <c r="R85" s="227" t="e">
        <f>R84</f>
        <v>#DIV/0!</v>
      </c>
      <c r="S85" s="185" t="e">
        <f>IF(R85=0,0,S84)</f>
        <v>#DIV/0!</v>
      </c>
      <c r="T85" s="185" t="e">
        <f t="shared" si="6"/>
        <v>#DIV/0!</v>
      </c>
      <c r="U85" s="228" t="e">
        <f>U86</f>
        <v>#DIV/0!</v>
      </c>
      <c r="V85" s="227">
        <f>V84</f>
        <v>0</v>
      </c>
      <c r="W85" s="185">
        <f>IF(V85=0,0,W84)</f>
        <v>0</v>
      </c>
      <c r="X85" s="185">
        <f t="shared" si="7"/>
        <v>0</v>
      </c>
      <c r="Y85" s="228">
        <f>Y86</f>
        <v>0</v>
      </c>
      <c r="Z85" s="227">
        <f>Z84</f>
        <v>0</v>
      </c>
      <c r="AA85" s="185">
        <f>IF(Z85=0,0,AA84)</f>
        <v>0</v>
      </c>
      <c r="AB85" s="185">
        <f t="shared" si="8"/>
        <v>0</v>
      </c>
      <c r="AC85" s="228">
        <f>AC86</f>
        <v>0</v>
      </c>
    </row>
    <row r="86" spans="5:29" ht="14.25" customHeight="1">
      <c r="E86" s="163"/>
      <c r="K86" s="152">
        <v>20</v>
      </c>
      <c r="L86" s="185">
        <f t="shared" si="5"/>
        <v>2.02</v>
      </c>
      <c r="M86" s="185">
        <f>M85</f>
        <v>0.21</v>
      </c>
      <c r="N86" s="227" t="e">
        <f>MAX($N$47/Kalk4_Eingabe!$C$18*(Kalk4_Eingabe!$C$18-Kalk4_Lastfallkombi!M86),0)</f>
        <v>#DIV/0!</v>
      </c>
      <c r="O86" s="185" t="e">
        <f t="shared" si="1"/>
        <v>#DIV/0!</v>
      </c>
      <c r="P86" s="185" t="e">
        <f t="shared" si="0"/>
        <v>#DIV/0!</v>
      </c>
      <c r="Q86" s="228" t="e">
        <f>AVERAGE(P86,P85)</f>
        <v>#DIV/0!</v>
      </c>
      <c r="R86" s="227" t="e">
        <f>MAX($R$47/Kalk4_Eingabe!$C$18*(Kalk4_Eingabe!$C$18-Kalk4_Lastfallkombi!M86),0)</f>
        <v>#DIV/0!</v>
      </c>
      <c r="S86" s="185" t="e">
        <f t="shared" si="2"/>
        <v>#DIV/0!</v>
      </c>
      <c r="T86" s="185" t="e">
        <f t="shared" si="6"/>
        <v>#DIV/0!</v>
      </c>
      <c r="U86" s="228" t="e">
        <f>AVERAGE(T86,T85)</f>
        <v>#DIV/0!</v>
      </c>
      <c r="V86" s="227">
        <f>MAX($V$47/Kalk4_Eingabe!$C$24*(Kalk4_Eingabe!$C$24-Kalk4_Lastfallkombi!M86),0)</f>
        <v>0</v>
      </c>
      <c r="W86" s="185">
        <f t="shared" si="3"/>
        <v>0</v>
      </c>
      <c r="X86" s="185">
        <f t="shared" si="7"/>
        <v>0</v>
      </c>
      <c r="Y86" s="228">
        <f>AVERAGE(X86,X85)</f>
        <v>0</v>
      </c>
      <c r="Z86" s="227">
        <f>MAX($Z$47/Kalk4_Eingabe!$C$24*(Kalk4_Eingabe!$C$24-Kalk4_Lastfallkombi!M86),0)</f>
        <v>0</v>
      </c>
      <c r="AA86" s="185">
        <f t="shared" si="4"/>
        <v>0</v>
      </c>
      <c r="AB86" s="185">
        <f t="shared" si="8"/>
        <v>0</v>
      </c>
      <c r="AC86" s="228">
        <f>AVERAGE(AB86,AB85)</f>
        <v>0</v>
      </c>
    </row>
    <row r="87" spans="5:29" ht="14.25" customHeight="1">
      <c r="E87" s="163"/>
      <c r="K87" s="152">
        <v>21</v>
      </c>
      <c r="L87" s="185">
        <f t="shared" si="5"/>
        <v>1.98</v>
      </c>
      <c r="M87" s="185">
        <f>M85+IF(K87&lt;=$L$36,$C$14/100,0)</f>
        <v>0.21</v>
      </c>
      <c r="N87" s="227" t="e">
        <f>N86</f>
        <v>#DIV/0!</v>
      </c>
      <c r="O87" s="185" t="e">
        <f>IF(N87=0,0,O86)</f>
        <v>#DIV/0!</v>
      </c>
      <c r="P87" s="185" t="e">
        <f t="shared" si="0"/>
        <v>#DIV/0!</v>
      </c>
      <c r="Q87" s="228" t="e">
        <f>Q88</f>
        <v>#DIV/0!</v>
      </c>
      <c r="R87" s="227" t="e">
        <f>R86</f>
        <v>#DIV/0!</v>
      </c>
      <c r="S87" s="185" t="e">
        <f>IF(R87=0,0,S86)</f>
        <v>#DIV/0!</v>
      </c>
      <c r="T87" s="185" t="e">
        <f t="shared" si="6"/>
        <v>#DIV/0!</v>
      </c>
      <c r="U87" s="228" t="e">
        <f>U88</f>
        <v>#DIV/0!</v>
      </c>
      <c r="V87" s="227">
        <f>V86</f>
        <v>0</v>
      </c>
      <c r="W87" s="185">
        <f>IF(V87=0,0,W86)</f>
        <v>0</v>
      </c>
      <c r="X87" s="185">
        <f t="shared" si="7"/>
        <v>0</v>
      </c>
      <c r="Y87" s="228">
        <f>Y88</f>
        <v>0</v>
      </c>
      <c r="Z87" s="227">
        <f>Z86</f>
        <v>0</v>
      </c>
      <c r="AA87" s="185">
        <f>IF(Z87=0,0,AA86)</f>
        <v>0</v>
      </c>
      <c r="AB87" s="185">
        <f t="shared" si="8"/>
        <v>0</v>
      </c>
      <c r="AC87" s="228">
        <f>AC88</f>
        <v>0</v>
      </c>
    </row>
    <row r="88" spans="5:29" ht="14.25" customHeight="1">
      <c r="E88" s="163"/>
      <c r="K88" s="152">
        <v>21</v>
      </c>
      <c r="L88" s="185">
        <f t="shared" si="5"/>
        <v>2.02</v>
      </c>
      <c r="M88" s="185">
        <f>M87</f>
        <v>0.21</v>
      </c>
      <c r="N88" s="227" t="e">
        <f>MAX($N$47/Kalk4_Eingabe!$C$18*(Kalk4_Eingabe!$C$18-Kalk4_Lastfallkombi!M88),0)</f>
        <v>#DIV/0!</v>
      </c>
      <c r="O88" s="185" t="e">
        <f t="shared" si="1"/>
        <v>#DIV/0!</v>
      </c>
      <c r="P88" s="185" t="e">
        <f t="shared" si="0"/>
        <v>#DIV/0!</v>
      </c>
      <c r="Q88" s="228" t="e">
        <f t="shared" ref="Q88:Q94" si="9">AVERAGE(P88,P87)</f>
        <v>#DIV/0!</v>
      </c>
      <c r="R88" s="227" t="e">
        <f>MAX($R$47/Kalk4_Eingabe!$C$18*(Kalk4_Eingabe!$C$18-Kalk4_Lastfallkombi!M88),0)</f>
        <v>#DIV/0!</v>
      </c>
      <c r="S88" s="185" t="e">
        <f t="shared" si="2"/>
        <v>#DIV/0!</v>
      </c>
      <c r="T88" s="185" t="e">
        <f t="shared" si="6"/>
        <v>#DIV/0!</v>
      </c>
      <c r="U88" s="228" t="e">
        <f t="shared" ref="U88:U94" si="10">AVERAGE(T88,T87)</f>
        <v>#DIV/0!</v>
      </c>
      <c r="V88" s="227">
        <f>MAX($V$47/Kalk4_Eingabe!$C$24*(Kalk4_Eingabe!$C$24-Kalk4_Lastfallkombi!M88),0)</f>
        <v>0</v>
      </c>
      <c r="W88" s="185">
        <f t="shared" si="3"/>
        <v>0</v>
      </c>
      <c r="X88" s="185">
        <f t="shared" si="7"/>
        <v>0</v>
      </c>
      <c r="Y88" s="228">
        <f t="shared" ref="Y88:Y94" si="11">AVERAGE(X88,X87)</f>
        <v>0</v>
      </c>
      <c r="Z88" s="227">
        <f>MAX($Z$47/Kalk4_Eingabe!$C$24*(Kalk4_Eingabe!$C$24-Kalk4_Lastfallkombi!M88),0)</f>
        <v>0</v>
      </c>
      <c r="AA88" s="185">
        <f t="shared" si="4"/>
        <v>0</v>
      </c>
      <c r="AB88" s="185">
        <f t="shared" si="8"/>
        <v>0</v>
      </c>
      <c r="AC88" s="228">
        <f t="shared" ref="AC88:AC94" si="12">AVERAGE(AB88,AB87)</f>
        <v>0</v>
      </c>
    </row>
    <row r="89" spans="5:29" ht="14.25" customHeight="1">
      <c r="E89" s="163"/>
      <c r="K89" s="152">
        <v>22</v>
      </c>
      <c r="L89" s="185">
        <f t="shared" si="5"/>
        <v>1.98</v>
      </c>
      <c r="M89" s="185">
        <f>M87+IF(K89&lt;=$L$36,$C$14/100,0)</f>
        <v>0.21</v>
      </c>
      <c r="N89" s="227" t="e">
        <f>N88</f>
        <v>#DIV/0!</v>
      </c>
      <c r="O89" s="185" t="e">
        <f>IF(N89=0,0,O88)</f>
        <v>#DIV/0!</v>
      </c>
      <c r="P89" s="185" t="e">
        <f t="shared" si="0"/>
        <v>#DIV/0!</v>
      </c>
      <c r="Q89" s="228" t="e">
        <f>Q90</f>
        <v>#DIV/0!</v>
      </c>
      <c r="R89" s="227" t="e">
        <f>R88</f>
        <v>#DIV/0!</v>
      </c>
      <c r="S89" s="185" t="e">
        <f>IF(R89=0,0,S88)</f>
        <v>#DIV/0!</v>
      </c>
      <c r="T89" s="185" t="e">
        <f t="shared" si="6"/>
        <v>#DIV/0!</v>
      </c>
      <c r="U89" s="228" t="e">
        <f>U90</f>
        <v>#DIV/0!</v>
      </c>
      <c r="V89" s="227">
        <f>V88</f>
        <v>0</v>
      </c>
      <c r="W89" s="185">
        <f>IF(V89=0,0,W88)</f>
        <v>0</v>
      </c>
      <c r="X89" s="185">
        <f t="shared" si="7"/>
        <v>0</v>
      </c>
      <c r="Y89" s="228">
        <f>Y90</f>
        <v>0</v>
      </c>
      <c r="Z89" s="227">
        <f>Z88</f>
        <v>0</v>
      </c>
      <c r="AA89" s="185">
        <f>IF(Z89=0,0,AA88)</f>
        <v>0</v>
      </c>
      <c r="AB89" s="185">
        <f t="shared" si="8"/>
        <v>0</v>
      </c>
      <c r="AC89" s="228">
        <f>AC90</f>
        <v>0</v>
      </c>
    </row>
    <row r="90" spans="5:29" ht="14.25" customHeight="1">
      <c r="E90" s="163"/>
      <c r="K90" s="152">
        <v>22</v>
      </c>
      <c r="L90" s="185">
        <f t="shared" si="5"/>
        <v>2.02</v>
      </c>
      <c r="M90" s="185">
        <f>M89</f>
        <v>0.21</v>
      </c>
      <c r="N90" s="227" t="e">
        <f>MAX($N$47/Kalk4_Eingabe!$C$18*(Kalk4_Eingabe!$C$18-Kalk4_Lastfallkombi!M90),0)</f>
        <v>#DIV/0!</v>
      </c>
      <c r="O90" s="185" t="e">
        <f t="shared" si="1"/>
        <v>#DIV/0!</v>
      </c>
      <c r="P90" s="185" t="e">
        <f t="shared" si="0"/>
        <v>#DIV/0!</v>
      </c>
      <c r="Q90" s="228" t="e">
        <f t="shared" si="9"/>
        <v>#DIV/0!</v>
      </c>
      <c r="R90" s="227" t="e">
        <f>MAX($R$47/Kalk4_Eingabe!$C$18*(Kalk4_Eingabe!$C$18-Kalk4_Lastfallkombi!M90),0)</f>
        <v>#DIV/0!</v>
      </c>
      <c r="S90" s="185" t="e">
        <f t="shared" si="2"/>
        <v>#DIV/0!</v>
      </c>
      <c r="T90" s="185" t="e">
        <f t="shared" si="6"/>
        <v>#DIV/0!</v>
      </c>
      <c r="U90" s="228" t="e">
        <f t="shared" si="10"/>
        <v>#DIV/0!</v>
      </c>
      <c r="V90" s="227">
        <f>MAX($V$47/Kalk4_Eingabe!$C$24*(Kalk4_Eingabe!$C$24-Kalk4_Lastfallkombi!M90),0)</f>
        <v>0</v>
      </c>
      <c r="W90" s="185">
        <f t="shared" si="3"/>
        <v>0</v>
      </c>
      <c r="X90" s="185">
        <f t="shared" si="7"/>
        <v>0</v>
      </c>
      <c r="Y90" s="228">
        <f t="shared" si="11"/>
        <v>0</v>
      </c>
      <c r="Z90" s="227">
        <f>MAX($Z$47/Kalk4_Eingabe!$C$24*(Kalk4_Eingabe!$C$24-Kalk4_Lastfallkombi!M90),0)</f>
        <v>0</v>
      </c>
      <c r="AA90" s="185">
        <f t="shared" si="4"/>
        <v>0</v>
      </c>
      <c r="AB90" s="185">
        <f t="shared" si="8"/>
        <v>0</v>
      </c>
      <c r="AC90" s="228">
        <f t="shared" si="12"/>
        <v>0</v>
      </c>
    </row>
    <row r="91" spans="5:29" ht="14.25" customHeight="1">
      <c r="E91" s="163"/>
      <c r="K91" s="152">
        <v>23</v>
      </c>
      <c r="L91" s="185">
        <f t="shared" si="5"/>
        <v>1.98</v>
      </c>
      <c r="M91" s="185">
        <f>M89+IF(K91&lt;=$L$36,$C$14/100,0)</f>
        <v>0.21</v>
      </c>
      <c r="N91" s="227" t="e">
        <f>N90</f>
        <v>#DIV/0!</v>
      </c>
      <c r="O91" s="185" t="e">
        <f>IF(N91=0,0,O90)</f>
        <v>#DIV/0!</v>
      </c>
      <c r="P91" s="185" t="e">
        <f t="shared" si="0"/>
        <v>#DIV/0!</v>
      </c>
      <c r="Q91" s="228" t="e">
        <f>Q92</f>
        <v>#DIV/0!</v>
      </c>
      <c r="R91" s="227" t="e">
        <f>R90</f>
        <v>#DIV/0!</v>
      </c>
      <c r="S91" s="185" t="e">
        <f>IF(R91=0,0,S90)</f>
        <v>#DIV/0!</v>
      </c>
      <c r="T91" s="185" t="e">
        <f t="shared" si="6"/>
        <v>#DIV/0!</v>
      </c>
      <c r="U91" s="228" t="e">
        <f>U92</f>
        <v>#DIV/0!</v>
      </c>
      <c r="V91" s="227">
        <f>V90</f>
        <v>0</v>
      </c>
      <c r="W91" s="185">
        <f>IF(V91=0,0,W90)</f>
        <v>0</v>
      </c>
      <c r="X91" s="185">
        <f t="shared" si="7"/>
        <v>0</v>
      </c>
      <c r="Y91" s="228">
        <f>Y92</f>
        <v>0</v>
      </c>
      <c r="Z91" s="227">
        <f>Z90</f>
        <v>0</v>
      </c>
      <c r="AA91" s="185">
        <f>IF(Z91=0,0,AA90)</f>
        <v>0</v>
      </c>
      <c r="AB91" s="185">
        <f t="shared" si="8"/>
        <v>0</v>
      </c>
      <c r="AC91" s="228">
        <f>AC92</f>
        <v>0</v>
      </c>
    </row>
    <row r="92" spans="5:29" ht="14.25" customHeight="1">
      <c r="E92" s="163"/>
      <c r="K92" s="152">
        <v>23</v>
      </c>
      <c r="L92" s="185">
        <f t="shared" si="5"/>
        <v>2.02</v>
      </c>
      <c r="M92" s="185">
        <f>M91</f>
        <v>0.21</v>
      </c>
      <c r="N92" s="227" t="e">
        <f>MAX($N$47/Kalk4_Eingabe!$C$18*(Kalk4_Eingabe!$C$18-Kalk4_Lastfallkombi!M92),0)</f>
        <v>#DIV/0!</v>
      </c>
      <c r="O92" s="185" t="e">
        <f t="shared" si="1"/>
        <v>#DIV/0!</v>
      </c>
      <c r="P92" s="185" t="e">
        <f t="shared" si="0"/>
        <v>#DIV/0!</v>
      </c>
      <c r="Q92" s="228" t="e">
        <f t="shared" si="9"/>
        <v>#DIV/0!</v>
      </c>
      <c r="R92" s="227" t="e">
        <f>MAX($R$47/Kalk4_Eingabe!$C$18*(Kalk4_Eingabe!$C$18-Kalk4_Lastfallkombi!M92),0)</f>
        <v>#DIV/0!</v>
      </c>
      <c r="S92" s="185" t="e">
        <f t="shared" si="2"/>
        <v>#DIV/0!</v>
      </c>
      <c r="T92" s="185" t="e">
        <f t="shared" si="6"/>
        <v>#DIV/0!</v>
      </c>
      <c r="U92" s="228" t="e">
        <f t="shared" si="10"/>
        <v>#DIV/0!</v>
      </c>
      <c r="V92" s="227">
        <f>MAX($V$47/Kalk4_Eingabe!$C$24*(Kalk4_Eingabe!$C$24-Kalk4_Lastfallkombi!M92),0)</f>
        <v>0</v>
      </c>
      <c r="W92" s="185">
        <f t="shared" si="3"/>
        <v>0</v>
      </c>
      <c r="X92" s="185">
        <f t="shared" si="7"/>
        <v>0</v>
      </c>
      <c r="Y92" s="228">
        <f t="shared" si="11"/>
        <v>0</v>
      </c>
      <c r="Z92" s="227">
        <f>MAX($Z$47/Kalk4_Eingabe!$C$24*(Kalk4_Eingabe!$C$24-Kalk4_Lastfallkombi!M92),0)</f>
        <v>0</v>
      </c>
      <c r="AA92" s="185">
        <f t="shared" si="4"/>
        <v>0</v>
      </c>
      <c r="AB92" s="185">
        <f t="shared" si="8"/>
        <v>0</v>
      </c>
      <c r="AC92" s="228">
        <f t="shared" si="12"/>
        <v>0</v>
      </c>
    </row>
    <row r="93" spans="5:29" ht="14.25" customHeight="1">
      <c r="E93" s="163"/>
      <c r="K93" s="152">
        <v>24</v>
      </c>
      <c r="L93" s="185">
        <f t="shared" si="5"/>
        <v>1.98</v>
      </c>
      <c r="M93" s="185">
        <f>M91+IF(K93&lt;=$L$36,$C$14/100,0)</f>
        <v>0.21</v>
      </c>
      <c r="N93" s="227" t="e">
        <f>N92</f>
        <v>#DIV/0!</v>
      </c>
      <c r="O93" s="185" t="e">
        <f>IF(N93=0,0,O92)</f>
        <v>#DIV/0!</v>
      </c>
      <c r="P93" s="185" t="e">
        <f t="shared" si="0"/>
        <v>#DIV/0!</v>
      </c>
      <c r="Q93" s="228" t="e">
        <f>Q94</f>
        <v>#DIV/0!</v>
      </c>
      <c r="R93" s="227" t="e">
        <f>R92</f>
        <v>#DIV/0!</v>
      </c>
      <c r="S93" s="185" t="e">
        <f>IF(R93=0,0,S92)</f>
        <v>#DIV/0!</v>
      </c>
      <c r="T93" s="185" t="e">
        <f t="shared" si="6"/>
        <v>#DIV/0!</v>
      </c>
      <c r="U93" s="228" t="e">
        <f>U94</f>
        <v>#DIV/0!</v>
      </c>
      <c r="V93" s="227">
        <f>V92</f>
        <v>0</v>
      </c>
      <c r="W93" s="185">
        <f>IF(V93=0,0,W92)</f>
        <v>0</v>
      </c>
      <c r="X93" s="185">
        <f t="shared" si="7"/>
        <v>0</v>
      </c>
      <c r="Y93" s="228">
        <f>Y94</f>
        <v>0</v>
      </c>
      <c r="Z93" s="227">
        <f>Z92</f>
        <v>0</v>
      </c>
      <c r="AA93" s="185">
        <f>IF(Z93=0,0,AA92)</f>
        <v>0</v>
      </c>
      <c r="AB93" s="185">
        <f t="shared" si="8"/>
        <v>0</v>
      </c>
      <c r="AC93" s="228">
        <f>AC94</f>
        <v>0</v>
      </c>
    </row>
    <row r="94" spans="5:29" ht="14.25" customHeight="1">
      <c r="E94" s="163"/>
      <c r="K94" s="152">
        <v>24</v>
      </c>
      <c r="L94" s="185">
        <f t="shared" si="5"/>
        <v>2.02</v>
      </c>
      <c r="M94" s="185">
        <f>M93</f>
        <v>0.21</v>
      </c>
      <c r="N94" s="232" t="e">
        <f>MAX($N$47/Kalk4_Eingabe!$C$18*(Kalk4_Eingabe!$C$18-Kalk4_Lastfallkombi!M94),0)</f>
        <v>#DIV/0!</v>
      </c>
      <c r="O94" s="233" t="e">
        <f t="shared" si="1"/>
        <v>#DIV/0!</v>
      </c>
      <c r="P94" s="233" t="e">
        <f t="shared" si="0"/>
        <v>#DIV/0!</v>
      </c>
      <c r="Q94" s="234" t="e">
        <f t="shared" si="9"/>
        <v>#DIV/0!</v>
      </c>
      <c r="R94" s="232" t="e">
        <f>MAX($R$47/Kalk4_Eingabe!$C$18*(Kalk4_Eingabe!$C$18-Kalk4_Lastfallkombi!M94),0)</f>
        <v>#DIV/0!</v>
      </c>
      <c r="S94" s="233" t="e">
        <f t="shared" si="2"/>
        <v>#DIV/0!</v>
      </c>
      <c r="T94" s="233" t="e">
        <f t="shared" si="6"/>
        <v>#DIV/0!</v>
      </c>
      <c r="U94" s="234" t="e">
        <f t="shared" si="10"/>
        <v>#DIV/0!</v>
      </c>
      <c r="V94" s="232">
        <f>MAX($V$47/Kalk4_Eingabe!$C$24*(Kalk4_Eingabe!$C$24-Kalk4_Lastfallkombi!M94),0)</f>
        <v>0</v>
      </c>
      <c r="W94" s="233">
        <f t="shared" si="3"/>
        <v>0</v>
      </c>
      <c r="X94" s="233">
        <f t="shared" si="7"/>
        <v>0</v>
      </c>
      <c r="Y94" s="234">
        <f t="shared" si="11"/>
        <v>0</v>
      </c>
      <c r="Z94" s="232">
        <f>MAX($Z$47/Kalk4_Eingabe!$C$24*(Kalk4_Eingabe!$C$24-Kalk4_Lastfallkombi!M94),0)</f>
        <v>0</v>
      </c>
      <c r="AA94" s="233">
        <f t="shared" si="4"/>
        <v>0</v>
      </c>
      <c r="AB94" s="233">
        <f t="shared" si="8"/>
        <v>0</v>
      </c>
      <c r="AC94" s="234">
        <f t="shared" si="12"/>
        <v>0</v>
      </c>
    </row>
    <row r="95" spans="5:29" ht="14.25" customHeight="1">
      <c r="E95" s="163"/>
    </row>
    <row r="96" spans="5:29" ht="14.25" customHeight="1">
      <c r="E96" s="163"/>
      <c r="O96" s="152" t="s">
        <v>22574</v>
      </c>
      <c r="P96" s="185"/>
    </row>
    <row r="97" spans="5:18" ht="14.25" customHeight="1">
      <c r="E97" s="163"/>
      <c r="K97" s="152" t="s">
        <v>22575</v>
      </c>
      <c r="L97" s="185"/>
      <c r="M97" s="185"/>
      <c r="O97" s="185">
        <f>(M44+0.25-C15/100)/(C14/100)+1</f>
        <v>1.2</v>
      </c>
      <c r="P97" s="185">
        <f>IF(O97&gt;Kalk4_Lastfallkombi!L36,Kalk4_Lastfallkombi!L36,ROUNDUP(O97,0))</f>
        <v>0</v>
      </c>
      <c r="Q97" s="185">
        <f>C15/100+(P97-1)*C14/100</f>
        <v>9.9999999999999811E-3</v>
      </c>
      <c r="R97" s="185">
        <f>IF(Q97&gt;Kalk4_Eingabe!C24,Kalk4_Eingabe!C24,Q97)</f>
        <v>9.9999999999999811E-3</v>
      </c>
    </row>
    <row r="98" spans="5:18" ht="14.25" customHeight="1">
      <c r="E98" s="163"/>
      <c r="L98" s="185">
        <f>L42-0.2</f>
        <v>1.8</v>
      </c>
      <c r="M98" s="185">
        <f>M42</f>
        <v>0</v>
      </c>
      <c r="O98" s="185">
        <f>IF((M44-0.25-C15/100)/(C14/100)+1&lt;0,0,(M44-0.25-C15/100)/(C14/100)+1)</f>
        <v>0</v>
      </c>
      <c r="P98" s="185">
        <f>ROUNDDOWN(O98,0)</f>
        <v>0</v>
      </c>
      <c r="Q98" s="185"/>
      <c r="R98" s="185"/>
    </row>
    <row r="99" spans="5:18" ht="14.25" customHeight="1">
      <c r="E99" s="163"/>
      <c r="L99" s="185">
        <f>L98</f>
        <v>1.8</v>
      </c>
      <c r="M99" s="185">
        <f>M100</f>
        <v>0</v>
      </c>
      <c r="P99" s="152">
        <f>P97-P98</f>
        <v>0</v>
      </c>
      <c r="Q99" s="152" t="s">
        <v>20892</v>
      </c>
    </row>
    <row r="100" spans="5:18" ht="14.25" customHeight="1">
      <c r="E100" s="163"/>
      <c r="L100" s="185">
        <f>L98-C32/100</f>
        <v>1.8</v>
      </c>
      <c r="M100" s="185">
        <f>M44</f>
        <v>0</v>
      </c>
      <c r="O100" s="152" t="s">
        <v>22576</v>
      </c>
      <c r="P100" s="185"/>
    </row>
    <row r="101" spans="5:18" ht="14.25" customHeight="1">
      <c r="E101" s="163"/>
      <c r="L101" s="185">
        <f>L100-(C31/100+C32/100)</f>
        <v>1.8</v>
      </c>
      <c r="M101" s="185">
        <f>M98</f>
        <v>0</v>
      </c>
      <c r="O101" s="185">
        <f>Kalk4_Lastfallkombi!L36</f>
        <v>0</v>
      </c>
      <c r="P101" s="185">
        <f>O101</f>
        <v>0</v>
      </c>
      <c r="Q101" s="185"/>
      <c r="R101" s="185"/>
    </row>
    <row r="102" spans="5:18" ht="14.25" customHeight="1">
      <c r="E102" s="163"/>
      <c r="K102" s="152" t="s">
        <v>22577</v>
      </c>
      <c r="O102" s="185">
        <f>IF(O101-Kalk4_Eingabe!C48&lt;0,0,O101-Kalk4_Eingabe!C48)</f>
        <v>0</v>
      </c>
      <c r="P102" s="185">
        <f>ROUNDDOWN(O102,0)</f>
        <v>0</v>
      </c>
      <c r="Q102" s="185"/>
      <c r="R102" s="185"/>
    </row>
    <row r="103" spans="5:18" ht="14.25" customHeight="1">
      <c r="E103" s="163"/>
      <c r="L103" s="185">
        <f>L101-0.1</f>
        <v>1.7</v>
      </c>
      <c r="M103" s="152">
        <v>0</v>
      </c>
      <c r="P103" s="152">
        <f>P101-P102</f>
        <v>0</v>
      </c>
      <c r="Q103" s="152" t="s">
        <v>20892</v>
      </c>
    </row>
    <row r="104" spans="5:18" ht="14.25" customHeight="1">
      <c r="E104" s="163"/>
      <c r="L104" s="185">
        <f>L103</f>
        <v>1.7</v>
      </c>
      <c r="M104" s="185">
        <f>M44+0.25</f>
        <v>0.25</v>
      </c>
    </row>
    <row r="105" spans="5:18" ht="14.25" customHeight="1">
      <c r="E105" s="163"/>
      <c r="L105" s="185">
        <f>L104-0.05</f>
        <v>1.65</v>
      </c>
      <c r="M105" s="185">
        <f>M104</f>
        <v>0.25</v>
      </c>
    </row>
    <row r="106" spans="5:18" ht="14.25" customHeight="1">
      <c r="E106" s="163"/>
      <c r="L106" s="185">
        <f>L105</f>
        <v>1.65</v>
      </c>
      <c r="M106" s="185">
        <f>M104-0.5</f>
        <v>-0.25</v>
      </c>
      <c r="N106" s="152">
        <f>(M106-C15/100)/(C14/100)</f>
        <v>-2.2999999999999998</v>
      </c>
    </row>
    <row r="107" spans="5:18" ht="14.25" customHeight="1">
      <c r="E107" s="163"/>
      <c r="L107" s="185">
        <f>L104</f>
        <v>1.7</v>
      </c>
      <c r="M107" s="185">
        <f>M106</f>
        <v>-0.25</v>
      </c>
    </row>
    <row r="108" spans="5:18" ht="14.25" customHeight="1">
      <c r="E108" s="163"/>
      <c r="K108" s="152" t="s">
        <v>21191</v>
      </c>
      <c r="L108" s="152">
        <v>0</v>
      </c>
      <c r="M108" s="185">
        <f>Kalk4_Eingabe!C24</f>
        <v>2.5000000000000001E-2</v>
      </c>
    </row>
    <row r="109" spans="5:18" ht="14.25" customHeight="1">
      <c r="E109" s="163"/>
      <c r="L109" s="152">
        <f>L45</f>
        <v>2</v>
      </c>
      <c r="M109" s="185">
        <f>M108</f>
        <v>2.5000000000000001E-2</v>
      </c>
    </row>
    <row r="110" spans="5:18" ht="14.25" customHeight="1">
      <c r="E110" s="163"/>
      <c r="K110" s="152" t="s">
        <v>22578</v>
      </c>
      <c r="L110" s="185"/>
      <c r="M110" s="185"/>
    </row>
    <row r="111" spans="5:18" ht="14.25" customHeight="1">
      <c r="E111" s="163"/>
      <c r="L111" s="185">
        <f>L103-0.4</f>
        <v>1.2999999999999998</v>
      </c>
      <c r="M111" s="185">
        <v>0</v>
      </c>
    </row>
    <row r="112" spans="5:18" ht="14.25" customHeight="1">
      <c r="E112" s="163"/>
      <c r="L112" s="185">
        <f>L111</f>
        <v>1.2999999999999998</v>
      </c>
      <c r="M112" s="185">
        <f>Kalk4_Eingabe!C24</f>
        <v>2.5000000000000001E-2</v>
      </c>
    </row>
    <row r="113" spans="5:13" ht="14.25" customHeight="1">
      <c r="E113" s="163"/>
      <c r="L113" s="185">
        <f>L111-C20/100</f>
        <v>1.2999999999999998</v>
      </c>
      <c r="M113" s="185">
        <f>M112</f>
        <v>2.5000000000000001E-2</v>
      </c>
    </row>
    <row r="114" spans="5:13" ht="14.25" customHeight="1">
      <c r="E114" s="163"/>
      <c r="L114" s="185">
        <f>L113-(C19/100+C20/100)</f>
        <v>1.2969624999999998</v>
      </c>
      <c r="M114" s="185">
        <f>M111</f>
        <v>0</v>
      </c>
    </row>
    <row r="115" spans="5:13" ht="14.25" customHeight="1">
      <c r="E115" s="163"/>
      <c r="K115" s="152" t="s">
        <v>22579</v>
      </c>
    </row>
    <row r="116" spans="5:13" ht="14.25" customHeight="1">
      <c r="L116" s="185">
        <f>L114-0.1</f>
        <v>1.1969624999999997</v>
      </c>
      <c r="M116" s="152">
        <v>0</v>
      </c>
    </row>
    <row r="117" spans="5:13" ht="14.25" customHeight="1">
      <c r="L117" s="185">
        <f>L116</f>
        <v>1.1969624999999997</v>
      </c>
      <c r="M117" s="185">
        <f>Kalk4_Eingabe!C24</f>
        <v>2.5000000000000001E-2</v>
      </c>
    </row>
    <row r="118" spans="5:13" ht="14.25" customHeight="1">
      <c r="L118" s="185">
        <f>L117-0.05</f>
        <v>1.1469624999999997</v>
      </c>
      <c r="M118" s="185">
        <f>M117</f>
        <v>2.5000000000000001E-2</v>
      </c>
    </row>
    <row r="119" spans="5:13" ht="14.25" customHeight="1">
      <c r="L119" s="185">
        <f>L118</f>
        <v>1.1469624999999997</v>
      </c>
      <c r="M119" s="185">
        <f>M117-0.5</f>
        <v>-0.47499999999999998</v>
      </c>
    </row>
    <row r="120" spans="5:13" ht="14.25" customHeight="1">
      <c r="L120" s="185">
        <f>L117</f>
        <v>1.1969624999999997</v>
      </c>
      <c r="M120" s="185">
        <f>M119</f>
        <v>-0.47499999999999998</v>
      </c>
    </row>
    <row r="121" spans="5:13" ht="14.25" customHeight="1"/>
    <row r="122" spans="5:13" ht="14.25" customHeight="1"/>
    <row r="123" spans="5:13" ht="14.25" customHeight="1"/>
    <row r="124" spans="5:13" ht="14.25" customHeight="1"/>
    <row r="125" spans="5:13" ht="14.25" customHeight="1"/>
    <row r="126" spans="5:13" ht="14.25" customHeight="1"/>
    <row r="127" spans="5:13" ht="14.25" customHeight="1"/>
    <row r="128" spans="5:13"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sheetData>
  <mergeCells count="7">
    <mergeCell ref="Z44:AC44"/>
    <mergeCell ref="B1:C1"/>
    <mergeCell ref="C4:E4"/>
    <mergeCell ref="C5:E5"/>
    <mergeCell ref="N44:Q44"/>
    <mergeCell ref="R44:U44"/>
    <mergeCell ref="V44:Y44"/>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1BA8B-5F69-4242-9842-D6684830F907}">
  <sheetPr codeName="Tabelle14"/>
  <dimension ref="A1:AP56"/>
  <sheetViews>
    <sheetView showGridLines="0" workbookViewId="0">
      <selection activeCell="D16" sqref="D16:I16"/>
    </sheetView>
  </sheetViews>
  <sheetFormatPr baseColWidth="10" defaultColWidth="0" defaultRowHeight="12.75" zeroHeight="1"/>
  <cols>
    <col min="1" max="25" width="5.7109375" style="21" customWidth="1"/>
    <col min="26" max="26" width="255.7109375" style="21" hidden="1" customWidth="1"/>
    <col min="27" max="27" width="9.140625" style="21" hidden="1" customWidth="1"/>
    <col min="28" max="28" width="11.85546875" style="21" hidden="1" customWidth="1"/>
    <col min="29" max="31" width="5.7109375" style="21" hidden="1" customWidth="1"/>
    <col min="32" max="32" width="11.42578125" style="21" hidden="1" customWidth="1"/>
    <col min="33" max="33" width="22.42578125" style="21" hidden="1" customWidth="1"/>
    <col min="34" max="34" width="11.42578125" style="21" hidden="1" customWidth="1"/>
    <col min="35" max="36" width="6.28515625" style="21" hidden="1" customWidth="1"/>
    <col min="37" max="37" width="5" style="21" hidden="1" customWidth="1"/>
    <col min="38" max="38" width="2.85546875" style="21" hidden="1" customWidth="1"/>
    <col min="39" max="16384" width="11.42578125" style="21" hidden="1"/>
  </cols>
  <sheetData>
    <row r="1" spans="3:35" ht="20.25">
      <c r="Y1" s="47" t="str">
        <f>VLOOKUP(1780,Sprachindex!$A:$Z,Erhebungsbogen!$Y$20,FALSE)</f>
        <v>PREFA HOCHWASSERSCHUTZ SYSTEM</v>
      </c>
    </row>
    <row r="2" spans="3:35">
      <c r="Y2" s="41" t="str">
        <f>VLOOKUP(1741,Sprachindex!$A:$Z,Erhebungsbogen!$Y$20,FALSE) &amp; " 2"</f>
        <v>KALKULATION 2</v>
      </c>
    </row>
    <row r="3" spans="3:35" ht="15" customHeight="1">
      <c r="Y3" s="41"/>
    </row>
    <row r="4" spans="3:35">
      <c r="D4" s="104" t="str">
        <f>VLOOKUP(393,Sprachindex!$A:$Z,Erhebungsbogen!$Y$20,FALSE)</f>
        <v>Firma / Besteller:</v>
      </c>
      <c r="K4" s="423" t="str">
        <f>VLOOKUP(1646,Sprachindex!$A:$Z,Erhebungsbogen!$Y$20,FALSE)</f>
        <v>Beschichtung</v>
      </c>
      <c r="L4" s="424"/>
      <c r="M4" s="424"/>
      <c r="N4" s="424"/>
      <c r="O4" s="424"/>
      <c r="P4" s="424"/>
      <c r="Q4" s="425"/>
      <c r="S4" s="423" t="str">
        <f>VLOOKUP(1657,Sprachindex!$A:$Z,Erhebungsbogen!$Y$20,FALSE)</f>
        <v>Bodenhülsendeckel</v>
      </c>
      <c r="T4" s="424"/>
      <c r="U4" s="424"/>
      <c r="V4" s="424"/>
      <c r="W4" s="424"/>
      <c r="X4" s="425"/>
      <c r="AA4" s="273"/>
    </row>
    <row r="5" spans="3:35">
      <c r="C5" s="105" t="str">
        <f>VLOOKUP(622,Sprachindex!$A:$Z,Erhebungsbogen!$Y$20,FALSE)</f>
        <v>Name:</v>
      </c>
      <c r="D5" s="472">
        <f>Erhebungsbogen!F8</f>
        <v>0</v>
      </c>
      <c r="E5" s="472"/>
      <c r="F5" s="472"/>
      <c r="G5" s="472"/>
      <c r="H5" s="472"/>
      <c r="I5" s="472"/>
      <c r="K5" s="460" t="str">
        <f>VLOOKUP(625,Sprachindex!$A:$Z,Erhebungsbogen!$Y$20,FALSE)</f>
        <v>nein</v>
      </c>
      <c r="L5" s="460"/>
      <c r="M5" s="460"/>
      <c r="N5" s="460" t="str">
        <f>VLOOKUP(498,Sprachindex!$A:$Z,Erhebungsbogen!$Y$20,FALSE)</f>
        <v>ja</v>
      </c>
      <c r="O5" s="460"/>
      <c r="P5" s="460"/>
      <c r="Q5" s="460"/>
      <c r="S5" s="460" t="str">
        <f>VLOOKUP(1617,Sprachindex!$A:$Z,Erhebungsbogen!$Y$20,FALSE)</f>
        <v>Aluminium</v>
      </c>
      <c r="T5" s="460"/>
      <c r="U5" s="460"/>
      <c r="V5" s="460" t="str">
        <f>VLOOKUP(1696,Sprachindex!$A:$Z,Erhebungsbogen!$Y$20,FALSE)</f>
        <v>Edelstahl</v>
      </c>
      <c r="W5" s="460"/>
      <c r="X5" s="460"/>
      <c r="AA5" s="273">
        <v>1</v>
      </c>
      <c r="AB5" s="142" t="s">
        <v>18593</v>
      </c>
    </row>
    <row r="6" spans="3:35" ht="2.1" customHeight="1">
      <c r="C6" s="105"/>
      <c r="D6" s="27"/>
      <c r="E6" s="27"/>
      <c r="F6" s="27"/>
      <c r="G6" s="27"/>
      <c r="H6" s="27"/>
      <c r="I6" s="27"/>
      <c r="K6" s="33"/>
      <c r="L6" s="34"/>
      <c r="M6" s="34"/>
      <c r="N6" s="34"/>
      <c r="O6" s="34"/>
      <c r="P6" s="34"/>
      <c r="Q6" s="35"/>
      <c r="AA6" s="273"/>
    </row>
    <row r="7" spans="3:35">
      <c r="C7" s="105" t="str">
        <f>VLOOKUP(884,Sprachindex!$A:$Z,Erhebungsbogen!$Y$20,FALSE)</f>
        <v>Straße:</v>
      </c>
      <c r="D7" s="472">
        <f>Erhebungsbogen!F10</f>
        <v>0</v>
      </c>
      <c r="E7" s="472"/>
      <c r="F7" s="472"/>
      <c r="G7" s="472"/>
      <c r="H7" s="472"/>
      <c r="I7" s="472"/>
      <c r="K7" s="110" t="str">
        <f>VLOOKUP(1791,Sprachindex!$A:$Z,Erhebungsbogen!$Y$20,FALSE)</f>
        <v>RAL oder PREFA Farbe:</v>
      </c>
      <c r="Q7" s="37"/>
      <c r="AA7" s="273">
        <v>1</v>
      </c>
      <c r="AB7" s="142" t="s">
        <v>22065</v>
      </c>
      <c r="AH7" s="49"/>
    </row>
    <row r="8" spans="3:35" ht="2.1" customHeight="1">
      <c r="C8" s="105"/>
      <c r="D8" s="27"/>
      <c r="E8" s="27"/>
      <c r="F8" s="27"/>
      <c r="G8" s="27"/>
      <c r="H8" s="27"/>
      <c r="I8" s="27"/>
      <c r="K8" s="36"/>
      <c r="Q8" s="37"/>
      <c r="AA8" s="273"/>
    </row>
    <row r="9" spans="3:35">
      <c r="C9" s="105" t="str">
        <f>VLOOKUP(641,Sprachindex!$A:$Z,Erhebungsbogen!$Y$20,FALSE)</f>
        <v>Ort:</v>
      </c>
      <c r="D9" s="472">
        <f>Erhebungsbogen!F12</f>
        <v>0</v>
      </c>
      <c r="E9" s="472"/>
      <c r="F9" s="472"/>
      <c r="G9" s="472"/>
      <c r="H9" s="472"/>
      <c r="I9" s="472"/>
      <c r="K9" s="471"/>
      <c r="L9" s="472"/>
      <c r="M9" s="472"/>
      <c r="N9" s="472"/>
      <c r="O9" s="472"/>
      <c r="P9" s="472"/>
      <c r="Q9" s="473"/>
      <c r="S9" s="423" t="str">
        <f>VLOOKUP(1608,Sprachindex!$A:$Z,Erhebungsbogen!$Y$20,FALSE)</f>
        <v>Abdeckung</v>
      </c>
      <c r="T9" s="424"/>
      <c r="U9" s="424"/>
      <c r="V9" s="424"/>
      <c r="W9" s="424"/>
      <c r="X9" s="425"/>
      <c r="AA9" s="273">
        <v>1</v>
      </c>
      <c r="AB9" s="142" t="s">
        <v>22066</v>
      </c>
      <c r="AH9" s="49"/>
      <c r="AI9" s="49"/>
    </row>
    <row r="10" spans="3:35" ht="2.1" customHeight="1">
      <c r="C10" s="105"/>
      <c r="D10" s="27"/>
      <c r="E10" s="27"/>
      <c r="F10" s="27"/>
      <c r="G10" s="27"/>
      <c r="H10" s="27"/>
      <c r="I10" s="27"/>
      <c r="K10" s="36"/>
      <c r="Q10" s="37"/>
      <c r="S10" s="33"/>
      <c r="T10" s="35"/>
      <c r="U10" s="33"/>
      <c r="V10" s="35"/>
      <c r="W10" s="33"/>
      <c r="X10" s="35"/>
      <c r="AA10" s="273"/>
      <c r="AH10" s="49"/>
      <c r="AI10" s="49"/>
    </row>
    <row r="11" spans="3:35">
      <c r="C11" s="105" t="str">
        <f>VLOOKUP(901,Sprachindex!$A:$Z,Erhebungsbogen!$Y$20,FALSE)</f>
        <v>Telefon:</v>
      </c>
      <c r="D11" s="476">
        <f>Erhebungsbogen!F14</f>
        <v>0</v>
      </c>
      <c r="E11" s="476"/>
      <c r="F11" s="476"/>
      <c r="G11" s="476"/>
      <c r="H11" s="476"/>
      <c r="I11" s="476"/>
      <c r="K11" s="491" t="str">
        <f>VLOOKUP(2117,Sprachindex!$A:$Z,Erhebungsbogen!$Y$20,FALSE)</f>
        <v>Beschichtungsteile</v>
      </c>
      <c r="L11" s="492"/>
      <c r="M11" s="492"/>
      <c r="N11" s="492"/>
      <c r="O11" s="492"/>
      <c r="P11" s="492"/>
      <c r="Q11" s="493"/>
      <c r="S11" s="36"/>
      <c r="T11" s="37"/>
      <c r="U11" s="474" t="str">
        <f>VLOOKUP(1755,Sprachindex!$A:$Z,Erhebungsbogen!$Y$20,FALSE)</f>
        <v>Links</v>
      </c>
      <c r="V11" s="475"/>
      <c r="W11" s="474" t="str">
        <f>VLOOKUP(1792,Sprachindex!$A:$Z,Erhebungsbogen!$Y$20,FALSE)</f>
        <v>Rechts</v>
      </c>
      <c r="X11" s="475"/>
      <c r="AA11" s="273" t="b">
        <v>0</v>
      </c>
      <c r="AB11" s="142" t="s">
        <v>22067</v>
      </c>
      <c r="AH11" s="49"/>
      <c r="AI11" s="49"/>
    </row>
    <row r="12" spans="3:35" ht="2.1" customHeight="1">
      <c r="C12" s="105"/>
      <c r="D12" s="27"/>
      <c r="E12" s="27"/>
      <c r="F12" s="27"/>
      <c r="G12" s="27"/>
      <c r="H12" s="27"/>
      <c r="I12" s="27"/>
      <c r="K12" s="36"/>
      <c r="Q12" s="37"/>
      <c r="S12" s="43"/>
      <c r="T12" s="38"/>
      <c r="U12" s="43"/>
      <c r="V12" s="38"/>
      <c r="W12" s="43"/>
      <c r="X12" s="38"/>
      <c r="AA12" s="273"/>
    </row>
    <row r="13" spans="3:35">
      <c r="C13" s="105" t="str">
        <f>VLOOKUP(1698,Sprachindex!$A:$Z,Erhebungsbogen!$Y$20,FALSE)</f>
        <v>eMail:</v>
      </c>
      <c r="D13" s="472">
        <f>Erhebungsbogen!F16</f>
        <v>0</v>
      </c>
      <c r="E13" s="472"/>
      <c r="F13" s="472"/>
      <c r="G13" s="472"/>
      <c r="H13" s="472"/>
      <c r="I13" s="472"/>
      <c r="K13" s="494" t="str">
        <f>VLOOKUP(1608,Sprachindex!$A:$Z,Erhebungsbogen!$Y$20,FALSE)</f>
        <v>Abdeckung</v>
      </c>
      <c r="L13" s="494"/>
      <c r="M13" s="495"/>
      <c r="N13" s="498" t="str">
        <f>VLOOKUP(1659,Sprachindex!$A:$Z,Erhebungsbogen!$Y$20,FALSE) &amp; " (≤ 3 m)"</f>
        <v>Dammbalken (≤ 3 m)</v>
      </c>
      <c r="O13" s="494"/>
      <c r="P13" s="494"/>
      <c r="Q13" s="494"/>
      <c r="S13" s="110" t="str">
        <f>VLOOKUP(1742,Sprachindex!$A:$Z,Erhebungsbogen!$Y$20,FALSE)</f>
        <v>keine</v>
      </c>
      <c r="T13" s="329"/>
      <c r="U13" s="110"/>
      <c r="V13" s="329"/>
      <c r="W13" s="110"/>
      <c r="X13" s="329"/>
      <c r="AA13" s="273" t="b">
        <f>Erhebungsbogen!S39</f>
        <v>0</v>
      </c>
      <c r="AB13" s="142" t="s">
        <v>22068</v>
      </c>
      <c r="AH13" s="49"/>
      <c r="AI13" s="49"/>
    </row>
    <row r="14" spans="3:35" ht="2.1" customHeight="1">
      <c r="C14" s="105"/>
      <c r="D14" s="27"/>
      <c r="E14" s="27"/>
      <c r="F14" s="27"/>
      <c r="G14" s="27"/>
      <c r="H14" s="27"/>
      <c r="I14" s="27"/>
      <c r="K14" s="62"/>
      <c r="L14" s="63"/>
      <c r="M14" s="63"/>
      <c r="N14" s="63"/>
      <c r="O14" s="63"/>
      <c r="P14" s="103"/>
      <c r="Q14" s="64"/>
      <c r="S14" s="36"/>
      <c r="T14" s="37"/>
      <c r="U14" s="36"/>
      <c r="V14" s="37"/>
      <c r="W14" s="36"/>
      <c r="X14" s="37"/>
      <c r="AA14" s="273"/>
      <c r="AH14" s="49"/>
      <c r="AI14" s="49"/>
    </row>
    <row r="15" spans="3:35">
      <c r="C15" s="105" t="str">
        <f>VLOOKUP(203,Sprachindex!$A:$Z,Erhebungsbogen!$Y$20,FALSE)</f>
        <v>Bauvorhaben:</v>
      </c>
      <c r="D15" s="472">
        <f>Erhebungsbogen!F18</f>
        <v>0</v>
      </c>
      <c r="E15" s="472"/>
      <c r="F15" s="472"/>
      <c r="G15" s="472"/>
      <c r="H15" s="472"/>
      <c r="I15" s="472"/>
      <c r="K15" s="496" t="str">
        <f>VLOOKUP(1811,Sprachindex!$A:$Z,Erhebungsbogen!$Y$20,FALSE)</f>
        <v>Seitenteile</v>
      </c>
      <c r="L15" s="496"/>
      <c r="M15" s="497"/>
      <c r="N15" s="499" t="str">
        <f>VLOOKUP(1751,Sprachindex!$A:$Z,Erhebungsbogen!$Y$20,FALSE)</f>
        <v>Lagerabdeckung</v>
      </c>
      <c r="O15" s="496"/>
      <c r="P15" s="496"/>
      <c r="Q15" s="496"/>
      <c r="S15" s="110" t="str">
        <f>VLOOKUP(1715,Sprachindex!$A:$Z,Erhebungsbogen!$Y$20,FALSE)</f>
        <v>Gerade V</v>
      </c>
      <c r="T15" s="329"/>
      <c r="U15" s="110"/>
      <c r="V15" s="329"/>
      <c r="W15" s="110"/>
      <c r="X15" s="329"/>
      <c r="AA15" s="273" t="b">
        <f>Erhebungsbogen!S40</f>
        <v>0</v>
      </c>
      <c r="AB15" s="142" t="s">
        <v>22069</v>
      </c>
      <c r="AH15" s="49"/>
      <c r="AI15" s="49"/>
    </row>
    <row r="16" spans="3:35">
      <c r="C16" s="105" t="str">
        <f>VLOOKUP(660,Sprachindex!$A:$Z,Erhebungsbogen!$Y$20,FALSE)</f>
        <v>Pos.</v>
      </c>
      <c r="D16" s="472"/>
      <c r="E16" s="472"/>
      <c r="F16" s="472"/>
      <c r="G16" s="472"/>
      <c r="H16" s="472"/>
      <c r="I16" s="472"/>
      <c r="S16" s="327" t="str">
        <f>VLOOKUP(1022,Sprachindex!$A:$Z,Erhebungsbogen!$Y$20,FALSE) &amp; " VO"</f>
        <v>Winkel VO</v>
      </c>
      <c r="T16" s="328"/>
      <c r="U16" s="327"/>
      <c r="V16" s="328"/>
      <c r="W16" s="327"/>
      <c r="X16" s="328"/>
      <c r="AA16" s="273" t="b">
        <f>Erhebungsbogen!S41</f>
        <v>0</v>
      </c>
      <c r="AB16" s="142" t="s">
        <v>22070</v>
      </c>
      <c r="AG16" s="67"/>
      <c r="AH16" s="49"/>
      <c r="AI16" s="49"/>
    </row>
    <row r="17" spans="2:38">
      <c r="B17" s="423" t="str">
        <f>VLOOKUP(1768,Sprachindex!$A:$Z,Erhebungsbogen!$Y$20,FALSE)</f>
        <v>Montageart</v>
      </c>
      <c r="C17" s="424"/>
      <c r="D17" s="424"/>
      <c r="E17" s="424"/>
      <c r="F17" s="424"/>
      <c r="G17" s="424"/>
      <c r="H17" s="424"/>
      <c r="I17" s="425"/>
      <c r="K17" s="423" t="str">
        <f>VLOOKUP(1793,Sprachindex!$A:$Z,Erhebungsbogen!$Y$20,FALSE)</f>
        <v>Rundprofil</v>
      </c>
      <c r="L17" s="424"/>
      <c r="M17" s="424"/>
      <c r="N17" s="424"/>
      <c r="O17" s="424"/>
      <c r="P17" s="424"/>
      <c r="Q17" s="425"/>
      <c r="AA17" s="273">
        <v>1</v>
      </c>
      <c r="AB17" s="21" t="s">
        <v>22071</v>
      </c>
      <c r="AH17" s="49"/>
      <c r="AI17" s="68"/>
    </row>
    <row r="18" spans="2:38" ht="12.75" customHeight="1">
      <c r="B18" s="432" t="str">
        <f>VLOOKUP(1755,Sprachindex!$A:$Z,Erhebungsbogen!$Y$20,FALSE)</f>
        <v>Links</v>
      </c>
      <c r="C18" s="432"/>
      <c r="D18" s="432"/>
      <c r="E18" s="432"/>
      <c r="F18" s="432" t="str">
        <f>VLOOKUP(1792,Sprachindex!$A:$Z,Erhebungsbogen!$Y$20,FALSE)</f>
        <v>Rechts</v>
      </c>
      <c r="G18" s="432"/>
      <c r="H18" s="432"/>
      <c r="I18" s="432"/>
      <c r="K18" s="506" t="str">
        <f>VLOOKUP(1793,Sprachindex!$A:$Z,Erhebungsbogen!$Y$20,FALSE)</f>
        <v>Rundprofil</v>
      </c>
      <c r="L18" s="507"/>
      <c r="M18" s="507"/>
      <c r="N18" s="507"/>
      <c r="O18" s="35"/>
      <c r="P18" s="34"/>
      <c r="Q18" s="35"/>
      <c r="S18" s="423" t="str">
        <f>VLOOKUP(2119,Sprachindex!$A:$Z,Erhebungsbogen!$Y$20,FALSE)</f>
        <v>Systemwahl</v>
      </c>
      <c r="T18" s="424"/>
      <c r="U18" s="424"/>
      <c r="V18" s="424"/>
      <c r="W18" s="424"/>
      <c r="X18" s="425"/>
      <c r="AA18" s="322">
        <v>1</v>
      </c>
      <c r="AB18" s="323" t="s">
        <v>22639</v>
      </c>
      <c r="AC18" s="324"/>
      <c r="AD18" s="324"/>
      <c r="AE18" s="324"/>
      <c r="AF18" s="325">
        <v>1</v>
      </c>
      <c r="AG18" s="326" t="s">
        <v>22640</v>
      </c>
      <c r="AH18" s="49"/>
      <c r="AI18" s="49"/>
    </row>
    <row r="19" spans="2:38">
      <c r="B19" s="33"/>
      <c r="C19" s="34"/>
      <c r="D19" s="34"/>
      <c r="E19" s="35"/>
      <c r="F19" s="33"/>
      <c r="G19" s="34"/>
      <c r="H19" s="34"/>
      <c r="I19" s="35"/>
      <c r="K19" s="500" t="str">
        <f>VLOOKUP(1809,Sprachindex!$A:$Z,Erhebungsbogen!$Y$20,FALSE)</f>
        <v>Rundprofil Groß</v>
      </c>
      <c r="L19" s="501"/>
      <c r="M19" s="501"/>
      <c r="N19" s="501"/>
      <c r="O19" s="38"/>
      <c r="Q19" s="37"/>
      <c r="S19" s="432" t="str">
        <f>VLOOKUP(1844,Sprachindex!$A:$Z,Erhebungsbogen!$Y$20,FALSE)</f>
        <v>System 25:</v>
      </c>
      <c r="T19" s="432"/>
      <c r="U19" s="432" t="str">
        <f>VLOOKUP(1846,Sprachindex!$A:$Z,Erhebungsbogen!$Y$20,FALSE)</f>
        <v>System 50:</v>
      </c>
      <c r="V19" s="432"/>
      <c r="W19" s="432" t="str">
        <f>VLOOKUP(1847,Sprachindex!$A:$Z,Erhebungsbogen!$Y$20,FALSE)</f>
        <v>System 80:</v>
      </c>
      <c r="X19" s="432"/>
      <c r="AA19" s="273">
        <v>3</v>
      </c>
      <c r="AB19" s="21" t="s">
        <v>22072</v>
      </c>
    </row>
    <row r="20" spans="2:38">
      <c r="B20" s="36"/>
      <c r="E20" s="37"/>
      <c r="F20" s="36"/>
      <c r="I20" s="37"/>
      <c r="K20" s="467" t="str">
        <f>VLOOKUP(1808,Sprachindex!$A:$Z,Erhebungsbogen!$Y$20,FALSE)</f>
        <v>Rundprofil 90°</v>
      </c>
      <c r="L20" s="468"/>
      <c r="M20" s="468"/>
      <c r="N20" s="469"/>
      <c r="O20" s="279"/>
      <c r="Q20" s="37"/>
      <c r="S20" s="460" t="s">
        <v>21826</v>
      </c>
      <c r="T20" s="460"/>
      <c r="U20" s="460" t="s">
        <v>21828</v>
      </c>
      <c r="V20" s="460"/>
      <c r="W20" s="460" t="s">
        <v>21826</v>
      </c>
      <c r="X20" s="460"/>
      <c r="AA20" s="273">
        <v>1</v>
      </c>
      <c r="AB20" s="21" t="s">
        <v>22073</v>
      </c>
    </row>
    <row r="21" spans="2:38">
      <c r="B21" s="36"/>
      <c r="E21" s="37"/>
      <c r="F21" s="36"/>
      <c r="I21" s="37"/>
      <c r="K21" s="464" t="str">
        <f>VLOOKUP(1810,Sprachindex!$A:$Z,Erhebungsbogen!$Y$20,FALSE)</f>
        <v>Rundprofil Vario</v>
      </c>
      <c r="L21" s="465"/>
      <c r="M21" s="466"/>
      <c r="N21" s="281"/>
      <c r="O21" s="277"/>
      <c r="P21" s="39"/>
      <c r="Q21" s="38"/>
      <c r="S21" s="460" t="s">
        <v>21827</v>
      </c>
      <c r="T21" s="460"/>
      <c r="U21" s="460" t="s">
        <v>21829</v>
      </c>
      <c r="V21" s="460"/>
      <c r="W21" s="460" t="s">
        <v>21830</v>
      </c>
      <c r="X21" s="460"/>
      <c r="AA21" s="273" t="b">
        <v>0</v>
      </c>
      <c r="AB21" s="21" t="s">
        <v>22074</v>
      </c>
      <c r="AG21" s="42" t="s">
        <v>21831</v>
      </c>
    </row>
    <row r="22" spans="2:38">
      <c r="B22" s="43"/>
      <c r="C22" s="39"/>
      <c r="D22" s="39"/>
      <c r="E22" s="38"/>
      <c r="F22" s="36"/>
      <c r="I22" s="37"/>
      <c r="AA22" s="273" t="b">
        <v>0</v>
      </c>
      <c r="AB22" s="21" t="s">
        <v>22075</v>
      </c>
      <c r="AG22" s="44" t="str">
        <f>IF(AA19=1,"","15°")</f>
        <v>15°</v>
      </c>
    </row>
    <row r="23" spans="2:38">
      <c r="B23" s="338" t="str">
        <f>VLOOKUP(1867,Sprachindex!$A:$Z,Erhebungsbogen!$Y$20,FALSE)</f>
        <v>Vor der Leibung</v>
      </c>
      <c r="C23" s="34"/>
      <c r="D23" s="34"/>
      <c r="E23" s="35"/>
      <c r="F23" s="339" t="str">
        <f>VLOOKUP(1867,Sprachindex!$A:$Z,Erhebungsbogen!$Y$20,FALSE)</f>
        <v>Vor der Leibung</v>
      </c>
      <c r="I23" s="37"/>
      <c r="K23" s="423" t="str">
        <f>VLOOKUP(1815,Sprachindex!$A:$Z,Erhebungsbogen!$Y$20,FALSE)</f>
        <v>Sonderkosten</v>
      </c>
      <c r="L23" s="424"/>
      <c r="M23" s="424"/>
      <c r="N23" s="424"/>
      <c r="O23" s="424"/>
      <c r="P23" s="424"/>
      <c r="Q23" s="424"/>
      <c r="R23" s="424"/>
      <c r="S23" s="424"/>
      <c r="T23" s="424"/>
      <c r="U23" s="424"/>
      <c r="V23" s="424"/>
      <c r="W23" s="424"/>
      <c r="X23" s="425"/>
      <c r="AA23" s="273" t="b">
        <v>0</v>
      </c>
      <c r="AB23" s="21" t="s">
        <v>22076</v>
      </c>
      <c r="AG23" s="44" t="str">
        <f>IF(AA19=1,"","30°")</f>
        <v>30°</v>
      </c>
    </row>
    <row r="24" spans="2:38">
      <c r="B24" s="102" t="str">
        <f>VLOOKUP(1739,Sprachindex!$A:$Z,Erhebungsbogen!$Y$20,FALSE)</f>
        <v>In der Leibung</v>
      </c>
      <c r="C24" s="45"/>
      <c r="D24" s="45"/>
      <c r="E24" s="46"/>
      <c r="F24" s="99" t="str">
        <f>VLOOKUP(1739,Sprachindex!$A:$Z,Erhebungsbogen!$Y$20,FALSE)</f>
        <v>In der Leibung</v>
      </c>
      <c r="G24" s="45"/>
      <c r="H24" s="45"/>
      <c r="I24" s="46"/>
      <c r="K24" s="462" t="str">
        <f>VLOOKUP(2259,Sprachindex!$A:$Z,Erhebungsbogen!$Y$20,FALSE)</f>
        <v>Ausfräsungen Dammbalken</v>
      </c>
      <c r="L24" s="463"/>
      <c r="M24" s="463"/>
      <c r="N24" s="463"/>
      <c r="O24" s="463"/>
      <c r="P24" s="109" t="s">
        <v>20872</v>
      </c>
      <c r="Q24" s="274"/>
      <c r="R24" s="462" t="str">
        <f>VLOOKUP(1629,Sprachindex!$A:$Z,Erhebungsbogen!$Y$20,FALSE)</f>
        <v>Ausfräsung Seitenteile für DB</v>
      </c>
      <c r="S24" s="463"/>
      <c r="T24" s="463"/>
      <c r="U24" s="463"/>
      <c r="V24" s="463"/>
      <c r="W24" s="109" t="s">
        <v>20872</v>
      </c>
      <c r="X24" s="276"/>
      <c r="AA24" s="273" t="b">
        <v>0</v>
      </c>
      <c r="AB24" s="21" t="s">
        <v>22077</v>
      </c>
      <c r="AG24" s="32" t="str">
        <f>IF(AA19=1,"","45°")</f>
        <v>45°</v>
      </c>
    </row>
    <row r="25" spans="2:38">
      <c r="B25" s="101" t="str">
        <f>VLOOKUP(1658,Sprachindex!$A:$Z,Erhebungsbogen!$Y$20,FALSE)</f>
        <v>Bündig</v>
      </c>
      <c r="C25" s="39"/>
      <c r="D25" s="39"/>
      <c r="E25" s="38"/>
      <c r="F25" s="100" t="str">
        <f>VLOOKUP(1658,Sprachindex!$A:$Z,Erhebungsbogen!$Y$20,FALSE)</f>
        <v>Bündig</v>
      </c>
      <c r="G25" s="39"/>
      <c r="H25" s="39"/>
      <c r="I25" s="38"/>
      <c r="K25" s="434" t="str">
        <f>VLOOKUP(1753,Sprachindex!$A:$Z,Erhebungsbogen!$Y$20,FALSE)</f>
        <v>Längenänderung Seitenteile</v>
      </c>
      <c r="L25" s="435"/>
      <c r="M25" s="435"/>
      <c r="N25" s="435"/>
      <c r="O25" s="435"/>
      <c r="P25" s="108" t="s">
        <v>20872</v>
      </c>
      <c r="Q25" s="275"/>
      <c r="R25" s="434" t="str">
        <f>VLOOKUP(1627,Sprachindex!$A:$Z,Erhebungsbogen!$Y$20,FALSE)</f>
        <v>Aufpreis Planungsstunde</v>
      </c>
      <c r="S25" s="435"/>
      <c r="T25" s="435"/>
      <c r="U25" s="435"/>
      <c r="V25" s="435"/>
      <c r="W25" s="108" t="s">
        <v>20848</v>
      </c>
      <c r="X25" s="277"/>
      <c r="AA25" s="273" t="b">
        <v>0</v>
      </c>
      <c r="AB25" s="21" t="s">
        <v>21834</v>
      </c>
      <c r="AG25" s="32" t="str">
        <f>IF(AA19=1,"","60°")</f>
        <v>60°</v>
      </c>
    </row>
    <row r="26" spans="2:38">
      <c r="AA26" s="273" t="b">
        <v>0</v>
      </c>
      <c r="AB26" s="21" t="s">
        <v>21835</v>
      </c>
      <c r="AG26" s="32" t="str">
        <f>IF(OR(AA19=2,AA19=3),"75°","")</f>
        <v>75°</v>
      </c>
      <c r="AI26" s="95">
        <f>26+$AA$7</f>
        <v>27</v>
      </c>
      <c r="AJ26" s="95"/>
      <c r="AK26" s="95"/>
      <c r="AL26" s="95"/>
    </row>
    <row r="27" spans="2:38">
      <c r="B27" s="423" t="str">
        <f>VLOOKUP(1671,Sprachindex!$A:$Z,Erhebungsbogen!$Y$20,FALSE)</f>
        <v>Dateneingabe</v>
      </c>
      <c r="C27" s="424"/>
      <c r="D27" s="424"/>
      <c r="E27" s="424"/>
      <c r="F27" s="424"/>
      <c r="G27" s="424"/>
      <c r="H27" s="424"/>
      <c r="I27" s="425"/>
      <c r="K27" s="423" t="str">
        <f>VLOOKUP(1872,Sprachindex!$A:$Z,Erhebungsbogen!$Y$20,FALSE)</f>
        <v>Zubehör</v>
      </c>
      <c r="L27" s="424"/>
      <c r="M27" s="424"/>
      <c r="N27" s="424"/>
      <c r="O27" s="424"/>
      <c r="P27" s="424"/>
      <c r="Q27" s="425"/>
      <c r="AA27" s="273" t="b">
        <f>IF(AND(AA37=1,H28&gt;0,H29&gt;0),TRUE,FALSE)</f>
        <v>0</v>
      </c>
      <c r="AB27" s="142" t="s">
        <v>20650</v>
      </c>
    </row>
    <row r="28" spans="2:38">
      <c r="B28" s="482" t="str">
        <f>VLOOKUP(1754,Sprachindex!$A:$Z,Erhebungsbogen!$Y$20,FALSE)</f>
        <v>Lichteweite [mm]:</v>
      </c>
      <c r="C28" s="483"/>
      <c r="D28" s="483"/>
      <c r="E28" s="483"/>
      <c r="F28" s="483"/>
      <c r="G28" s="484"/>
      <c r="H28" s="449"/>
      <c r="I28" s="450"/>
      <c r="K28" s="462" t="str">
        <f>VLOOKUP(1814,Sprachindex!$A:$Z,Erhebungsbogen!$Y$20,FALSE)</f>
        <v>Sicherungsschraube für Abdeckung</v>
      </c>
      <c r="L28" s="463"/>
      <c r="M28" s="463"/>
      <c r="N28" s="463"/>
      <c r="O28" s="463"/>
      <c r="P28" s="504"/>
      <c r="Q28" s="505"/>
      <c r="S28" s="444" t="s">
        <v>22591</v>
      </c>
      <c r="T28" s="444"/>
      <c r="U28" s="444"/>
      <c r="V28" s="444"/>
      <c r="W28" s="444"/>
      <c r="X28" s="444"/>
      <c r="Z28" s="319" t="e">
        <f>IF(AND(W29&lt;100%,W31&lt;100%,X30&gt;=Haftungsausschluß!L34),1,0)</f>
        <v>#DIV/0!</v>
      </c>
      <c r="AA28" s="273" t="b">
        <f>IF(AND(AA37=2,H28&gt;0,H29&gt;0),TRUE,FALSE)</f>
        <v>0</v>
      </c>
      <c r="AB28" s="142" t="s">
        <v>20623</v>
      </c>
    </row>
    <row r="29" spans="2:38">
      <c r="B29" s="452" t="str">
        <f>VLOOKUP(1834,Sprachindex!$A:$Z,Erhebungsbogen!$Y$20,FALSE)</f>
        <v>Stauhöhe (BHW) [mm]:</v>
      </c>
      <c r="C29" s="453"/>
      <c r="D29" s="453"/>
      <c r="E29" s="453"/>
      <c r="F29" s="453"/>
      <c r="G29" s="454"/>
      <c r="H29" s="485"/>
      <c r="I29" s="486"/>
      <c r="K29" s="421" t="str">
        <f>VLOOKUP(2120,Sprachindex!$A:$Z,Erhebungsbogen!$Y$20,FALSE)</f>
        <v>Niederhalter Dammbalken</v>
      </c>
      <c r="L29" s="422"/>
      <c r="M29" s="422"/>
      <c r="N29" s="422"/>
      <c r="O29" s="422"/>
      <c r="P29" s="106" t="s">
        <v>20872</v>
      </c>
      <c r="Q29" s="278"/>
      <c r="S29" s="432" t="str">
        <f>VLOOKUP(1853,Sprachindex!$A:$Z,Erhebungsbogen!$Y$20,FALSE)</f>
        <v>Tragsicherheitsauslastung</v>
      </c>
      <c r="T29" s="432"/>
      <c r="U29" s="432"/>
      <c r="V29" s="432"/>
      <c r="W29" s="443" t="e">
        <f>Kalk2_Eingabe!I54</f>
        <v>#DIV/0!</v>
      </c>
      <c r="X29" s="443"/>
      <c r="AA29" s="273" t="b">
        <f>Erhebungsbogen!S43</f>
        <v>0</v>
      </c>
      <c r="AB29" s="142" t="s">
        <v>21822</v>
      </c>
    </row>
    <row r="30" spans="2:38">
      <c r="B30" s="317"/>
      <c r="C30" s="45"/>
      <c r="D30" s="45"/>
      <c r="E30" s="45"/>
      <c r="F30" s="45"/>
      <c r="G30" s="45"/>
      <c r="H30" s="318"/>
      <c r="I30" s="46"/>
      <c r="K30" s="421" t="str">
        <f>VLOOKUP(1819,Sprachindex!$A:$Z,Erhebungsbogen!$Y$20,FALSE)</f>
        <v>Spannstück mit Sterngriff</v>
      </c>
      <c r="L30" s="422"/>
      <c r="M30" s="422"/>
      <c r="N30" s="422"/>
      <c r="O30" s="422"/>
      <c r="P30" s="446"/>
      <c r="Q30" s="451"/>
      <c r="S30" s="427" t="str">
        <f>VLOOKUP(1688,Sprachindex!$A:$Z,Erhebungsbogen!$Y$20,FALSE)</f>
        <v>Durchbiegung</v>
      </c>
      <c r="T30" s="427"/>
      <c r="U30" s="427"/>
      <c r="V30" s="427"/>
      <c r="W30" s="251" t="s">
        <v>22590</v>
      </c>
      <c r="X30" s="252">
        <f>Kalk2_Eingabe!J55</f>
        <v>176753777.77777779</v>
      </c>
      <c r="AA30" s="273" t="b">
        <f>Erhebungsbogen!S44</f>
        <v>0</v>
      </c>
      <c r="AB30" s="142" t="s">
        <v>21836</v>
      </c>
    </row>
    <row r="31" spans="2:38">
      <c r="B31" s="452" t="str">
        <f>VLOOKUP(1714,Sprachindex!$A:$Z,Erhebungsbogen!$Y$20,FALSE)</f>
        <v>Freibord [mm]:</v>
      </c>
      <c r="C31" s="453"/>
      <c r="D31" s="453"/>
      <c r="E31" s="453"/>
      <c r="F31" s="453"/>
      <c r="G31" s="454"/>
      <c r="H31" s="485"/>
      <c r="I31" s="486"/>
      <c r="K31" s="421" t="str">
        <f>VLOOKUP(1817,Sprachindex!$A:$Z,Erhebungsbogen!$Y$20,FALSE)</f>
        <v>Spannstück mit 6-Kantschraube</v>
      </c>
      <c r="L31" s="422"/>
      <c r="M31" s="422"/>
      <c r="N31" s="422"/>
      <c r="O31" s="422"/>
      <c r="P31" s="422"/>
      <c r="Q31" s="451"/>
      <c r="S31" s="427" t="str">
        <f>VLOOKUP(1761,Sprachindex!$A:$Z,Erhebungsbogen!$Y$20,FALSE)</f>
        <v>mit Treibgut</v>
      </c>
      <c r="T31" s="427"/>
      <c r="U31" s="427"/>
      <c r="V31" s="427"/>
      <c r="W31" s="443" t="e">
        <f>Kalk2_Eingabe!I56</f>
        <v>#DIV/0!</v>
      </c>
      <c r="X31" s="443"/>
      <c r="AA31" s="273" t="b">
        <f>Erhebungsbogen!S45</f>
        <v>0</v>
      </c>
      <c r="AB31" s="142" t="s">
        <v>19831</v>
      </c>
      <c r="AG31" s="27" t="s">
        <v>21837</v>
      </c>
      <c r="AH31" s="27"/>
      <c r="AI31" s="27"/>
      <c r="AJ31" s="27"/>
      <c r="AK31" s="27"/>
    </row>
    <row r="32" spans="2:38">
      <c r="B32" s="452" t="str">
        <f>VLOOKUP(1621,Sprachindex!$A:$Z,Erhebungsbogen!$Y$20,FALSE)</f>
        <v>Anströmwinkel [°]:</v>
      </c>
      <c r="C32" s="453"/>
      <c r="D32" s="453"/>
      <c r="E32" s="453"/>
      <c r="F32" s="453"/>
      <c r="G32" s="454"/>
      <c r="H32" s="485"/>
      <c r="I32" s="486"/>
      <c r="K32" s="421" t="str">
        <f>VLOOKUP(1675,Sprachindex!$A:$Z,Erhebungsbogen!$Y$20,FALSE)</f>
        <v>Dauerbodendichtung:</v>
      </c>
      <c r="L32" s="422"/>
      <c r="M32" s="422"/>
      <c r="N32" s="422"/>
      <c r="O32" s="422"/>
      <c r="P32" s="422"/>
      <c r="Q32" s="451"/>
      <c r="S32" s="27"/>
      <c r="T32" s="27"/>
      <c r="U32" s="27"/>
      <c r="V32" s="27"/>
      <c r="W32" s="27"/>
      <c r="X32" s="27"/>
      <c r="AA32" s="273" t="b">
        <f>IF(H33&gt;1,TRUE,FALSE)</f>
        <v>0</v>
      </c>
      <c r="AB32" s="21" t="s">
        <v>22064</v>
      </c>
      <c r="AG32" s="27" t="s">
        <v>21844</v>
      </c>
      <c r="AH32" s="27"/>
      <c r="AI32" s="27"/>
      <c r="AJ32" s="27"/>
      <c r="AK32" s="27"/>
    </row>
    <row r="33" spans="1:37">
      <c r="B33" s="455" t="str">
        <f>VLOOKUP(1623,Sprachindex!$A:$Z,Erhebungsbogen!$Y$20,FALSE)</f>
        <v>Anzahl der Felder:</v>
      </c>
      <c r="C33" s="456"/>
      <c r="D33" s="456"/>
      <c r="E33" s="456"/>
      <c r="F33" s="456"/>
      <c r="G33" s="457"/>
      <c r="H33" s="489">
        <v>1</v>
      </c>
      <c r="I33" s="490"/>
      <c r="K33" s="421" t="str">
        <f>VLOOKUP(1724,Sprachindex!$A:$Z,Erhebungsbogen!$Y$20,FALSE)</f>
        <v>Halterung für Dammbalken</v>
      </c>
      <c r="L33" s="422"/>
      <c r="M33" s="422"/>
      <c r="N33" s="422"/>
      <c r="O33" s="422"/>
      <c r="P33" s="422"/>
      <c r="Q33" s="451"/>
      <c r="S33" s="444" t="s">
        <v>22589</v>
      </c>
      <c r="T33" s="444"/>
      <c r="U33" s="444"/>
      <c r="V33" s="444"/>
      <c r="W33" s="444"/>
      <c r="X33" s="444"/>
      <c r="AA33" s="273" t="b">
        <v>0</v>
      </c>
      <c r="AB33" s="21" t="s">
        <v>19014</v>
      </c>
      <c r="AG33" s="27" t="s">
        <v>21843</v>
      </c>
      <c r="AH33" s="51">
        <f>H28</f>
        <v>0</v>
      </c>
      <c r="AI33" s="345" t="s">
        <v>25455</v>
      </c>
      <c r="AJ33" s="345" t="s">
        <v>25454</v>
      </c>
      <c r="AK33" s="345" t="s">
        <v>25453</v>
      </c>
    </row>
    <row r="34" spans="1:37">
      <c r="B34" s="479" t="str">
        <f>VLOOKUP(1702,Sprachindex!$A:$Z,Erhebungsbogen!$Y$20,FALSE)</f>
        <v>erf. Profilhöhe f. Spanner:</v>
      </c>
      <c r="C34" s="480"/>
      <c r="D34" s="480"/>
      <c r="E34" s="480"/>
      <c r="F34" s="480"/>
      <c r="G34" s="481"/>
      <c r="H34" s="487">
        <f>AH50</f>
        <v>120</v>
      </c>
      <c r="I34" s="488"/>
      <c r="K34" s="421" t="str">
        <f>VLOOKUP(1751,Sprachindex!$A:$Z,Erhebungsbogen!$Y$20,FALSE)</f>
        <v>Lagerabdeckung</v>
      </c>
      <c r="L34" s="422"/>
      <c r="M34" s="422"/>
      <c r="N34" s="422"/>
      <c r="O34" s="422"/>
      <c r="P34" s="461"/>
      <c r="Q34" s="451"/>
      <c r="S34" s="432" t="str">
        <f>VLOOKUP(1853,Sprachindex!$A:$Z,Erhebungsbogen!$Y$20,FALSE)</f>
        <v>Tragsicherheitsauslastung</v>
      </c>
      <c r="T34" s="432"/>
      <c r="U34" s="432"/>
      <c r="V34" s="432"/>
      <c r="W34" s="443" t="e">
        <f>Kalk2_Eingabe!I59</f>
        <v>#NUM!</v>
      </c>
      <c r="X34" s="443"/>
      <c r="Z34" s="319" t="e">
        <f>IF(AND(W34&lt;100%,W36&lt;100%,X35&gt;=Haftungsausschluß!L35),1,0)</f>
        <v>#NUM!</v>
      </c>
      <c r="AA34" s="273" t="b">
        <v>0</v>
      </c>
      <c r="AB34" s="21" t="s">
        <v>19027</v>
      </c>
      <c r="AG34" s="27" t="s">
        <v>21840</v>
      </c>
      <c r="AH34" s="51">
        <f>IF(AA7=1,AI34,IF(AA7=2,AJ34,IF(AA7=3,AK34)))</f>
        <v>39</v>
      </c>
      <c r="AI34" s="343">
        <f>IF(AA19=1,33.5,39)</f>
        <v>39</v>
      </c>
      <c r="AJ34" s="343">
        <f>IF(AA19=1,-21.5,-30)</f>
        <v>-30</v>
      </c>
      <c r="AK34" s="343">
        <f>IF(AA19=1,28.5,34)</f>
        <v>34</v>
      </c>
    </row>
    <row r="35" spans="1:37">
      <c r="H35" s="426">
        <f>IF(AA19=1,1,H33)</f>
        <v>1</v>
      </c>
      <c r="I35" s="426"/>
      <c r="K35" s="421" t="str">
        <f>VLOOKUP(1727,Sprachindex!$A:$Z,Erhebungsbogen!$Y$20,FALSE)</f>
        <v>Hebehilfe</v>
      </c>
      <c r="L35" s="422"/>
      <c r="M35" s="422"/>
      <c r="N35" s="422"/>
      <c r="O35" s="422"/>
      <c r="P35" s="106" t="s">
        <v>20872</v>
      </c>
      <c r="Q35" s="278">
        <v>1</v>
      </c>
      <c r="S35" s="427" t="str">
        <f>VLOOKUP(1688,Sprachindex!$A:$Z,Erhebungsbogen!$Y$20,FALSE)</f>
        <v>Durchbiegung</v>
      </c>
      <c r="T35" s="427"/>
      <c r="U35" s="427"/>
      <c r="V35" s="427"/>
      <c r="W35" s="251" t="s">
        <v>22590</v>
      </c>
      <c r="X35" s="252" t="e">
        <f>Kalk2_Eingabe!J60</f>
        <v>#DIV/0!</v>
      </c>
      <c r="AG35" s="27" t="s">
        <v>21841</v>
      </c>
      <c r="AH35" s="51">
        <f>IF(AA9=1,AI35,IF(AA9=2,AJ35,IF(AA9=3,AK35)))</f>
        <v>39</v>
      </c>
      <c r="AI35" s="343">
        <f>IF(AA19=1,33.5,39)</f>
        <v>39</v>
      </c>
      <c r="AJ35" s="343">
        <f>IF(AA19=1,-21.5,-30)</f>
        <v>-30</v>
      </c>
      <c r="AK35" s="343">
        <f>IF(AA19=1,28.5,34)</f>
        <v>34</v>
      </c>
    </row>
    <row r="36" spans="1:37" ht="12.75" customHeight="1">
      <c r="B36" s="423" t="str">
        <f>VLOOKUP(1771,Sprachindex!$A:$Z,Erhebungsbogen!$Y$20,FALSE)</f>
        <v>Multiplikator</v>
      </c>
      <c r="C36" s="424"/>
      <c r="D36" s="424"/>
      <c r="E36" s="424"/>
      <c r="F36" s="424"/>
      <c r="G36" s="424"/>
      <c r="H36" s="424"/>
      <c r="I36" s="425"/>
      <c r="K36" s="421" t="str">
        <f>VLOOKUP(1681,Sprachindex!$A:$Z,Erhebungsbogen!$Y$20,FALSE)</f>
        <v>Dichtungsroller 25/50</v>
      </c>
      <c r="L36" s="422"/>
      <c r="M36" s="422"/>
      <c r="N36" s="422"/>
      <c r="O36" s="422"/>
      <c r="P36" s="106" t="s">
        <v>20872</v>
      </c>
      <c r="Q36" s="278">
        <v>3</v>
      </c>
      <c r="S36" s="427" t="str">
        <f>VLOOKUP(1761,Sprachindex!$A:$Z,Erhebungsbogen!$Y$20,FALSE)</f>
        <v>mit Treibgut</v>
      </c>
      <c r="T36" s="427"/>
      <c r="U36" s="427"/>
      <c r="V36" s="427"/>
      <c r="W36" s="443" t="e">
        <f>Kalk2_Eingabe!I61</f>
        <v>#NUM!</v>
      </c>
      <c r="X36" s="443"/>
      <c r="AG36" s="27" t="s">
        <v>21842</v>
      </c>
      <c r="AH36" s="51">
        <f>(H33-1)*AI36</f>
        <v>0</v>
      </c>
      <c r="AI36" s="343">
        <v>-58</v>
      </c>
      <c r="AJ36" s="98"/>
      <c r="AK36" s="98"/>
    </row>
    <row r="37" spans="1:37">
      <c r="B37" s="432" t="str">
        <f>VLOOKUP(1624,Sprachindex!$A:$Z,Erhebungsbogen!$Y$20,FALSE)</f>
        <v>Anzahl der gleichen Systeme:</v>
      </c>
      <c r="C37" s="432"/>
      <c r="D37" s="432"/>
      <c r="E37" s="432"/>
      <c r="F37" s="432"/>
      <c r="G37" s="432"/>
      <c r="H37" s="502">
        <v>1</v>
      </c>
      <c r="I37" s="503"/>
      <c r="K37" s="434" t="str">
        <f>VLOOKUP(1682,Sprachindex!$A:$Z,Erhebungsbogen!$Y$20,FALSE)</f>
        <v>Dichtungsroller 80</v>
      </c>
      <c r="L37" s="435"/>
      <c r="M37" s="435"/>
      <c r="N37" s="435"/>
      <c r="O37" s="435"/>
      <c r="P37" s="107" t="s">
        <v>20872</v>
      </c>
      <c r="Q37" s="277">
        <v>4</v>
      </c>
      <c r="AA37" s="273">
        <v>1</v>
      </c>
      <c r="AB37" s="21" t="s">
        <v>22630</v>
      </c>
      <c r="AG37" s="27" t="s">
        <v>21846</v>
      </c>
      <c r="AH37" s="51">
        <f>IF(AND(H28&gt;0,H29&gt;0),AH33+AH34+AH35+AH36,0)</f>
        <v>0</v>
      </c>
      <c r="AI37" s="98"/>
      <c r="AJ37" s="98"/>
      <c r="AK37" s="98"/>
    </row>
    <row r="38" spans="1:37">
      <c r="S38" s="385" t="e">
        <f>IF(AND(W29&lt;100%,W31&lt;100%,X30&gt;=Haftungsausschluß!L34,IF(H33=1,TRUE,W34&lt;100%),IF(H33=1,TRUE,W36&lt;100%),IF(H33=1,TRUE,X35&gt;=Haftungsausschluß!L35)),"Gewünschte Eingabe                      statisch in Ordnung","Gewünschte Eingabe                      statisch nicht in Ordnung")</f>
        <v>#DIV/0!</v>
      </c>
      <c r="T38" s="385"/>
      <c r="U38" s="385"/>
      <c r="V38" s="385"/>
      <c r="W38" s="385"/>
      <c r="X38" s="385"/>
      <c r="AG38" s="27" t="s">
        <v>21845</v>
      </c>
      <c r="AH38" s="52">
        <f>AH37/H33</f>
        <v>0</v>
      </c>
      <c r="AI38" s="98" t="s">
        <v>21849</v>
      </c>
      <c r="AJ38" s="98"/>
      <c r="AK38" s="98"/>
    </row>
    <row r="39" spans="1:37">
      <c r="B39" s="439" t="str">
        <f>VLOOKUP(1667,Sprachindex!$A:$Z,Erhebungsbogen!$Y$20,FALSE) &amp; " [mm]"</f>
        <v>Dammbalkenlänge: [mm]</v>
      </c>
      <c r="C39" s="440"/>
      <c r="D39" s="440"/>
      <c r="E39" s="440"/>
      <c r="F39" s="440"/>
      <c r="G39" s="441"/>
      <c r="H39" s="437" t="str">
        <f>IF(AH38=0,"",AH38)</f>
        <v/>
      </c>
      <c r="I39" s="438"/>
      <c r="S39" s="385"/>
      <c r="T39" s="385"/>
      <c r="U39" s="385"/>
      <c r="V39" s="385"/>
      <c r="W39" s="385"/>
      <c r="X39" s="385"/>
      <c r="AG39" s="27" t="s">
        <v>21847</v>
      </c>
      <c r="AH39" s="51">
        <f>IF(AA19=2,150,200)</f>
        <v>200</v>
      </c>
      <c r="AI39" s="98"/>
      <c r="AJ39" s="98"/>
      <c r="AK39" s="98"/>
    </row>
    <row r="40" spans="1:37" ht="8.1" customHeight="1">
      <c r="AG40" s="27" t="s">
        <v>22115</v>
      </c>
      <c r="AH40" s="52">
        <f>ROUNDUP((AH47+AH48)/AH39,0)</f>
        <v>0</v>
      </c>
      <c r="AI40" s="98" t="s">
        <v>20872</v>
      </c>
      <c r="AJ40" s="98"/>
      <c r="AK40" s="98"/>
    </row>
    <row r="41" spans="1:37">
      <c r="H41" s="442" t="str">
        <f>H39</f>
        <v/>
      </c>
      <c r="I41" s="442"/>
      <c r="AG41" s="27" t="s">
        <v>21848</v>
      </c>
      <c r="AH41" s="52">
        <f>ROUNDUP(H29/AH39,0)*H33*H37</f>
        <v>0</v>
      </c>
      <c r="AI41" s="98" t="s">
        <v>20872</v>
      </c>
      <c r="AJ41" s="98"/>
      <c r="AK41" s="98"/>
    </row>
    <row r="42" spans="1:37">
      <c r="AG42" s="27" t="s">
        <v>21838</v>
      </c>
      <c r="AH42" s="51">
        <f>IF(AH41&gt;1,(AH38*AH41*2)/1000,0)</f>
        <v>0</v>
      </c>
      <c r="AI42" s="98" t="s">
        <v>17115</v>
      </c>
      <c r="AJ42" s="98"/>
      <c r="AK42" s="98"/>
    </row>
    <row r="43" spans="1:37" ht="12.75" customHeight="1">
      <c r="K43" s="27"/>
      <c r="T43" s="313" t="str">
        <f>VLOOKUP(1429,Sprachindex!$A:$Z,Erhebungsbogen!$Y$20,FALSE)</f>
        <v>Bearbeiter:</v>
      </c>
      <c r="U43" s="436">
        <f>Kalk1!U43</f>
        <v>0</v>
      </c>
      <c r="V43" s="436"/>
      <c r="W43" s="436"/>
      <c r="X43" s="436"/>
      <c r="AG43" s="27" t="s">
        <v>21838</v>
      </c>
      <c r="AH43" s="52">
        <f>ROUNDUP(AH42/25,0)</f>
        <v>0</v>
      </c>
      <c r="AI43" s="98" t="s">
        <v>21857</v>
      </c>
      <c r="AJ43" s="98"/>
      <c r="AK43" s="98"/>
    </row>
    <row r="44" spans="1:37">
      <c r="Z44" s="319" t="e">
        <f>IF(H33=1,IF(Z28=1,1,0),IF(H33&gt;1,IF(OR(Z28=0,Z34=0),0,1)))</f>
        <v>#DIV/0!</v>
      </c>
      <c r="AG44" s="27" t="s">
        <v>21839</v>
      </c>
      <c r="AH44" s="51">
        <f>(AH38*H33*H37)/1000</f>
        <v>0</v>
      </c>
      <c r="AI44" s="98" t="s">
        <v>17115</v>
      </c>
      <c r="AJ44" s="98"/>
      <c r="AK44" s="98"/>
    </row>
    <row r="45" spans="1:37">
      <c r="A45" s="428" t="s">
        <v>22603</v>
      </c>
      <c r="B45" s="428"/>
      <c r="C45" s="428"/>
      <c r="D45" s="428"/>
      <c r="E45" s="428"/>
      <c r="F45" s="429" t="str" cm="1">
        <f t="array" aca="1" ref="F45" ca="1">MID(CELL("Dateiname"),FIND("[",CELL("Dateiname"))+1,FIND("]",CELL("Dateiname"))-FIND("[",CELL("Dateiname"))-1)</f>
        <v>02110307_CH-de_Vorlage_Erhebungsbogen Hochwasserschutz_PREFA_2024-4.xlsx</v>
      </c>
      <c r="G45" s="429"/>
      <c r="H45" s="429"/>
      <c r="I45" s="429"/>
      <c r="J45" s="429"/>
      <c r="K45" s="429"/>
      <c r="L45" s="429"/>
      <c r="M45" s="429"/>
      <c r="N45" s="429"/>
      <c r="O45" s="429"/>
      <c r="P45" s="429"/>
      <c r="Q45" s="429"/>
      <c r="R45" s="429"/>
      <c r="S45" s="429"/>
      <c r="T45" s="429"/>
      <c r="U45" s="429"/>
      <c r="V45" s="430" t="s">
        <v>10443</v>
      </c>
      <c r="W45" s="430"/>
      <c r="X45" s="431">
        <f>Erhebungsbogen!W63</f>
        <v>45398</v>
      </c>
      <c r="Y45" s="429"/>
      <c r="AG45" s="27" t="s">
        <v>21839</v>
      </c>
      <c r="AH45" s="52">
        <f>ROUNDUP(AH44,0)</f>
        <v>0</v>
      </c>
      <c r="AI45" s="98" t="s">
        <v>21858</v>
      </c>
      <c r="AJ45" s="98"/>
      <c r="AK45" s="98"/>
    </row>
    <row r="46" spans="1:37" hidden="1">
      <c r="AG46" s="27" t="s">
        <v>21850</v>
      </c>
      <c r="AH46" s="27"/>
      <c r="AI46" s="27"/>
      <c r="AJ46" s="27"/>
      <c r="AK46" s="27"/>
    </row>
    <row r="47" spans="1:37" hidden="1">
      <c r="AG47" s="27" t="s">
        <v>21851</v>
      </c>
      <c r="AH47" s="51">
        <f>H29</f>
        <v>0</v>
      </c>
      <c r="AI47" s="27"/>
      <c r="AJ47" s="27"/>
      <c r="AK47" s="27"/>
    </row>
    <row r="48" spans="1:37" hidden="1">
      <c r="AG48" s="27" t="s">
        <v>21854</v>
      </c>
      <c r="AH48" s="51">
        <f>H31</f>
        <v>0</v>
      </c>
      <c r="AI48" s="27"/>
      <c r="AJ48" s="27"/>
      <c r="AK48" s="27"/>
    </row>
    <row r="49" spans="33:42" hidden="1">
      <c r="AG49" s="27" t="s">
        <v>21852</v>
      </c>
      <c r="AH49" s="51">
        <f>IF(AA19=4,150,120)</f>
        <v>120</v>
      </c>
      <c r="AI49" s="98" t="s">
        <v>21849</v>
      </c>
      <c r="AJ49" s="98"/>
      <c r="AK49" s="27"/>
    </row>
    <row r="50" spans="33:42" hidden="1">
      <c r="AG50" s="27" t="s">
        <v>21853</v>
      </c>
      <c r="AH50" s="51">
        <f>ROUNDUP((AH47+AH48)/AH39,0)*AH39+AH49</f>
        <v>120</v>
      </c>
      <c r="AI50" s="98" t="s">
        <v>21849</v>
      </c>
      <c r="AJ50" s="98"/>
      <c r="AK50" s="27"/>
    </row>
    <row r="51" spans="33:42" hidden="1">
      <c r="AG51" s="27" t="s">
        <v>21855</v>
      </c>
      <c r="AH51" s="52">
        <f>IF(H29&gt;0,IF(AND(AA19=1,AH50&gt;AJ53),0,AI51),0)</f>
        <v>0</v>
      </c>
      <c r="AI51" s="98">
        <f>IF(AH50&lt;=AJ52,AJ52,IF(AH50&lt;=AJ53,AJ53,IF(AH50&lt;=AJ54,AJ54,IF(AH50&lt;=AJ55,AJ55,0))))</f>
        <v>750</v>
      </c>
      <c r="AJ51" s="98"/>
      <c r="AK51" s="27"/>
    </row>
    <row r="52" spans="33:42" hidden="1">
      <c r="AG52" s="27" t="s">
        <v>21856</v>
      </c>
      <c r="AH52" s="52">
        <f>IF(OR(AND(AA19=1,AH50&gt;AJ53),AH50&gt;AJ55),AH50,0)</f>
        <v>0</v>
      </c>
      <c r="AI52" s="98"/>
      <c r="AJ52" s="98">
        <v>750</v>
      </c>
      <c r="AK52" s="27"/>
    </row>
    <row r="53" spans="33:42" hidden="1">
      <c r="AG53" s="27" t="s">
        <v>19519</v>
      </c>
      <c r="AH53" s="147">
        <f>(4+(H35-1)*4)*(MAX(AH51,AH52))*H37/1000</f>
        <v>0</v>
      </c>
      <c r="AI53" s="98" t="s">
        <v>17115</v>
      </c>
      <c r="AJ53" s="98">
        <v>1350</v>
      </c>
      <c r="AM53" s="68" t="s">
        <v>22585</v>
      </c>
      <c r="AN53" s="68" t="s">
        <v>22586</v>
      </c>
      <c r="AO53" s="68" t="s">
        <v>22587</v>
      </c>
      <c r="AP53" s="68" t="s">
        <v>22588</v>
      </c>
    </row>
    <row r="54" spans="33:42" hidden="1">
      <c r="AG54" s="27" t="s">
        <v>19519</v>
      </c>
      <c r="AH54" s="52">
        <f>ROUNDUP(AH53/10,0)</f>
        <v>0</v>
      </c>
      <c r="AI54" s="98" t="s">
        <v>21859</v>
      </c>
      <c r="AJ54" s="98">
        <v>1750</v>
      </c>
      <c r="AM54" s="68">
        <v>13</v>
      </c>
      <c r="AN54" s="68">
        <v>7</v>
      </c>
      <c r="AO54" s="68">
        <v>6</v>
      </c>
      <c r="AP54" s="68">
        <v>4</v>
      </c>
    </row>
    <row r="55" spans="33:42" hidden="1">
      <c r="AG55" s="27" t="s">
        <v>22584</v>
      </c>
      <c r="AH55" s="27">
        <f>IF(AA19=1,AM55,IF(AA19=2,AN55,IF(AA19=3,AO55,IF(AA19=4,AP55,0))))</f>
        <v>0</v>
      </c>
      <c r="AI55" s="98"/>
      <c r="AJ55" s="98">
        <v>2150</v>
      </c>
      <c r="AM55" s="21">
        <f>ROUNDUP(AH41/AM54,0)</f>
        <v>0</v>
      </c>
      <c r="AN55" s="21">
        <f>ROUNDUP(AH41/AN54,0)</f>
        <v>0</v>
      </c>
      <c r="AO55" s="21">
        <f>ROUNDUP(AH41/AO54,0)</f>
        <v>0</v>
      </c>
      <c r="AP55" s="21">
        <f>ROUNDUP(AH41/AP54,0)</f>
        <v>0</v>
      </c>
    </row>
    <row r="56" spans="33:42" hidden="1">
      <c r="AI56" s="95"/>
      <c r="AJ56" s="95"/>
    </row>
  </sheetData>
  <sheetProtection sheet="1" objects="1" selectLockedCells="1"/>
  <mergeCells count="94">
    <mergeCell ref="D7:I7"/>
    <mergeCell ref="D9:I9"/>
    <mergeCell ref="K9:Q9"/>
    <mergeCell ref="S9:X9"/>
    <mergeCell ref="D11:I11"/>
    <mergeCell ref="K11:Q11"/>
    <mergeCell ref="U11:V11"/>
    <mergeCell ref="W11:X11"/>
    <mergeCell ref="K4:Q4"/>
    <mergeCell ref="S4:X4"/>
    <mergeCell ref="D5:I5"/>
    <mergeCell ref="K5:M5"/>
    <mergeCell ref="N5:Q5"/>
    <mergeCell ref="S5:U5"/>
    <mergeCell ref="V5:X5"/>
    <mergeCell ref="S18:X18"/>
    <mergeCell ref="B18:E18"/>
    <mergeCell ref="F18:I18"/>
    <mergeCell ref="K18:N18"/>
    <mergeCell ref="K13:M13"/>
    <mergeCell ref="N13:Q13"/>
    <mergeCell ref="D15:I15"/>
    <mergeCell ref="K15:M15"/>
    <mergeCell ref="N15:Q15"/>
    <mergeCell ref="D13:I13"/>
    <mergeCell ref="D16:I16"/>
    <mergeCell ref="R25:V25"/>
    <mergeCell ref="K23:X23"/>
    <mergeCell ref="K19:N19"/>
    <mergeCell ref="S20:T20"/>
    <mergeCell ref="U20:V20"/>
    <mergeCell ref="W20:X20"/>
    <mergeCell ref="K20:N20"/>
    <mergeCell ref="S21:T21"/>
    <mergeCell ref="U21:V21"/>
    <mergeCell ref="W21:X21"/>
    <mergeCell ref="K21:M21"/>
    <mergeCell ref="K24:O24"/>
    <mergeCell ref="S19:T19"/>
    <mergeCell ref="U19:V19"/>
    <mergeCell ref="W19:X19"/>
    <mergeCell ref="R24:V24"/>
    <mergeCell ref="S33:X33"/>
    <mergeCell ref="S34:V34"/>
    <mergeCell ref="W34:X34"/>
    <mergeCell ref="B28:G28"/>
    <mergeCell ref="H28:I28"/>
    <mergeCell ref="K28:Q28"/>
    <mergeCell ref="S28:X28"/>
    <mergeCell ref="S29:V29"/>
    <mergeCell ref="W29:X29"/>
    <mergeCell ref="S30:V30"/>
    <mergeCell ref="S31:V31"/>
    <mergeCell ref="W31:X31"/>
    <mergeCell ref="B34:G34"/>
    <mergeCell ref="H34:I34"/>
    <mergeCell ref="K34:Q34"/>
    <mergeCell ref="K29:O29"/>
    <mergeCell ref="B27:I27"/>
    <mergeCell ref="K27:Q27"/>
    <mergeCell ref="K25:O25"/>
    <mergeCell ref="B17:I17"/>
    <mergeCell ref="K17:Q17"/>
    <mergeCell ref="B33:G33"/>
    <mergeCell ref="H33:I33"/>
    <mergeCell ref="K33:Q33"/>
    <mergeCell ref="B29:G29"/>
    <mergeCell ref="H29:I29"/>
    <mergeCell ref="K30:Q30"/>
    <mergeCell ref="B31:G31"/>
    <mergeCell ref="H31:I31"/>
    <mergeCell ref="K31:Q31"/>
    <mergeCell ref="B32:G32"/>
    <mergeCell ref="H32:I32"/>
    <mergeCell ref="K32:Q32"/>
    <mergeCell ref="H35:I35"/>
    <mergeCell ref="W36:X36"/>
    <mergeCell ref="S38:X39"/>
    <mergeCell ref="H37:I37"/>
    <mergeCell ref="B36:I36"/>
    <mergeCell ref="B37:G37"/>
    <mergeCell ref="S35:V35"/>
    <mergeCell ref="S36:V36"/>
    <mergeCell ref="B39:G39"/>
    <mergeCell ref="H39:I39"/>
    <mergeCell ref="K36:O36"/>
    <mergeCell ref="K37:O37"/>
    <mergeCell ref="K35:O35"/>
    <mergeCell ref="H41:I41"/>
    <mergeCell ref="A45:E45"/>
    <mergeCell ref="F45:U45"/>
    <mergeCell ref="V45:W45"/>
    <mergeCell ref="X45:Y45"/>
    <mergeCell ref="U43:X43"/>
  </mergeCells>
  <conditionalFormatting sqref="B33:I33">
    <cfRule type="expression" dxfId="570" priority="54">
      <formula>$AA$19=1</formula>
    </cfRule>
  </conditionalFormatting>
  <conditionalFormatting sqref="B34:I34">
    <cfRule type="expression" dxfId="569" priority="1374">
      <formula>$H$29&gt;0</formula>
    </cfRule>
  </conditionalFormatting>
  <conditionalFormatting sqref="D5:I5 H28:I29 H31:I32">
    <cfRule type="cellIs" dxfId="568" priority="73" operator="equal">
      <formula>0</formula>
    </cfRule>
  </conditionalFormatting>
  <conditionalFormatting sqref="D7:I7">
    <cfRule type="cellIs" dxfId="567" priority="72" operator="equal">
      <formula>0</formula>
    </cfRule>
  </conditionalFormatting>
  <conditionalFormatting sqref="D9:I9">
    <cfRule type="cellIs" dxfId="566" priority="71" operator="equal">
      <formula>0</formula>
    </cfRule>
  </conditionalFormatting>
  <conditionalFormatting sqref="D11:I11">
    <cfRule type="cellIs" dxfId="565" priority="70" operator="equal">
      <formula>0</formula>
    </cfRule>
  </conditionalFormatting>
  <conditionalFormatting sqref="D13:I13">
    <cfRule type="cellIs" dxfId="564" priority="69" operator="equal">
      <formula>0</formula>
    </cfRule>
  </conditionalFormatting>
  <conditionalFormatting sqref="D15:I16">
    <cfRule type="cellIs" dxfId="563" priority="42" operator="equal">
      <formula>0</formula>
    </cfRule>
  </conditionalFormatting>
  <conditionalFormatting sqref="H33:I33">
    <cfRule type="cellIs" dxfId="562" priority="60" operator="equal">
      <formula>OR(0,1)</formula>
    </cfRule>
  </conditionalFormatting>
  <conditionalFormatting sqref="K19:N19">
    <cfRule type="expression" dxfId="560" priority="55">
      <formula>OR($AA$19=1,$AA$19=2,$AA$19=3)</formula>
    </cfRule>
  </conditionalFormatting>
  <conditionalFormatting sqref="K20:N21">
    <cfRule type="expression" dxfId="559" priority="56">
      <formula>$AA$19=1</formula>
    </cfRule>
  </conditionalFormatting>
  <conditionalFormatting sqref="K7:Q9">
    <cfRule type="expression" dxfId="558" priority="53">
      <formula>$AA$5=1</formula>
    </cfRule>
  </conditionalFormatting>
  <conditionalFormatting sqref="K9:Q9">
    <cfRule type="cellIs" dxfId="557" priority="67" operator="equal">
      <formula>0</formula>
    </cfRule>
  </conditionalFormatting>
  <conditionalFormatting sqref="K17:Q18">
    <cfRule type="expression" dxfId="556" priority="35">
      <formula>$AA$19=1</formula>
    </cfRule>
  </conditionalFormatting>
  <conditionalFormatting sqref="O20 N21:O21">
    <cfRule type="cellIs" dxfId="555" priority="66" operator="equal">
      <formula>0</formula>
    </cfRule>
  </conditionalFormatting>
  <conditionalFormatting sqref="P24:Q24">
    <cfRule type="expression" dxfId="554" priority="48">
      <formula>$AA$21=FALSE</formula>
    </cfRule>
  </conditionalFormatting>
  <conditionalFormatting sqref="P25:Q25">
    <cfRule type="expression" dxfId="553" priority="47">
      <formula>$AA$22=FALSE</formula>
    </cfRule>
  </conditionalFormatting>
  <conditionalFormatting sqref="P29:Q29">
    <cfRule type="expression" dxfId="552" priority="52">
      <formula>$AA$26=FALSE</formula>
    </cfRule>
  </conditionalFormatting>
  <conditionalFormatting sqref="P35:Q35">
    <cfRule type="expression" dxfId="551" priority="51">
      <formula>$AA$32=FALSE</formula>
    </cfRule>
  </conditionalFormatting>
  <conditionalFormatting sqref="P36:Q36">
    <cfRule type="expression" dxfId="550" priority="50">
      <formula>$AA$33=FALSE</formula>
    </cfRule>
  </conditionalFormatting>
  <conditionalFormatting sqref="P37:Q37">
    <cfRule type="expression" dxfId="549" priority="49">
      <formula>$AA$34=FALSE</formula>
    </cfRule>
  </conditionalFormatting>
  <conditionalFormatting sqref="Q24:Q25 X24:X25">
    <cfRule type="cellIs" dxfId="548" priority="65" operator="equal">
      <formula>0</formula>
    </cfRule>
  </conditionalFormatting>
  <conditionalFormatting sqref="Q29 Q35:Q37">
    <cfRule type="cellIs" dxfId="547" priority="58" operator="equal">
      <formula>0</formula>
    </cfRule>
  </conditionalFormatting>
  <conditionalFormatting sqref="S4:X5">
    <cfRule type="expression" dxfId="546" priority="34">
      <formula>$AA$19=1</formula>
    </cfRule>
  </conditionalFormatting>
  <conditionalFormatting sqref="S31:X31">
    <cfRule type="expression" dxfId="545" priority="18">
      <formula>$H$32=0</formula>
    </cfRule>
  </conditionalFormatting>
  <conditionalFormatting sqref="S33:X36">
    <cfRule type="expression" dxfId="544" priority="10">
      <formula>$H$35&lt;2</formula>
    </cfRule>
  </conditionalFormatting>
  <conditionalFormatting sqref="S36:X36">
    <cfRule type="expression" dxfId="543" priority="14">
      <formula>$H$32=0</formula>
    </cfRule>
  </conditionalFormatting>
  <conditionalFormatting sqref="S38:X39">
    <cfRule type="expression" dxfId="542" priority="2">
      <formula>OR($H$28=0,$H$29=0)</formula>
    </cfRule>
    <cfRule type="expression" dxfId="541" priority="3">
      <formula>$Z$44=1</formula>
    </cfRule>
    <cfRule type="expression" dxfId="540" priority="4">
      <formula>$Z$44=0</formula>
    </cfRule>
  </conditionalFormatting>
  <conditionalFormatting sqref="U43">
    <cfRule type="containsBlanks" dxfId="539" priority="5">
      <formula>LEN(TRIM(U43))=0</formula>
    </cfRule>
  </conditionalFormatting>
  <conditionalFormatting sqref="W24:X24">
    <cfRule type="expression" dxfId="538" priority="46">
      <formula>$AA$23=FALSE</formula>
    </cfRule>
  </conditionalFormatting>
  <conditionalFormatting sqref="W25:X25">
    <cfRule type="expression" dxfId="537" priority="45">
      <formula>$AA$24=FALSE</formula>
    </cfRule>
  </conditionalFormatting>
  <conditionalFormatting sqref="W29:X29 W31:X31 W34:X34 W36:X36">
    <cfRule type="expression" dxfId="536" priority="1380">
      <formula>OR($H$28=0,$H$29=0)</formula>
    </cfRule>
    <cfRule type="cellIs" dxfId="535" priority="1381" operator="lessThan">
      <formula>1</formula>
    </cfRule>
    <cfRule type="cellIs" dxfId="534" priority="1382" operator="greaterThan">
      <formula>1</formula>
    </cfRule>
  </conditionalFormatting>
  <conditionalFormatting sqref="X30 X35">
    <cfRule type="expression" dxfId="533" priority="1392">
      <formula>OR($H$28=0,$H$29=0)</formula>
    </cfRule>
  </conditionalFormatting>
  <dataValidations disablePrompts="1" count="2">
    <dataValidation type="list" allowBlank="1" showInputMessage="1" showErrorMessage="1" sqref="N21" xr:uid="{908137EC-CBE8-43B8-A723-797E7DDD51AC}">
      <formula1>$AG$22:$AG$26</formula1>
    </dataValidation>
    <dataValidation type="whole" operator="greaterThan" allowBlank="1" showInputMessage="1" showErrorMessage="1" errorTitle="Falsche Eingabe" error="Bitte nur ganze Zahlen eingeben!" sqref="H37:I37" xr:uid="{C9C76FFD-D614-44F1-8963-16AA4BFF45AF}">
      <formula1>0</formula1>
    </dataValidation>
  </dataValidations>
  <pageMargins left="0.19685039370078741" right="0.19685039370078741" top="0.39370078740157483" bottom="0.19685039370078741"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9937" r:id="rId4" name="Group Box 1">
              <controlPr defaultSize="0" print="0" autoFill="0" autoPict="0">
                <anchor moveWithCells="1">
                  <from>
                    <xdr:col>1</xdr:col>
                    <xdr:colOff>0</xdr:colOff>
                    <xdr:row>22</xdr:row>
                    <xdr:rowOff>0</xdr:rowOff>
                  </from>
                  <to>
                    <xdr:col>5</xdr:col>
                    <xdr:colOff>0</xdr:colOff>
                    <xdr:row>25</xdr:row>
                    <xdr:rowOff>0</xdr:rowOff>
                  </to>
                </anchor>
              </controlPr>
            </control>
          </mc:Choice>
        </mc:AlternateContent>
        <mc:AlternateContent xmlns:mc="http://schemas.openxmlformats.org/markup-compatibility/2006">
          <mc:Choice Requires="x14">
            <control shapeId="39938" r:id="rId5" name="Group Box 2">
              <controlPr defaultSize="0" print="0" autoFill="0" autoPict="0">
                <anchor moveWithCells="1">
                  <from>
                    <xdr:col>5</xdr:col>
                    <xdr:colOff>0</xdr:colOff>
                    <xdr:row>22</xdr:row>
                    <xdr:rowOff>0</xdr:rowOff>
                  </from>
                  <to>
                    <xdr:col>9</xdr:col>
                    <xdr:colOff>0</xdr:colOff>
                    <xdr:row>25</xdr:row>
                    <xdr:rowOff>0</xdr:rowOff>
                  </to>
                </anchor>
              </controlPr>
            </control>
          </mc:Choice>
        </mc:AlternateContent>
        <mc:AlternateContent xmlns:mc="http://schemas.openxmlformats.org/markup-compatibility/2006">
          <mc:Choice Requires="x14">
            <control shapeId="39939" r:id="rId6" name="Option Button 3">
              <controlPr defaultSize="0" autoFill="0" autoLine="0" autoPict="0">
                <anchor moveWithCells="1" sizeWithCells="1">
                  <from>
                    <xdr:col>1</xdr:col>
                    <xdr:colOff>28575</xdr:colOff>
                    <xdr:row>22</xdr:row>
                    <xdr:rowOff>19050</xdr:rowOff>
                  </from>
                  <to>
                    <xdr:col>3</xdr:col>
                    <xdr:colOff>371475</xdr:colOff>
                    <xdr:row>23</xdr:row>
                    <xdr:rowOff>0</xdr:rowOff>
                  </to>
                </anchor>
              </controlPr>
            </control>
          </mc:Choice>
        </mc:AlternateContent>
        <mc:AlternateContent xmlns:mc="http://schemas.openxmlformats.org/markup-compatibility/2006">
          <mc:Choice Requires="x14">
            <control shapeId="39940" r:id="rId7" name="Option Button 4">
              <controlPr defaultSize="0" autoFill="0" autoLine="0" autoPict="0">
                <anchor moveWithCells="1" sizeWithCells="1">
                  <from>
                    <xdr:col>1</xdr:col>
                    <xdr:colOff>28575</xdr:colOff>
                    <xdr:row>23</xdr:row>
                    <xdr:rowOff>19050</xdr:rowOff>
                  </from>
                  <to>
                    <xdr:col>3</xdr:col>
                    <xdr:colOff>371475</xdr:colOff>
                    <xdr:row>23</xdr:row>
                    <xdr:rowOff>152400</xdr:rowOff>
                  </to>
                </anchor>
              </controlPr>
            </control>
          </mc:Choice>
        </mc:AlternateContent>
        <mc:AlternateContent xmlns:mc="http://schemas.openxmlformats.org/markup-compatibility/2006">
          <mc:Choice Requires="x14">
            <control shapeId="39941" r:id="rId8" name="Option Button 5">
              <controlPr defaultSize="0" autoFill="0" autoLine="0" autoPict="0">
                <anchor moveWithCells="1" sizeWithCells="1">
                  <from>
                    <xdr:col>1</xdr:col>
                    <xdr:colOff>28575</xdr:colOff>
                    <xdr:row>24</xdr:row>
                    <xdr:rowOff>19050</xdr:rowOff>
                  </from>
                  <to>
                    <xdr:col>3</xdr:col>
                    <xdr:colOff>371475</xdr:colOff>
                    <xdr:row>24</xdr:row>
                    <xdr:rowOff>142875</xdr:rowOff>
                  </to>
                </anchor>
              </controlPr>
            </control>
          </mc:Choice>
        </mc:AlternateContent>
        <mc:AlternateContent xmlns:mc="http://schemas.openxmlformats.org/markup-compatibility/2006">
          <mc:Choice Requires="x14">
            <control shapeId="39942" r:id="rId9" name="Option Button 6">
              <controlPr defaultSize="0" autoFill="0" autoLine="0" autoPict="0">
                <anchor moveWithCells="1" sizeWithCells="1">
                  <from>
                    <xdr:col>5</xdr:col>
                    <xdr:colOff>28575</xdr:colOff>
                    <xdr:row>22</xdr:row>
                    <xdr:rowOff>28575</xdr:rowOff>
                  </from>
                  <to>
                    <xdr:col>7</xdr:col>
                    <xdr:colOff>371475</xdr:colOff>
                    <xdr:row>23</xdr:row>
                    <xdr:rowOff>0</xdr:rowOff>
                  </to>
                </anchor>
              </controlPr>
            </control>
          </mc:Choice>
        </mc:AlternateContent>
        <mc:AlternateContent xmlns:mc="http://schemas.openxmlformats.org/markup-compatibility/2006">
          <mc:Choice Requires="x14">
            <control shapeId="39943" r:id="rId10" name="Option Button 7">
              <controlPr defaultSize="0" autoFill="0" autoLine="0" autoPict="0">
                <anchor moveWithCells="1" sizeWithCells="1">
                  <from>
                    <xdr:col>5</xdr:col>
                    <xdr:colOff>28575</xdr:colOff>
                    <xdr:row>23</xdr:row>
                    <xdr:rowOff>19050</xdr:rowOff>
                  </from>
                  <to>
                    <xdr:col>7</xdr:col>
                    <xdr:colOff>371475</xdr:colOff>
                    <xdr:row>23</xdr:row>
                    <xdr:rowOff>152400</xdr:rowOff>
                  </to>
                </anchor>
              </controlPr>
            </control>
          </mc:Choice>
        </mc:AlternateContent>
        <mc:AlternateContent xmlns:mc="http://schemas.openxmlformats.org/markup-compatibility/2006">
          <mc:Choice Requires="x14">
            <control shapeId="39944" r:id="rId11" name="Option Button 8">
              <controlPr defaultSize="0" autoFill="0" autoLine="0" autoPict="0">
                <anchor moveWithCells="1" sizeWithCells="1">
                  <from>
                    <xdr:col>5</xdr:col>
                    <xdr:colOff>28575</xdr:colOff>
                    <xdr:row>24</xdr:row>
                    <xdr:rowOff>19050</xdr:rowOff>
                  </from>
                  <to>
                    <xdr:col>7</xdr:col>
                    <xdr:colOff>371475</xdr:colOff>
                    <xdr:row>24</xdr:row>
                    <xdr:rowOff>142875</xdr:rowOff>
                  </to>
                </anchor>
              </controlPr>
            </control>
          </mc:Choice>
        </mc:AlternateContent>
        <mc:AlternateContent xmlns:mc="http://schemas.openxmlformats.org/markup-compatibility/2006">
          <mc:Choice Requires="x14">
            <control shapeId="39945" r:id="rId12" name="Group Box 9">
              <controlPr defaultSize="0" print="0" autoFill="0" autoPict="0">
                <anchor moveWithCells="1">
                  <from>
                    <xdr:col>10</xdr:col>
                    <xdr:colOff>0</xdr:colOff>
                    <xdr:row>4</xdr:row>
                    <xdr:rowOff>0</xdr:rowOff>
                  </from>
                  <to>
                    <xdr:col>17</xdr:col>
                    <xdr:colOff>0</xdr:colOff>
                    <xdr:row>5</xdr:row>
                    <xdr:rowOff>0</xdr:rowOff>
                  </to>
                </anchor>
              </controlPr>
            </control>
          </mc:Choice>
        </mc:AlternateContent>
        <mc:AlternateContent xmlns:mc="http://schemas.openxmlformats.org/markup-compatibility/2006">
          <mc:Choice Requires="x14">
            <control shapeId="39946" r:id="rId13" name="Option Button 10">
              <controlPr defaultSize="0" autoFill="0" autoLine="0" autoPict="0">
                <anchor moveWithCells="1">
                  <from>
                    <xdr:col>10</xdr:col>
                    <xdr:colOff>9525</xdr:colOff>
                    <xdr:row>4</xdr:row>
                    <xdr:rowOff>19050</xdr:rowOff>
                  </from>
                  <to>
                    <xdr:col>13</xdr:col>
                    <xdr:colOff>0</xdr:colOff>
                    <xdr:row>4</xdr:row>
                    <xdr:rowOff>152400</xdr:rowOff>
                  </to>
                </anchor>
              </controlPr>
            </control>
          </mc:Choice>
        </mc:AlternateContent>
        <mc:AlternateContent xmlns:mc="http://schemas.openxmlformats.org/markup-compatibility/2006">
          <mc:Choice Requires="x14">
            <control shapeId="39947" r:id="rId14" name="Option Button 11">
              <controlPr defaultSize="0" autoFill="0" autoLine="0" autoPict="0">
                <anchor moveWithCells="1">
                  <from>
                    <xdr:col>13</xdr:col>
                    <xdr:colOff>9525</xdr:colOff>
                    <xdr:row>4</xdr:row>
                    <xdr:rowOff>19050</xdr:rowOff>
                  </from>
                  <to>
                    <xdr:col>15</xdr:col>
                    <xdr:colOff>371475</xdr:colOff>
                    <xdr:row>4</xdr:row>
                    <xdr:rowOff>142875</xdr:rowOff>
                  </to>
                </anchor>
              </controlPr>
            </control>
          </mc:Choice>
        </mc:AlternateContent>
        <mc:AlternateContent xmlns:mc="http://schemas.openxmlformats.org/markup-compatibility/2006">
          <mc:Choice Requires="x14">
            <control shapeId="39948" r:id="rId15" name="Check Box 12">
              <controlPr defaultSize="0" autoFill="0" autoLine="0" autoPict="0">
                <anchor moveWithCells="1">
                  <from>
                    <xdr:col>10</xdr:col>
                    <xdr:colOff>0</xdr:colOff>
                    <xdr:row>12</xdr:row>
                    <xdr:rowOff>0</xdr:rowOff>
                  </from>
                  <to>
                    <xdr:col>13</xdr:col>
                    <xdr:colOff>0</xdr:colOff>
                    <xdr:row>14</xdr:row>
                    <xdr:rowOff>0</xdr:rowOff>
                  </to>
                </anchor>
              </controlPr>
            </control>
          </mc:Choice>
        </mc:AlternateContent>
        <mc:AlternateContent xmlns:mc="http://schemas.openxmlformats.org/markup-compatibility/2006">
          <mc:Choice Requires="x14">
            <control shapeId="39949" r:id="rId16" name="Check Box 13">
              <controlPr defaultSize="0" autoFill="0" autoLine="0" autoPict="0">
                <anchor moveWithCells="1" sizeWithCells="1">
                  <from>
                    <xdr:col>10</xdr:col>
                    <xdr:colOff>0</xdr:colOff>
                    <xdr:row>14</xdr:row>
                    <xdr:rowOff>0</xdr:rowOff>
                  </from>
                  <to>
                    <xdr:col>13</xdr:col>
                    <xdr:colOff>0</xdr:colOff>
                    <xdr:row>14</xdr:row>
                    <xdr:rowOff>180975</xdr:rowOff>
                  </to>
                </anchor>
              </controlPr>
            </control>
          </mc:Choice>
        </mc:AlternateContent>
        <mc:AlternateContent xmlns:mc="http://schemas.openxmlformats.org/markup-compatibility/2006">
          <mc:Choice Requires="x14">
            <control shapeId="39950" r:id="rId17" name="Check Box 14">
              <controlPr defaultSize="0" autoFill="0" autoLine="0" autoPict="0">
                <anchor moveWithCells="1">
                  <from>
                    <xdr:col>13</xdr:col>
                    <xdr:colOff>0</xdr:colOff>
                    <xdr:row>11</xdr:row>
                    <xdr:rowOff>19050</xdr:rowOff>
                  </from>
                  <to>
                    <xdr:col>17</xdr:col>
                    <xdr:colOff>0</xdr:colOff>
                    <xdr:row>14</xdr:row>
                    <xdr:rowOff>0</xdr:rowOff>
                  </to>
                </anchor>
              </controlPr>
            </control>
          </mc:Choice>
        </mc:AlternateContent>
        <mc:AlternateContent xmlns:mc="http://schemas.openxmlformats.org/markup-compatibility/2006">
          <mc:Choice Requires="x14">
            <control shapeId="39951" r:id="rId18" name="Check Box 15">
              <controlPr defaultSize="0" autoFill="0" autoLine="0" autoPict="0">
                <anchor moveWithCells="1" sizeWithCells="1">
                  <from>
                    <xdr:col>13</xdr:col>
                    <xdr:colOff>0</xdr:colOff>
                    <xdr:row>14</xdr:row>
                    <xdr:rowOff>0</xdr:rowOff>
                  </from>
                  <to>
                    <xdr:col>17</xdr:col>
                    <xdr:colOff>0</xdr:colOff>
                    <xdr:row>14</xdr:row>
                    <xdr:rowOff>180975</xdr:rowOff>
                  </to>
                </anchor>
              </controlPr>
            </control>
          </mc:Choice>
        </mc:AlternateContent>
        <mc:AlternateContent xmlns:mc="http://schemas.openxmlformats.org/markup-compatibility/2006">
          <mc:Choice Requires="x14">
            <control shapeId="39952" r:id="rId19" name="Option Button 16">
              <controlPr defaultSize="0" autoFill="0" autoLine="0" autoPict="0">
                <anchor moveWithCells="1">
                  <from>
                    <xdr:col>18</xdr:col>
                    <xdr:colOff>9525</xdr:colOff>
                    <xdr:row>4</xdr:row>
                    <xdr:rowOff>19050</xdr:rowOff>
                  </from>
                  <to>
                    <xdr:col>21</xdr:col>
                    <xdr:colOff>0</xdr:colOff>
                    <xdr:row>4</xdr:row>
                    <xdr:rowOff>142875</xdr:rowOff>
                  </to>
                </anchor>
              </controlPr>
            </control>
          </mc:Choice>
        </mc:AlternateContent>
        <mc:AlternateContent xmlns:mc="http://schemas.openxmlformats.org/markup-compatibility/2006">
          <mc:Choice Requires="x14">
            <control shapeId="39953" r:id="rId20" name="Group Box 17">
              <controlPr defaultSize="0" print="0" autoFill="0" autoPict="0">
                <anchor moveWithCells="1">
                  <from>
                    <xdr:col>18</xdr:col>
                    <xdr:colOff>0</xdr:colOff>
                    <xdr:row>3</xdr:row>
                    <xdr:rowOff>190500</xdr:rowOff>
                  </from>
                  <to>
                    <xdr:col>24</xdr:col>
                    <xdr:colOff>0</xdr:colOff>
                    <xdr:row>5</xdr:row>
                    <xdr:rowOff>0</xdr:rowOff>
                  </to>
                </anchor>
              </controlPr>
            </control>
          </mc:Choice>
        </mc:AlternateContent>
        <mc:AlternateContent xmlns:mc="http://schemas.openxmlformats.org/markup-compatibility/2006">
          <mc:Choice Requires="x14">
            <control shapeId="39954" r:id="rId21" name="Option Button 18">
              <controlPr defaultSize="0" autoFill="0" autoLine="0" autoPict="0">
                <anchor moveWithCells="1">
                  <from>
                    <xdr:col>21</xdr:col>
                    <xdr:colOff>9525</xdr:colOff>
                    <xdr:row>4</xdr:row>
                    <xdr:rowOff>19050</xdr:rowOff>
                  </from>
                  <to>
                    <xdr:col>24</xdr:col>
                    <xdr:colOff>0</xdr:colOff>
                    <xdr:row>4</xdr:row>
                    <xdr:rowOff>142875</xdr:rowOff>
                  </to>
                </anchor>
              </controlPr>
            </control>
          </mc:Choice>
        </mc:AlternateContent>
        <mc:AlternateContent xmlns:mc="http://schemas.openxmlformats.org/markup-compatibility/2006">
          <mc:Choice Requires="x14">
            <control shapeId="39959" r:id="rId22" name="Group Box 23">
              <controlPr defaultSize="0" print="0" autoFill="0" autoPict="0">
                <anchor moveWithCells="1">
                  <from>
                    <xdr:col>18</xdr:col>
                    <xdr:colOff>0</xdr:colOff>
                    <xdr:row>18</xdr:row>
                    <xdr:rowOff>0</xdr:rowOff>
                  </from>
                  <to>
                    <xdr:col>24</xdr:col>
                    <xdr:colOff>0</xdr:colOff>
                    <xdr:row>21</xdr:row>
                    <xdr:rowOff>0</xdr:rowOff>
                  </to>
                </anchor>
              </controlPr>
            </control>
          </mc:Choice>
        </mc:AlternateContent>
        <mc:AlternateContent xmlns:mc="http://schemas.openxmlformats.org/markup-compatibility/2006">
          <mc:Choice Requires="x14">
            <control shapeId="39960" r:id="rId23" name="Option Button 24">
              <controlPr defaultSize="0" autoFill="0" autoLine="0" autoPict="0">
                <anchor moveWithCells="1">
                  <from>
                    <xdr:col>18</xdr:col>
                    <xdr:colOff>66675</xdr:colOff>
                    <xdr:row>20</xdr:row>
                    <xdr:rowOff>0</xdr:rowOff>
                  </from>
                  <to>
                    <xdr:col>20</xdr:col>
                    <xdr:colOff>0</xdr:colOff>
                    <xdr:row>20</xdr:row>
                    <xdr:rowOff>152400</xdr:rowOff>
                  </to>
                </anchor>
              </controlPr>
            </control>
          </mc:Choice>
        </mc:AlternateContent>
        <mc:AlternateContent xmlns:mc="http://schemas.openxmlformats.org/markup-compatibility/2006">
          <mc:Choice Requires="x14">
            <control shapeId="39961" r:id="rId24" name="Option Button 25">
              <controlPr defaultSize="0" autoFill="0" autoLine="0" autoPict="0">
                <anchor moveWithCells="1">
                  <from>
                    <xdr:col>20</xdr:col>
                    <xdr:colOff>76200</xdr:colOff>
                    <xdr:row>19</xdr:row>
                    <xdr:rowOff>0</xdr:rowOff>
                  </from>
                  <to>
                    <xdr:col>22</xdr:col>
                    <xdr:colOff>0</xdr:colOff>
                    <xdr:row>19</xdr:row>
                    <xdr:rowOff>152400</xdr:rowOff>
                  </to>
                </anchor>
              </controlPr>
            </control>
          </mc:Choice>
        </mc:AlternateContent>
        <mc:AlternateContent xmlns:mc="http://schemas.openxmlformats.org/markup-compatibility/2006">
          <mc:Choice Requires="x14">
            <control shapeId="39962" r:id="rId25" name="Option Button 26">
              <controlPr defaultSize="0" autoFill="0" autoLine="0" autoPict="0">
                <anchor moveWithCells="1">
                  <from>
                    <xdr:col>20</xdr:col>
                    <xdr:colOff>76200</xdr:colOff>
                    <xdr:row>20</xdr:row>
                    <xdr:rowOff>9525</xdr:rowOff>
                  </from>
                  <to>
                    <xdr:col>22</xdr:col>
                    <xdr:colOff>0</xdr:colOff>
                    <xdr:row>20</xdr:row>
                    <xdr:rowOff>152400</xdr:rowOff>
                  </to>
                </anchor>
              </controlPr>
            </control>
          </mc:Choice>
        </mc:AlternateContent>
        <mc:AlternateContent xmlns:mc="http://schemas.openxmlformats.org/markup-compatibility/2006">
          <mc:Choice Requires="x14">
            <control shapeId="39963" r:id="rId26" name="Option Button 27">
              <controlPr defaultSize="0" autoFill="0" autoLine="0" autoPict="0">
                <anchor moveWithCells="1">
                  <from>
                    <xdr:col>22</xdr:col>
                    <xdr:colOff>76200</xdr:colOff>
                    <xdr:row>19</xdr:row>
                    <xdr:rowOff>161925</xdr:rowOff>
                  </from>
                  <to>
                    <xdr:col>24</xdr:col>
                    <xdr:colOff>0</xdr:colOff>
                    <xdr:row>20</xdr:row>
                    <xdr:rowOff>152400</xdr:rowOff>
                  </to>
                </anchor>
              </controlPr>
            </control>
          </mc:Choice>
        </mc:AlternateContent>
        <mc:AlternateContent xmlns:mc="http://schemas.openxmlformats.org/markup-compatibility/2006">
          <mc:Choice Requires="x14">
            <control shapeId="39964" r:id="rId27" name="Check Box 28">
              <controlPr defaultSize="0" autoFill="0" autoLine="0" autoPict="0">
                <anchor moveWithCells="1" sizeWithCells="1">
                  <from>
                    <xdr:col>10</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39965" r:id="rId28" name="Check Box 29">
              <controlPr defaultSize="0" autoFill="0" autoLine="0" autoPict="0">
                <anchor moveWithCells="1" sizeWithCells="1">
                  <from>
                    <xdr:col>10</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39966" r:id="rId29" name="Check Box 30">
              <controlPr defaultSize="0" autoFill="0" autoLine="0" autoPict="0">
                <anchor moveWithCells="1" sizeWithCells="1">
                  <from>
                    <xdr:col>17</xdr:col>
                    <xdr:colOff>0</xdr:colOff>
                    <xdr:row>23</xdr:row>
                    <xdr:rowOff>0</xdr:rowOff>
                  </from>
                  <to>
                    <xdr:col>22</xdr:col>
                    <xdr:colOff>0</xdr:colOff>
                    <xdr:row>24</xdr:row>
                    <xdr:rowOff>0</xdr:rowOff>
                  </to>
                </anchor>
              </controlPr>
            </control>
          </mc:Choice>
        </mc:AlternateContent>
        <mc:AlternateContent xmlns:mc="http://schemas.openxmlformats.org/markup-compatibility/2006">
          <mc:Choice Requires="x14">
            <control shapeId="39967" r:id="rId30" name="Check Box 31">
              <controlPr defaultSize="0" autoFill="0" autoLine="0" autoPict="0">
                <anchor moveWithCells="1" sizeWithCells="1">
                  <from>
                    <xdr:col>17</xdr:col>
                    <xdr:colOff>0</xdr:colOff>
                    <xdr:row>24</xdr:row>
                    <xdr:rowOff>0</xdr:rowOff>
                  </from>
                  <to>
                    <xdr:col>22</xdr:col>
                    <xdr:colOff>0</xdr:colOff>
                    <xdr:row>25</xdr:row>
                    <xdr:rowOff>0</xdr:rowOff>
                  </to>
                </anchor>
              </controlPr>
            </control>
          </mc:Choice>
        </mc:AlternateContent>
        <mc:AlternateContent xmlns:mc="http://schemas.openxmlformats.org/markup-compatibility/2006">
          <mc:Choice Requires="x14">
            <control shapeId="39968" r:id="rId31" name="Group Box 32">
              <controlPr defaultSize="0" print="0" autoFill="0" autoPict="0">
                <anchor moveWithCells="1">
                  <from>
                    <xdr:col>10</xdr:col>
                    <xdr:colOff>0</xdr:colOff>
                    <xdr:row>17</xdr:row>
                    <xdr:rowOff>0</xdr:rowOff>
                  </from>
                  <to>
                    <xdr:col>15</xdr:col>
                    <xdr:colOff>0</xdr:colOff>
                    <xdr:row>19</xdr:row>
                    <xdr:rowOff>0</xdr:rowOff>
                  </to>
                </anchor>
              </controlPr>
            </control>
          </mc:Choice>
        </mc:AlternateContent>
        <mc:AlternateContent xmlns:mc="http://schemas.openxmlformats.org/markup-compatibility/2006">
          <mc:Choice Requires="x14">
            <control shapeId="39969" r:id="rId32" name="Option Button 33">
              <controlPr defaultSize="0" autoFill="0" autoLine="0" autoPict="0">
                <anchor moveWithCells="1">
                  <from>
                    <xdr:col>10</xdr:col>
                    <xdr:colOff>9525</xdr:colOff>
                    <xdr:row>17</xdr:row>
                    <xdr:rowOff>19050</xdr:rowOff>
                  </from>
                  <to>
                    <xdr:col>12</xdr:col>
                    <xdr:colOff>266700</xdr:colOff>
                    <xdr:row>17</xdr:row>
                    <xdr:rowOff>142875</xdr:rowOff>
                  </to>
                </anchor>
              </controlPr>
            </control>
          </mc:Choice>
        </mc:AlternateContent>
        <mc:AlternateContent xmlns:mc="http://schemas.openxmlformats.org/markup-compatibility/2006">
          <mc:Choice Requires="x14">
            <control shapeId="39970" r:id="rId33" name="Option Button 34">
              <controlPr defaultSize="0" autoFill="0" autoLine="0" autoPict="0">
                <anchor moveWithCells="1">
                  <from>
                    <xdr:col>10</xdr:col>
                    <xdr:colOff>9525</xdr:colOff>
                    <xdr:row>18</xdr:row>
                    <xdr:rowOff>9525</xdr:rowOff>
                  </from>
                  <to>
                    <xdr:col>12</xdr:col>
                    <xdr:colOff>266700</xdr:colOff>
                    <xdr:row>18</xdr:row>
                    <xdr:rowOff>133350</xdr:rowOff>
                  </to>
                </anchor>
              </controlPr>
            </control>
          </mc:Choice>
        </mc:AlternateContent>
        <mc:AlternateContent xmlns:mc="http://schemas.openxmlformats.org/markup-compatibility/2006">
          <mc:Choice Requires="x14">
            <control shapeId="39971" r:id="rId34" name="Check Box 35">
              <controlPr defaultSize="0" autoFill="0" autoLine="0" autoPict="0">
                <anchor moveWithCells="1" sizeWithCells="1">
                  <from>
                    <xdr:col>10</xdr:col>
                    <xdr:colOff>0</xdr:colOff>
                    <xdr:row>27</xdr:row>
                    <xdr:rowOff>0</xdr:rowOff>
                  </from>
                  <to>
                    <xdr:col>15</xdr:col>
                    <xdr:colOff>0</xdr:colOff>
                    <xdr:row>28</xdr:row>
                    <xdr:rowOff>0</xdr:rowOff>
                  </to>
                </anchor>
              </controlPr>
            </control>
          </mc:Choice>
        </mc:AlternateContent>
        <mc:AlternateContent xmlns:mc="http://schemas.openxmlformats.org/markup-compatibility/2006">
          <mc:Choice Requires="x14">
            <control shapeId="39974" r:id="rId35" name="Check Box 38">
              <controlPr defaultSize="0" autoFill="0" autoLine="0" autoPict="0">
                <anchor moveWithCells="1" sizeWithCells="1">
                  <from>
                    <xdr:col>10</xdr:col>
                    <xdr:colOff>0</xdr:colOff>
                    <xdr:row>31</xdr:row>
                    <xdr:rowOff>0</xdr:rowOff>
                  </from>
                  <to>
                    <xdr:col>15</xdr:col>
                    <xdr:colOff>0</xdr:colOff>
                    <xdr:row>32</xdr:row>
                    <xdr:rowOff>0</xdr:rowOff>
                  </to>
                </anchor>
              </controlPr>
            </control>
          </mc:Choice>
        </mc:AlternateContent>
        <mc:AlternateContent xmlns:mc="http://schemas.openxmlformats.org/markup-compatibility/2006">
          <mc:Choice Requires="x14">
            <control shapeId="39975" r:id="rId36" name="Check Box 39">
              <controlPr defaultSize="0" autoFill="0" autoLine="0" autoPict="0">
                <anchor moveWithCells="1" sizeWithCells="1">
                  <from>
                    <xdr:col>10</xdr:col>
                    <xdr:colOff>0</xdr:colOff>
                    <xdr:row>32</xdr:row>
                    <xdr:rowOff>0</xdr:rowOff>
                  </from>
                  <to>
                    <xdr:col>15</xdr:col>
                    <xdr:colOff>0</xdr:colOff>
                    <xdr:row>33</xdr:row>
                    <xdr:rowOff>0</xdr:rowOff>
                  </to>
                </anchor>
              </controlPr>
            </control>
          </mc:Choice>
        </mc:AlternateContent>
        <mc:AlternateContent xmlns:mc="http://schemas.openxmlformats.org/markup-compatibility/2006">
          <mc:Choice Requires="x14">
            <control shapeId="39976" r:id="rId37" name="Check Box 40">
              <controlPr defaultSize="0" autoFill="0" autoLine="0" autoPict="0">
                <anchor moveWithCells="1" sizeWithCells="1">
                  <from>
                    <xdr:col>10</xdr:col>
                    <xdr:colOff>0</xdr:colOff>
                    <xdr:row>33</xdr:row>
                    <xdr:rowOff>0</xdr:rowOff>
                  </from>
                  <to>
                    <xdr:col>15</xdr:col>
                    <xdr:colOff>0</xdr:colOff>
                    <xdr:row>34</xdr:row>
                    <xdr:rowOff>0</xdr:rowOff>
                  </to>
                </anchor>
              </controlPr>
            </control>
          </mc:Choice>
        </mc:AlternateContent>
        <mc:AlternateContent xmlns:mc="http://schemas.openxmlformats.org/markup-compatibility/2006">
          <mc:Choice Requires="x14">
            <control shapeId="39977" r:id="rId38" name="Check Box 41">
              <controlPr defaultSize="0" autoFill="0" autoLine="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39978" r:id="rId39" name="Check Box 42">
              <controlPr defaultSize="0" autoFill="0" autoLine="0" autoPict="0">
                <anchor moveWithCells="1" siz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39979" r:id="rId40" name="Check Box 43">
              <controlPr defaultSize="0" autoFill="0" autoLine="0" autoPict="0">
                <anchor moveWithCells="1" sizeWithCells="1">
                  <from>
                    <xdr:col>10</xdr:col>
                    <xdr:colOff>0</xdr:colOff>
                    <xdr:row>35</xdr:row>
                    <xdr:rowOff>0</xdr:rowOff>
                  </from>
                  <to>
                    <xdr:col>15</xdr:col>
                    <xdr:colOff>0</xdr:colOff>
                    <xdr:row>36</xdr:row>
                    <xdr:rowOff>0</xdr:rowOff>
                  </to>
                </anchor>
              </controlPr>
            </control>
          </mc:Choice>
        </mc:AlternateContent>
        <mc:AlternateContent xmlns:mc="http://schemas.openxmlformats.org/markup-compatibility/2006">
          <mc:Choice Requires="x14">
            <control shapeId="39980" r:id="rId41" name="Check Box 44">
              <controlPr defaultSize="0" autoFill="0" autoLine="0" autoPict="0">
                <anchor moveWithCells="1" sizeWithCells="1">
                  <from>
                    <xdr:col>10</xdr:col>
                    <xdr:colOff>0</xdr:colOff>
                    <xdr:row>36</xdr:row>
                    <xdr:rowOff>0</xdr:rowOff>
                  </from>
                  <to>
                    <xdr:col>15</xdr:col>
                    <xdr:colOff>0</xdr:colOff>
                    <xdr:row>37</xdr:row>
                    <xdr:rowOff>0</xdr:rowOff>
                  </to>
                </anchor>
              </controlPr>
            </control>
          </mc:Choice>
        </mc:AlternateContent>
        <mc:AlternateContent xmlns:mc="http://schemas.openxmlformats.org/markup-compatibility/2006">
          <mc:Choice Requires="x14">
            <control shapeId="324936" r:id="rId42" name="Group Box 2376">
              <controlPr defaultSize="0" print="0" autoFill="0" autoPict="0">
                <anchor moveWithCells="1">
                  <from>
                    <xdr:col>10</xdr:col>
                    <xdr:colOff>0</xdr:colOff>
                    <xdr:row>26</xdr:row>
                    <xdr:rowOff>0</xdr:rowOff>
                  </from>
                  <to>
                    <xdr:col>17</xdr:col>
                    <xdr:colOff>0</xdr:colOff>
                    <xdr:row>37</xdr:row>
                    <xdr:rowOff>0</xdr:rowOff>
                  </to>
                </anchor>
              </controlPr>
            </control>
          </mc:Choice>
        </mc:AlternateContent>
        <mc:AlternateContent xmlns:mc="http://schemas.openxmlformats.org/markup-compatibility/2006">
          <mc:Choice Requires="x14">
            <control shapeId="324937" r:id="rId43" name="Option Button 2377">
              <controlPr defaultSize="0" autoFill="0" autoLine="0" autoPict="0">
                <anchor moveWithCells="1">
                  <from>
                    <xdr:col>10</xdr:col>
                    <xdr:colOff>9525</xdr:colOff>
                    <xdr:row>29</xdr:row>
                    <xdr:rowOff>19050</xdr:rowOff>
                  </from>
                  <to>
                    <xdr:col>12</xdr:col>
                    <xdr:colOff>266700</xdr:colOff>
                    <xdr:row>29</xdr:row>
                    <xdr:rowOff>142875</xdr:rowOff>
                  </to>
                </anchor>
              </controlPr>
            </control>
          </mc:Choice>
        </mc:AlternateContent>
        <mc:AlternateContent xmlns:mc="http://schemas.openxmlformats.org/markup-compatibility/2006">
          <mc:Choice Requires="x14">
            <control shapeId="324938" r:id="rId44" name="Option Button 2378">
              <controlPr defaultSize="0" autoFill="0" autoLine="0" autoPict="0">
                <anchor moveWithCells="1">
                  <from>
                    <xdr:col>10</xdr:col>
                    <xdr:colOff>9525</xdr:colOff>
                    <xdr:row>30</xdr:row>
                    <xdr:rowOff>9525</xdr:rowOff>
                  </from>
                  <to>
                    <xdr:col>12</xdr:col>
                    <xdr:colOff>266700</xdr:colOff>
                    <xdr:row>30</xdr:row>
                    <xdr:rowOff>133350</xdr:rowOff>
                  </to>
                </anchor>
              </controlPr>
            </control>
          </mc:Choice>
        </mc:AlternateContent>
        <mc:AlternateContent xmlns:mc="http://schemas.openxmlformats.org/markup-compatibility/2006">
          <mc:Choice Requires="x14">
            <control shapeId="325345" r:id="rId45" name="Group Box 2785">
              <controlPr defaultSize="0" print="0" autoFill="0" autoPict="0">
                <anchor moveWithCells="1">
                  <from>
                    <xdr:col>20</xdr:col>
                    <xdr:colOff>0</xdr:colOff>
                    <xdr:row>12</xdr:row>
                    <xdr:rowOff>0</xdr:rowOff>
                  </from>
                  <to>
                    <xdr:col>22</xdr:col>
                    <xdr:colOff>0</xdr:colOff>
                    <xdr:row>16</xdr:row>
                    <xdr:rowOff>0</xdr:rowOff>
                  </to>
                </anchor>
              </controlPr>
            </control>
          </mc:Choice>
        </mc:AlternateContent>
        <mc:AlternateContent xmlns:mc="http://schemas.openxmlformats.org/markup-compatibility/2006">
          <mc:Choice Requires="x14">
            <control shapeId="325346" r:id="rId46" name="Option Button 2786">
              <controlPr defaultSize="0" autoFill="0" autoLine="0" autoPict="0">
                <anchor moveWithCells="1">
                  <from>
                    <xdr:col>20</xdr:col>
                    <xdr:colOff>285750</xdr:colOff>
                    <xdr:row>12</xdr:row>
                    <xdr:rowOff>19050</xdr:rowOff>
                  </from>
                  <to>
                    <xdr:col>21</xdr:col>
                    <xdr:colOff>123825</xdr:colOff>
                    <xdr:row>13</xdr:row>
                    <xdr:rowOff>0</xdr:rowOff>
                  </to>
                </anchor>
              </controlPr>
            </control>
          </mc:Choice>
        </mc:AlternateContent>
        <mc:AlternateContent xmlns:mc="http://schemas.openxmlformats.org/markup-compatibility/2006">
          <mc:Choice Requires="x14">
            <control shapeId="325347" r:id="rId47" name="Option Button 2787">
              <controlPr defaultSize="0" autoFill="0" autoLine="0" autoPict="0">
                <anchor moveWithCells="1">
                  <from>
                    <xdr:col>20</xdr:col>
                    <xdr:colOff>285750</xdr:colOff>
                    <xdr:row>14</xdr:row>
                    <xdr:rowOff>19050</xdr:rowOff>
                  </from>
                  <to>
                    <xdr:col>21</xdr:col>
                    <xdr:colOff>123825</xdr:colOff>
                    <xdr:row>14</xdr:row>
                    <xdr:rowOff>142875</xdr:rowOff>
                  </to>
                </anchor>
              </controlPr>
            </control>
          </mc:Choice>
        </mc:AlternateContent>
        <mc:AlternateContent xmlns:mc="http://schemas.openxmlformats.org/markup-compatibility/2006">
          <mc:Choice Requires="x14">
            <control shapeId="325348" r:id="rId48" name="Option Button 2788">
              <controlPr defaultSize="0" autoFill="0" autoLine="0" autoPict="0">
                <anchor moveWithCells="1">
                  <from>
                    <xdr:col>20</xdr:col>
                    <xdr:colOff>285750</xdr:colOff>
                    <xdr:row>15</xdr:row>
                    <xdr:rowOff>19050</xdr:rowOff>
                  </from>
                  <to>
                    <xdr:col>21</xdr:col>
                    <xdr:colOff>123825</xdr:colOff>
                    <xdr:row>15</xdr:row>
                    <xdr:rowOff>142875</xdr:rowOff>
                  </to>
                </anchor>
              </controlPr>
            </control>
          </mc:Choice>
        </mc:AlternateContent>
        <mc:AlternateContent xmlns:mc="http://schemas.openxmlformats.org/markup-compatibility/2006">
          <mc:Choice Requires="x14">
            <control shapeId="325349" r:id="rId49" name="Group Box 2789">
              <controlPr defaultSize="0" print="0" autoFill="0" autoPict="0">
                <anchor moveWithCells="1">
                  <from>
                    <xdr:col>22</xdr:col>
                    <xdr:colOff>0</xdr:colOff>
                    <xdr:row>12</xdr:row>
                    <xdr:rowOff>0</xdr:rowOff>
                  </from>
                  <to>
                    <xdr:col>24</xdr:col>
                    <xdr:colOff>0</xdr:colOff>
                    <xdr:row>15</xdr:row>
                    <xdr:rowOff>161925</xdr:rowOff>
                  </to>
                </anchor>
              </controlPr>
            </control>
          </mc:Choice>
        </mc:AlternateContent>
        <mc:AlternateContent xmlns:mc="http://schemas.openxmlformats.org/markup-compatibility/2006">
          <mc:Choice Requires="x14">
            <control shapeId="325350" r:id="rId50" name="Option Button 2790">
              <controlPr defaultSize="0" autoFill="0" autoLine="0" autoPict="0">
                <anchor moveWithCells="1">
                  <from>
                    <xdr:col>22</xdr:col>
                    <xdr:colOff>285750</xdr:colOff>
                    <xdr:row>12</xdr:row>
                    <xdr:rowOff>19050</xdr:rowOff>
                  </from>
                  <to>
                    <xdr:col>23</xdr:col>
                    <xdr:colOff>123825</xdr:colOff>
                    <xdr:row>12</xdr:row>
                    <xdr:rowOff>161925</xdr:rowOff>
                  </to>
                </anchor>
              </controlPr>
            </control>
          </mc:Choice>
        </mc:AlternateContent>
        <mc:AlternateContent xmlns:mc="http://schemas.openxmlformats.org/markup-compatibility/2006">
          <mc:Choice Requires="x14">
            <control shapeId="325351" r:id="rId51" name="Option Button 2791">
              <controlPr defaultSize="0" autoFill="0" autoLine="0" autoPict="0">
                <anchor moveWithCells="1">
                  <from>
                    <xdr:col>22</xdr:col>
                    <xdr:colOff>285750</xdr:colOff>
                    <xdr:row>14</xdr:row>
                    <xdr:rowOff>19050</xdr:rowOff>
                  </from>
                  <to>
                    <xdr:col>23</xdr:col>
                    <xdr:colOff>123825</xdr:colOff>
                    <xdr:row>14</xdr:row>
                    <xdr:rowOff>142875</xdr:rowOff>
                  </to>
                </anchor>
              </controlPr>
            </control>
          </mc:Choice>
        </mc:AlternateContent>
        <mc:AlternateContent xmlns:mc="http://schemas.openxmlformats.org/markup-compatibility/2006">
          <mc:Choice Requires="x14">
            <control shapeId="325352" r:id="rId52" name="Option Button 2792">
              <controlPr defaultSize="0" autoFill="0" autoLine="0" autoPict="0">
                <anchor moveWithCells="1">
                  <from>
                    <xdr:col>22</xdr:col>
                    <xdr:colOff>285750</xdr:colOff>
                    <xdr:row>15</xdr:row>
                    <xdr:rowOff>19050</xdr:rowOff>
                  </from>
                  <to>
                    <xdr:col>23</xdr:col>
                    <xdr:colOff>123825</xdr:colOff>
                    <xdr:row>15</xdr:row>
                    <xdr:rowOff>142875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AB4528B9-6BCE-4265-A4F8-CB00203BD90E}">
            <xm:f>Erhebungsbogen!$W$37&gt;0</xm:f>
            <x14:dxf>
              <font>
                <color theme="1"/>
              </font>
              <border>
                <left style="thin">
                  <color auto="1"/>
                </left>
                <right style="thin">
                  <color auto="1"/>
                </right>
                <top style="thin">
                  <color auto="1"/>
                </top>
                <bottom style="thin">
                  <color auto="1"/>
                </bottom>
                <vertical/>
                <horizontal/>
              </border>
            </x14:dxf>
          </x14:cfRule>
          <xm:sqref>H41:I41</xm:sqref>
        </x14:conditionalFormatting>
        <x14:conditionalFormatting xmlns:xm="http://schemas.microsoft.com/office/excel/2006/main">
          <x14:cfRule type="cellIs" priority="1393" operator="greaterThan" id="{B5999998-893A-4E5D-8B3D-271BD63A37B6}">
            <xm:f>Haftungsausschluß!$L$34</xm:f>
            <x14:dxf>
              <fill>
                <patternFill>
                  <bgColor theme="9" tint="0.59996337778862885"/>
                </patternFill>
              </fill>
            </x14:dxf>
          </x14:cfRule>
          <x14:cfRule type="cellIs" priority="1394" operator="lessThan" id="{1FD3DE43-79B2-4DBD-B466-975653D438DD}">
            <xm:f>Haftungsausschluß!$L$34</xm:f>
            <x14:dxf>
              <fill>
                <patternFill>
                  <bgColor rgb="FFFF7C80"/>
                </patternFill>
              </fill>
            </x14:dxf>
          </x14:cfRule>
          <xm:sqref>X30 X35</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C0B33-6C87-4728-89BD-BF7F8D4002B3}">
  <sheetPr codeName="Tabelle59"/>
  <dimension ref="A1:R584"/>
  <sheetViews>
    <sheetView workbookViewId="0"/>
  </sheetViews>
  <sheetFormatPr baseColWidth="10" defaultColWidth="11.42578125" defaultRowHeight="12.75"/>
  <cols>
    <col min="1" max="1" width="4.28515625" style="152" customWidth="1"/>
    <col min="2" max="2" width="43.7109375" style="152" customWidth="1"/>
    <col min="3" max="3" width="20.7109375" style="152" customWidth="1"/>
    <col min="4" max="8" width="15.7109375" style="152" customWidth="1"/>
    <col min="9" max="9" width="6" style="152" customWidth="1"/>
    <col min="10" max="10" width="8.7109375" style="152" bestFit="1" customWidth="1"/>
    <col min="11" max="16384" width="11.42578125" style="152"/>
  </cols>
  <sheetData>
    <row r="1" spans="1:18" ht="42" customHeight="1">
      <c r="A1" s="148"/>
      <c r="B1" s="546"/>
      <c r="C1" s="546"/>
      <c r="D1" s="150"/>
      <c r="E1" s="151"/>
      <c r="F1" s="150"/>
      <c r="G1" s="150"/>
      <c r="H1" s="150"/>
      <c r="I1" s="150"/>
    </row>
    <row r="2" spans="1:18" ht="16.5" customHeight="1">
      <c r="A2" s="148"/>
      <c r="B2" s="149"/>
      <c r="C2" s="149"/>
      <c r="D2" s="150"/>
      <c r="E2" s="151"/>
      <c r="F2" s="153" t="s">
        <v>22309</v>
      </c>
      <c r="G2" s="154"/>
      <c r="H2" s="153" t="s">
        <v>22310</v>
      </c>
      <c r="I2" s="154" t="s">
        <v>22311</v>
      </c>
    </row>
    <row r="3" spans="1:18" ht="16.5" customHeight="1">
      <c r="A3" s="148"/>
      <c r="B3" s="155"/>
      <c r="C3" s="148"/>
      <c r="D3" s="150"/>
      <c r="E3" s="151"/>
      <c r="F3" s="156" t="s">
        <v>3225</v>
      </c>
      <c r="G3" s="157">
        <v>44894</v>
      </c>
      <c r="H3" s="156" t="s">
        <v>22312</v>
      </c>
      <c r="I3" s="158" t="s">
        <v>22313</v>
      </c>
      <c r="N3" s="159" t="s">
        <v>22314</v>
      </c>
      <c r="O3" s="159" t="s">
        <v>22315</v>
      </c>
    </row>
    <row r="4" spans="1:18" ht="16.5" customHeight="1">
      <c r="A4" s="148"/>
      <c r="B4" s="160" t="s">
        <v>22316</v>
      </c>
      <c r="C4" s="547" t="s">
        <v>22289</v>
      </c>
      <c r="D4" s="547"/>
      <c r="E4" s="548"/>
      <c r="F4" s="150"/>
      <c r="G4" s="150"/>
      <c r="H4" s="151"/>
      <c r="I4" s="148"/>
      <c r="N4" s="161" t="s">
        <v>22317</v>
      </c>
      <c r="O4" s="161" t="s">
        <v>22317</v>
      </c>
      <c r="Q4" s="162" t="s">
        <v>22314</v>
      </c>
      <c r="R4" s="163" t="s">
        <v>22318</v>
      </c>
    </row>
    <row r="5" spans="1:18" ht="16.5" customHeight="1">
      <c r="A5" s="148"/>
      <c r="B5" s="164" t="s">
        <v>22319</v>
      </c>
      <c r="C5" s="549" t="s">
        <v>22320</v>
      </c>
      <c r="D5" s="549"/>
      <c r="E5" s="550"/>
      <c r="F5" s="150"/>
      <c r="G5" s="150"/>
      <c r="H5" s="151"/>
      <c r="I5" s="148"/>
      <c r="L5" s="165" t="s">
        <v>22321</v>
      </c>
      <c r="M5" s="166" t="s">
        <v>22322</v>
      </c>
      <c r="N5" s="167">
        <v>15</v>
      </c>
      <c r="O5" s="167">
        <v>16</v>
      </c>
      <c r="Q5" s="162" t="s">
        <v>22315</v>
      </c>
      <c r="R5" s="163" t="s">
        <v>22323</v>
      </c>
    </row>
    <row r="6" spans="1:18" ht="16.5" customHeight="1">
      <c r="A6" s="148"/>
      <c r="B6" s="148"/>
      <c r="C6" s="148"/>
      <c r="D6" s="168"/>
      <c r="E6" s="168"/>
      <c r="F6" s="148"/>
      <c r="G6" s="148"/>
      <c r="H6" s="148"/>
      <c r="I6" s="148"/>
      <c r="L6" s="165" t="s">
        <v>22324</v>
      </c>
      <c r="M6" s="166" t="s">
        <v>22325</v>
      </c>
      <c r="N6" s="167">
        <v>20</v>
      </c>
      <c r="O6" s="167">
        <v>21</v>
      </c>
    </row>
    <row r="7" spans="1:18" ht="16.5" customHeight="1">
      <c r="A7" s="148"/>
      <c r="B7" s="169" t="s">
        <v>22326</v>
      </c>
      <c r="C7" s="148"/>
      <c r="D7" s="168"/>
      <c r="E7" s="168"/>
      <c r="F7" s="148"/>
      <c r="G7" s="148"/>
      <c r="H7" s="148"/>
      <c r="I7" s="148"/>
      <c r="L7" s="165" t="s">
        <v>22593</v>
      </c>
      <c r="M7" s="166" t="s">
        <v>22594</v>
      </c>
      <c r="N7" s="167">
        <v>20</v>
      </c>
      <c r="O7" s="167">
        <v>21</v>
      </c>
    </row>
    <row r="8" spans="1:18" ht="16.5" customHeight="1">
      <c r="A8" s="148"/>
      <c r="B8" s="170"/>
      <c r="C8" s="148"/>
      <c r="D8" s="168"/>
      <c r="E8" s="168"/>
      <c r="F8" s="148"/>
      <c r="G8" s="148"/>
      <c r="H8" s="148"/>
      <c r="I8" s="148"/>
      <c r="L8" s="165" t="s">
        <v>22614</v>
      </c>
      <c r="M8" s="166" t="s">
        <v>22615</v>
      </c>
      <c r="N8" s="167">
        <v>20.2</v>
      </c>
      <c r="O8" s="167">
        <v>22.9</v>
      </c>
    </row>
    <row r="9" spans="1:18" ht="14.25" customHeight="1">
      <c r="A9" s="148"/>
      <c r="B9" s="148"/>
      <c r="C9" s="148"/>
      <c r="D9" s="168"/>
      <c r="E9" s="168"/>
      <c r="F9" s="148"/>
      <c r="G9" s="148"/>
      <c r="H9" s="148"/>
      <c r="I9" s="148"/>
    </row>
    <row r="10" spans="1:18" ht="14.25" customHeight="1">
      <c r="A10" s="171" t="s">
        <v>22327</v>
      </c>
      <c r="B10" s="172" t="s">
        <v>22328</v>
      </c>
      <c r="C10" s="148"/>
      <c r="D10" s="168"/>
      <c r="E10" s="168"/>
      <c r="F10" s="148"/>
      <c r="G10" s="148"/>
      <c r="H10" s="148"/>
      <c r="I10" s="148"/>
    </row>
    <row r="11" spans="1:18" ht="14.25" customHeight="1">
      <c r="A11" s="148"/>
      <c r="B11" s="173"/>
      <c r="C11" s="174" t="s">
        <v>22329</v>
      </c>
      <c r="D11" s="168"/>
      <c r="E11" s="168"/>
      <c r="F11" s="148"/>
      <c r="G11" s="148"/>
      <c r="H11" s="148"/>
      <c r="I11" s="148"/>
    </row>
    <row r="12" spans="1:18" ht="14.25" customHeight="1">
      <c r="A12" s="148"/>
      <c r="B12" s="175" t="s">
        <v>22330</v>
      </c>
      <c r="C12" s="176">
        <f>Haftungsausschluß!L31/100</f>
        <v>10</v>
      </c>
      <c r="D12" s="168" t="s">
        <v>19775</v>
      </c>
      <c r="E12" s="163" t="s">
        <v>22331</v>
      </c>
      <c r="F12" s="177"/>
      <c r="G12" s="148"/>
      <c r="H12" s="148"/>
      <c r="I12" s="148"/>
    </row>
    <row r="13" spans="1:18" ht="14.25" customHeight="1">
      <c r="A13" s="148"/>
      <c r="B13" s="175" t="s">
        <v>22332</v>
      </c>
      <c r="C13" s="176">
        <f>Haftungsausschluß!L32</f>
        <v>4</v>
      </c>
      <c r="D13" s="168" t="s">
        <v>19893</v>
      </c>
      <c r="E13" s="163" t="s">
        <v>22333</v>
      </c>
      <c r="F13" s="177"/>
      <c r="G13" s="148"/>
      <c r="H13" s="148"/>
      <c r="I13" s="148"/>
    </row>
    <row r="14" spans="1:18" ht="14.25" customHeight="1">
      <c r="A14" s="148"/>
      <c r="B14" s="175" t="s">
        <v>22334</v>
      </c>
      <c r="C14" s="176">
        <f>Haftungsausschluß!L33</f>
        <v>0.4</v>
      </c>
      <c r="D14" s="168" t="s">
        <v>20987</v>
      </c>
      <c r="E14" s="163" t="s">
        <v>22335</v>
      </c>
      <c r="F14" s="177"/>
      <c r="G14" s="148"/>
      <c r="H14" s="148"/>
      <c r="I14" s="148"/>
    </row>
    <row r="15" spans="1:18" ht="14.25" customHeight="1">
      <c r="A15" s="148"/>
      <c r="B15" s="175" t="s">
        <v>22336</v>
      </c>
      <c r="C15" s="176">
        <f>Kalk5!H32</f>
        <v>0</v>
      </c>
      <c r="D15" s="168" t="s">
        <v>22337</v>
      </c>
      <c r="E15" s="163" t="s">
        <v>22338</v>
      </c>
      <c r="F15" s="177"/>
      <c r="G15" s="148"/>
      <c r="H15" s="148"/>
      <c r="I15" s="148"/>
    </row>
    <row r="16" spans="1:18" ht="5.0999999999999996" customHeight="1">
      <c r="F16" s="178"/>
      <c r="H16" s="148"/>
      <c r="I16" s="148"/>
    </row>
    <row r="17" spans="1:11" ht="14.25" customHeight="1">
      <c r="A17" s="179" t="s">
        <v>22339</v>
      </c>
      <c r="B17" s="180" t="s">
        <v>22340</v>
      </c>
      <c r="F17" s="178"/>
      <c r="G17" s="181"/>
      <c r="H17" s="148" t="s">
        <v>22347</v>
      </c>
      <c r="I17" s="148"/>
    </row>
    <row r="18" spans="1:11" ht="14.25" customHeight="1">
      <c r="A18" s="148"/>
      <c r="B18" s="182" t="s">
        <v>22341</v>
      </c>
      <c r="C18" s="176">
        <f>Kalk5!H29/1000</f>
        <v>0</v>
      </c>
      <c r="D18" s="168" t="s">
        <v>6945</v>
      </c>
      <c r="E18" s="183" t="s">
        <v>22342</v>
      </c>
      <c r="F18" s="177"/>
      <c r="G18" s="148"/>
      <c r="H18" s="148" t="s">
        <v>22602</v>
      </c>
      <c r="I18" s="148"/>
      <c r="K18" s="152" t="str">
        <f>IF(AND(OR(Kalk5!AA19=2,Kalk5!AA19=3),Kalk5!AA20=1),H17,IF(AND(Kalk5!AA19=4,Kalk5!AA20=1),H18,IF(AND(Kalk5!AA19=4,Kalk5!AA20=2),H19,H17)))</f>
        <v>System 50</v>
      </c>
    </row>
    <row r="19" spans="1:11" ht="14.25" customHeight="1">
      <c r="B19" s="182" t="s">
        <v>22343</v>
      </c>
      <c r="C19" s="176">
        <f>Kalk5!AH38/1000</f>
        <v>0</v>
      </c>
      <c r="D19" s="168" t="s">
        <v>6945</v>
      </c>
      <c r="E19" s="163" t="s">
        <v>22344</v>
      </c>
      <c r="H19" s="152" t="s">
        <v>22595</v>
      </c>
    </row>
    <row r="20" spans="1:11" ht="14.25" customHeight="1">
      <c r="B20" s="175" t="s">
        <v>22345</v>
      </c>
      <c r="C20" s="176">
        <f>Kalk5!H31/1000</f>
        <v>0</v>
      </c>
      <c r="D20" s="168" t="s">
        <v>6945</v>
      </c>
      <c r="E20" s="183" t="s">
        <v>21854</v>
      </c>
    </row>
    <row r="21" spans="1:11" ht="14.25" customHeight="1">
      <c r="B21" s="175" t="s">
        <v>22346</v>
      </c>
      <c r="C21" s="261" t="str">
        <f>K18</f>
        <v>System 50</v>
      </c>
      <c r="D21" s="168"/>
      <c r="E21" s="183"/>
      <c r="H21" s="152" t="s">
        <v>21827</v>
      </c>
    </row>
    <row r="22" spans="1:11" ht="14.25" customHeight="1">
      <c r="B22" s="175" t="s">
        <v>18752</v>
      </c>
      <c r="C22" s="261" t="str">
        <f>K23</f>
        <v>50/200</v>
      </c>
      <c r="D22" s="168"/>
      <c r="E22" s="183"/>
      <c r="H22" s="152" t="s">
        <v>21828</v>
      </c>
    </row>
    <row r="23" spans="1:11" ht="14.25" customHeight="1">
      <c r="B23" s="175" t="s">
        <v>22348</v>
      </c>
      <c r="C23" s="184" t="s">
        <v>22349</v>
      </c>
      <c r="D23" s="168"/>
      <c r="E23" s="183" t="s">
        <v>22350</v>
      </c>
      <c r="H23" s="152" t="s">
        <v>21829</v>
      </c>
      <c r="K23" s="152" t="str">
        <f>IF(Kalk5!AA19=1,H21,IF(Kalk5!AA19=2,H22,IF(Kalk5!AA19=3,H23,IF(Kalk5!AA19=4,H24,0))))</f>
        <v>50/200</v>
      </c>
    </row>
    <row r="24" spans="1:11" ht="14.25" customHeight="1">
      <c r="B24" s="175" t="s">
        <v>22351</v>
      </c>
      <c r="C24" s="185">
        <f>IF(C22="50/150",'Kalk5_DB_50-150'!C16,IF(C22="50/200",'Kalk5_DB_50-200'!C16,IF(C22="80/200",'Kalk5_DB_50-200'!C16,IF(C22="25/200",'Kalk5_DB_25-200'!C16))))</f>
        <v>2.5000000000000001E-2</v>
      </c>
      <c r="D24" s="168" t="s">
        <v>6945</v>
      </c>
      <c r="E24" s="183" t="s">
        <v>22352</v>
      </c>
      <c r="H24" s="152" t="s">
        <v>21830</v>
      </c>
    </row>
    <row r="25" spans="1:11" ht="5.0999999999999996" customHeight="1">
      <c r="D25" s="168"/>
    </row>
    <row r="26" spans="1:11" ht="14.25" customHeight="1">
      <c r="A26" s="171" t="s">
        <v>22353</v>
      </c>
      <c r="B26" s="172" t="s">
        <v>22354</v>
      </c>
      <c r="D26" s="168"/>
    </row>
    <row r="27" spans="1:11" ht="14.25" customHeight="1">
      <c r="A27" s="179" t="s">
        <v>22355</v>
      </c>
      <c r="B27" s="180" t="s">
        <v>22356</v>
      </c>
      <c r="D27" s="168"/>
    </row>
    <row r="28" spans="1:11" ht="14.25" customHeight="1">
      <c r="B28" s="165" t="s">
        <v>22357</v>
      </c>
      <c r="C28" s="185">
        <f>C18*C12</f>
        <v>0</v>
      </c>
      <c r="D28" s="168" t="s">
        <v>22358</v>
      </c>
      <c r="E28" s="163" t="s">
        <v>22359</v>
      </c>
    </row>
    <row r="29" spans="1:11" ht="14.25" customHeight="1">
      <c r="B29" s="165" t="s">
        <v>22360</v>
      </c>
      <c r="C29" s="185">
        <f>C24*C12</f>
        <v>0.25</v>
      </c>
      <c r="D29" s="168" t="s">
        <v>22358</v>
      </c>
      <c r="E29" s="163" t="s">
        <v>22361</v>
      </c>
    </row>
    <row r="30" spans="1:11" ht="5.0999999999999996" customHeight="1">
      <c r="B30" s="165"/>
      <c r="C30" s="185"/>
      <c r="D30" s="168"/>
      <c r="E30" s="163"/>
    </row>
    <row r="31" spans="1:11" ht="14.25" customHeight="1">
      <c r="A31" s="179" t="s">
        <v>22362</v>
      </c>
      <c r="B31" s="180" t="s">
        <v>22363</v>
      </c>
      <c r="D31" s="168"/>
      <c r="E31" s="163"/>
      <c r="H31" s="186"/>
    </row>
    <row r="32" spans="1:11" ht="14.25" customHeight="1">
      <c r="B32" s="165" t="s">
        <v>22364</v>
      </c>
      <c r="C32" s="185">
        <f>C12*100*(C13*SIN(RADIANS(C15)))^2/1000</f>
        <v>0</v>
      </c>
      <c r="D32" s="168" t="s">
        <v>22358</v>
      </c>
      <c r="E32" s="163" t="s">
        <v>22365</v>
      </c>
      <c r="H32" s="186"/>
    </row>
    <row r="33" spans="1:8" ht="5.0999999999999996" customHeight="1">
      <c r="B33" s="165"/>
      <c r="C33" s="185"/>
      <c r="D33" s="168"/>
      <c r="E33" s="163"/>
    </row>
    <row r="34" spans="1:8" ht="14.25" customHeight="1">
      <c r="A34" s="179" t="s">
        <v>22366</v>
      </c>
      <c r="B34" s="180" t="s">
        <v>22367</v>
      </c>
      <c r="C34" s="185"/>
      <c r="D34" s="168"/>
      <c r="E34" s="163"/>
      <c r="H34" s="186"/>
    </row>
    <row r="35" spans="1:8" ht="14.25" customHeight="1">
      <c r="B35" s="165" t="s">
        <v>22368</v>
      </c>
      <c r="C35" s="185" t="e">
        <f>1/(((C18*100)^3/(3*Kalk5_Sys_50!C18*Kalk5_Eingabe!C38)/2)+(Kalk5_Eingabe!C19*100)^3/(48*Kalk5_Sys_50!C18*Kalk5_Eingabe!C36))</f>
        <v>#DIV/0!</v>
      </c>
      <c r="D35" s="168" t="s">
        <v>22369</v>
      </c>
      <c r="E35" s="163" t="s">
        <v>22370</v>
      </c>
    </row>
    <row r="36" spans="1:8" ht="14.25" customHeight="1">
      <c r="B36" s="165" t="s">
        <v>22371</v>
      </c>
      <c r="C36" s="185">
        <f>IF(C22="50/150",'Kalk5_DB_50-150'!C12,IF(Kalk5_Eingabe!C22="50/200",'Kalk5_DB_50-200'!C12,IF(Kalk5_Eingabe!C22="80/200",'Kalk5_DB_80-200'!C12,IF(Kalk5_Eingabe!C22="25/200",'Kalk5_DB_25-200'!C12))))</f>
        <v>62.14</v>
      </c>
      <c r="D36" s="151" t="s">
        <v>22372</v>
      </c>
      <c r="E36" s="163" t="s">
        <v>22373</v>
      </c>
    </row>
    <row r="37" spans="1:8" ht="14.25" customHeight="1">
      <c r="B37" s="165" t="s">
        <v>22374</v>
      </c>
      <c r="C37" s="185" t="e">
        <f>3*Kalk5_Sys_50!C18*Kalk5_Eingabe!C38/(Kalk5_Eingabe!C18*100)^3</f>
        <v>#DIV/0!</v>
      </c>
      <c r="D37" s="168" t="s">
        <v>22369</v>
      </c>
      <c r="E37" s="163" t="s">
        <v>22375</v>
      </c>
    </row>
    <row r="38" spans="1:8" ht="14.25" customHeight="1">
      <c r="B38" s="165" t="s">
        <v>22376</v>
      </c>
      <c r="C38" s="185">
        <f>IF(C21="System 50",Kalk5_Sys_50!C13,IF(C21="System 80 (Klein)",Kalk5_Sys_80k!C13,IF(Kalk5_Eingabe!C21="System 80 (Gross)",Kalk5_Sys_80g!C13)))</f>
        <v>723.81</v>
      </c>
      <c r="D38" s="151" t="s">
        <v>22372</v>
      </c>
      <c r="E38" s="163" t="s">
        <v>22377</v>
      </c>
    </row>
    <row r="39" spans="1:8" ht="14.25" customHeight="1">
      <c r="B39" s="165" t="s">
        <v>22378</v>
      </c>
      <c r="C39" s="185" t="e">
        <f>C13*SIN(RADIANS(C15))*(C14*C35*100)^0.5</f>
        <v>#DIV/0!</v>
      </c>
      <c r="D39" s="168" t="s">
        <v>22379</v>
      </c>
      <c r="E39" s="163" t="s">
        <v>22380</v>
      </c>
      <c r="H39" s="185"/>
    </row>
    <row r="40" spans="1:8" ht="14.25" customHeight="1">
      <c r="B40" s="165" t="s">
        <v>22381</v>
      </c>
      <c r="C40" s="185" t="e">
        <f>C13*SIN(RADIANS(C15))*(C14*(C37*100))^0.5</f>
        <v>#DIV/0!</v>
      </c>
      <c r="D40" s="168" t="s">
        <v>22379</v>
      </c>
      <c r="E40" s="163" t="s">
        <v>22382</v>
      </c>
    </row>
    <row r="41" spans="1:8" ht="14.25" customHeight="1">
      <c r="B41" s="165" t="s">
        <v>22383</v>
      </c>
      <c r="C41" s="152">
        <f>Kalk5_Lastfallkombi!P99</f>
        <v>0</v>
      </c>
      <c r="E41" s="163" t="s">
        <v>22384</v>
      </c>
    </row>
    <row r="42" spans="1:8" ht="5.0999999999999996" customHeight="1">
      <c r="B42" s="165"/>
      <c r="C42" s="185"/>
      <c r="D42" s="168"/>
      <c r="E42" s="163"/>
    </row>
    <row r="43" spans="1:8" ht="14.25" customHeight="1">
      <c r="A43" s="179" t="s">
        <v>22385</v>
      </c>
      <c r="B43" s="180" t="s">
        <v>22386</v>
      </c>
      <c r="C43" s="185"/>
      <c r="D43" s="168"/>
      <c r="E43" s="163"/>
    </row>
    <row r="44" spans="1:8" ht="14.25" customHeight="1">
      <c r="B44" s="165" t="s">
        <v>22387</v>
      </c>
      <c r="C44" s="185">
        <f>1/((((C24-0.25)*100)^3/(3*Kalk5_Sys_50!C18*Kalk5_Eingabe!C38)/2)+(Kalk5_Eingabe!C19*100)^3/(48*Kalk5_Sys_50!C18*Kalk5_Eingabe!C36))</f>
        <v>-2668.8632098765429</v>
      </c>
      <c r="D44" s="168" t="s">
        <v>22369</v>
      </c>
      <c r="E44" s="163" t="s">
        <v>22370</v>
      </c>
    </row>
    <row r="45" spans="1:8" ht="14.25" customHeight="1">
      <c r="B45" s="165" t="s">
        <v>22388</v>
      </c>
      <c r="C45" s="185">
        <f>3*Kalk5_Sys_50!C18*Kalk5_Eingabe!C38/((Kalk5_Eingabe!C24-0.25)*100)^3</f>
        <v>-1334.4316049382714</v>
      </c>
      <c r="D45" s="168" t="s">
        <v>22369</v>
      </c>
      <c r="E45" s="163" t="s">
        <v>22375</v>
      </c>
    </row>
    <row r="46" spans="1:8" ht="14.25" customHeight="1">
      <c r="B46" s="165" t="s">
        <v>22378</v>
      </c>
      <c r="C46" s="185" t="e">
        <f>C13*SIN(RADIANS(C15))*(C14*C44*100)^0.5</f>
        <v>#NUM!</v>
      </c>
      <c r="D46" s="168" t="s">
        <v>22379</v>
      </c>
      <c r="E46" s="163" t="s">
        <v>22380</v>
      </c>
    </row>
    <row r="47" spans="1:8" ht="14.25" customHeight="1">
      <c r="B47" s="165" t="s">
        <v>22381</v>
      </c>
      <c r="C47" s="185" t="e">
        <f>C13*SIN(RADIANS(C15))*(C14*(C45*100))^0.5</f>
        <v>#NUM!</v>
      </c>
      <c r="D47" s="168" t="s">
        <v>22379</v>
      </c>
      <c r="E47" s="163" t="s">
        <v>22382</v>
      </c>
    </row>
    <row r="48" spans="1:8" ht="14.25" customHeight="1">
      <c r="B48" s="165" t="s">
        <v>22389</v>
      </c>
      <c r="C48" s="152">
        <f>ROUNDUP(50/Kalk5_Lastfallkombi!C14,0)</f>
        <v>3</v>
      </c>
      <c r="E48" s="163" t="s">
        <v>22384</v>
      </c>
    </row>
    <row r="49" spans="7:11" ht="14.25" customHeight="1"/>
    <row r="50" spans="7:11" ht="14.25" customHeight="1"/>
    <row r="51" spans="7:11" ht="14.25" customHeight="1"/>
    <row r="52" spans="7:11" ht="14.25" customHeight="1"/>
    <row r="53" spans="7:11" ht="14.25" customHeight="1">
      <c r="G53" s="545" t="s">
        <v>22591</v>
      </c>
      <c r="H53" s="545"/>
      <c r="I53" s="545"/>
      <c r="J53" s="545"/>
    </row>
    <row r="54" spans="7:11" ht="14.25" customHeight="1">
      <c r="G54" s="545" t="s">
        <v>21042</v>
      </c>
      <c r="H54" s="545"/>
      <c r="I54" s="443" t="e">
        <f>IF(C22=H24,MAX('Kalk5_DB_80-200'!C33,'Kalk5_DB_80-200'!C41),IF(C22=H23,MAX('Kalk5_DB_50-200'!C33,'Kalk5_DB_50-200'!C41),IF(C22=H22,MAX('Kalk5_DB_50-150'!C33,'Kalk5_DB_50-150'!C41),IF(C22=H21,MAX('Kalk5_DB_25-200'!C33,'Kalk5_DB_25-200'!C41),0))))</f>
        <v>#DIV/0!</v>
      </c>
      <c r="J54" s="443"/>
    </row>
    <row r="55" spans="7:11" ht="14.25" customHeight="1">
      <c r="G55" s="545" t="s">
        <v>19090</v>
      </c>
      <c r="H55" s="545"/>
      <c r="I55" s="260" t="s">
        <v>22590</v>
      </c>
      <c r="J55" s="252">
        <f>IF(C22=H24,Haftungsausschluß!L34/'Kalk5_DB_80-200'!C48,IF(C22=H23,Haftungsausschluß!L34/'Kalk5_DB_50-200'!C48,IF(C22=H22,Haftungsausschluß!L34/'Kalk5_DB_50-150'!C48,IF(C22=H21,Haftungsausschluß!L34/'Kalk5_DB_25-200'!C48,0))))</f>
        <v>176753777.77777779</v>
      </c>
      <c r="K55" s="259"/>
    </row>
    <row r="56" spans="7:11" ht="14.25" customHeight="1">
      <c r="G56" s="545" t="s">
        <v>19950</v>
      </c>
      <c r="H56" s="545"/>
      <c r="I56" s="443" t="e">
        <f>IF(C22=H24,'Kalk5_DB_80-200'!C57,IF(C22=H23,'Kalk5_DB_50-200'!C57,IF(C22=H22,'Kalk5_DB_50-150'!C57,IF(C22=H21,'Kalk5_DB_25-200'!C57,0))))</f>
        <v>#DIV/0!</v>
      </c>
      <c r="J56" s="443"/>
    </row>
    <row r="57" spans="7:11" ht="14.25" customHeight="1">
      <c r="H57" s="165"/>
      <c r="I57" s="257"/>
      <c r="J57" s="258"/>
    </row>
    <row r="58" spans="7:11" ht="14.25" customHeight="1">
      <c r="G58" s="545" t="s">
        <v>22589</v>
      </c>
      <c r="H58" s="545"/>
      <c r="I58" s="545"/>
      <c r="J58" s="545"/>
    </row>
    <row r="59" spans="7:11" ht="14.25" customHeight="1">
      <c r="G59" s="545" t="s">
        <v>21042</v>
      </c>
      <c r="H59" s="545"/>
      <c r="I59" s="443" t="e">
        <f>IF(C21=H18,MAX(Kalk5_Sys_80k!C42,Kalk5_Sys_80k!C51),IF(C21=H19,MAX(Kalk5_Sys_80g!C42,Kalk5_Sys_80g!C51),IF(C21=H17,MAX(Kalk5_Sys_50!C42,Kalk5_Sys_50!C51),0)))</f>
        <v>#NUM!</v>
      </c>
      <c r="J59" s="443"/>
    </row>
    <row r="60" spans="7:11" ht="14.25" customHeight="1">
      <c r="G60" s="545" t="s">
        <v>19090</v>
      </c>
      <c r="H60" s="545"/>
      <c r="I60" s="260" t="s">
        <v>22590</v>
      </c>
      <c r="J60" s="252" t="e">
        <f>IF(C21=H18,Haftungsausschluß!L34/Kalk5_Sys_80k!C70,IF(C21=H19,Haftungsausschluß!L34/Kalk5_Sys_80g!C70,IF(C21=H17,Haftungsausschluß!L34/Kalk5_Sys_50!C70,0)))</f>
        <v>#DIV/0!</v>
      </c>
      <c r="K60" s="259"/>
    </row>
    <row r="61" spans="7:11" ht="14.25" customHeight="1">
      <c r="G61" s="545" t="s">
        <v>19950</v>
      </c>
      <c r="H61" s="545"/>
      <c r="I61" s="443" t="e">
        <f>IF(C21=H18,MAX(Kalk5_Sys_80k!C41,Kalk5_Sys_80k!C50),IF(C21=H19,MAX(Kalk5_Sys_80g!C41,Kalk5_Sys_80g!C50),IF(C21=H17,MAX(Kalk5_Sys_50!C41,Kalk5_Sys_50!C50),0)))</f>
        <v>#NUM!</v>
      </c>
      <c r="J61" s="443"/>
    </row>
    <row r="62" spans="7:11" ht="14.25" customHeight="1"/>
    <row r="63" spans="7:11" ht="14.25" customHeight="1"/>
    <row r="64" spans="7: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sheetData>
  <mergeCells count="15">
    <mergeCell ref="G60:H60"/>
    <mergeCell ref="G61:H61"/>
    <mergeCell ref="I61:J61"/>
    <mergeCell ref="G55:H55"/>
    <mergeCell ref="G56:H56"/>
    <mergeCell ref="I56:J56"/>
    <mergeCell ref="G58:J58"/>
    <mergeCell ref="G59:H59"/>
    <mergeCell ref="I59:J59"/>
    <mergeCell ref="B1:C1"/>
    <mergeCell ref="C4:E4"/>
    <mergeCell ref="C5:E5"/>
    <mergeCell ref="G53:J53"/>
    <mergeCell ref="G54:H54"/>
    <mergeCell ref="I54:J54"/>
  </mergeCells>
  <dataValidations count="1">
    <dataValidation type="list" allowBlank="1" showInputMessage="1" showErrorMessage="1" sqref="C23" xr:uid="{76950EA7-FC83-423E-856F-6F49E931452F}">
      <formula1>"1/150,1/300"</formula1>
    </dataValidation>
  </dataValidations>
  <pageMargins left="0.7" right="0.7" top="0.78740157499999996" bottom="0.78740157499999996"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F5511-2DC7-4EC0-A8C4-0F7C0A7B4E02}">
  <sheetPr codeName="Tabelle60"/>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44894</v>
      </c>
      <c r="H3" s="156" t="s">
        <v>22312</v>
      </c>
      <c r="I3" s="158" t="s">
        <v>22313</v>
      </c>
    </row>
    <row r="4" spans="1:9" ht="16.5" customHeight="1">
      <c r="A4" s="148"/>
      <c r="B4" s="160" t="s">
        <v>22316</v>
      </c>
      <c r="C4" s="547" t="str">
        <f>Kalk5_Eingabe!C4</f>
        <v>PREFA</v>
      </c>
      <c r="D4" s="547"/>
      <c r="E4" s="548"/>
      <c r="F4" s="150"/>
      <c r="G4" s="150"/>
      <c r="H4" s="151"/>
      <c r="I4" s="148"/>
    </row>
    <row r="5" spans="1:9" ht="16.5" customHeight="1">
      <c r="A5" s="148"/>
      <c r="B5" s="164" t="s">
        <v>22319</v>
      </c>
      <c r="C5" s="549" t="str">
        <f>Kalk5_Eingabe!C5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22390</v>
      </c>
      <c r="C7" s="148"/>
      <c r="D7" s="168"/>
      <c r="E7" s="168"/>
      <c r="F7" s="148"/>
      <c r="G7" s="148"/>
      <c r="H7" s="148"/>
      <c r="I7" s="148"/>
    </row>
    <row r="8" spans="1:9" ht="16.5" customHeight="1">
      <c r="A8" s="148"/>
      <c r="B8" s="170" t="s">
        <v>22391</v>
      </c>
      <c r="C8" s="148"/>
      <c r="D8" s="168"/>
      <c r="E8" s="168"/>
      <c r="F8" s="148"/>
      <c r="G8" s="148"/>
      <c r="H8" s="148"/>
      <c r="I8" s="148"/>
    </row>
    <row r="9" spans="1:9" ht="14.25" customHeight="1">
      <c r="A9" s="148"/>
      <c r="B9" s="148"/>
      <c r="C9" s="148"/>
      <c r="D9" s="168"/>
      <c r="E9" s="168"/>
      <c r="F9" s="148"/>
      <c r="G9" s="148"/>
      <c r="H9" s="148"/>
      <c r="I9" s="148"/>
    </row>
    <row r="10" spans="1:9" ht="14.25" customHeight="1">
      <c r="A10" s="171" t="s">
        <v>22327</v>
      </c>
      <c r="B10" s="172" t="s">
        <v>22392</v>
      </c>
      <c r="C10" s="148"/>
      <c r="D10" s="168"/>
      <c r="E10" s="168"/>
      <c r="F10" s="148"/>
      <c r="G10" s="148"/>
      <c r="H10" s="148"/>
      <c r="I10" s="148"/>
    </row>
    <row r="11" spans="1:9" ht="14.25" customHeight="1">
      <c r="A11" s="148"/>
      <c r="B11" s="175" t="s">
        <v>22393</v>
      </c>
      <c r="C11" s="187">
        <v>38.46</v>
      </c>
      <c r="D11" s="168" t="s">
        <v>22394</v>
      </c>
      <c r="E11" s="163" t="s">
        <v>22395</v>
      </c>
      <c r="F11" s="177"/>
      <c r="G11" s="148"/>
      <c r="H11" s="148"/>
      <c r="I11" s="148"/>
    </row>
    <row r="12" spans="1:9" ht="14.25" customHeight="1">
      <c r="A12" s="148"/>
      <c r="B12" s="175" t="s">
        <v>22396</v>
      </c>
      <c r="C12" s="187">
        <v>7.13</v>
      </c>
      <c r="D12" s="151" t="s">
        <v>22394</v>
      </c>
      <c r="E12" s="163" t="s">
        <v>22397</v>
      </c>
      <c r="F12" s="177"/>
      <c r="G12" s="148"/>
      <c r="H12" s="148"/>
      <c r="I12" s="148"/>
    </row>
    <row r="13" spans="1:9" ht="14.25" customHeight="1">
      <c r="A13" s="179"/>
      <c r="B13" s="175" t="s">
        <v>22398</v>
      </c>
      <c r="C13" s="187">
        <v>723.81</v>
      </c>
      <c r="D13" s="151" t="s">
        <v>22372</v>
      </c>
      <c r="E13" s="163" t="s">
        <v>22399</v>
      </c>
      <c r="F13" s="178"/>
      <c r="G13" s="181"/>
      <c r="H13" s="148"/>
      <c r="I13" s="148"/>
    </row>
    <row r="14" spans="1:9" ht="14.25" customHeight="1">
      <c r="A14" s="148"/>
      <c r="B14" s="162" t="s">
        <v>22400</v>
      </c>
      <c r="C14" s="187">
        <v>101.99</v>
      </c>
      <c r="D14" s="168" t="s">
        <v>22401</v>
      </c>
      <c r="E14" s="183" t="s">
        <v>22402</v>
      </c>
      <c r="F14" s="177"/>
      <c r="G14" s="148"/>
      <c r="H14" s="148"/>
      <c r="I14" s="148"/>
    </row>
    <row r="15" spans="1:9" ht="14.25" customHeight="1">
      <c r="B15" s="162" t="s">
        <v>22403</v>
      </c>
      <c r="C15" s="187">
        <v>150.66999999999999</v>
      </c>
      <c r="D15" s="168" t="s">
        <v>22401</v>
      </c>
      <c r="E15" s="183" t="s">
        <v>22404</v>
      </c>
    </row>
    <row r="16" spans="1:9"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20</v>
      </c>
      <c r="D19" s="168" t="s">
        <v>22408</v>
      </c>
      <c r="E19" s="183"/>
    </row>
    <row r="20" spans="1:18" ht="14.25" customHeight="1">
      <c r="B20" s="165" t="s">
        <v>22410</v>
      </c>
      <c r="C20" s="185">
        <v>24.5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Kalk5_Lastfallkombi!C31*Kalk5_Eingabe!C18/2*Kalk5_Eingabe!C19</f>
        <v>0</v>
      </c>
      <c r="D27" s="191">
        <f>Kalk5_Lastfallkombi!C19*Kalk5_Eingabe!C24/2*Kalk5_Eingabe!C19</f>
        <v>0</v>
      </c>
      <c r="E27" s="168" t="s">
        <v>22379</v>
      </c>
      <c r="F27" s="183" t="s">
        <v>22425</v>
      </c>
      <c r="O27" s="188" t="s">
        <v>22414</v>
      </c>
      <c r="P27" s="189"/>
      <c r="Q27" s="189"/>
      <c r="R27" s="190"/>
    </row>
    <row r="28" spans="1:18" ht="14.25" customHeight="1">
      <c r="B28" s="178" t="s">
        <v>22427</v>
      </c>
      <c r="C28" s="191">
        <f>Kalk5_Lastfallkombi!C31*Kalk5_Eingabe!C18/2*(Kalk5_Eingabe!C18/3+Kalk5_Sys_50!C25/100)*Kalk5_Eingabe!C19</f>
        <v>0</v>
      </c>
      <c r="D28" s="191">
        <f>Kalk5_Lastfallkombi!C19*Kalk5_Eingabe!C24/2*(Kalk5_Eingabe!C24/3+Kalk5_Sys_50!C25/100)*Kalk5_Eingabe!C19</f>
        <v>0</v>
      </c>
      <c r="E28" s="168" t="s">
        <v>22428</v>
      </c>
      <c r="F28" s="183" t="s">
        <v>22429</v>
      </c>
      <c r="O28" s="178" t="s">
        <v>22418</v>
      </c>
      <c r="P28" s="191">
        <f>(Kalk5_Lastfallkombi!C31*Kalk5_Eingabe!C18/2*(Kalk5_Eingabe!C18/3+Kalk5_Sys_50!C25/100)*Kalk5_Eingabe!C19)/(P26/100)</f>
        <v>0</v>
      </c>
      <c r="Q28" s="189"/>
      <c r="R28" s="168" t="s">
        <v>22379</v>
      </c>
    </row>
    <row r="29" spans="1:18" ht="14.25" customHeight="1">
      <c r="B29" s="178" t="s">
        <v>22431</v>
      </c>
      <c r="C29" s="191">
        <f>Kalk5_Lastfallkombi!C32*Kalk5_Eingabe!C18*Kalk5_Eingabe!C19</f>
        <v>0</v>
      </c>
      <c r="D29" s="191">
        <f>Kalk5_Lastfallkombi!C20*Kalk5_Eingabe!C24*Kalk5_Eingabe!C19</f>
        <v>0</v>
      </c>
      <c r="E29" s="168" t="s">
        <v>22379</v>
      </c>
      <c r="F29" s="183" t="s">
        <v>22432</v>
      </c>
      <c r="O29" s="178" t="s">
        <v>22421</v>
      </c>
      <c r="P29" s="191">
        <f>P28+C27</f>
        <v>0</v>
      </c>
      <c r="Q29" s="189"/>
      <c r="R29" s="168" t="s">
        <v>22379</v>
      </c>
    </row>
    <row r="30" spans="1:18" ht="14.25" customHeight="1">
      <c r="B30" s="178" t="s">
        <v>22434</v>
      </c>
      <c r="C30" s="191">
        <f>Kalk5_Lastfallkombi!C32*Kalk5_Eingabe!C18*(Kalk5_Eingabe!C18/2+C25/100)*Kalk5_Eingabe!C19</f>
        <v>0</v>
      </c>
      <c r="D30" s="191">
        <f>Kalk5_Lastfallkombi!C20*Kalk5_Eingabe!C24*(Kalk5_Eingabe!C24/2+C25/100)*Kalk5_Eingabe!C19</f>
        <v>0</v>
      </c>
      <c r="E30" s="168" t="s">
        <v>22428</v>
      </c>
      <c r="F30" s="183" t="s">
        <v>22435</v>
      </c>
      <c r="O30" s="178" t="s">
        <v>22423</v>
      </c>
      <c r="P30" s="191">
        <f>Kalk5_Lastfallkombi!C32*Kalk5_Eingabe!C18*Kalk5_Eingabe!C19/(P26/100)</f>
        <v>0</v>
      </c>
      <c r="Q30" s="189"/>
      <c r="R30" s="168" t="s">
        <v>22379</v>
      </c>
    </row>
    <row r="31" spans="1:18" ht="14.25" customHeight="1">
      <c r="B31" s="178" t="s">
        <v>22436</v>
      </c>
      <c r="C31" s="191" t="e">
        <f>Kalk5_Lastfallkombi!C40</f>
        <v>#DIV/0!</v>
      </c>
      <c r="D31" s="191" t="e">
        <f>Kalk5_Lastfallkombi!C28</f>
        <v>#NUM!</v>
      </c>
      <c r="E31" s="168" t="s">
        <v>22379</v>
      </c>
      <c r="F31" s="183" t="s">
        <v>22437</v>
      </c>
      <c r="O31" s="178" t="s">
        <v>22426</v>
      </c>
      <c r="P31" s="191">
        <f>P30+C29</f>
        <v>0</v>
      </c>
      <c r="Q31" s="189"/>
      <c r="R31" s="168" t="s">
        <v>22379</v>
      </c>
    </row>
    <row r="32" spans="1:18" ht="14.25" customHeight="1" thickBot="1">
      <c r="B32" s="178" t="s">
        <v>22438</v>
      </c>
      <c r="C32" s="191" t="e">
        <f>C31*(Kalk5_Eingabe!C18+C25/100)</f>
        <v>#DIV/0!</v>
      </c>
      <c r="D32" s="191" t="e">
        <f>D31*(Kalk5_Eingabe!C24-0.25+C25/100)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74.845589442218753</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1.4773016962447298</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19.990039999999997</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Kalk5_Lastfallkombi!D31*Kalk5_Eingabe!C19</f>
        <v>0</v>
      </c>
      <c r="D55" s="185">
        <f>Kalk5_Lastfallkombi!D19*Kalk5_Eingabe!C19</f>
        <v>0</v>
      </c>
      <c r="E55" s="168" t="s">
        <v>22469</v>
      </c>
    </row>
    <row r="56" spans="1:7" ht="14.25" customHeight="1">
      <c r="B56" s="178" t="s">
        <v>22470</v>
      </c>
      <c r="C56" s="185">
        <f>C55/100*(Kalk5_Eingabe!C18*100)^4/(30*Kalk5_Sys_50!C13*Kalk5_Sys_50!C18)</f>
        <v>0</v>
      </c>
      <c r="D56" s="185">
        <f>D55/100*(Kalk5_Eingabe!C24*100)^4/(30*Kalk5_Sys_50!C13*Kalk5_Sys_50!C18)</f>
        <v>0</v>
      </c>
      <c r="E56" s="168" t="s">
        <v>22416</v>
      </c>
    </row>
    <row r="57" spans="1:7" ht="14.25" customHeight="1">
      <c r="B57" s="178" t="s">
        <v>22471</v>
      </c>
      <c r="C57" s="185">
        <f>Kalk5_Lastfallkombi!D32*Kalk5_Eingabe!C19</f>
        <v>0</v>
      </c>
      <c r="D57" s="185">
        <f>Kalk5_Lastfallkombi!D20*Kalk5_Eingabe!C19</f>
        <v>0</v>
      </c>
      <c r="E57" s="168" t="s">
        <v>22469</v>
      </c>
    </row>
    <row r="58" spans="1:7" ht="14.25" customHeight="1">
      <c r="B58" s="178" t="s">
        <v>22472</v>
      </c>
      <c r="C58" s="185">
        <f>C57/100*(Kalk5_Eingabe!C18*100)^4/(8*Kalk5_Sys_50!C13*Kalk5_Sys_50!C18)</f>
        <v>0</v>
      </c>
      <c r="D58" s="185">
        <f>D57/100*(Kalk5_Eingabe!C24*100)^4/(8*Kalk5_Sys_50!C13*Kalk5_Sys_50!C18)</f>
        <v>0</v>
      </c>
      <c r="E58" s="168" t="s">
        <v>22416</v>
      </c>
      <c r="G58" s="185"/>
    </row>
    <row r="59" spans="1:7" ht="14.25" customHeight="1" thickBot="1">
      <c r="B59" s="178" t="s">
        <v>22473</v>
      </c>
      <c r="C59" s="185">
        <f>IF(Kalk5_Eingabe!C23="1/150",Kalk5_Eingabe!C18*100/150,IF(Kalk5_Eingabe!C23="1/300",Kalk5_Eingabe!C18*100/300))</f>
        <v>0</v>
      </c>
      <c r="D59" s="185">
        <f>IF(Kalk5_Eingabe!C23="1/150",Kalk5_Eingabe!C24*100/150,IF(Kalk5_Eingabe!C23="1/300",Kalk5_Eingabe!C24*100/300))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Kalk5_Lastfallkombi!D31*Kalk5_Eingabe!C19</f>
        <v>0</v>
      </c>
      <c r="D62" s="185">
        <f>Kalk5_Lastfallkombi!D19*Kalk5_Eingabe!C19</f>
        <v>0</v>
      </c>
      <c r="E62" s="168" t="s">
        <v>22469</v>
      </c>
    </row>
    <row r="63" spans="1:7" ht="14.25" customHeight="1">
      <c r="B63" s="178" t="s">
        <v>22470</v>
      </c>
      <c r="C63" s="185">
        <f>C62/100*(Kalk5_Eingabe!C18*100)^4/(30*Kalk5_Sys_50!C13*Kalk5_Sys_50!C18)</f>
        <v>0</v>
      </c>
      <c r="D63" s="185">
        <f>D62/100*(Kalk5_Eingabe!C24*100)^4/(30*Kalk5_Sys_50!C13*Kalk5_Sys_50!C18)</f>
        <v>0</v>
      </c>
      <c r="E63" s="168" t="s">
        <v>22416</v>
      </c>
    </row>
    <row r="64" spans="1:7" ht="14.25" customHeight="1">
      <c r="B64" s="178" t="s">
        <v>22471</v>
      </c>
      <c r="C64" s="185">
        <f>Kalk5_Lastfallkombi!D32*Kalk5_Eingabe!C19</f>
        <v>0</v>
      </c>
      <c r="D64" s="185">
        <f>Kalk5_Lastfallkombi!D20*Kalk5_Eingabe!C19</f>
        <v>0</v>
      </c>
      <c r="E64" s="168" t="s">
        <v>22469</v>
      </c>
    </row>
    <row r="65" spans="2:5" ht="14.25" customHeight="1">
      <c r="B65" s="178" t="s">
        <v>22472</v>
      </c>
      <c r="C65" s="185">
        <f>C64/100*(Kalk5_Eingabe!C18*100)^4/(8*Kalk5_Sys_50!C13*Kalk5_Sys_50!C18)</f>
        <v>0</v>
      </c>
      <c r="D65" s="185">
        <f>D64/100*(Kalk5_Eingabe!C24*100)^4/(8*Kalk5_Sys_50!C13*Kalk5_Sys_50!C18)</f>
        <v>0</v>
      </c>
      <c r="E65" s="168" t="s">
        <v>22416</v>
      </c>
    </row>
    <row r="66" spans="2:5" ht="14.25" customHeight="1">
      <c r="B66" s="165" t="s">
        <v>22476</v>
      </c>
      <c r="C66" s="185" t="e">
        <f>Kalk5_Lastfallkombi!D40</f>
        <v>#DIV/0!</v>
      </c>
      <c r="D66" s="185" t="e">
        <f>Kalk5_Lastfallkombi!D28</f>
        <v>#NUM!</v>
      </c>
      <c r="E66" s="168" t="s">
        <v>22379</v>
      </c>
    </row>
    <row r="67" spans="2:5" ht="14.25" customHeight="1">
      <c r="B67" s="165" t="s">
        <v>22477</v>
      </c>
      <c r="C67" s="185" t="e">
        <f>C66*(Kalk5_Eingabe!C18*100)^3/(3*Kalk5_Sys_50!C18*Kalk5_Sys_50!C13)</f>
        <v>#DIV/0!</v>
      </c>
      <c r="D67" s="185" t="e">
        <f>D66*((Kalk5_Eingabe!C24-0.25)*100)^3/(3*Kalk5_Sys_50!C18*Kalk5_Sys_50!C13)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Kalk5_Eingabe!C18*100/150</f>
        <v>0</v>
      </c>
      <c r="D69" s="185">
        <f>Kalk5_Eingabe!C24*100/150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27" priority="10" operator="greaterThan">
      <formula>1</formula>
    </cfRule>
    <cfRule type="dataBar" priority="11">
      <dataBar>
        <cfvo type="num" val="0"/>
        <cfvo type="num" val="0.99"/>
        <color rgb="FF638EC6"/>
      </dataBar>
      <extLst>
        <ext xmlns:x14="http://schemas.microsoft.com/office/spreadsheetml/2009/9/main" uri="{B025F937-C7B1-47D3-B67F-A62EFF666E3E}">
          <x14:id>{73075C13-7859-4373-BE34-1B6E5282B812}</x14:id>
        </ext>
      </extLst>
    </cfRule>
    <cfRule type="dataBar" priority="12">
      <dataBar>
        <cfvo type="num" val="0"/>
        <cfvo type="num" val="1"/>
        <color rgb="FF638EC6"/>
      </dataBar>
      <extLst>
        <ext xmlns:x14="http://schemas.microsoft.com/office/spreadsheetml/2009/9/main" uri="{B025F937-C7B1-47D3-B67F-A62EFF666E3E}">
          <x14:id>{E7268BAC-FED7-47D7-A373-3CAE879184B8}</x14:id>
        </ext>
      </extLst>
    </cfRule>
  </conditionalFormatting>
  <conditionalFormatting sqref="C50:C51">
    <cfRule type="cellIs" dxfId="26" priority="7" operator="greaterThan">
      <formula>1</formula>
    </cfRule>
    <cfRule type="dataBar" priority="8">
      <dataBar>
        <cfvo type="num" val="0"/>
        <cfvo type="num" val="0.99"/>
        <color rgb="FF638EC6"/>
      </dataBar>
      <extLst>
        <ext xmlns:x14="http://schemas.microsoft.com/office/spreadsheetml/2009/9/main" uri="{B025F937-C7B1-47D3-B67F-A62EFF666E3E}">
          <x14:id>{A1D56651-85D8-4E08-9421-91877FD8FF89}</x14:id>
        </ext>
      </extLst>
    </cfRule>
    <cfRule type="dataBar" priority="9">
      <dataBar>
        <cfvo type="num" val="0"/>
        <cfvo type="num" val="1"/>
        <color rgb="FF638EC6"/>
      </dataBar>
      <extLst>
        <ext xmlns:x14="http://schemas.microsoft.com/office/spreadsheetml/2009/9/main" uri="{B025F937-C7B1-47D3-B67F-A62EFF666E3E}">
          <x14:id>{D13FB891-2747-4845-91EC-BC0129B8DE9F}</x14:id>
        </ext>
      </extLst>
    </cfRule>
  </conditionalFormatting>
  <conditionalFormatting sqref="C60">
    <cfRule type="cellIs" dxfId="25" priority="4" operator="greaterThan">
      <formula>1</formula>
    </cfRule>
    <cfRule type="dataBar" priority="5">
      <dataBar>
        <cfvo type="num" val="0"/>
        <cfvo type="num" val="0.99"/>
        <color rgb="FF638EC6"/>
      </dataBar>
      <extLst>
        <ext xmlns:x14="http://schemas.microsoft.com/office/spreadsheetml/2009/9/main" uri="{B025F937-C7B1-47D3-B67F-A62EFF666E3E}">
          <x14:id>{0FD01C8C-1E90-4FBC-BF53-E0958E8045D5}</x14:id>
        </ext>
      </extLst>
    </cfRule>
    <cfRule type="dataBar" priority="6">
      <dataBar>
        <cfvo type="num" val="0"/>
        <cfvo type="num" val="1"/>
        <color rgb="FF638EC6"/>
      </dataBar>
      <extLst>
        <ext xmlns:x14="http://schemas.microsoft.com/office/spreadsheetml/2009/9/main" uri="{B025F937-C7B1-47D3-B67F-A62EFF666E3E}">
          <x14:id>{CB8C2283-8EC4-40E9-B015-2B5BF2168CBC}</x14:id>
        </ext>
      </extLst>
    </cfRule>
  </conditionalFormatting>
  <conditionalFormatting sqref="C70">
    <cfRule type="cellIs" dxfId="24" priority="1" operator="greaterThan">
      <formula>1</formula>
    </cfRule>
    <cfRule type="dataBar" priority="2">
      <dataBar>
        <cfvo type="num" val="0"/>
        <cfvo type="num" val="0.99"/>
        <color rgb="FF638EC6"/>
      </dataBar>
      <extLst>
        <ext xmlns:x14="http://schemas.microsoft.com/office/spreadsheetml/2009/9/main" uri="{B025F937-C7B1-47D3-B67F-A62EFF666E3E}">
          <x14:id>{4704F395-498F-4D6B-BD5D-042FBA42157D}</x14:id>
        </ext>
      </extLst>
    </cfRule>
    <cfRule type="dataBar" priority="3">
      <dataBar>
        <cfvo type="num" val="0"/>
        <cfvo type="num" val="1"/>
        <color rgb="FF638EC6"/>
      </dataBar>
      <extLst>
        <ext xmlns:x14="http://schemas.microsoft.com/office/spreadsheetml/2009/9/main" uri="{B025F937-C7B1-47D3-B67F-A62EFF666E3E}">
          <x14:id>{048A5A94-032D-4396-8B8B-8E268A45D84D}</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73075C13-7859-4373-BE34-1B6E5282B812}">
            <x14:dataBar minLength="0" maxLength="100">
              <x14:cfvo type="num">
                <xm:f>0</xm:f>
              </x14:cfvo>
              <x14:cfvo type="num">
                <xm:f>0.99</xm:f>
              </x14:cfvo>
              <x14:negativeFillColor rgb="FFFF0000"/>
              <x14:axisColor rgb="FF000000"/>
            </x14:dataBar>
          </x14:cfRule>
          <x14:cfRule type="dataBar" id="{E7268BAC-FED7-47D7-A373-3CAE879184B8}">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A1D56651-85D8-4E08-9421-91877FD8FF89}">
            <x14:dataBar minLength="0" maxLength="100">
              <x14:cfvo type="num">
                <xm:f>0</xm:f>
              </x14:cfvo>
              <x14:cfvo type="num">
                <xm:f>0.99</xm:f>
              </x14:cfvo>
              <x14:negativeFillColor rgb="FFFF0000"/>
              <x14:axisColor rgb="FF000000"/>
            </x14:dataBar>
          </x14:cfRule>
          <x14:cfRule type="dataBar" id="{D13FB891-2747-4845-91EC-BC0129B8DE9F}">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0FD01C8C-1E90-4FBC-BF53-E0958E8045D5}">
            <x14:dataBar minLength="0" maxLength="100">
              <x14:cfvo type="num">
                <xm:f>0</xm:f>
              </x14:cfvo>
              <x14:cfvo type="num">
                <xm:f>0.99</xm:f>
              </x14:cfvo>
              <x14:negativeFillColor rgb="FFFF0000"/>
              <x14:axisColor rgb="FF000000"/>
            </x14:dataBar>
          </x14:cfRule>
          <x14:cfRule type="dataBar" id="{CB8C2283-8EC4-40E9-B015-2B5BF2168CBC}">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4704F395-498F-4D6B-BD5D-042FBA42157D}">
            <x14:dataBar minLength="0" maxLength="100">
              <x14:cfvo type="num">
                <xm:f>0</xm:f>
              </x14:cfvo>
              <x14:cfvo type="num">
                <xm:f>0.99</xm:f>
              </x14:cfvo>
              <x14:negativeFillColor rgb="FFFF0000"/>
              <x14:axisColor rgb="FF000000"/>
            </x14:dataBar>
          </x14:cfRule>
          <x14:cfRule type="dataBar" id="{048A5A94-032D-4396-8B8B-8E268A45D84D}">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78000-1B6C-4323-AC37-E6249A6D66BD}">
  <sheetPr codeName="Tabelle61"/>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44894</v>
      </c>
      <c r="H3" s="156" t="s">
        <v>22312</v>
      </c>
      <c r="I3" s="158" t="s">
        <v>22313</v>
      </c>
    </row>
    <row r="4" spans="1:9" ht="16.5" customHeight="1">
      <c r="A4" s="148"/>
      <c r="B4" s="160" t="s">
        <v>22316</v>
      </c>
      <c r="C4" s="547" t="str">
        <f>Kalk5_Eingabe!C4</f>
        <v>PREFA</v>
      </c>
      <c r="D4" s="547"/>
      <c r="E4" s="548"/>
      <c r="F4" s="150"/>
      <c r="G4" s="150"/>
      <c r="H4" s="151"/>
      <c r="I4" s="148"/>
    </row>
    <row r="5" spans="1:9" ht="16.5" customHeight="1">
      <c r="A5" s="148"/>
      <c r="B5" s="164" t="s">
        <v>22319</v>
      </c>
      <c r="C5" s="549" t="str">
        <f>Kalk5_Eingabe!C5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22596</v>
      </c>
      <c r="C7" s="148"/>
      <c r="D7" s="168"/>
      <c r="E7" s="168"/>
      <c r="F7" s="148"/>
      <c r="G7" s="148"/>
      <c r="H7" s="148"/>
      <c r="I7" s="148"/>
    </row>
    <row r="8" spans="1:9" ht="16.5" customHeight="1">
      <c r="A8" s="148"/>
      <c r="B8" s="170" t="s">
        <v>22391</v>
      </c>
      <c r="C8" s="148"/>
      <c r="D8" s="168"/>
      <c r="E8" s="168"/>
      <c r="F8" s="148"/>
      <c r="G8" s="148"/>
      <c r="H8" s="148"/>
      <c r="I8" s="148"/>
    </row>
    <row r="9" spans="1:9" ht="14.25" customHeight="1">
      <c r="A9" s="148"/>
      <c r="B9" s="148"/>
      <c r="C9" s="148"/>
      <c r="D9" s="168"/>
      <c r="E9" s="168"/>
      <c r="F9" s="148"/>
      <c r="G9" s="148"/>
      <c r="H9" s="148"/>
      <c r="I9" s="148"/>
    </row>
    <row r="10" spans="1:9" ht="14.25" customHeight="1">
      <c r="A10" s="171" t="s">
        <v>22327</v>
      </c>
      <c r="B10" s="172" t="s">
        <v>22392</v>
      </c>
      <c r="C10" s="148"/>
      <c r="D10" s="168"/>
      <c r="E10" s="168"/>
      <c r="F10" s="148"/>
      <c r="G10" s="148"/>
      <c r="H10" s="148"/>
      <c r="I10" s="148"/>
    </row>
    <row r="11" spans="1:9" ht="14.25" customHeight="1">
      <c r="A11" s="148"/>
      <c r="B11" s="175" t="s">
        <v>22393</v>
      </c>
      <c r="C11" s="187">
        <v>38.74</v>
      </c>
      <c r="D11" s="168" t="s">
        <v>22394</v>
      </c>
      <c r="E11" s="163" t="s">
        <v>22395</v>
      </c>
      <c r="F11" s="177"/>
      <c r="G11" s="148"/>
      <c r="H11" s="148"/>
      <c r="I11" s="148"/>
    </row>
    <row r="12" spans="1:9" ht="14.25" customHeight="1">
      <c r="A12" s="148"/>
      <c r="B12" s="175" t="s">
        <v>22396</v>
      </c>
      <c r="C12" s="187">
        <v>7.58</v>
      </c>
      <c r="D12" s="151" t="s">
        <v>22394</v>
      </c>
      <c r="E12" s="163" t="s">
        <v>22397</v>
      </c>
      <c r="F12" s="177"/>
      <c r="G12" s="148"/>
      <c r="H12" s="148"/>
      <c r="I12" s="148"/>
    </row>
    <row r="13" spans="1:9" ht="14.25" customHeight="1">
      <c r="A13" s="179"/>
      <c r="B13" s="175" t="s">
        <v>22398</v>
      </c>
      <c r="C13" s="187">
        <v>1047.58</v>
      </c>
      <c r="D13" s="151" t="s">
        <v>22372</v>
      </c>
      <c r="E13" s="163" t="s">
        <v>22399</v>
      </c>
      <c r="F13" s="178"/>
      <c r="G13" s="181"/>
      <c r="H13" s="148"/>
      <c r="I13" s="148"/>
    </row>
    <row r="14" spans="1:9" ht="14.25" customHeight="1">
      <c r="A14" s="148"/>
      <c r="B14" s="162" t="s">
        <v>22400</v>
      </c>
      <c r="C14" s="187">
        <v>147.32</v>
      </c>
      <c r="D14" s="168" t="s">
        <v>22401</v>
      </c>
      <c r="E14" s="183" t="s">
        <v>22402</v>
      </c>
      <c r="F14" s="177"/>
      <c r="G14" s="148"/>
      <c r="H14" s="148"/>
      <c r="I14" s="148"/>
    </row>
    <row r="15" spans="1:9" ht="14.25" customHeight="1">
      <c r="B15" s="162" t="s">
        <v>22403</v>
      </c>
      <c r="C15" s="187">
        <v>192.51</v>
      </c>
      <c r="D15" s="168" t="s">
        <v>22401</v>
      </c>
      <c r="E15" s="183" t="s">
        <v>22404</v>
      </c>
    </row>
    <row r="16" spans="1:9"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18</v>
      </c>
      <c r="D19" s="168" t="s">
        <v>22408</v>
      </c>
      <c r="E19" s="183"/>
    </row>
    <row r="20" spans="1:18" ht="14.25" customHeight="1">
      <c r="B20" s="165" t="s">
        <v>22410</v>
      </c>
      <c r="C20" s="185">
        <v>22.5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Kalk5_Lastfallkombi!C31*Kalk5_Eingabe!C18/2*Kalk5_Eingabe!C19</f>
        <v>0</v>
      </c>
      <c r="D27" s="191">
        <f>Kalk5_Lastfallkombi!C19*Kalk5_Eingabe!C24/2*Kalk5_Eingabe!C19</f>
        <v>0</v>
      </c>
      <c r="E27" s="168" t="s">
        <v>22379</v>
      </c>
      <c r="F27" s="183" t="s">
        <v>22425</v>
      </c>
      <c r="O27" s="188" t="s">
        <v>22414</v>
      </c>
      <c r="P27" s="189"/>
      <c r="Q27" s="189"/>
      <c r="R27" s="190"/>
    </row>
    <row r="28" spans="1:18" ht="14.25" customHeight="1">
      <c r="B28" s="178" t="s">
        <v>22427</v>
      </c>
      <c r="C28" s="191">
        <f>Kalk5_Lastfallkombi!C31*Kalk5_Eingabe!C18/2*(Kalk5_Eingabe!C18/3+Kalk5_Sys_80k!C25/100)*Kalk5_Eingabe!C19</f>
        <v>0</v>
      </c>
      <c r="D28" s="191">
        <f>Kalk5_Lastfallkombi!C19*Kalk5_Eingabe!C24/2*(Kalk5_Eingabe!C24/3+Kalk5_Sys_80k!C25/100)*Kalk5_Eingabe!C19</f>
        <v>0</v>
      </c>
      <c r="E28" s="168" t="s">
        <v>22428</v>
      </c>
      <c r="F28" s="183" t="s">
        <v>22429</v>
      </c>
      <c r="O28" s="178" t="s">
        <v>22418</v>
      </c>
      <c r="P28" s="191">
        <f>(Kalk5_Lastfallkombi!C31*Kalk5_Eingabe!C18/2*(Kalk5_Eingabe!C18/3+Kalk5_Sys_80k!C25/100)*Kalk5_Eingabe!C19)/(P26/100)</f>
        <v>0</v>
      </c>
      <c r="Q28" s="189"/>
      <c r="R28" s="168" t="s">
        <v>22379</v>
      </c>
    </row>
    <row r="29" spans="1:18" ht="14.25" customHeight="1">
      <c r="B29" s="178" t="s">
        <v>22431</v>
      </c>
      <c r="C29" s="191">
        <f>Kalk5_Lastfallkombi!C32*Kalk5_Eingabe!C18*Kalk5_Eingabe!C19</f>
        <v>0</v>
      </c>
      <c r="D29" s="191">
        <f>Kalk5_Lastfallkombi!C20*Kalk5_Eingabe!C24*Kalk5_Eingabe!C19</f>
        <v>0</v>
      </c>
      <c r="E29" s="168" t="s">
        <v>22379</v>
      </c>
      <c r="F29" s="183" t="s">
        <v>22432</v>
      </c>
      <c r="O29" s="178" t="s">
        <v>22421</v>
      </c>
      <c r="P29" s="191">
        <f>P28+C27</f>
        <v>0</v>
      </c>
      <c r="Q29" s="189"/>
      <c r="R29" s="168" t="s">
        <v>22379</v>
      </c>
    </row>
    <row r="30" spans="1:18" ht="14.25" customHeight="1">
      <c r="B30" s="178" t="s">
        <v>22434</v>
      </c>
      <c r="C30" s="191">
        <f>Kalk5_Lastfallkombi!C32*Kalk5_Eingabe!C18*(Kalk5_Eingabe!C18/2+C25/100)*Kalk5_Eingabe!C19</f>
        <v>0</v>
      </c>
      <c r="D30" s="191">
        <f>Kalk5_Lastfallkombi!C20*Kalk5_Eingabe!C24*(Kalk5_Eingabe!C24/2+C25/100)*Kalk5_Eingabe!C19</f>
        <v>0</v>
      </c>
      <c r="E30" s="168" t="s">
        <v>22428</v>
      </c>
      <c r="F30" s="183" t="s">
        <v>22435</v>
      </c>
      <c r="O30" s="178" t="s">
        <v>22423</v>
      </c>
      <c r="P30" s="191">
        <f>Kalk5_Lastfallkombi!C32*Kalk5_Eingabe!C18*Kalk5_Eingabe!C19/(P26/100)</f>
        <v>0</v>
      </c>
      <c r="Q30" s="189"/>
      <c r="R30" s="168" t="s">
        <v>22379</v>
      </c>
    </row>
    <row r="31" spans="1:18" ht="14.25" customHeight="1">
      <c r="B31" s="178" t="s">
        <v>22436</v>
      </c>
      <c r="C31" s="191" t="e">
        <f>Kalk5_Lastfallkombi!C40</f>
        <v>#DIV/0!</v>
      </c>
      <c r="D31" s="191" t="e">
        <f>Kalk5_Lastfallkombi!C28</f>
        <v>#NUM!</v>
      </c>
      <c r="E31" s="168" t="s">
        <v>22379</v>
      </c>
      <c r="F31" s="183" t="s">
        <v>22437</v>
      </c>
      <c r="O31" s="178" t="s">
        <v>22426</v>
      </c>
      <c r="P31" s="191">
        <f>P30+C29</f>
        <v>0</v>
      </c>
      <c r="Q31" s="189"/>
      <c r="R31" s="168" t="s">
        <v>22379</v>
      </c>
    </row>
    <row r="32" spans="1:18" ht="14.25" customHeight="1" thickBot="1">
      <c r="B32" s="178" t="s">
        <v>22438</v>
      </c>
      <c r="C32" s="191" t="e">
        <f>C31*(Kalk5_Eingabe!C18+C25/100)</f>
        <v>#DIV/0!</v>
      </c>
      <c r="D32" s="191" t="e">
        <f>D31*(Kalk5_Eingabe!C24-0.25+C25/100)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71.612427934756852</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1.3067472169427097</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26.517599999999998</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Kalk5_Lastfallkombi!D31*Kalk5_Eingabe!C19</f>
        <v>0</v>
      </c>
      <c r="D55" s="185">
        <f>Kalk5_Lastfallkombi!D19*Kalk5_Eingabe!C19</f>
        <v>0</v>
      </c>
      <c r="E55" s="168" t="s">
        <v>22469</v>
      </c>
    </row>
    <row r="56" spans="1:7" ht="14.25" customHeight="1">
      <c r="B56" s="178" t="s">
        <v>22470</v>
      </c>
      <c r="C56" s="185">
        <f>C55/100*(Kalk5_Eingabe!C18*100)^4/(30*Kalk5_Sys_80k!C13*Kalk5_Sys_80k!C18)</f>
        <v>0</v>
      </c>
      <c r="D56" s="185">
        <f>D55/100*(Kalk5_Eingabe!C24*100)^4/(30*Kalk5_Sys_80k!C13*Kalk5_Sys_80k!C18)</f>
        <v>0</v>
      </c>
      <c r="E56" s="168" t="s">
        <v>22416</v>
      </c>
    </row>
    <row r="57" spans="1:7" ht="14.25" customHeight="1">
      <c r="B57" s="178" t="s">
        <v>22471</v>
      </c>
      <c r="C57" s="185">
        <f>Kalk5_Lastfallkombi!D32*Kalk5_Eingabe!C19</f>
        <v>0</v>
      </c>
      <c r="D57" s="185">
        <f>Kalk5_Lastfallkombi!D20*Kalk5_Eingabe!C19</f>
        <v>0</v>
      </c>
      <c r="E57" s="168" t="s">
        <v>22469</v>
      </c>
    </row>
    <row r="58" spans="1:7" ht="14.25" customHeight="1">
      <c r="B58" s="178" t="s">
        <v>22472</v>
      </c>
      <c r="C58" s="185">
        <f>C57/100*(Kalk5_Eingabe!C18*100)^4/(8*Kalk5_Sys_80k!C13*Kalk5_Sys_80k!C18)</f>
        <v>0</v>
      </c>
      <c r="D58" s="185">
        <f>D57/100*(Kalk5_Eingabe!C24*100)^4/(8*Kalk5_Sys_80k!C13*Kalk5_Sys_80k!C18)</f>
        <v>0</v>
      </c>
      <c r="E58" s="168" t="s">
        <v>22416</v>
      </c>
      <c r="G58" s="185"/>
    </row>
    <row r="59" spans="1:7" ht="14.25" customHeight="1" thickBot="1">
      <c r="B59" s="178" t="s">
        <v>22473</v>
      </c>
      <c r="C59" s="185">
        <f>IF(Kalk5_Eingabe!C23="1/150",Kalk5_Eingabe!C18*100/150,IF(Kalk5_Eingabe!C23="1/300",Kalk5_Eingabe!C18*100/300))</f>
        <v>0</v>
      </c>
      <c r="D59" s="185">
        <f>IF(Kalk5_Eingabe!C23="1/150",Kalk5_Eingabe!C24*100/150,IF(Kalk5_Eingabe!C23="1/300",Kalk5_Eingabe!C24*100/300))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Kalk5_Lastfallkombi!D31*Kalk5_Eingabe!C19</f>
        <v>0</v>
      </c>
      <c r="D62" s="185">
        <f>Kalk5_Lastfallkombi!D19*Kalk5_Eingabe!C19</f>
        <v>0</v>
      </c>
      <c r="E62" s="168" t="s">
        <v>22469</v>
      </c>
    </row>
    <row r="63" spans="1:7" ht="14.25" customHeight="1">
      <c r="B63" s="178" t="s">
        <v>22470</v>
      </c>
      <c r="C63" s="185">
        <f>C62/100*(Kalk5_Eingabe!C18*100)^4/(30*Kalk5_Sys_80k!C13*Kalk5_Sys_80k!C18)</f>
        <v>0</v>
      </c>
      <c r="D63" s="185">
        <f>D62/100*(Kalk5_Eingabe!C24*100)^4/(30*Kalk5_Sys_80k!C13*Kalk5_Sys_80k!C18)</f>
        <v>0</v>
      </c>
      <c r="E63" s="168" t="s">
        <v>22416</v>
      </c>
    </row>
    <row r="64" spans="1:7" ht="14.25" customHeight="1">
      <c r="B64" s="178" t="s">
        <v>22471</v>
      </c>
      <c r="C64" s="185">
        <f>Kalk5_Lastfallkombi!D32*Kalk5_Eingabe!C19</f>
        <v>0</v>
      </c>
      <c r="D64" s="185">
        <f>Kalk5_Lastfallkombi!D20*Kalk5_Eingabe!C19</f>
        <v>0</v>
      </c>
      <c r="E64" s="168" t="s">
        <v>22469</v>
      </c>
    </row>
    <row r="65" spans="2:5" ht="14.25" customHeight="1">
      <c r="B65" s="178" t="s">
        <v>22472</v>
      </c>
      <c r="C65" s="185">
        <f>C64/100*(Kalk5_Eingabe!C18*100)^4/(8*Kalk5_Sys_80k!C13*Kalk5_Sys_80k!C18)</f>
        <v>0</v>
      </c>
      <c r="D65" s="185">
        <f>D64/100*(Kalk5_Eingabe!C24*100)^4/(8*Kalk5_Sys_80k!C13*Kalk5_Sys_80k!C18)</f>
        <v>0</v>
      </c>
      <c r="E65" s="168" t="s">
        <v>22416</v>
      </c>
    </row>
    <row r="66" spans="2:5" ht="14.25" customHeight="1">
      <c r="B66" s="165" t="s">
        <v>22476</v>
      </c>
      <c r="C66" s="185" t="e">
        <f>Kalk5_Lastfallkombi!D40</f>
        <v>#DIV/0!</v>
      </c>
      <c r="D66" s="185" t="e">
        <f>Kalk5_Lastfallkombi!D28</f>
        <v>#NUM!</v>
      </c>
      <c r="E66" s="168" t="s">
        <v>22379</v>
      </c>
    </row>
    <row r="67" spans="2:5" ht="14.25" customHeight="1">
      <c r="B67" s="165" t="s">
        <v>22477</v>
      </c>
      <c r="C67" s="185" t="e">
        <f>C66*(Kalk5_Eingabe!C18*100)^3/(3*Kalk5_Sys_80k!C18*Kalk5_Sys_80k!C13)</f>
        <v>#DIV/0!</v>
      </c>
      <c r="D67" s="185" t="e">
        <f>D66*((Kalk5_Eingabe!C24-0.25)*100)^3/(3*Kalk5_Sys_80k!C18*Kalk5_Sys_80k!C13)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Kalk5_Eingabe!C18*100/150</f>
        <v>0</v>
      </c>
      <c r="D69" s="185">
        <f>Kalk5_Eingabe!C24*100/150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23" priority="10" operator="greaterThan">
      <formula>1</formula>
    </cfRule>
    <cfRule type="dataBar" priority="11">
      <dataBar>
        <cfvo type="num" val="0"/>
        <cfvo type="num" val="0.99"/>
        <color rgb="FF638EC6"/>
      </dataBar>
      <extLst>
        <ext xmlns:x14="http://schemas.microsoft.com/office/spreadsheetml/2009/9/main" uri="{B025F937-C7B1-47D3-B67F-A62EFF666E3E}">
          <x14:id>{F178A1C6-756C-4300-A168-89C23127E052}</x14:id>
        </ext>
      </extLst>
    </cfRule>
    <cfRule type="dataBar" priority="12">
      <dataBar>
        <cfvo type="num" val="0"/>
        <cfvo type="num" val="1"/>
        <color rgb="FF638EC6"/>
      </dataBar>
      <extLst>
        <ext xmlns:x14="http://schemas.microsoft.com/office/spreadsheetml/2009/9/main" uri="{B025F937-C7B1-47D3-B67F-A62EFF666E3E}">
          <x14:id>{9CDE4E7B-FCA8-4CF1-9BFC-1B6FF4A44B2D}</x14:id>
        </ext>
      </extLst>
    </cfRule>
  </conditionalFormatting>
  <conditionalFormatting sqref="C50:C51">
    <cfRule type="cellIs" dxfId="22" priority="7" operator="greaterThan">
      <formula>1</formula>
    </cfRule>
    <cfRule type="dataBar" priority="8">
      <dataBar>
        <cfvo type="num" val="0"/>
        <cfvo type="num" val="0.99"/>
        <color rgb="FF638EC6"/>
      </dataBar>
      <extLst>
        <ext xmlns:x14="http://schemas.microsoft.com/office/spreadsheetml/2009/9/main" uri="{B025F937-C7B1-47D3-B67F-A62EFF666E3E}">
          <x14:id>{B4262516-0378-47A8-AF08-5E9DEC1F274E}</x14:id>
        </ext>
      </extLst>
    </cfRule>
    <cfRule type="dataBar" priority="9">
      <dataBar>
        <cfvo type="num" val="0"/>
        <cfvo type="num" val="1"/>
        <color rgb="FF638EC6"/>
      </dataBar>
      <extLst>
        <ext xmlns:x14="http://schemas.microsoft.com/office/spreadsheetml/2009/9/main" uri="{B025F937-C7B1-47D3-B67F-A62EFF666E3E}">
          <x14:id>{EDAE229A-C28D-47F0-AACD-4B282E7169AE}</x14:id>
        </ext>
      </extLst>
    </cfRule>
  </conditionalFormatting>
  <conditionalFormatting sqref="C60">
    <cfRule type="cellIs" dxfId="21" priority="4" operator="greaterThan">
      <formula>1</formula>
    </cfRule>
    <cfRule type="dataBar" priority="5">
      <dataBar>
        <cfvo type="num" val="0"/>
        <cfvo type="num" val="0.99"/>
        <color rgb="FF638EC6"/>
      </dataBar>
      <extLst>
        <ext xmlns:x14="http://schemas.microsoft.com/office/spreadsheetml/2009/9/main" uri="{B025F937-C7B1-47D3-B67F-A62EFF666E3E}">
          <x14:id>{8945A072-1BB5-47F5-836E-6232184EEB68}</x14:id>
        </ext>
      </extLst>
    </cfRule>
    <cfRule type="dataBar" priority="6">
      <dataBar>
        <cfvo type="num" val="0"/>
        <cfvo type="num" val="1"/>
        <color rgb="FF638EC6"/>
      </dataBar>
      <extLst>
        <ext xmlns:x14="http://schemas.microsoft.com/office/spreadsheetml/2009/9/main" uri="{B025F937-C7B1-47D3-B67F-A62EFF666E3E}">
          <x14:id>{4962E44F-C24B-41B8-A58B-82EEC2C34F10}</x14:id>
        </ext>
      </extLst>
    </cfRule>
  </conditionalFormatting>
  <conditionalFormatting sqref="C70">
    <cfRule type="cellIs" dxfId="20" priority="1" operator="greaterThan">
      <formula>1</formula>
    </cfRule>
    <cfRule type="dataBar" priority="2">
      <dataBar>
        <cfvo type="num" val="0"/>
        <cfvo type="num" val="0.99"/>
        <color rgb="FF638EC6"/>
      </dataBar>
      <extLst>
        <ext xmlns:x14="http://schemas.microsoft.com/office/spreadsheetml/2009/9/main" uri="{B025F937-C7B1-47D3-B67F-A62EFF666E3E}">
          <x14:id>{234C64E8-919B-4230-8D75-7506D0F3E7FD}</x14:id>
        </ext>
      </extLst>
    </cfRule>
    <cfRule type="dataBar" priority="3">
      <dataBar>
        <cfvo type="num" val="0"/>
        <cfvo type="num" val="1"/>
        <color rgb="FF638EC6"/>
      </dataBar>
      <extLst>
        <ext xmlns:x14="http://schemas.microsoft.com/office/spreadsheetml/2009/9/main" uri="{B025F937-C7B1-47D3-B67F-A62EFF666E3E}">
          <x14:id>{EAC2C751-107C-4039-BD97-B97B15ABF7CE}</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F178A1C6-756C-4300-A168-89C23127E052}">
            <x14:dataBar minLength="0" maxLength="100">
              <x14:cfvo type="num">
                <xm:f>0</xm:f>
              </x14:cfvo>
              <x14:cfvo type="num">
                <xm:f>0.99</xm:f>
              </x14:cfvo>
              <x14:negativeFillColor rgb="FFFF0000"/>
              <x14:axisColor rgb="FF000000"/>
            </x14:dataBar>
          </x14:cfRule>
          <x14:cfRule type="dataBar" id="{9CDE4E7B-FCA8-4CF1-9BFC-1B6FF4A44B2D}">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B4262516-0378-47A8-AF08-5E9DEC1F274E}">
            <x14:dataBar minLength="0" maxLength="100">
              <x14:cfvo type="num">
                <xm:f>0</xm:f>
              </x14:cfvo>
              <x14:cfvo type="num">
                <xm:f>0.99</xm:f>
              </x14:cfvo>
              <x14:negativeFillColor rgb="FFFF0000"/>
              <x14:axisColor rgb="FF000000"/>
            </x14:dataBar>
          </x14:cfRule>
          <x14:cfRule type="dataBar" id="{EDAE229A-C28D-47F0-AACD-4B282E7169AE}">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8945A072-1BB5-47F5-836E-6232184EEB68}">
            <x14:dataBar minLength="0" maxLength="100">
              <x14:cfvo type="num">
                <xm:f>0</xm:f>
              </x14:cfvo>
              <x14:cfvo type="num">
                <xm:f>0.99</xm:f>
              </x14:cfvo>
              <x14:negativeFillColor rgb="FFFF0000"/>
              <x14:axisColor rgb="FF000000"/>
            </x14:dataBar>
          </x14:cfRule>
          <x14:cfRule type="dataBar" id="{4962E44F-C24B-41B8-A58B-82EEC2C34F10}">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234C64E8-919B-4230-8D75-7506D0F3E7FD}">
            <x14:dataBar minLength="0" maxLength="100">
              <x14:cfvo type="num">
                <xm:f>0</xm:f>
              </x14:cfvo>
              <x14:cfvo type="num">
                <xm:f>0.99</xm:f>
              </x14:cfvo>
              <x14:negativeFillColor rgb="FFFF0000"/>
              <x14:axisColor rgb="FF000000"/>
            </x14:dataBar>
          </x14:cfRule>
          <x14:cfRule type="dataBar" id="{EAC2C751-107C-4039-BD97-B97B15ABF7CE}">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E965A-D13B-43E8-A798-2CDE03CB42D4}">
  <sheetPr codeName="Tabelle62"/>
  <dimension ref="A1:R59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9" width="15.7109375" style="152" customWidth="1"/>
    <col min="10" max="16384" width="11.42578125" style="152"/>
  </cols>
  <sheetData>
    <row r="1" spans="1:14" ht="42" customHeight="1">
      <c r="A1" s="148"/>
      <c r="B1" s="546"/>
      <c r="C1" s="546"/>
      <c r="D1" s="150"/>
      <c r="E1" s="151"/>
      <c r="F1" s="150"/>
      <c r="G1" s="150"/>
      <c r="H1" s="150"/>
      <c r="I1" s="150"/>
    </row>
    <row r="2" spans="1:14" ht="16.5" customHeight="1">
      <c r="A2" s="148"/>
      <c r="B2" s="149"/>
      <c r="C2" s="149"/>
      <c r="D2" s="150"/>
      <c r="E2" s="151"/>
      <c r="F2" s="153" t="s">
        <v>22309</v>
      </c>
      <c r="G2" s="154"/>
      <c r="H2" s="153" t="s">
        <v>22310</v>
      </c>
      <c r="I2" s="154" t="s">
        <v>22311</v>
      </c>
    </row>
    <row r="3" spans="1:14" ht="16.5" customHeight="1">
      <c r="A3" s="148"/>
      <c r="B3" s="155"/>
      <c r="C3" s="148"/>
      <c r="D3" s="150"/>
      <c r="E3" s="151"/>
      <c r="F3" s="156" t="s">
        <v>3225</v>
      </c>
      <c r="G3" s="157">
        <v>44894</v>
      </c>
      <c r="H3" s="156" t="s">
        <v>22312</v>
      </c>
      <c r="I3" s="158" t="s">
        <v>22313</v>
      </c>
    </row>
    <row r="4" spans="1:14" ht="16.5" customHeight="1">
      <c r="A4" s="148"/>
      <c r="B4" s="160" t="s">
        <v>22316</v>
      </c>
      <c r="C4" s="547" t="str">
        <f>Kalk5_Eingabe!C4</f>
        <v>PREFA</v>
      </c>
      <c r="D4" s="547"/>
      <c r="E4" s="548"/>
      <c r="F4" s="150"/>
      <c r="G4" s="150"/>
      <c r="H4" s="151"/>
      <c r="I4" s="148"/>
    </row>
    <row r="5" spans="1:14" ht="16.5" customHeight="1">
      <c r="A5" s="148"/>
      <c r="B5" s="164" t="s">
        <v>22319</v>
      </c>
      <c r="C5" s="549" t="str">
        <f>Kalk5_Eingabe!C5</f>
        <v>Dammblaken 50/150 - H = 1,50 m</v>
      </c>
      <c r="D5" s="549"/>
      <c r="E5" s="550"/>
      <c r="F5" s="150"/>
      <c r="G5" s="150"/>
      <c r="H5" s="151"/>
      <c r="I5" s="148"/>
    </row>
    <row r="6" spans="1:14" ht="16.5" customHeight="1">
      <c r="A6" s="148"/>
      <c r="B6" s="148"/>
      <c r="C6" s="148"/>
      <c r="D6" s="168"/>
      <c r="E6" s="168"/>
      <c r="F6" s="148"/>
      <c r="G6" s="148"/>
      <c r="H6" s="148"/>
      <c r="I6" s="148"/>
    </row>
    <row r="7" spans="1:14" ht="16.5" customHeight="1">
      <c r="A7" s="148"/>
      <c r="B7" s="169" t="s">
        <v>22597</v>
      </c>
      <c r="C7" s="148"/>
      <c r="D7" s="168"/>
      <c r="E7" s="168"/>
      <c r="F7" s="148"/>
      <c r="G7" s="148"/>
      <c r="H7" s="148"/>
      <c r="I7" s="148"/>
    </row>
    <row r="8" spans="1:14" ht="16.5" customHeight="1">
      <c r="A8" s="148"/>
      <c r="B8" s="170" t="s">
        <v>22391</v>
      </c>
      <c r="C8" s="148"/>
      <c r="D8" s="168"/>
      <c r="E8" s="168"/>
      <c r="F8" s="148"/>
      <c r="G8" s="148"/>
      <c r="H8" s="148"/>
      <c r="I8" s="148"/>
    </row>
    <row r="9" spans="1:14" ht="14.25" customHeight="1">
      <c r="A9" s="148"/>
      <c r="B9" s="148"/>
      <c r="C9" s="148"/>
      <c r="D9" s="168"/>
      <c r="E9" s="168"/>
      <c r="F9" s="148"/>
      <c r="G9" s="148"/>
      <c r="H9" s="148"/>
      <c r="I9" s="148"/>
      <c r="N9" s="152">
        <f>1786/86.29</f>
        <v>20.697647467841001</v>
      </c>
    </row>
    <row r="10" spans="1:14" ht="14.25" customHeight="1">
      <c r="A10" s="171" t="s">
        <v>22327</v>
      </c>
      <c r="B10" s="172" t="s">
        <v>22392</v>
      </c>
      <c r="C10" s="148"/>
      <c r="D10" s="168"/>
      <c r="E10" s="168"/>
      <c r="F10" s="148"/>
      <c r="G10" s="148"/>
      <c r="H10" s="148"/>
      <c r="I10" s="148"/>
    </row>
    <row r="11" spans="1:14" ht="14.25" customHeight="1">
      <c r="A11" s="148"/>
      <c r="B11" s="175" t="s">
        <v>22393</v>
      </c>
      <c r="C11" s="187">
        <v>51.41</v>
      </c>
      <c r="D11" s="168" t="s">
        <v>22394</v>
      </c>
      <c r="E11" s="163" t="s">
        <v>22395</v>
      </c>
      <c r="F11" s="177"/>
      <c r="G11" s="148"/>
      <c r="H11" s="148"/>
      <c r="I11" s="148"/>
      <c r="N11" s="152">
        <f>1534.43/86.29</f>
        <v>17.782245914937999</v>
      </c>
    </row>
    <row r="12" spans="1:14" ht="14.25" customHeight="1">
      <c r="A12" s="148"/>
      <c r="B12" s="175" t="s">
        <v>22396</v>
      </c>
      <c r="C12" s="187">
        <v>7.77</v>
      </c>
      <c r="D12" s="151" t="s">
        <v>22394</v>
      </c>
      <c r="E12" s="163" t="s">
        <v>22397</v>
      </c>
      <c r="F12" s="177"/>
      <c r="G12" s="148"/>
      <c r="H12" s="148"/>
      <c r="I12" s="148"/>
    </row>
    <row r="13" spans="1:14" ht="14.25" customHeight="1">
      <c r="A13" s="179"/>
      <c r="B13" s="175" t="s">
        <v>22398</v>
      </c>
      <c r="C13" s="187">
        <v>2073.15</v>
      </c>
      <c r="D13" s="151" t="s">
        <v>22372</v>
      </c>
      <c r="E13" s="163" t="s">
        <v>22399</v>
      </c>
      <c r="F13" s="178"/>
      <c r="G13" s="181"/>
      <c r="H13" s="148"/>
      <c r="I13" s="148"/>
    </row>
    <row r="14" spans="1:14" ht="14.25" customHeight="1">
      <c r="A14" s="148"/>
      <c r="B14" s="162" t="s">
        <v>22400</v>
      </c>
      <c r="C14" s="187">
        <v>223.56</v>
      </c>
      <c r="D14" s="168" t="s">
        <v>22401</v>
      </c>
      <c r="E14" s="183" t="s">
        <v>22402</v>
      </c>
      <c r="F14" s="177"/>
      <c r="G14" s="148"/>
      <c r="H14" s="148"/>
      <c r="I14" s="148"/>
    </row>
    <row r="15" spans="1:14" ht="14.25" customHeight="1">
      <c r="B15" s="162" t="s">
        <v>22403</v>
      </c>
      <c r="C15" s="187">
        <v>309.02</v>
      </c>
      <c r="D15" s="168" t="s">
        <v>22401</v>
      </c>
      <c r="E15" s="183" t="s">
        <v>22404</v>
      </c>
    </row>
    <row r="16" spans="1:14" ht="5.0999999999999996" customHeight="1"/>
    <row r="17" spans="1:18" ht="14.25" customHeight="1">
      <c r="A17" s="171" t="s">
        <v>22353</v>
      </c>
      <c r="B17" s="172" t="s">
        <v>22405</v>
      </c>
      <c r="C17" s="166" t="s">
        <v>22406</v>
      </c>
      <c r="E17" s="183"/>
    </row>
    <row r="18" spans="1:18" ht="14.25" customHeight="1">
      <c r="A18" s="179"/>
      <c r="B18" s="175" t="s">
        <v>22407</v>
      </c>
      <c r="C18" s="187">
        <v>7000</v>
      </c>
      <c r="D18" s="168" t="s">
        <v>22408</v>
      </c>
      <c r="E18" s="183"/>
    </row>
    <row r="19" spans="1:18" ht="14.25" customHeight="1">
      <c r="B19" s="165" t="s">
        <v>22409</v>
      </c>
      <c r="C19" s="185">
        <v>20</v>
      </c>
      <c r="D19" s="168" t="s">
        <v>22408</v>
      </c>
      <c r="E19" s="183"/>
    </row>
    <row r="20" spans="1:18" ht="14.25" customHeight="1">
      <c r="B20" s="165" t="s">
        <v>22410</v>
      </c>
      <c r="C20" s="185">
        <v>24.5</v>
      </c>
      <c r="D20" s="168" t="s">
        <v>22408</v>
      </c>
      <c r="E20" s="183"/>
      <c r="H20" s="186"/>
    </row>
    <row r="21" spans="1:18" ht="14.25" customHeight="1">
      <c r="A21" s="179"/>
      <c r="B21" s="178" t="s">
        <v>22411</v>
      </c>
      <c r="C21" s="185">
        <v>1.1000000000000001</v>
      </c>
      <c r="D21" s="168"/>
      <c r="E21" s="183"/>
    </row>
    <row r="22" spans="1:18" ht="14.25" customHeight="1">
      <c r="A22" s="179"/>
      <c r="B22" s="178" t="s">
        <v>22412</v>
      </c>
      <c r="C22" s="185">
        <v>1.25</v>
      </c>
      <c r="D22" s="168"/>
      <c r="E22" s="183"/>
    </row>
    <row r="23" spans="1:18" ht="5.0999999999999996" customHeight="1">
      <c r="B23" s="165"/>
      <c r="C23" s="185"/>
      <c r="D23" s="168"/>
      <c r="E23" s="183"/>
    </row>
    <row r="24" spans="1:18" ht="14.25" customHeight="1">
      <c r="A24" s="171" t="s">
        <v>22413</v>
      </c>
      <c r="B24" s="172" t="s">
        <v>22328</v>
      </c>
    </row>
    <row r="25" spans="1:18" ht="14.25" customHeight="1">
      <c r="A25" s="171"/>
      <c r="B25" s="178" t="s">
        <v>22415</v>
      </c>
      <c r="C25" s="185">
        <v>2</v>
      </c>
      <c r="D25" s="168" t="s">
        <v>22416</v>
      </c>
      <c r="E25" s="183" t="s">
        <v>22417</v>
      </c>
    </row>
    <row r="26" spans="1:18" ht="14.25" customHeight="1">
      <c r="C26" s="192" t="s">
        <v>22422</v>
      </c>
      <c r="D26" s="192" t="s">
        <v>21191</v>
      </c>
      <c r="O26" s="178" t="s">
        <v>22419</v>
      </c>
      <c r="P26" s="185">
        <v>24</v>
      </c>
      <c r="Q26" s="168" t="s">
        <v>22416</v>
      </c>
      <c r="R26" s="183" t="s">
        <v>22420</v>
      </c>
    </row>
    <row r="27" spans="1:18" ht="14.25" customHeight="1">
      <c r="B27" s="178" t="s">
        <v>22424</v>
      </c>
      <c r="C27" s="191">
        <f>Kalk5_Lastfallkombi!C31*Kalk5_Eingabe!C18/2*Kalk5_Eingabe!C19</f>
        <v>0</v>
      </c>
      <c r="D27" s="191">
        <f>Kalk5_Lastfallkombi!C19*Kalk5_Eingabe!C24/2*Kalk5_Eingabe!C19</f>
        <v>0</v>
      </c>
      <c r="E27" s="168" t="s">
        <v>22379</v>
      </c>
      <c r="F27" s="183" t="s">
        <v>22425</v>
      </c>
      <c r="O27" s="188" t="s">
        <v>22414</v>
      </c>
      <c r="P27" s="189"/>
      <c r="Q27" s="189"/>
      <c r="R27" s="190"/>
    </row>
    <row r="28" spans="1:18" ht="14.25" customHeight="1">
      <c r="B28" s="178" t="s">
        <v>22427</v>
      </c>
      <c r="C28" s="191">
        <f>Kalk5_Lastfallkombi!C31*Kalk5_Eingabe!C18/2*(Kalk5_Eingabe!C18/3+Kalk5_Sys_80g!C25/100)*Kalk5_Eingabe!C19</f>
        <v>0</v>
      </c>
      <c r="D28" s="191">
        <f>Kalk5_Lastfallkombi!C19*Kalk5_Eingabe!C24/2*(Kalk5_Eingabe!C24/3+Kalk5_Sys_80g!C25/100)*Kalk5_Eingabe!C19</f>
        <v>0</v>
      </c>
      <c r="E28" s="168" t="s">
        <v>22428</v>
      </c>
      <c r="F28" s="183" t="s">
        <v>22429</v>
      </c>
      <c r="O28" s="178" t="s">
        <v>22418</v>
      </c>
      <c r="P28" s="191">
        <f>(Kalk5_Lastfallkombi!C31*Kalk5_Eingabe!C18/2*(Kalk5_Eingabe!C18/3+Kalk5_Sys_80g!C25/100)*Kalk5_Eingabe!C19)/(P26/100)</f>
        <v>0</v>
      </c>
      <c r="Q28" s="189"/>
      <c r="R28" s="168" t="s">
        <v>22379</v>
      </c>
    </row>
    <row r="29" spans="1:18" ht="14.25" customHeight="1">
      <c r="B29" s="178" t="s">
        <v>22431</v>
      </c>
      <c r="C29" s="191">
        <f>Kalk5_Lastfallkombi!C32*Kalk5_Eingabe!C18*Kalk5_Eingabe!C19</f>
        <v>0</v>
      </c>
      <c r="D29" s="191">
        <f>Kalk5_Lastfallkombi!C20*Kalk5_Eingabe!C24*Kalk5_Eingabe!C19</f>
        <v>0</v>
      </c>
      <c r="E29" s="168" t="s">
        <v>22379</v>
      </c>
      <c r="F29" s="183" t="s">
        <v>22432</v>
      </c>
      <c r="O29" s="178" t="s">
        <v>22421</v>
      </c>
      <c r="P29" s="191">
        <f>P28+C27</f>
        <v>0</v>
      </c>
      <c r="Q29" s="189"/>
      <c r="R29" s="168" t="s">
        <v>22379</v>
      </c>
    </row>
    <row r="30" spans="1:18" ht="14.25" customHeight="1">
      <c r="B30" s="178" t="s">
        <v>22434</v>
      </c>
      <c r="C30" s="191">
        <f>Kalk5_Lastfallkombi!C32*Kalk5_Eingabe!C18*(Kalk5_Eingabe!C18/2+C25/100)*Kalk5_Eingabe!C19</f>
        <v>0</v>
      </c>
      <c r="D30" s="191">
        <f>Kalk5_Lastfallkombi!C20*Kalk5_Eingabe!C24*(Kalk5_Eingabe!C24/2+C25/100)*Kalk5_Eingabe!C19</f>
        <v>0</v>
      </c>
      <c r="E30" s="168" t="s">
        <v>22428</v>
      </c>
      <c r="F30" s="183" t="s">
        <v>22435</v>
      </c>
      <c r="O30" s="178" t="s">
        <v>22423</v>
      </c>
      <c r="P30" s="191">
        <f>Kalk5_Lastfallkombi!C32*Kalk5_Eingabe!C18*Kalk5_Eingabe!C19/(P26/100)</f>
        <v>0</v>
      </c>
      <c r="Q30" s="189"/>
      <c r="R30" s="168" t="s">
        <v>22379</v>
      </c>
    </row>
    <row r="31" spans="1:18" ht="14.25" customHeight="1">
      <c r="B31" s="178" t="s">
        <v>22436</v>
      </c>
      <c r="C31" s="191" t="e">
        <f>Kalk5_Lastfallkombi!C40</f>
        <v>#DIV/0!</v>
      </c>
      <c r="D31" s="191" t="e">
        <f>Kalk5_Lastfallkombi!C28</f>
        <v>#NUM!</v>
      </c>
      <c r="E31" s="168" t="s">
        <v>22379</v>
      </c>
      <c r="F31" s="183" t="s">
        <v>22437</v>
      </c>
      <c r="O31" s="178" t="s">
        <v>22426</v>
      </c>
      <c r="P31" s="191">
        <f>P30+C29</f>
        <v>0</v>
      </c>
      <c r="Q31" s="189"/>
      <c r="R31" s="168" t="s">
        <v>22379</v>
      </c>
    </row>
    <row r="32" spans="1:18" ht="14.25" customHeight="1" thickBot="1">
      <c r="B32" s="178" t="s">
        <v>22438</v>
      </c>
      <c r="C32" s="191" t="e">
        <f>C31*(Kalk5_Eingabe!C18+C25/100)</f>
        <v>#DIV/0!</v>
      </c>
      <c r="D32" s="191" t="e">
        <f>D31*(Kalk5_Eingabe!C24-0.25+C25/100)</f>
        <v>#NUM!</v>
      </c>
      <c r="E32" s="168" t="s">
        <v>22428</v>
      </c>
      <c r="F32" s="183" t="s">
        <v>22439</v>
      </c>
      <c r="O32" s="178" t="s">
        <v>22430</v>
      </c>
      <c r="P32" s="191" t="e">
        <f>C32/(P26/100)</f>
        <v>#DIV/0!</v>
      </c>
      <c r="Q32" s="189"/>
      <c r="R32" s="168" t="s">
        <v>22379</v>
      </c>
    </row>
    <row r="33" spans="1:18" ht="14.25" customHeight="1" thickBot="1">
      <c r="B33" s="193" t="s">
        <v>22440</v>
      </c>
      <c r="C33" s="194" t="e">
        <f>C27+C29+C31</f>
        <v>#DIV/0!</v>
      </c>
      <c r="D33" s="194" t="e">
        <f>D27+D29+D31</f>
        <v>#NUM!</v>
      </c>
      <c r="E33" s="190" t="s">
        <v>22379</v>
      </c>
      <c r="F33" s="183" t="s">
        <v>22441</v>
      </c>
      <c r="O33" s="178" t="s">
        <v>22433</v>
      </c>
      <c r="P33" s="191" t="e">
        <f>P32+C31</f>
        <v>#DIV/0!</v>
      </c>
      <c r="Q33" s="189"/>
      <c r="R33" s="168" t="s">
        <v>22379</v>
      </c>
    </row>
    <row r="34" spans="1:18" ht="14.25" customHeight="1" thickBot="1">
      <c r="B34" s="193" t="s">
        <v>22442</v>
      </c>
      <c r="C34" s="194" t="e">
        <f>C28+C30+C32</f>
        <v>#DIV/0!</v>
      </c>
      <c r="D34" s="194" t="e">
        <f>D28+D30+D32</f>
        <v>#NUM!</v>
      </c>
      <c r="E34" s="190" t="s">
        <v>22428</v>
      </c>
      <c r="F34" s="183" t="s">
        <v>22443</v>
      </c>
    </row>
    <row r="35" spans="1:18" ht="14.25" customHeight="1" thickBot="1">
      <c r="B35" s="193" t="s">
        <v>22444</v>
      </c>
      <c r="C35" s="194">
        <f>C27+C29</f>
        <v>0</v>
      </c>
      <c r="D35" s="194">
        <f>D27+D29</f>
        <v>0</v>
      </c>
      <c r="E35" s="190" t="s">
        <v>22379</v>
      </c>
      <c r="F35" s="183" t="s">
        <v>22445</v>
      </c>
    </row>
    <row r="36" spans="1:18" ht="14.25" customHeight="1" thickBot="1">
      <c r="B36" s="193" t="s">
        <v>22446</v>
      </c>
      <c r="C36" s="194">
        <f>C28+C30</f>
        <v>0</v>
      </c>
      <c r="D36" s="194">
        <f>D28+D30</f>
        <v>0</v>
      </c>
      <c r="E36" s="190" t="s">
        <v>22428</v>
      </c>
      <c r="F36" s="183" t="s">
        <v>22447</v>
      </c>
    </row>
    <row r="37" spans="1:18" ht="5.0999999999999996" customHeight="1">
      <c r="B37" s="193"/>
      <c r="C37" s="189"/>
      <c r="D37" s="189"/>
      <c r="E37" s="190"/>
      <c r="F37" s="183"/>
    </row>
    <row r="38" spans="1:18" ht="14.25" customHeight="1">
      <c r="A38" s="171" t="s">
        <v>22448</v>
      </c>
      <c r="B38" s="172" t="s">
        <v>22449</v>
      </c>
      <c r="C38" s="185"/>
      <c r="D38" s="168"/>
      <c r="E38" s="183"/>
    </row>
    <row r="39" spans="1:18" ht="14.25" customHeight="1">
      <c r="A39" s="179" t="s">
        <v>22450</v>
      </c>
      <c r="B39" s="180" t="s">
        <v>22451</v>
      </c>
      <c r="C39" s="185"/>
      <c r="D39" s="168"/>
      <c r="E39" s="183"/>
    </row>
    <row r="40" spans="1:18" ht="14.25" customHeight="1" thickBot="1">
      <c r="B40" s="165" t="s">
        <v>22452</v>
      </c>
      <c r="C40" s="185">
        <f>C12*C19/(3^0.5*C21)</f>
        <v>81.563847120061666</v>
      </c>
      <c r="D40" s="168" t="s">
        <v>22379</v>
      </c>
    </row>
    <row r="41" spans="1:18" ht="14.25" customHeight="1" thickBot="1">
      <c r="B41" s="195" t="s">
        <v>22453</v>
      </c>
      <c r="C41" s="196" t="e">
        <f>MAX(D33,C33)/C40</f>
        <v>#NUM!</v>
      </c>
      <c r="D41" s="168"/>
      <c r="E41" s="183" t="s">
        <v>22454</v>
      </c>
    </row>
    <row r="42" spans="1:18" ht="14.25" customHeight="1" thickBot="1">
      <c r="B42" s="195" t="s">
        <v>22455</v>
      </c>
      <c r="C42" s="196">
        <f>MAX(C35,D35)/C40</f>
        <v>0</v>
      </c>
      <c r="D42" s="168"/>
      <c r="E42" s="183" t="s">
        <v>22456</v>
      </c>
    </row>
    <row r="43" spans="1:18" ht="5.0999999999999996" customHeight="1">
      <c r="B43" s="195"/>
      <c r="C43" s="197"/>
      <c r="D43" s="168"/>
    </row>
    <row r="44" spans="1:18" ht="14.25" customHeight="1">
      <c r="A44" s="179" t="s">
        <v>22457</v>
      </c>
      <c r="B44" s="180" t="s">
        <v>22458</v>
      </c>
      <c r="C44" s="185"/>
      <c r="D44" s="168"/>
    </row>
    <row r="45" spans="1:18" ht="14.25" customHeight="1">
      <c r="B45" s="198" t="s">
        <v>22459</v>
      </c>
      <c r="C45" s="185">
        <f>C15/C14</f>
        <v>1.3822687421721238</v>
      </c>
    </row>
    <row r="46" spans="1:18" ht="14.25" customHeight="1">
      <c r="B46" s="198" t="s">
        <v>22460</v>
      </c>
      <c r="C46" s="185" t="e">
        <f>C19*(1-(2*MAX(D33,C33)/C40-1)^2)</f>
        <v>#NUM!</v>
      </c>
      <c r="D46" s="168" t="s">
        <v>22408</v>
      </c>
    </row>
    <row r="47" spans="1:18" ht="14.25" customHeight="1">
      <c r="B47" s="178" t="s">
        <v>22461</v>
      </c>
      <c r="C47" s="185" t="e">
        <f>IF(C41&gt;0.5,C45*C14*C46/C21/100,C45*C14*C19/C21/100)</f>
        <v>#NUM!</v>
      </c>
      <c r="D47" s="168" t="s">
        <v>22428</v>
      </c>
    </row>
    <row r="48" spans="1:18" ht="14.25" customHeight="1">
      <c r="B48" s="178" t="s">
        <v>22462</v>
      </c>
      <c r="C48" s="185">
        <f>C14*C20/C22/100</f>
        <v>43.81776</v>
      </c>
      <c r="D48" s="168" t="s">
        <v>22428</v>
      </c>
    </row>
    <row r="49" spans="1:7" ht="14.25" customHeight="1" thickBot="1">
      <c r="B49" s="178" t="s">
        <v>22463</v>
      </c>
      <c r="C49" s="185" t="e">
        <f>MIN(C47,C48)</f>
        <v>#NUM!</v>
      </c>
      <c r="D49" s="168" t="s">
        <v>22428</v>
      </c>
    </row>
    <row r="50" spans="1:7" ht="14.25" customHeight="1" thickBot="1">
      <c r="B50" s="195" t="s">
        <v>22464</v>
      </c>
      <c r="C50" s="196" t="e">
        <f>MAX(C34,D34)/C49</f>
        <v>#DIV/0!</v>
      </c>
      <c r="E50" s="183" t="s">
        <v>22454</v>
      </c>
    </row>
    <row r="51" spans="1:7" ht="14.25" customHeight="1" thickBot="1">
      <c r="B51" s="195" t="s">
        <v>22465</v>
      </c>
      <c r="C51" s="196" t="e">
        <f>MAX(C36,D36)/C49</f>
        <v>#NUM!</v>
      </c>
      <c r="E51" s="183" t="s">
        <v>22456</v>
      </c>
    </row>
    <row r="52" spans="1:7" ht="5.0999999999999996" customHeight="1">
      <c r="B52" s="178"/>
    </row>
    <row r="53" spans="1:7" ht="14.25" customHeight="1">
      <c r="A53" s="171" t="s">
        <v>22466</v>
      </c>
      <c r="B53" s="172" t="s">
        <v>22467</v>
      </c>
    </row>
    <row r="54" spans="1:7" ht="14.25" customHeight="1">
      <c r="A54" s="171"/>
      <c r="B54" s="172"/>
      <c r="C54" s="199" t="s">
        <v>22422</v>
      </c>
      <c r="D54" s="199" t="s">
        <v>21191</v>
      </c>
    </row>
    <row r="55" spans="1:7" ht="14.25" customHeight="1">
      <c r="B55" s="178" t="s">
        <v>22468</v>
      </c>
      <c r="C55" s="185">
        <f>Kalk5_Lastfallkombi!D31*Kalk5_Eingabe!C19</f>
        <v>0</v>
      </c>
      <c r="D55" s="185">
        <f>Kalk5_Lastfallkombi!D19*Kalk5_Eingabe!C19</f>
        <v>0</v>
      </c>
      <c r="E55" s="168" t="s">
        <v>22469</v>
      </c>
    </row>
    <row r="56" spans="1:7" ht="14.25" customHeight="1">
      <c r="B56" s="178" t="s">
        <v>22470</v>
      </c>
      <c r="C56" s="185">
        <f>C55/100*(Kalk5_Eingabe!C18*100)^4/(30*Kalk5_Sys_80g!C13*Kalk5_Sys_80g!C18)</f>
        <v>0</v>
      </c>
      <c r="D56" s="185">
        <f>D55/100*(Kalk5_Eingabe!C24*100)^4/(30*Kalk5_Sys_80g!C13*Kalk5_Sys_80g!C18)</f>
        <v>0</v>
      </c>
      <c r="E56" s="168" t="s">
        <v>22416</v>
      </c>
    </row>
    <row r="57" spans="1:7" ht="14.25" customHeight="1">
      <c r="B57" s="178" t="s">
        <v>22471</v>
      </c>
      <c r="C57" s="185">
        <f>Kalk5_Lastfallkombi!D32*Kalk5_Eingabe!C19</f>
        <v>0</v>
      </c>
      <c r="D57" s="185">
        <f>Kalk5_Lastfallkombi!D20*Kalk5_Eingabe!C19</f>
        <v>0</v>
      </c>
      <c r="E57" s="168" t="s">
        <v>22469</v>
      </c>
    </row>
    <row r="58" spans="1:7" ht="14.25" customHeight="1">
      <c r="B58" s="178" t="s">
        <v>22472</v>
      </c>
      <c r="C58" s="185">
        <f>C57/100*(Kalk5_Eingabe!C18*100)^4/(8*Kalk5_Sys_80g!C13*Kalk5_Sys_80g!C18)</f>
        <v>0</v>
      </c>
      <c r="D58" s="185">
        <f>D57/100*(Kalk5_Eingabe!C24*100)^4/(8*Kalk5_Sys_80g!C13*Kalk5_Sys_80g!C18)</f>
        <v>0</v>
      </c>
      <c r="E58" s="168" t="s">
        <v>22416</v>
      </c>
      <c r="G58" s="185"/>
    </row>
    <row r="59" spans="1:7" ht="14.25" customHeight="1" thickBot="1">
      <c r="B59" s="178" t="s">
        <v>22473</v>
      </c>
      <c r="C59" s="185">
        <f>IF(Kalk5_Eingabe!C23="1/150",Kalk5_Eingabe!C18*100/150,IF(Kalk5_Eingabe!C23="1/300",Kalk5_Eingabe!C18*100/300))</f>
        <v>0</v>
      </c>
      <c r="D59" s="185">
        <f>IF(Kalk5_Eingabe!C23="1/150",Kalk5_Eingabe!C24*100/150,IF(Kalk5_Eingabe!C23="1/300",Kalk5_Eingabe!C24*100/300))</f>
        <v>1.6666666666666666E-2</v>
      </c>
      <c r="E59" s="168" t="s">
        <v>22416</v>
      </c>
    </row>
    <row r="60" spans="1:7" ht="14.25" customHeight="1" thickBot="1">
      <c r="B60" s="193" t="s">
        <v>22474</v>
      </c>
      <c r="C60" s="196" t="e">
        <f>MAX((C56+C58)/C59,(D56+D58)/D59)</f>
        <v>#DIV/0!</v>
      </c>
    </row>
    <row r="61" spans="1:7" ht="14.25" customHeight="1">
      <c r="B61" s="200" t="s">
        <v>22475</v>
      </c>
      <c r="C61" s="199" t="s">
        <v>22422</v>
      </c>
      <c r="D61" s="199" t="s">
        <v>21191</v>
      </c>
    </row>
    <row r="62" spans="1:7" ht="14.25" customHeight="1">
      <c r="B62" s="178" t="s">
        <v>22468</v>
      </c>
      <c r="C62" s="185">
        <f>Kalk5_Lastfallkombi!D31*Kalk5_Eingabe!C19</f>
        <v>0</v>
      </c>
      <c r="D62" s="185">
        <f>Kalk5_Lastfallkombi!D19*Kalk5_Eingabe!C19</f>
        <v>0</v>
      </c>
      <c r="E62" s="168" t="s">
        <v>22469</v>
      </c>
    </row>
    <row r="63" spans="1:7" ht="14.25" customHeight="1">
      <c r="B63" s="178" t="s">
        <v>22470</v>
      </c>
      <c r="C63" s="185">
        <f>C62/100*(Kalk5_Eingabe!C18*100)^4/(30*Kalk5_Sys_80g!C13*Kalk5_Sys_80g!C18)</f>
        <v>0</v>
      </c>
      <c r="D63" s="185">
        <f>D62/100*(Kalk5_Eingabe!C24*100)^4/(30*Kalk5_Sys_80g!C13*Kalk5_Sys_80g!C18)</f>
        <v>0</v>
      </c>
      <c r="E63" s="168" t="s">
        <v>22416</v>
      </c>
    </row>
    <row r="64" spans="1:7" ht="14.25" customHeight="1">
      <c r="B64" s="178" t="s">
        <v>22471</v>
      </c>
      <c r="C64" s="185">
        <f>Kalk5_Lastfallkombi!D32*Kalk5_Eingabe!C19</f>
        <v>0</v>
      </c>
      <c r="D64" s="185">
        <f>Kalk5_Lastfallkombi!D20*Kalk5_Eingabe!C19</f>
        <v>0</v>
      </c>
      <c r="E64" s="168" t="s">
        <v>22469</v>
      </c>
    </row>
    <row r="65" spans="2:5" ht="14.25" customHeight="1">
      <c r="B65" s="178" t="s">
        <v>22472</v>
      </c>
      <c r="C65" s="185">
        <f>C64/100*(Kalk5_Eingabe!C18*100)^4/(8*Kalk5_Sys_80g!C13*Kalk5_Sys_80g!C18)</f>
        <v>0</v>
      </c>
      <c r="D65" s="185">
        <f>D64/100*(Kalk5_Eingabe!C24*100)^4/(8*Kalk5_Sys_80g!C13*Kalk5_Sys_80g!C18)</f>
        <v>0</v>
      </c>
      <c r="E65" s="168" t="s">
        <v>22416</v>
      </c>
    </row>
    <row r="66" spans="2:5" ht="14.25" customHeight="1">
      <c r="B66" s="165" t="s">
        <v>22476</v>
      </c>
      <c r="C66" s="185" t="e">
        <f>Kalk5_Lastfallkombi!D40</f>
        <v>#DIV/0!</v>
      </c>
      <c r="D66" s="185" t="e">
        <f>Kalk5_Lastfallkombi!D28</f>
        <v>#NUM!</v>
      </c>
      <c r="E66" s="168" t="s">
        <v>22379</v>
      </c>
    </row>
    <row r="67" spans="2:5" ht="14.25" customHeight="1">
      <c r="B67" s="165" t="s">
        <v>22477</v>
      </c>
      <c r="C67" s="185" t="e">
        <f>C66*(Kalk5_Eingabe!C18*100)^3/(3*Kalk5_Sys_80g!C18*Kalk5_Sys_80g!C13)</f>
        <v>#DIV/0!</v>
      </c>
      <c r="D67" s="185" t="e">
        <f>D66*((Kalk5_Eingabe!C24-0.25)*100)^3/(3*Kalk5_Sys_80g!C18*Kalk5_Sys_80g!C13)</f>
        <v>#NUM!</v>
      </c>
      <c r="E67" s="168" t="s">
        <v>22416</v>
      </c>
    </row>
    <row r="68" spans="2:5" ht="14.25" customHeight="1">
      <c r="B68" s="165" t="s">
        <v>22478</v>
      </c>
      <c r="C68" s="185" t="e">
        <f>C67+C63+C65</f>
        <v>#DIV/0!</v>
      </c>
      <c r="D68" s="185" t="e">
        <f>D67+D63+D65</f>
        <v>#NUM!</v>
      </c>
      <c r="E68" s="168" t="s">
        <v>22416</v>
      </c>
    </row>
    <row r="69" spans="2:5" ht="14.25" customHeight="1" thickBot="1">
      <c r="B69" s="178" t="s">
        <v>22479</v>
      </c>
      <c r="C69" s="185">
        <f>Kalk5_Eingabe!C18*100/150</f>
        <v>0</v>
      </c>
      <c r="D69" s="185">
        <f>Kalk5_Eingabe!C24*100/150</f>
        <v>1.6666666666666666E-2</v>
      </c>
      <c r="E69" s="168" t="s">
        <v>22416</v>
      </c>
    </row>
    <row r="70" spans="2:5" ht="14.25" customHeight="1" thickBot="1">
      <c r="B70" s="193" t="s">
        <v>22480</v>
      </c>
      <c r="C70" s="196" t="e">
        <f>MAX(C68/C69,D68/D69)</f>
        <v>#DIV/0!</v>
      </c>
    </row>
    <row r="71" spans="2:5" ht="14.25" customHeight="1"/>
    <row r="72" spans="2:5" ht="14.25" customHeight="1"/>
    <row r="73" spans="2:5" ht="14.25" customHeight="1"/>
    <row r="74" spans="2:5" ht="14.25" customHeight="1"/>
    <row r="75" spans="2:5" ht="14.25" customHeight="1"/>
    <row r="76" spans="2:5" ht="14.25" customHeight="1"/>
    <row r="77" spans="2:5" ht="14.25" customHeight="1"/>
    <row r="78" spans="2:5" ht="14.25" customHeight="1"/>
    <row r="79" spans="2:5" ht="14.25" customHeight="1"/>
    <row r="80" spans="2:5"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sheetData>
  <mergeCells count="3">
    <mergeCell ref="B1:C1"/>
    <mergeCell ref="C4:E4"/>
    <mergeCell ref="C5:E5"/>
  </mergeCells>
  <conditionalFormatting sqref="C41:C43">
    <cfRule type="cellIs" dxfId="19" priority="10" operator="greaterThan">
      <formula>1</formula>
    </cfRule>
    <cfRule type="dataBar" priority="11">
      <dataBar>
        <cfvo type="num" val="0"/>
        <cfvo type="num" val="0.99"/>
        <color rgb="FF638EC6"/>
      </dataBar>
      <extLst>
        <ext xmlns:x14="http://schemas.microsoft.com/office/spreadsheetml/2009/9/main" uri="{B025F937-C7B1-47D3-B67F-A62EFF666E3E}">
          <x14:id>{4328A694-9944-4A54-8646-A976EF0621EE}</x14:id>
        </ext>
      </extLst>
    </cfRule>
    <cfRule type="dataBar" priority="12">
      <dataBar>
        <cfvo type="num" val="0"/>
        <cfvo type="num" val="1"/>
        <color rgb="FF638EC6"/>
      </dataBar>
      <extLst>
        <ext xmlns:x14="http://schemas.microsoft.com/office/spreadsheetml/2009/9/main" uri="{B025F937-C7B1-47D3-B67F-A62EFF666E3E}">
          <x14:id>{6724E46C-3D0F-41E6-AD76-3F5AA8CB0424}</x14:id>
        </ext>
      </extLst>
    </cfRule>
  </conditionalFormatting>
  <conditionalFormatting sqref="C50:C51">
    <cfRule type="cellIs" dxfId="18" priority="7" operator="greaterThan">
      <formula>1</formula>
    </cfRule>
    <cfRule type="dataBar" priority="8">
      <dataBar>
        <cfvo type="num" val="0"/>
        <cfvo type="num" val="0.99"/>
        <color rgb="FF638EC6"/>
      </dataBar>
      <extLst>
        <ext xmlns:x14="http://schemas.microsoft.com/office/spreadsheetml/2009/9/main" uri="{B025F937-C7B1-47D3-B67F-A62EFF666E3E}">
          <x14:id>{2316F080-155E-4FBB-AD97-084498CA6DF5}</x14:id>
        </ext>
      </extLst>
    </cfRule>
    <cfRule type="dataBar" priority="9">
      <dataBar>
        <cfvo type="num" val="0"/>
        <cfvo type="num" val="1"/>
        <color rgb="FF638EC6"/>
      </dataBar>
      <extLst>
        <ext xmlns:x14="http://schemas.microsoft.com/office/spreadsheetml/2009/9/main" uri="{B025F937-C7B1-47D3-B67F-A62EFF666E3E}">
          <x14:id>{7DBE428B-7964-41E7-AA75-3FD1A94EE4C7}</x14:id>
        </ext>
      </extLst>
    </cfRule>
  </conditionalFormatting>
  <conditionalFormatting sqref="C60">
    <cfRule type="cellIs" dxfId="17" priority="4" operator="greaterThan">
      <formula>1</formula>
    </cfRule>
    <cfRule type="dataBar" priority="5">
      <dataBar>
        <cfvo type="num" val="0"/>
        <cfvo type="num" val="0.99"/>
        <color rgb="FF638EC6"/>
      </dataBar>
      <extLst>
        <ext xmlns:x14="http://schemas.microsoft.com/office/spreadsheetml/2009/9/main" uri="{B025F937-C7B1-47D3-B67F-A62EFF666E3E}">
          <x14:id>{0CEB9620-784B-4294-8347-6CD0A87E997D}</x14:id>
        </ext>
      </extLst>
    </cfRule>
    <cfRule type="dataBar" priority="6">
      <dataBar>
        <cfvo type="num" val="0"/>
        <cfvo type="num" val="1"/>
        <color rgb="FF638EC6"/>
      </dataBar>
      <extLst>
        <ext xmlns:x14="http://schemas.microsoft.com/office/spreadsheetml/2009/9/main" uri="{B025F937-C7B1-47D3-B67F-A62EFF666E3E}">
          <x14:id>{3D721453-69E5-4CC1-A295-8CAD0734BB6D}</x14:id>
        </ext>
      </extLst>
    </cfRule>
  </conditionalFormatting>
  <conditionalFormatting sqref="C70">
    <cfRule type="cellIs" dxfId="16" priority="1" operator="greaterThan">
      <formula>1</formula>
    </cfRule>
    <cfRule type="dataBar" priority="2">
      <dataBar>
        <cfvo type="num" val="0"/>
        <cfvo type="num" val="0.99"/>
        <color rgb="FF638EC6"/>
      </dataBar>
      <extLst>
        <ext xmlns:x14="http://schemas.microsoft.com/office/spreadsheetml/2009/9/main" uri="{B025F937-C7B1-47D3-B67F-A62EFF666E3E}">
          <x14:id>{F8B9284D-0078-4BB0-993E-EEB7F5871227}</x14:id>
        </ext>
      </extLst>
    </cfRule>
    <cfRule type="dataBar" priority="3">
      <dataBar>
        <cfvo type="num" val="0"/>
        <cfvo type="num" val="1"/>
        <color rgb="FF638EC6"/>
      </dataBar>
      <extLst>
        <ext xmlns:x14="http://schemas.microsoft.com/office/spreadsheetml/2009/9/main" uri="{B025F937-C7B1-47D3-B67F-A62EFF666E3E}">
          <x14:id>{B65F18C5-6380-4CFB-8C7B-7F0FC4372DCA}</x14:id>
        </ext>
      </extLst>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4328A694-9944-4A54-8646-A976EF0621EE}">
            <x14:dataBar minLength="0" maxLength="100">
              <x14:cfvo type="num">
                <xm:f>0</xm:f>
              </x14:cfvo>
              <x14:cfvo type="num">
                <xm:f>0.99</xm:f>
              </x14:cfvo>
              <x14:negativeFillColor rgb="FFFF0000"/>
              <x14:axisColor rgb="FF000000"/>
            </x14:dataBar>
          </x14:cfRule>
          <x14:cfRule type="dataBar" id="{6724E46C-3D0F-41E6-AD76-3F5AA8CB0424}">
            <x14:dataBar minLength="0" maxLength="100">
              <x14:cfvo type="num">
                <xm:f>0</xm:f>
              </x14:cfvo>
              <x14:cfvo type="num">
                <xm:f>1</xm:f>
              </x14:cfvo>
              <x14:negativeFillColor rgb="FFFF0000"/>
              <x14:axisColor rgb="FF000000"/>
            </x14:dataBar>
          </x14:cfRule>
          <xm:sqref>C41:C43</xm:sqref>
        </x14:conditionalFormatting>
        <x14:conditionalFormatting xmlns:xm="http://schemas.microsoft.com/office/excel/2006/main">
          <x14:cfRule type="dataBar" id="{2316F080-155E-4FBB-AD97-084498CA6DF5}">
            <x14:dataBar minLength="0" maxLength="100">
              <x14:cfvo type="num">
                <xm:f>0</xm:f>
              </x14:cfvo>
              <x14:cfvo type="num">
                <xm:f>0.99</xm:f>
              </x14:cfvo>
              <x14:negativeFillColor rgb="FFFF0000"/>
              <x14:axisColor rgb="FF000000"/>
            </x14:dataBar>
          </x14:cfRule>
          <x14:cfRule type="dataBar" id="{7DBE428B-7964-41E7-AA75-3FD1A94EE4C7}">
            <x14:dataBar minLength="0" maxLength="100">
              <x14:cfvo type="num">
                <xm:f>0</xm:f>
              </x14:cfvo>
              <x14:cfvo type="num">
                <xm:f>1</xm:f>
              </x14:cfvo>
              <x14:negativeFillColor rgb="FFFF0000"/>
              <x14:axisColor rgb="FF000000"/>
            </x14:dataBar>
          </x14:cfRule>
          <xm:sqref>C50:C51</xm:sqref>
        </x14:conditionalFormatting>
        <x14:conditionalFormatting xmlns:xm="http://schemas.microsoft.com/office/excel/2006/main">
          <x14:cfRule type="dataBar" id="{0CEB9620-784B-4294-8347-6CD0A87E997D}">
            <x14:dataBar minLength="0" maxLength="100">
              <x14:cfvo type="num">
                <xm:f>0</xm:f>
              </x14:cfvo>
              <x14:cfvo type="num">
                <xm:f>0.99</xm:f>
              </x14:cfvo>
              <x14:negativeFillColor rgb="FFFF0000"/>
              <x14:axisColor rgb="FF000000"/>
            </x14:dataBar>
          </x14:cfRule>
          <x14:cfRule type="dataBar" id="{3D721453-69E5-4CC1-A295-8CAD0734BB6D}">
            <x14:dataBar minLength="0" maxLength="100">
              <x14:cfvo type="num">
                <xm:f>0</xm:f>
              </x14:cfvo>
              <x14:cfvo type="num">
                <xm:f>1</xm:f>
              </x14:cfvo>
              <x14:negativeFillColor rgb="FFFF0000"/>
              <x14:axisColor rgb="FF000000"/>
            </x14:dataBar>
          </x14:cfRule>
          <xm:sqref>C60</xm:sqref>
        </x14:conditionalFormatting>
        <x14:conditionalFormatting xmlns:xm="http://schemas.microsoft.com/office/excel/2006/main">
          <x14:cfRule type="dataBar" id="{F8B9284D-0078-4BB0-993E-EEB7F5871227}">
            <x14:dataBar minLength="0" maxLength="100">
              <x14:cfvo type="num">
                <xm:f>0</xm:f>
              </x14:cfvo>
              <x14:cfvo type="num">
                <xm:f>0.99</xm:f>
              </x14:cfvo>
              <x14:negativeFillColor rgb="FFFF0000"/>
              <x14:axisColor rgb="FF000000"/>
            </x14:dataBar>
          </x14:cfRule>
          <x14:cfRule type="dataBar" id="{B65F18C5-6380-4CFB-8C7B-7F0FC4372DCA}">
            <x14:dataBar minLength="0" maxLength="100">
              <x14:cfvo type="num">
                <xm:f>0</xm:f>
              </x14:cfvo>
              <x14:cfvo type="num">
                <xm:f>1</xm:f>
              </x14:cfvo>
              <x14:negativeFillColor rgb="FFFF0000"/>
              <x14:axisColor rgb="FF000000"/>
            </x14:dataBar>
          </x14:cfRule>
          <xm:sqref>C70</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679A8-B510-469C-83C5-CD651E007205}">
  <sheetPr codeName="Tabelle63">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Kalk5_Eingabe!C4</f>
        <v>PREFA</v>
      </c>
      <c r="D4" s="547"/>
      <c r="E4" s="548"/>
      <c r="F4" s="150"/>
      <c r="G4" s="150"/>
      <c r="H4" s="151"/>
      <c r="I4" s="148"/>
    </row>
    <row r="5" spans="1:11" ht="16.5" customHeight="1">
      <c r="A5" s="148"/>
      <c r="B5" s="164" t="s">
        <v>22319</v>
      </c>
      <c r="C5" s="549" t="str">
        <f>Kalk5_Eingabe!C5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22606</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0.79</v>
      </c>
      <c r="D11" s="151" t="s">
        <v>22394</v>
      </c>
      <c r="E11" s="163" t="s">
        <v>22397</v>
      </c>
      <c r="F11" s="177"/>
      <c r="G11" s="148"/>
      <c r="H11" s="148"/>
      <c r="I11" s="148"/>
    </row>
    <row r="12" spans="1:11" ht="14.25" customHeight="1">
      <c r="A12" s="179"/>
      <c r="B12" s="175" t="s">
        <v>22398</v>
      </c>
      <c r="C12" s="187">
        <v>11.84</v>
      </c>
      <c r="D12" s="151" t="s">
        <v>22372</v>
      </c>
      <c r="E12" s="163" t="s">
        <v>22399</v>
      </c>
      <c r="F12" s="178"/>
      <c r="G12" s="181"/>
      <c r="H12" s="148"/>
      <c r="I12" s="148"/>
    </row>
    <row r="13" spans="1:11" ht="14.25" customHeight="1">
      <c r="A13" s="148"/>
      <c r="B13" s="162" t="s">
        <v>22400</v>
      </c>
      <c r="C13" s="187">
        <v>9.89</v>
      </c>
      <c r="D13" s="168" t="s">
        <v>22401</v>
      </c>
      <c r="E13" s="183" t="s">
        <v>22402</v>
      </c>
      <c r="F13" s="177"/>
      <c r="G13" s="148"/>
      <c r="H13" s="148"/>
      <c r="I13" s="148"/>
    </row>
    <row r="14" spans="1:11" ht="14.25" customHeight="1">
      <c r="B14" s="162" t="s">
        <v>22502</v>
      </c>
      <c r="C14" s="187">
        <v>8.1199999999999992</v>
      </c>
      <c r="D14" s="168" t="s">
        <v>22401</v>
      </c>
      <c r="E14" s="183" t="s">
        <v>22503</v>
      </c>
      <c r="H14" s="152" t="s">
        <v>24944</v>
      </c>
    </row>
    <row r="15" spans="1:11" ht="14.25" customHeight="1">
      <c r="B15" s="165" t="s">
        <v>22504</v>
      </c>
      <c r="C15" s="185">
        <f>ROUNDUP((Kalk5_Eingabe!C18+Kalk5_Eingabe!C20)/0.202,0)</f>
        <v>0</v>
      </c>
      <c r="D15" s="168" t="s">
        <v>20892</v>
      </c>
      <c r="E15" s="183" t="s">
        <v>22484</v>
      </c>
      <c r="H15" s="165" t="s">
        <v>22504</v>
      </c>
      <c r="I15" s="185">
        <f>ROUNDUP((Kalk5_Eingabe!C18+Kalk5_Eingabe!C20)/0.202,0)</f>
        <v>0</v>
      </c>
      <c r="J15" s="168" t="s">
        <v>20892</v>
      </c>
      <c r="K15" s="183" t="s">
        <v>22484</v>
      </c>
    </row>
    <row r="16" spans="1:11" ht="14.25" customHeight="1">
      <c r="B16" s="165" t="s">
        <v>22607</v>
      </c>
      <c r="C16" s="185">
        <f>(17+Kalk5!H29+10)/1000</f>
        <v>2.7E-2</v>
      </c>
      <c r="D16" s="168" t="s">
        <v>6945</v>
      </c>
      <c r="E16" s="183" t="s">
        <v>22352</v>
      </c>
      <c r="H16" s="165" t="s">
        <v>22607</v>
      </c>
      <c r="I16" s="185">
        <f>(17+C15*202+10)/1000</f>
        <v>2.7E-2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22612</v>
      </c>
    </row>
    <row r="27" spans="1:8" ht="14.25" customHeight="1" thickBot="1">
      <c r="B27" s="193" t="s">
        <v>22486</v>
      </c>
      <c r="C27" s="194" t="e">
        <f>MAX(Kalk5_Lastfallkombi!C50,Kalk5_Lastfallkombi!C60,Kalk5_Lastfallkombi!C65,Kalk5_Lastfallkombi!C69)</f>
        <v>#DIV/0!</v>
      </c>
      <c r="D27" s="190" t="s">
        <v>22379</v>
      </c>
      <c r="E27" s="183" t="s">
        <v>22487</v>
      </c>
    </row>
    <row r="28" spans="1:8" ht="14.25" customHeight="1" thickBot="1">
      <c r="B28" s="193" t="s">
        <v>22488</v>
      </c>
      <c r="C28" s="194" t="e">
        <f>MAX(Kalk5_Lastfallkombi!C51,Kalk5_Lastfallkombi!C61,Kalk5_Lastfallkombi!C66,Kalk5_Lastfallkombi!C70)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8.2928493210873526</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0.82103134479271977</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1.5915199999999998</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Kalk5_Lastfallkombi!D24*Kalk5_Lastfallkombi!C15/100</f>
        <v>-0.1512</v>
      </c>
      <c r="D45" s="168" t="s">
        <v>22469</v>
      </c>
    </row>
    <row r="46" spans="1:4" ht="14.25" customHeight="1">
      <c r="B46" s="178" t="s">
        <v>22492</v>
      </c>
      <c r="C46" s="185">
        <f>5*C45/100*(Kalk5_Eingabe!C19*100-5)^4/(384*'Kalk5_DB_25-200'!C19*'Kalk5_DB_25-200'!C12)</f>
        <v>-1.4846389358108107E-7</v>
      </c>
      <c r="D46" s="168" t="s">
        <v>22416</v>
      </c>
    </row>
    <row r="47" spans="1:4" ht="14.25" customHeight="1" thickBot="1">
      <c r="B47" s="178" t="s">
        <v>22473</v>
      </c>
      <c r="C47" s="185">
        <f>(Kalk5_Eingabe!C19*100-5)/Haftungsausschluß!L34</f>
        <v>-3.3333333333333333E-2</v>
      </c>
      <c r="D47" s="168" t="s">
        <v>22416</v>
      </c>
    </row>
    <row r="48" spans="1:4" ht="14.25" customHeight="1" thickBot="1">
      <c r="B48" s="193" t="s">
        <v>22474</v>
      </c>
      <c r="C48" s="196">
        <f>C46/C47</f>
        <v>4.4539168074324327E-6</v>
      </c>
    </row>
    <row r="49" spans="2:5" ht="14.25" customHeight="1">
      <c r="B49" s="200" t="s">
        <v>22493</v>
      </c>
      <c r="C49" s="199" t="s">
        <v>22422</v>
      </c>
      <c r="D49" s="199" t="s">
        <v>21191</v>
      </c>
    </row>
    <row r="50" spans="2:5" ht="14.25" customHeight="1">
      <c r="B50" s="178" t="s">
        <v>22494</v>
      </c>
      <c r="C50" s="185" t="e">
        <f>Kalk5_Lastfallkombi!D38*Kalk5_Lastfallkombi!C14/100</f>
        <v>#DIV/0!</v>
      </c>
      <c r="D50" s="185">
        <f>Kalk5_Lastfallkombi!D26*Kalk5_Lastfallkombi!C14/100</f>
        <v>-0.14399999999999999</v>
      </c>
      <c r="E50" s="168" t="s">
        <v>22469</v>
      </c>
    </row>
    <row r="51" spans="2:5" ht="14.25" customHeight="1">
      <c r="B51" s="178" t="s">
        <v>22495</v>
      </c>
      <c r="C51" s="185" t="e">
        <f>5*C50/100*(Kalk5_Eingabe!C19*100-5)^4/(384*'Kalk5_DB_25-200'!C19*'Kalk5_DB_25-200'!C12)</f>
        <v>#DIV/0!</v>
      </c>
      <c r="D51" s="185">
        <f>5*D50/100*(Kalk5_Eingabe!C19*100-5)^4/(384*'Kalk5_DB_25-200'!C19*'Kalk5_DB_25-200'!C12)</f>
        <v>-1.4139418436293436E-7</v>
      </c>
      <c r="E51" s="168" t="s">
        <v>22416</v>
      </c>
    </row>
    <row r="52" spans="2:5" ht="14.25" customHeight="1">
      <c r="B52" s="165" t="s">
        <v>22496</v>
      </c>
      <c r="C52" s="185" t="e">
        <f>Kalk5_Lastfallkombi!D44</f>
        <v>#DIV/0!</v>
      </c>
      <c r="D52" s="185" t="e">
        <f>Kalk5_Lastfallkombi!D54</f>
        <v>#NUM!</v>
      </c>
      <c r="E52" s="168" t="s">
        <v>22469</v>
      </c>
    </row>
    <row r="53" spans="2:5" ht="14.25" customHeight="1">
      <c r="B53" s="165" t="s">
        <v>22497</v>
      </c>
      <c r="C53" s="185">
        <f>(Kalk5_Eingabe!C19-0.5-0.05)/2</f>
        <v>-0.27500000000000002</v>
      </c>
      <c r="D53" s="185">
        <f>C53</f>
        <v>-0.27500000000000002</v>
      </c>
      <c r="E53" s="168" t="s">
        <v>6945</v>
      </c>
    </row>
    <row r="54" spans="2:5" ht="14.25" customHeight="1">
      <c r="B54" s="165" t="s">
        <v>22498</v>
      </c>
      <c r="C54" s="185" t="e">
        <f>C52/100*(Kalk5_Eingabe!C19*100-5)^4/(384*'Kalk5_DB_25-200'!C19*'Kalk5_DB_25-200'!C12)*(5-24*('Kalk5_DB_25-200'!C53*100)^2/(Kalk5_Eingabe!C19*100-5)^2+16*('Kalk5_DB_25-200'!C53*100)^4/(Kalk5_Eingabe!C19*100-5)^4)</f>
        <v>#DIV/0!</v>
      </c>
      <c r="D54" s="185" t="e">
        <f>D52/100*(Kalk5_Eingabe!C19*100-5)^4/(384*'Kalk5_DB_25-200'!C19*'Kalk5_DB_25-200'!C12)*(5-24*('Kalk5_DB_25-200'!C53*100)^2/(Kalk5_Eingabe!C19*100-5)^2+16*('Kalk5_DB_25-200'!C53*100)^4/(Kalk5_Eingabe!C19*100-5)^4)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(Kalk5_Eingabe!C19*100-5)/150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15" priority="10" operator="greaterThan">
      <formula>1</formula>
    </cfRule>
    <cfRule type="dataBar" priority="11">
      <dataBar>
        <cfvo type="num" val="0"/>
        <cfvo type="num" val="0.99"/>
        <color rgb="FF638EC6"/>
      </dataBar>
      <extLst>
        <ext xmlns:x14="http://schemas.microsoft.com/office/spreadsheetml/2009/9/main" uri="{B025F937-C7B1-47D3-B67F-A62EFF666E3E}">
          <x14:id>{6C56A115-2424-4690-8AD1-007FBBF2B283}</x14:id>
        </ext>
      </extLst>
    </cfRule>
    <cfRule type="dataBar" priority="12">
      <dataBar>
        <cfvo type="num" val="0"/>
        <cfvo type="num" val="1"/>
        <color rgb="FF638EC6"/>
      </dataBar>
      <extLst>
        <ext xmlns:x14="http://schemas.microsoft.com/office/spreadsheetml/2009/9/main" uri="{B025F937-C7B1-47D3-B67F-A62EFF666E3E}">
          <x14:id>{860F95DB-7E60-43BF-969B-E5BAD93F341D}</x14:id>
        </ext>
      </extLst>
    </cfRule>
  </conditionalFormatting>
  <conditionalFormatting sqref="C41">
    <cfRule type="cellIs" dxfId="14" priority="7" operator="greaterThan">
      <formula>1</formula>
    </cfRule>
    <cfRule type="dataBar" priority="8">
      <dataBar>
        <cfvo type="num" val="0"/>
        <cfvo type="num" val="0.99"/>
        <color rgb="FF638EC6"/>
      </dataBar>
      <extLst>
        <ext xmlns:x14="http://schemas.microsoft.com/office/spreadsheetml/2009/9/main" uri="{B025F937-C7B1-47D3-B67F-A62EFF666E3E}">
          <x14:id>{05C1E46C-B696-435F-90F8-D806FCDF19E7}</x14:id>
        </ext>
      </extLst>
    </cfRule>
    <cfRule type="dataBar" priority="9">
      <dataBar>
        <cfvo type="num" val="0"/>
        <cfvo type="num" val="1"/>
        <color rgb="FF638EC6"/>
      </dataBar>
      <extLst>
        <ext xmlns:x14="http://schemas.microsoft.com/office/spreadsheetml/2009/9/main" uri="{B025F937-C7B1-47D3-B67F-A62EFF666E3E}">
          <x14:id>{CD993D96-75FB-4F51-9F84-A2363FB0D5F2}</x14:id>
        </ext>
      </extLst>
    </cfRule>
  </conditionalFormatting>
  <conditionalFormatting sqref="C48">
    <cfRule type="cellIs" dxfId="13" priority="4" operator="greaterThan">
      <formula>1</formula>
    </cfRule>
    <cfRule type="dataBar" priority="5">
      <dataBar>
        <cfvo type="num" val="0"/>
        <cfvo type="num" val="0.99"/>
        <color rgb="FF638EC6"/>
      </dataBar>
      <extLst>
        <ext xmlns:x14="http://schemas.microsoft.com/office/spreadsheetml/2009/9/main" uri="{B025F937-C7B1-47D3-B67F-A62EFF666E3E}">
          <x14:id>{32FBD763-34FC-4282-A96E-CBEFB4EFEB75}</x14:id>
        </ext>
      </extLst>
    </cfRule>
    <cfRule type="dataBar" priority="6">
      <dataBar>
        <cfvo type="num" val="0"/>
        <cfvo type="num" val="1"/>
        <color rgb="FF638EC6"/>
      </dataBar>
      <extLst>
        <ext xmlns:x14="http://schemas.microsoft.com/office/spreadsheetml/2009/9/main" uri="{B025F937-C7B1-47D3-B67F-A62EFF666E3E}">
          <x14:id>{6E5F1CB8-6848-45BE-9A7D-E80EB10BF7EC}</x14:id>
        </ext>
      </extLst>
    </cfRule>
  </conditionalFormatting>
  <conditionalFormatting sqref="C57">
    <cfRule type="cellIs" dxfId="12" priority="1" operator="greaterThan">
      <formula>1</formula>
    </cfRule>
    <cfRule type="dataBar" priority="2">
      <dataBar>
        <cfvo type="num" val="0"/>
        <cfvo type="num" val="0.99"/>
        <color rgb="FF638EC6"/>
      </dataBar>
      <extLst>
        <ext xmlns:x14="http://schemas.microsoft.com/office/spreadsheetml/2009/9/main" uri="{B025F937-C7B1-47D3-B67F-A62EFF666E3E}">
          <x14:id>{A753AE72-A982-492B-8667-89B1E559DC6D}</x14:id>
        </ext>
      </extLst>
    </cfRule>
    <cfRule type="dataBar" priority="3">
      <dataBar>
        <cfvo type="num" val="0"/>
        <cfvo type="num" val="1"/>
        <color rgb="FF638EC6"/>
      </dataBar>
      <extLst>
        <ext xmlns:x14="http://schemas.microsoft.com/office/spreadsheetml/2009/9/main" uri="{B025F937-C7B1-47D3-B67F-A62EFF666E3E}">
          <x14:id>{8F2E9BE0-9307-41C2-A6CD-3B45BB9CD80C}</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6C56A115-2424-4690-8AD1-007FBBF2B283}">
            <x14:dataBar minLength="0" maxLength="100">
              <x14:cfvo type="num">
                <xm:f>0</xm:f>
              </x14:cfvo>
              <x14:cfvo type="num">
                <xm:f>0.99</xm:f>
              </x14:cfvo>
              <x14:negativeFillColor rgb="FFFF0000"/>
              <x14:axisColor rgb="FF000000"/>
            </x14:dataBar>
          </x14:cfRule>
          <x14:cfRule type="dataBar" id="{860F95DB-7E60-43BF-969B-E5BAD93F341D}">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05C1E46C-B696-435F-90F8-D806FCDF19E7}">
            <x14:dataBar minLength="0" maxLength="100">
              <x14:cfvo type="num">
                <xm:f>0</xm:f>
              </x14:cfvo>
              <x14:cfvo type="num">
                <xm:f>0.99</xm:f>
              </x14:cfvo>
              <x14:negativeFillColor rgb="FFFF0000"/>
              <x14:axisColor rgb="FF000000"/>
            </x14:dataBar>
          </x14:cfRule>
          <x14:cfRule type="dataBar" id="{CD993D96-75FB-4F51-9F84-A2363FB0D5F2}">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32FBD763-34FC-4282-A96E-CBEFB4EFEB75}">
            <x14:dataBar minLength="0" maxLength="100">
              <x14:cfvo type="num">
                <xm:f>0</xm:f>
              </x14:cfvo>
              <x14:cfvo type="num">
                <xm:f>0.99</xm:f>
              </x14:cfvo>
              <x14:negativeFillColor rgb="FFFF0000"/>
              <x14:axisColor rgb="FF000000"/>
            </x14:dataBar>
          </x14:cfRule>
          <x14:cfRule type="dataBar" id="{6E5F1CB8-6848-45BE-9A7D-E80EB10BF7EC}">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A753AE72-A982-492B-8667-89B1E559DC6D}">
            <x14:dataBar minLength="0" maxLength="100">
              <x14:cfvo type="num">
                <xm:f>0</xm:f>
              </x14:cfvo>
              <x14:cfvo type="num">
                <xm:f>0.99</xm:f>
              </x14:cfvo>
              <x14:negativeFillColor rgb="FFFF0000"/>
              <x14:axisColor rgb="FF000000"/>
            </x14:dataBar>
          </x14:cfRule>
          <x14:cfRule type="dataBar" id="{8F2E9BE0-9307-41C2-A6CD-3B45BB9CD80C}">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37894-F959-4BEA-BAE4-FC9E0B9C02C4}">
  <sheetPr codeName="Tabelle64">
    <pageSetUpPr fitToPage="1"/>
  </sheetPr>
  <dimension ref="A1:K570"/>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Kalk5_Eingabe!C4</f>
        <v>PREFA</v>
      </c>
      <c r="D4" s="547"/>
      <c r="E4" s="548"/>
      <c r="F4" s="150"/>
      <c r="G4" s="150"/>
      <c r="H4" s="151"/>
      <c r="I4" s="148"/>
    </row>
    <row r="5" spans="1:11" ht="16.5" customHeight="1">
      <c r="A5" s="148"/>
      <c r="B5" s="164" t="s">
        <v>22319</v>
      </c>
      <c r="C5" s="549" t="str">
        <f>Kalk5_Eingabe!C5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22481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3.13</v>
      </c>
      <c r="D11" s="151" t="s">
        <v>22394</v>
      </c>
      <c r="E11" s="163" t="s">
        <v>22397</v>
      </c>
      <c r="F11" s="177"/>
      <c r="G11" s="148"/>
      <c r="H11" s="148"/>
      <c r="I11" s="148"/>
    </row>
    <row r="12" spans="1:11" ht="14.25" customHeight="1">
      <c r="A12" s="179"/>
      <c r="B12" s="175" t="s">
        <v>22398</v>
      </c>
      <c r="C12" s="187">
        <v>82.62</v>
      </c>
      <c r="D12" s="151" t="s">
        <v>22372</v>
      </c>
      <c r="E12" s="163" t="s">
        <v>22399</v>
      </c>
      <c r="F12" s="178"/>
      <c r="G12" s="181"/>
      <c r="H12" s="148"/>
      <c r="I12" s="148"/>
    </row>
    <row r="13" spans="1:11" ht="14.25" customHeight="1">
      <c r="A13" s="148"/>
      <c r="B13" s="162" t="s">
        <v>22400</v>
      </c>
      <c r="C13" s="187">
        <v>33.049999999999997</v>
      </c>
      <c r="D13" s="168" t="s">
        <v>22401</v>
      </c>
      <c r="E13" s="183" t="s">
        <v>22402</v>
      </c>
      <c r="F13" s="177"/>
      <c r="G13" s="148"/>
      <c r="H13" s="148"/>
      <c r="I13" s="148"/>
    </row>
    <row r="14" spans="1:11" ht="14.25" customHeight="1">
      <c r="B14" s="162" t="s">
        <v>22403</v>
      </c>
      <c r="C14" s="187">
        <v>39.35</v>
      </c>
      <c r="D14" s="168" t="s">
        <v>22401</v>
      </c>
      <c r="E14" s="183" t="s">
        <v>22404</v>
      </c>
      <c r="H14" s="152" t="s">
        <v>24944</v>
      </c>
    </row>
    <row r="15" spans="1:11" ht="14.25" customHeight="1">
      <c r="B15" s="165" t="s">
        <v>22483</v>
      </c>
      <c r="C15" s="185">
        <f>ROUNDUP((Kalk5_Eingabe!C18+Kalk5_Eingabe!C20)/0.15,0)</f>
        <v>0</v>
      </c>
      <c r="D15" s="168" t="s">
        <v>20892</v>
      </c>
      <c r="E15" s="183" t="s">
        <v>22484</v>
      </c>
      <c r="H15" s="165" t="s">
        <v>22483</v>
      </c>
      <c r="I15" s="185">
        <f>ROUNDUP((Kalk5_Eingabe!C18+Kalk5_Eingabe!C20)/0.15,0)</f>
        <v>0</v>
      </c>
      <c r="J15" s="168" t="s">
        <v>20892</v>
      </c>
      <c r="K15" s="183" t="s">
        <v>22484</v>
      </c>
    </row>
    <row r="16" spans="1:11" ht="14.25" customHeight="1">
      <c r="B16" s="165" t="s">
        <v>22598</v>
      </c>
      <c r="C16" s="185">
        <f>(15+Kalk5!H29+10)/1000</f>
        <v>2.5000000000000001E-2</v>
      </c>
      <c r="D16" s="168" t="s">
        <v>6945</v>
      </c>
      <c r="E16" s="183" t="s">
        <v>22352</v>
      </c>
      <c r="H16" s="165" t="s">
        <v>22598</v>
      </c>
      <c r="I16" s="185">
        <f>(15+C15*150+10)/1000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MAX(Kalk5_Lastfallkombi!C50,Kalk5_Lastfallkombi!C60,Kalk5_Lastfallkombi!C65,Kalk5_Lastfallkombi!C69)</f>
        <v>#DIV/0!</v>
      </c>
      <c r="D27" s="190" t="s">
        <v>22379</v>
      </c>
      <c r="E27" s="183" t="s">
        <v>22487</v>
      </c>
    </row>
    <row r="28" spans="1:8" ht="14.25" customHeight="1" thickBot="1">
      <c r="B28" s="193" t="s">
        <v>22488</v>
      </c>
      <c r="C28" s="194" t="e">
        <f>MAX(Kalk5_Lastfallkombi!C51,Kalk5_Lastfallkombi!C61,Kalk5_Lastfallkombi!C66,Kalk5_Lastfallkombi!C70)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32.856478955700517</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1.1906202723146748</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7.7126000000000001</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Kalk5_Lastfallkombi!D24*Kalk5_Lastfallkombi!C15/100</f>
        <v>-0.1512</v>
      </c>
      <c r="D45" s="168" t="s">
        <v>22469</v>
      </c>
    </row>
    <row r="46" spans="1:4" ht="14.25" customHeight="1">
      <c r="B46" s="178" t="s">
        <v>22492</v>
      </c>
      <c r="C46" s="185">
        <f>5*C45/100*(Kalk5_Eingabe!C19*100-5)^4/(384*'Kalk5_DB_50-150'!C19*'Kalk5_DB_50-150'!C12)</f>
        <v>-2.1275871459694988E-8</v>
      </c>
      <c r="D46" s="168" t="s">
        <v>22416</v>
      </c>
    </row>
    <row r="47" spans="1:4" ht="14.25" customHeight="1" thickBot="1">
      <c r="B47" s="178" t="s">
        <v>22473</v>
      </c>
      <c r="C47" s="185">
        <f>(Kalk5_Eingabe!C19*100-5)/Haftungsausschluß!L34</f>
        <v>-3.3333333333333333E-2</v>
      </c>
      <c r="D47" s="168" t="s">
        <v>22416</v>
      </c>
    </row>
    <row r="48" spans="1:4" ht="14.25" customHeight="1" thickBot="1">
      <c r="B48" s="193" t="s">
        <v>22474</v>
      </c>
      <c r="C48" s="196">
        <f>C46/C47</f>
        <v>6.3827614379084963E-7</v>
      </c>
    </row>
    <row r="49" spans="2:5" ht="14.25" customHeight="1">
      <c r="B49" s="200" t="s">
        <v>22493</v>
      </c>
      <c r="C49" s="199" t="s">
        <v>22422</v>
      </c>
      <c r="D49" s="199" t="s">
        <v>21191</v>
      </c>
    </row>
    <row r="50" spans="2:5" ht="14.25" customHeight="1">
      <c r="B50" s="178" t="s">
        <v>22494</v>
      </c>
      <c r="C50" s="185" t="e">
        <f>Kalk5_Lastfallkombi!D38*Kalk5_Lastfallkombi!C14/100</f>
        <v>#DIV/0!</v>
      </c>
      <c r="D50" s="185">
        <f>Kalk5_Lastfallkombi!D26*Kalk5_Lastfallkombi!C14/100</f>
        <v>-0.14399999999999999</v>
      </c>
      <c r="E50" s="168" t="s">
        <v>22469</v>
      </c>
    </row>
    <row r="51" spans="2:5" ht="14.25" customHeight="1">
      <c r="B51" s="178" t="s">
        <v>22495</v>
      </c>
      <c r="C51" s="185" t="e">
        <f>5*C50/100*(Kalk5_Eingabe!C19*100-5)^4/(384*'Kalk5_DB_50-150'!C19*'Kalk5_DB_50-150'!C12)</f>
        <v>#DIV/0!</v>
      </c>
      <c r="D51" s="185">
        <f>5*D50/100*(Kalk5_Eingabe!C19*100-5)^4/(384*'Kalk5_DB_50-150'!C19*'Kalk5_DB_50-150'!C12)</f>
        <v>-2.0262734723519038E-8</v>
      </c>
      <c r="E51" s="168" t="s">
        <v>22416</v>
      </c>
    </row>
    <row r="52" spans="2:5" ht="14.25" customHeight="1">
      <c r="B52" s="165" t="s">
        <v>22496</v>
      </c>
      <c r="C52" s="185" t="e">
        <f>Kalk5_Lastfallkombi!D44</f>
        <v>#DIV/0!</v>
      </c>
      <c r="D52" s="185" t="e">
        <f>Kalk5_Lastfallkombi!D54</f>
        <v>#NUM!</v>
      </c>
      <c r="E52" s="168" t="s">
        <v>22469</v>
      </c>
    </row>
    <row r="53" spans="2:5" ht="14.25" customHeight="1">
      <c r="B53" s="165" t="s">
        <v>22497</v>
      </c>
      <c r="C53" s="185">
        <f>(Kalk5_Eingabe!C19-0.5-0.05)/2</f>
        <v>-0.27500000000000002</v>
      </c>
      <c r="D53" s="185">
        <f>C53</f>
        <v>-0.27500000000000002</v>
      </c>
      <c r="E53" s="168" t="s">
        <v>6945</v>
      </c>
    </row>
    <row r="54" spans="2:5" ht="14.25" customHeight="1">
      <c r="B54" s="165" t="s">
        <v>22498</v>
      </c>
      <c r="C54" s="185" t="e">
        <f>C52/100*(Kalk5_Eingabe!C19*100-5)^4/(384*'Kalk5_DB_50-150'!C19*'Kalk5_DB_50-150'!C12)*(5-24*('Kalk5_DB_50-150'!C53*100)^2/(Kalk5_Eingabe!C19*100-5)^2+16*('Kalk5_DB_50-150'!C53*100)^4/(Kalk5_Eingabe!C19*100-5)^4)</f>
        <v>#DIV/0!</v>
      </c>
      <c r="D54" s="185" t="e">
        <f>D52/100*(Kalk5_Eingabe!C19*100-5)^4/(384*'Kalk5_DB_50-150'!C19*'Kalk5_DB_50-150'!C12)*(5-24*('Kalk5_DB_50-150'!C53*100)^2/(Kalk5_Eingabe!C19*100-5)^2+16*('Kalk5_DB_50-150'!C53*100)^4/(Kalk5_Eingabe!C19*100-5)^4)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(Kalk5_Eingabe!C19*100-5)/150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sheetData>
  <mergeCells count="3">
    <mergeCell ref="B1:C1"/>
    <mergeCell ref="C4:E4"/>
    <mergeCell ref="C5:E5"/>
  </mergeCells>
  <conditionalFormatting sqref="C33:C34">
    <cfRule type="cellIs" dxfId="11" priority="10" operator="greaterThan">
      <formula>1</formula>
    </cfRule>
    <cfRule type="dataBar" priority="11">
      <dataBar>
        <cfvo type="num" val="0"/>
        <cfvo type="num" val="0.99"/>
        <color rgb="FF638EC6"/>
      </dataBar>
      <extLst>
        <ext xmlns:x14="http://schemas.microsoft.com/office/spreadsheetml/2009/9/main" uri="{B025F937-C7B1-47D3-B67F-A62EFF666E3E}">
          <x14:id>{0F4392C0-85FB-4FB6-AEAE-A28C03C849BA}</x14:id>
        </ext>
      </extLst>
    </cfRule>
    <cfRule type="dataBar" priority="12">
      <dataBar>
        <cfvo type="num" val="0"/>
        <cfvo type="num" val="1"/>
        <color rgb="FF638EC6"/>
      </dataBar>
      <extLst>
        <ext xmlns:x14="http://schemas.microsoft.com/office/spreadsheetml/2009/9/main" uri="{B025F937-C7B1-47D3-B67F-A62EFF666E3E}">
          <x14:id>{810C6B99-63B4-43F8-B2B3-C73542F57741}</x14:id>
        </ext>
      </extLst>
    </cfRule>
  </conditionalFormatting>
  <conditionalFormatting sqref="C41">
    <cfRule type="cellIs" dxfId="10" priority="7" operator="greaterThan">
      <formula>1</formula>
    </cfRule>
    <cfRule type="dataBar" priority="8">
      <dataBar>
        <cfvo type="num" val="0"/>
        <cfvo type="num" val="0.99"/>
        <color rgb="FF638EC6"/>
      </dataBar>
      <extLst>
        <ext xmlns:x14="http://schemas.microsoft.com/office/spreadsheetml/2009/9/main" uri="{B025F937-C7B1-47D3-B67F-A62EFF666E3E}">
          <x14:id>{5AEB89F0-D060-43C9-AE56-604180F45C25}</x14:id>
        </ext>
      </extLst>
    </cfRule>
    <cfRule type="dataBar" priority="9">
      <dataBar>
        <cfvo type="num" val="0"/>
        <cfvo type="num" val="1"/>
        <color rgb="FF638EC6"/>
      </dataBar>
      <extLst>
        <ext xmlns:x14="http://schemas.microsoft.com/office/spreadsheetml/2009/9/main" uri="{B025F937-C7B1-47D3-B67F-A62EFF666E3E}">
          <x14:id>{B5D9DAF8-6B1A-4373-B606-8929E67F6C6B}</x14:id>
        </ext>
      </extLst>
    </cfRule>
  </conditionalFormatting>
  <conditionalFormatting sqref="C48">
    <cfRule type="cellIs" dxfId="9" priority="4" operator="greaterThan">
      <formula>1</formula>
    </cfRule>
    <cfRule type="dataBar" priority="5">
      <dataBar>
        <cfvo type="num" val="0"/>
        <cfvo type="num" val="0.99"/>
        <color rgb="FF638EC6"/>
      </dataBar>
      <extLst>
        <ext xmlns:x14="http://schemas.microsoft.com/office/spreadsheetml/2009/9/main" uri="{B025F937-C7B1-47D3-B67F-A62EFF666E3E}">
          <x14:id>{1114BFDE-70FA-47CF-A7D0-6D74EC7DEA76}</x14:id>
        </ext>
      </extLst>
    </cfRule>
    <cfRule type="dataBar" priority="6">
      <dataBar>
        <cfvo type="num" val="0"/>
        <cfvo type="num" val="1"/>
        <color rgb="FF638EC6"/>
      </dataBar>
      <extLst>
        <ext xmlns:x14="http://schemas.microsoft.com/office/spreadsheetml/2009/9/main" uri="{B025F937-C7B1-47D3-B67F-A62EFF666E3E}">
          <x14:id>{D2BB775B-33F1-446B-8B7F-36179222E078}</x14:id>
        </ext>
      </extLst>
    </cfRule>
  </conditionalFormatting>
  <conditionalFormatting sqref="C57">
    <cfRule type="cellIs" dxfId="8" priority="1" operator="greaterThan">
      <formula>1</formula>
    </cfRule>
    <cfRule type="dataBar" priority="2">
      <dataBar>
        <cfvo type="num" val="0"/>
        <cfvo type="num" val="0.99"/>
        <color rgb="FF638EC6"/>
      </dataBar>
      <extLst>
        <ext xmlns:x14="http://schemas.microsoft.com/office/spreadsheetml/2009/9/main" uri="{B025F937-C7B1-47D3-B67F-A62EFF666E3E}">
          <x14:id>{522B20C0-7310-4513-8F7E-AE7BA2980E6F}</x14:id>
        </ext>
      </extLst>
    </cfRule>
    <cfRule type="dataBar" priority="3">
      <dataBar>
        <cfvo type="num" val="0"/>
        <cfvo type="num" val="1"/>
        <color rgb="FF638EC6"/>
      </dataBar>
      <extLst>
        <ext xmlns:x14="http://schemas.microsoft.com/office/spreadsheetml/2009/9/main" uri="{B025F937-C7B1-47D3-B67F-A62EFF666E3E}">
          <x14:id>{4031C40B-ED02-4733-B4E5-4C05F4153E15}</x14:id>
        </ext>
      </extLst>
    </cfRule>
  </conditionalFormatting>
  <pageMargins left="0.39370078740157483" right="0.39370078740157483" top="0.39370078740157483" bottom="0.39370078740157483" header="0.31496062992125984" footer="0.31496062992125984"/>
  <pageSetup paperSize="9" scale="79"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0F4392C0-85FB-4FB6-AEAE-A28C03C849BA}">
            <x14:dataBar minLength="0" maxLength="100">
              <x14:cfvo type="num">
                <xm:f>0</xm:f>
              </x14:cfvo>
              <x14:cfvo type="num">
                <xm:f>0.99</xm:f>
              </x14:cfvo>
              <x14:negativeFillColor rgb="FFFF0000"/>
              <x14:axisColor rgb="FF000000"/>
            </x14:dataBar>
          </x14:cfRule>
          <x14:cfRule type="dataBar" id="{810C6B99-63B4-43F8-B2B3-C73542F57741}">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5AEB89F0-D060-43C9-AE56-604180F45C25}">
            <x14:dataBar minLength="0" maxLength="100">
              <x14:cfvo type="num">
                <xm:f>0</xm:f>
              </x14:cfvo>
              <x14:cfvo type="num">
                <xm:f>0.99</xm:f>
              </x14:cfvo>
              <x14:negativeFillColor rgb="FFFF0000"/>
              <x14:axisColor rgb="FF000000"/>
            </x14:dataBar>
          </x14:cfRule>
          <x14:cfRule type="dataBar" id="{B5D9DAF8-6B1A-4373-B606-8929E67F6C6B}">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1114BFDE-70FA-47CF-A7D0-6D74EC7DEA76}">
            <x14:dataBar minLength="0" maxLength="100">
              <x14:cfvo type="num">
                <xm:f>0</xm:f>
              </x14:cfvo>
              <x14:cfvo type="num">
                <xm:f>0.99</xm:f>
              </x14:cfvo>
              <x14:negativeFillColor rgb="FFFF0000"/>
              <x14:axisColor rgb="FF000000"/>
            </x14:dataBar>
          </x14:cfRule>
          <x14:cfRule type="dataBar" id="{D2BB775B-33F1-446B-8B7F-36179222E078}">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522B20C0-7310-4513-8F7E-AE7BA2980E6F}">
            <x14:dataBar minLength="0" maxLength="100">
              <x14:cfvo type="num">
                <xm:f>0</xm:f>
              </x14:cfvo>
              <x14:cfvo type="num">
                <xm:f>0.99</xm:f>
              </x14:cfvo>
              <x14:negativeFillColor rgb="FFFF0000"/>
              <x14:axisColor rgb="FF000000"/>
            </x14:dataBar>
          </x14:cfRule>
          <x14:cfRule type="dataBar" id="{4031C40B-ED02-4733-B4E5-4C05F4153E15}">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EB9E5-311C-485D-8C69-963B87A66B2F}">
  <sheetPr codeName="Tabelle65">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Kalk5_Eingabe!C4</f>
        <v>PREFA</v>
      </c>
      <c r="D4" s="547"/>
      <c r="E4" s="548"/>
      <c r="F4" s="150"/>
      <c r="G4" s="150"/>
      <c r="H4" s="151"/>
      <c r="I4" s="148"/>
    </row>
    <row r="5" spans="1:11" ht="16.5" customHeight="1">
      <c r="A5" s="148"/>
      <c r="B5" s="164" t="s">
        <v>22319</v>
      </c>
      <c r="C5" s="549" t="str">
        <f>Kalk5_Eingabe!C5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22501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2.11</v>
      </c>
      <c r="D11" s="151" t="s">
        <v>22394</v>
      </c>
      <c r="E11" s="163" t="s">
        <v>22397</v>
      </c>
      <c r="F11" s="177"/>
      <c r="G11" s="148"/>
      <c r="H11" s="148"/>
      <c r="I11" s="148"/>
    </row>
    <row r="12" spans="1:11" ht="14.25" customHeight="1">
      <c r="A12" s="179"/>
      <c r="B12" s="175" t="s">
        <v>22398</v>
      </c>
      <c r="C12" s="187">
        <v>62.14</v>
      </c>
      <c r="D12" s="151" t="s">
        <v>22372</v>
      </c>
      <c r="E12" s="163" t="s">
        <v>22399</v>
      </c>
      <c r="F12" s="178"/>
      <c r="G12" s="181"/>
      <c r="H12" s="148"/>
      <c r="I12" s="148"/>
    </row>
    <row r="13" spans="1:11" ht="14.25" customHeight="1">
      <c r="A13" s="148"/>
      <c r="B13" s="162" t="s">
        <v>22400</v>
      </c>
      <c r="C13" s="187">
        <v>25.78</v>
      </c>
      <c r="D13" s="168" t="s">
        <v>22401</v>
      </c>
      <c r="E13" s="183" t="s">
        <v>22402</v>
      </c>
      <c r="F13" s="177"/>
      <c r="G13" s="148"/>
      <c r="H13" s="148"/>
      <c r="I13" s="148"/>
    </row>
    <row r="14" spans="1:11" ht="14.25" customHeight="1">
      <c r="B14" s="162" t="s">
        <v>22502</v>
      </c>
      <c r="C14" s="187">
        <v>21.34</v>
      </c>
      <c r="D14" s="168" t="s">
        <v>22401</v>
      </c>
      <c r="E14" s="183" t="s">
        <v>22503</v>
      </c>
      <c r="H14" s="152" t="s">
        <v>24944</v>
      </c>
    </row>
    <row r="15" spans="1:11" ht="14.25" customHeight="1">
      <c r="B15" s="165" t="s">
        <v>22504</v>
      </c>
      <c r="C15" s="185">
        <f>ROUNDUP((Kalk5_Eingabe!C18+Kalk5_Eingabe!C20)/0.2,0)</f>
        <v>0</v>
      </c>
      <c r="D15" s="168" t="s">
        <v>20892</v>
      </c>
      <c r="E15" s="183" t="s">
        <v>22484</v>
      </c>
      <c r="H15" s="165" t="s">
        <v>22504</v>
      </c>
      <c r="I15" s="185">
        <f>ROUNDUP((Kalk5_Eingabe!C18+Kalk5_Eingabe!C20)/0.2,0)</f>
        <v>0</v>
      </c>
      <c r="J15" s="168" t="s">
        <v>20892</v>
      </c>
      <c r="K15" s="183" t="s">
        <v>22484</v>
      </c>
    </row>
    <row r="16" spans="1:11" ht="14.25" customHeight="1">
      <c r="B16" s="165" t="s">
        <v>22599</v>
      </c>
      <c r="C16" s="185">
        <f>(15+Kalk5!H29+10)/1000</f>
        <v>2.5000000000000001E-2</v>
      </c>
      <c r="D16" s="168" t="s">
        <v>6945</v>
      </c>
      <c r="E16" s="183" t="s">
        <v>22352</v>
      </c>
      <c r="H16" s="165" t="s">
        <v>22599</v>
      </c>
      <c r="I16" s="185">
        <f>(15+C15*200+10)/1000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MAX(Kalk5_Lastfallkombi!C50,Kalk5_Lastfallkombi!C60,Kalk5_Lastfallkombi!C65,Kalk5_Lastfallkombi!C69)</f>
        <v>#DIV/0!</v>
      </c>
      <c r="D27" s="190" t="s">
        <v>22379</v>
      </c>
      <c r="E27" s="183" t="s">
        <v>22487</v>
      </c>
    </row>
    <row r="28" spans="1:8" ht="14.25" customHeight="1" thickBot="1">
      <c r="B28" s="193" t="s">
        <v>22488</v>
      </c>
      <c r="C28" s="194" t="e">
        <f>MAX(Kalk5_Lastfallkombi!C51,Kalk5_Lastfallkombi!C61,Kalk5_Lastfallkombi!C66,Kalk5_Lastfallkombi!C70)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22.149255781638367</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22459</v>
      </c>
      <c r="C36" s="185">
        <f>C14/C13</f>
        <v>0.82777346780449956</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22462</v>
      </c>
      <c r="C39" s="185">
        <f>C14*C21/C23/100</f>
        <v>4.1826400000000001</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Kalk5_Lastfallkombi!D24*Kalk5_Lastfallkombi!C15/100</f>
        <v>-0.1512</v>
      </c>
      <c r="D45" s="168" t="s">
        <v>22469</v>
      </c>
    </row>
    <row r="46" spans="1:4" ht="14.25" customHeight="1">
      <c r="B46" s="178" t="s">
        <v>22492</v>
      </c>
      <c r="C46" s="185">
        <f>5*C45/100*(Kalk5_Eingabe!C19*100-5)^4/(384*'Kalk5_DB_50-200'!C19*'Kalk5_DB_50-200'!C12)</f>
        <v>-2.8287938525909236E-8</v>
      </c>
      <c r="D46" s="168" t="s">
        <v>22416</v>
      </c>
    </row>
    <row r="47" spans="1:4" ht="14.25" customHeight="1" thickBot="1">
      <c r="B47" s="178" t="s">
        <v>22473</v>
      </c>
      <c r="C47" s="185">
        <f>(Kalk5_Eingabe!C19*100-5)/Haftungsausschluß!L34</f>
        <v>-3.3333333333333333E-2</v>
      </c>
      <c r="D47" s="168" t="s">
        <v>22416</v>
      </c>
    </row>
    <row r="48" spans="1:4" ht="14.25" customHeight="1" thickBot="1">
      <c r="B48" s="193" t="s">
        <v>22474</v>
      </c>
      <c r="C48" s="196">
        <f>C46/C47</f>
        <v>8.4863815577727707E-7</v>
      </c>
    </row>
    <row r="49" spans="2:5" ht="14.25" customHeight="1">
      <c r="B49" s="200" t="s">
        <v>22493</v>
      </c>
      <c r="C49" s="199" t="s">
        <v>22422</v>
      </c>
      <c r="D49" s="199" t="s">
        <v>21191</v>
      </c>
    </row>
    <row r="50" spans="2:5" ht="14.25" customHeight="1">
      <c r="B50" s="178" t="s">
        <v>22494</v>
      </c>
      <c r="C50" s="185" t="e">
        <f>Kalk5_Lastfallkombi!D38*Kalk5_Lastfallkombi!C14/100</f>
        <v>#DIV/0!</v>
      </c>
      <c r="D50" s="185">
        <f>Kalk5_Lastfallkombi!D26*Kalk5_Lastfallkombi!C14/100</f>
        <v>-0.14399999999999999</v>
      </c>
      <c r="E50" s="168" t="s">
        <v>22469</v>
      </c>
    </row>
    <row r="51" spans="2:5" ht="14.25" customHeight="1">
      <c r="B51" s="178" t="s">
        <v>22495</v>
      </c>
      <c r="C51" s="185" t="e">
        <f>5*C50/100*(Kalk5_Eingabe!C19*100-5)^4/(384*'Kalk5_DB_50-200'!C19*'Kalk5_DB_50-200'!C12)</f>
        <v>#DIV/0!</v>
      </c>
      <c r="D51" s="185">
        <f>5*D50/100*(Kalk5_Eingabe!C19*100-5)^4/(384*'Kalk5_DB_50-200'!C19*'Kalk5_DB_50-200'!C12)</f>
        <v>-2.6940893834199275E-8</v>
      </c>
      <c r="E51" s="168" t="s">
        <v>22416</v>
      </c>
    </row>
    <row r="52" spans="2:5" ht="14.25" customHeight="1">
      <c r="B52" s="165" t="s">
        <v>22496</v>
      </c>
      <c r="C52" s="185" t="e">
        <f>Kalk5_Lastfallkombi!D44</f>
        <v>#DIV/0!</v>
      </c>
      <c r="D52" s="185" t="e">
        <f>Kalk5_Lastfallkombi!D54</f>
        <v>#NUM!</v>
      </c>
      <c r="E52" s="168" t="s">
        <v>22469</v>
      </c>
    </row>
    <row r="53" spans="2:5" ht="14.25" customHeight="1">
      <c r="B53" s="165" t="s">
        <v>22497</v>
      </c>
      <c r="C53" s="185">
        <f>(Kalk5_Eingabe!C19-0.5-0.05)/2</f>
        <v>-0.27500000000000002</v>
      </c>
      <c r="D53" s="185">
        <f>C53</f>
        <v>-0.27500000000000002</v>
      </c>
      <c r="E53" s="168" t="s">
        <v>6945</v>
      </c>
    </row>
    <row r="54" spans="2:5" ht="14.25" customHeight="1">
      <c r="B54" s="165" t="s">
        <v>22498</v>
      </c>
      <c r="C54" s="185" t="e">
        <f>C52/100*(Kalk5_Eingabe!C19*100-5)^4/(384*'Kalk5_DB_50-200'!C19*'Kalk5_DB_50-200'!C12)*(5-24*('Kalk5_DB_50-200'!C53*100)^2/(Kalk5_Eingabe!C19*100-5)^2+16*('Kalk5_DB_50-200'!C53*100)^4/(Kalk5_Eingabe!C19*100-5)^4)</f>
        <v>#DIV/0!</v>
      </c>
      <c r="D54" s="185" t="e">
        <f>D52/100*(Kalk5_Eingabe!C19*100-5)^4/(384*'Kalk5_DB_50-200'!C19*'Kalk5_DB_50-200'!C12)*(5-24*('Kalk5_DB_50-200'!C53*100)^2/(Kalk5_Eingabe!C19*100-5)^2+16*('Kalk5_DB_50-200'!C53*100)^4/(Kalk5_Eingabe!C19*100-5)^4)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(Kalk5_Eingabe!C19*100-5)/150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7" priority="10" operator="greaterThan">
      <formula>1</formula>
    </cfRule>
    <cfRule type="dataBar" priority="11">
      <dataBar>
        <cfvo type="num" val="0"/>
        <cfvo type="num" val="0.99"/>
        <color rgb="FF638EC6"/>
      </dataBar>
      <extLst>
        <ext xmlns:x14="http://schemas.microsoft.com/office/spreadsheetml/2009/9/main" uri="{B025F937-C7B1-47D3-B67F-A62EFF666E3E}">
          <x14:id>{898331C5-9FE9-457A-9E6F-A7F75F04EFEE}</x14:id>
        </ext>
      </extLst>
    </cfRule>
    <cfRule type="dataBar" priority="12">
      <dataBar>
        <cfvo type="num" val="0"/>
        <cfvo type="num" val="1"/>
        <color rgb="FF638EC6"/>
      </dataBar>
      <extLst>
        <ext xmlns:x14="http://schemas.microsoft.com/office/spreadsheetml/2009/9/main" uri="{B025F937-C7B1-47D3-B67F-A62EFF666E3E}">
          <x14:id>{DC44F2C5-D7D4-44D9-8BEE-4303B5EE3DB0}</x14:id>
        </ext>
      </extLst>
    </cfRule>
  </conditionalFormatting>
  <conditionalFormatting sqref="C41">
    <cfRule type="cellIs" dxfId="6" priority="7" operator="greaterThan">
      <formula>1</formula>
    </cfRule>
    <cfRule type="dataBar" priority="8">
      <dataBar>
        <cfvo type="num" val="0"/>
        <cfvo type="num" val="0.99"/>
        <color rgb="FF638EC6"/>
      </dataBar>
      <extLst>
        <ext xmlns:x14="http://schemas.microsoft.com/office/spreadsheetml/2009/9/main" uri="{B025F937-C7B1-47D3-B67F-A62EFF666E3E}">
          <x14:id>{942567F3-3065-4215-AD7F-89E2905ACFBA}</x14:id>
        </ext>
      </extLst>
    </cfRule>
    <cfRule type="dataBar" priority="9">
      <dataBar>
        <cfvo type="num" val="0"/>
        <cfvo type="num" val="1"/>
        <color rgb="FF638EC6"/>
      </dataBar>
      <extLst>
        <ext xmlns:x14="http://schemas.microsoft.com/office/spreadsheetml/2009/9/main" uri="{B025F937-C7B1-47D3-B67F-A62EFF666E3E}">
          <x14:id>{F9C6FEF0-D4D7-48D8-8EA1-9860366AD467}</x14:id>
        </ext>
      </extLst>
    </cfRule>
  </conditionalFormatting>
  <conditionalFormatting sqref="C48">
    <cfRule type="cellIs" dxfId="5" priority="4" operator="greaterThan">
      <formula>1</formula>
    </cfRule>
    <cfRule type="dataBar" priority="5">
      <dataBar>
        <cfvo type="num" val="0"/>
        <cfvo type="num" val="0.99"/>
        <color rgb="FF638EC6"/>
      </dataBar>
      <extLst>
        <ext xmlns:x14="http://schemas.microsoft.com/office/spreadsheetml/2009/9/main" uri="{B025F937-C7B1-47D3-B67F-A62EFF666E3E}">
          <x14:id>{039E6814-EEC7-4CF5-A92F-E4C3BF9527EE}</x14:id>
        </ext>
      </extLst>
    </cfRule>
    <cfRule type="dataBar" priority="6">
      <dataBar>
        <cfvo type="num" val="0"/>
        <cfvo type="num" val="1"/>
        <color rgb="FF638EC6"/>
      </dataBar>
      <extLst>
        <ext xmlns:x14="http://schemas.microsoft.com/office/spreadsheetml/2009/9/main" uri="{B025F937-C7B1-47D3-B67F-A62EFF666E3E}">
          <x14:id>{6982DA58-C993-4F26-9EF1-5614DA1B49CC}</x14:id>
        </ext>
      </extLst>
    </cfRule>
  </conditionalFormatting>
  <conditionalFormatting sqref="C57">
    <cfRule type="cellIs" dxfId="4" priority="1" operator="greaterThan">
      <formula>1</formula>
    </cfRule>
    <cfRule type="dataBar" priority="2">
      <dataBar>
        <cfvo type="num" val="0"/>
        <cfvo type="num" val="0.99"/>
        <color rgb="FF638EC6"/>
      </dataBar>
      <extLst>
        <ext xmlns:x14="http://schemas.microsoft.com/office/spreadsheetml/2009/9/main" uri="{B025F937-C7B1-47D3-B67F-A62EFF666E3E}">
          <x14:id>{65014D93-5FCB-43B6-994B-7ABDD3C9E648}</x14:id>
        </ext>
      </extLst>
    </cfRule>
    <cfRule type="dataBar" priority="3">
      <dataBar>
        <cfvo type="num" val="0"/>
        <cfvo type="num" val="1"/>
        <color rgb="FF638EC6"/>
      </dataBar>
      <extLst>
        <ext xmlns:x14="http://schemas.microsoft.com/office/spreadsheetml/2009/9/main" uri="{B025F937-C7B1-47D3-B67F-A62EFF666E3E}">
          <x14:id>{33B0FD0A-82F8-46DF-A242-FB908A157905}</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898331C5-9FE9-457A-9E6F-A7F75F04EFEE}">
            <x14:dataBar minLength="0" maxLength="100">
              <x14:cfvo type="num">
                <xm:f>0</xm:f>
              </x14:cfvo>
              <x14:cfvo type="num">
                <xm:f>0.99</xm:f>
              </x14:cfvo>
              <x14:negativeFillColor rgb="FFFF0000"/>
              <x14:axisColor rgb="FF000000"/>
            </x14:dataBar>
          </x14:cfRule>
          <x14:cfRule type="dataBar" id="{DC44F2C5-D7D4-44D9-8BEE-4303B5EE3DB0}">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942567F3-3065-4215-AD7F-89E2905ACFBA}">
            <x14:dataBar minLength="0" maxLength="100">
              <x14:cfvo type="num">
                <xm:f>0</xm:f>
              </x14:cfvo>
              <x14:cfvo type="num">
                <xm:f>0.99</xm:f>
              </x14:cfvo>
              <x14:negativeFillColor rgb="FFFF0000"/>
              <x14:axisColor rgb="FF000000"/>
            </x14:dataBar>
          </x14:cfRule>
          <x14:cfRule type="dataBar" id="{F9C6FEF0-D4D7-48D8-8EA1-9860366AD467}">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039E6814-EEC7-4CF5-A92F-E4C3BF9527EE}">
            <x14:dataBar minLength="0" maxLength="100">
              <x14:cfvo type="num">
                <xm:f>0</xm:f>
              </x14:cfvo>
              <x14:cfvo type="num">
                <xm:f>0.99</xm:f>
              </x14:cfvo>
              <x14:negativeFillColor rgb="FFFF0000"/>
              <x14:axisColor rgb="FF000000"/>
            </x14:dataBar>
          </x14:cfRule>
          <x14:cfRule type="dataBar" id="{6982DA58-C993-4F26-9EF1-5614DA1B49CC}">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65014D93-5FCB-43B6-994B-7ABDD3C9E648}">
            <x14:dataBar minLength="0" maxLength="100">
              <x14:cfvo type="num">
                <xm:f>0</xm:f>
              </x14:cfvo>
              <x14:cfvo type="num">
                <xm:f>0.99</xm:f>
              </x14:cfvo>
              <x14:negativeFillColor rgb="FFFF0000"/>
              <x14:axisColor rgb="FF000000"/>
            </x14:dataBar>
          </x14:cfRule>
          <x14:cfRule type="dataBar" id="{33B0FD0A-82F8-46DF-A242-FB908A157905}">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35612-D092-45CD-AE8A-B5B48A71EAD6}">
  <sheetPr codeName="Tabelle66">
    <pageSetUpPr fitToPage="1"/>
  </sheetPr>
  <dimension ref="A1:K571"/>
  <sheetViews>
    <sheetView workbookViewId="0"/>
  </sheetViews>
  <sheetFormatPr baseColWidth="10" defaultColWidth="11.42578125" defaultRowHeight="12.75"/>
  <cols>
    <col min="1" max="1" width="4.28515625" style="152" customWidth="1"/>
    <col min="2" max="2" width="38.7109375" style="152" customWidth="1"/>
    <col min="3" max="3" width="20.7109375" style="152" customWidth="1"/>
    <col min="4" max="5" width="15.7109375" style="152" customWidth="1"/>
    <col min="6" max="9" width="12.7109375" style="152" customWidth="1"/>
    <col min="10" max="16384" width="11.42578125" style="152"/>
  </cols>
  <sheetData>
    <row r="1" spans="1:11" ht="42" customHeight="1">
      <c r="A1" s="148"/>
      <c r="B1" s="546"/>
      <c r="C1" s="546"/>
      <c r="D1" s="150"/>
      <c r="E1" s="151"/>
      <c r="F1" s="150"/>
      <c r="G1" s="150"/>
      <c r="H1" s="150"/>
      <c r="I1" s="150"/>
    </row>
    <row r="2" spans="1:11" ht="16.5" customHeight="1">
      <c r="A2" s="148"/>
      <c r="B2" s="149"/>
      <c r="C2" s="149"/>
      <c r="D2" s="150"/>
      <c r="E2" s="151"/>
      <c r="F2" s="153" t="s">
        <v>22309</v>
      </c>
      <c r="G2" s="154"/>
      <c r="H2" s="153" t="s">
        <v>22310</v>
      </c>
      <c r="I2" s="154" t="s">
        <v>22311</v>
      </c>
    </row>
    <row r="3" spans="1:11" ht="16.5" customHeight="1">
      <c r="A3" s="148"/>
      <c r="B3" s="155"/>
      <c r="C3" s="148"/>
      <c r="D3" s="150"/>
      <c r="E3" s="151"/>
      <c r="F3" s="156" t="s">
        <v>3225</v>
      </c>
      <c r="G3" s="157">
        <v>44894</v>
      </c>
      <c r="H3" s="156" t="s">
        <v>22312</v>
      </c>
      <c r="I3" s="158" t="s">
        <v>22313</v>
      </c>
    </row>
    <row r="4" spans="1:11" ht="16.5" customHeight="1">
      <c r="A4" s="148"/>
      <c r="B4" s="160" t="s">
        <v>22316</v>
      </c>
      <c r="C4" s="547" t="str">
        <f>Kalk5_Eingabe!C4</f>
        <v>PREFA</v>
      </c>
      <c r="D4" s="547"/>
      <c r="E4" s="548"/>
      <c r="F4" s="150"/>
      <c r="G4" s="150"/>
      <c r="H4" s="151"/>
      <c r="I4" s="148"/>
    </row>
    <row r="5" spans="1:11" ht="16.5" customHeight="1">
      <c r="A5" s="148"/>
      <c r="B5" s="164" t="s">
        <v>22319</v>
      </c>
      <c r="C5" s="549" t="str">
        <f>Kalk5_Eingabe!C5</f>
        <v>Dammblaken 50/150 - H = 1,50 m</v>
      </c>
      <c r="D5" s="549"/>
      <c r="E5" s="550"/>
      <c r="F5" s="150"/>
      <c r="G5" s="150"/>
      <c r="H5" s="151"/>
      <c r="I5" s="148"/>
    </row>
    <row r="6" spans="1:11" ht="16.5" customHeight="1">
      <c r="A6" s="148"/>
      <c r="B6" s="148"/>
      <c r="C6" s="148"/>
      <c r="D6" s="168"/>
      <c r="E6" s="168"/>
      <c r="F6" s="148"/>
      <c r="G6" s="148"/>
      <c r="H6" s="148"/>
      <c r="I6" s="148"/>
    </row>
    <row r="7" spans="1:11" ht="16.5" customHeight="1">
      <c r="A7" s="148"/>
      <c r="B7" s="169" t="s">
        <v>22501</v>
      </c>
      <c r="C7" s="148"/>
      <c r="D7" s="168"/>
      <c r="E7" s="168"/>
      <c r="F7" s="148"/>
      <c r="G7" s="148"/>
      <c r="H7" s="148"/>
      <c r="I7" s="148"/>
    </row>
    <row r="8" spans="1:11" ht="16.5" customHeight="1">
      <c r="A8" s="148"/>
      <c r="B8" s="170" t="s">
        <v>22482</v>
      </c>
      <c r="C8" s="148"/>
      <c r="D8" s="168"/>
      <c r="E8" s="168"/>
      <c r="F8" s="148"/>
      <c r="G8" s="148"/>
      <c r="H8" s="148"/>
      <c r="I8" s="148"/>
    </row>
    <row r="9" spans="1:11" ht="14.25" customHeight="1">
      <c r="A9" s="148"/>
      <c r="B9" s="148"/>
      <c r="C9" s="148"/>
      <c r="D9" s="168"/>
      <c r="E9" s="168"/>
      <c r="F9" s="148"/>
      <c r="G9" s="148"/>
      <c r="H9" s="148"/>
      <c r="I9" s="148"/>
    </row>
    <row r="10" spans="1:11" ht="14.25" customHeight="1">
      <c r="A10" s="171" t="s">
        <v>22327</v>
      </c>
      <c r="B10" s="172" t="s">
        <v>22392</v>
      </c>
      <c r="C10" s="148"/>
      <c r="D10" s="168"/>
      <c r="E10" s="168"/>
      <c r="F10" s="148"/>
      <c r="G10" s="148"/>
      <c r="H10" s="148"/>
      <c r="I10" s="148"/>
    </row>
    <row r="11" spans="1:11" ht="14.25" customHeight="1">
      <c r="A11" s="148"/>
      <c r="B11" s="175" t="s">
        <v>22396</v>
      </c>
      <c r="C11" s="187">
        <v>5.51</v>
      </c>
      <c r="D11" s="151" t="s">
        <v>22394</v>
      </c>
      <c r="E11" s="163" t="s">
        <v>22397</v>
      </c>
      <c r="F11" s="177"/>
      <c r="G11" s="148"/>
      <c r="H11" s="148"/>
      <c r="I11" s="148"/>
    </row>
    <row r="12" spans="1:11" ht="14.25" customHeight="1">
      <c r="A12" s="179"/>
      <c r="B12" s="175" t="s">
        <v>22398</v>
      </c>
      <c r="C12" s="187">
        <v>309.92</v>
      </c>
      <c r="D12" s="151" t="s">
        <v>22372</v>
      </c>
      <c r="E12" s="163" t="s">
        <v>22399</v>
      </c>
      <c r="F12" s="178"/>
      <c r="G12" s="181"/>
      <c r="H12" s="148"/>
      <c r="I12" s="148"/>
    </row>
    <row r="13" spans="1:11" ht="14.25" customHeight="1">
      <c r="A13" s="148"/>
      <c r="B13" s="162" t="s">
        <v>22400</v>
      </c>
      <c r="C13" s="187">
        <v>77.48</v>
      </c>
      <c r="D13" s="168" t="s">
        <v>22401</v>
      </c>
      <c r="E13" s="183" t="s">
        <v>22402</v>
      </c>
      <c r="F13" s="177"/>
      <c r="G13" s="148"/>
      <c r="H13" s="148"/>
      <c r="I13" s="148"/>
    </row>
    <row r="14" spans="1:11" ht="14.25" customHeight="1">
      <c r="B14" s="162" t="s">
        <v>22403</v>
      </c>
      <c r="C14" s="187">
        <v>88.67</v>
      </c>
      <c r="D14" s="168" t="s">
        <v>22401</v>
      </c>
      <c r="E14" s="183" t="s">
        <v>22404</v>
      </c>
      <c r="H14" s="152" t="s">
        <v>24944</v>
      </c>
    </row>
    <row r="15" spans="1:11" ht="14.25" customHeight="1">
      <c r="B15" s="165" t="s">
        <v>22504</v>
      </c>
      <c r="C15" s="185">
        <f>ROUNDUP((Kalk5_Eingabe!C18+Kalk5_Eingabe!C20)/0.2,0)</f>
        <v>0</v>
      </c>
      <c r="D15" s="168" t="s">
        <v>20892</v>
      </c>
      <c r="E15" s="183" t="s">
        <v>22484</v>
      </c>
      <c r="H15" s="165" t="s">
        <v>22504</v>
      </c>
      <c r="I15" s="185">
        <f>ROUNDUP((Kalk5_Eingabe!C18+Kalk5_Eingabe!C20)/0.2,0)</f>
        <v>0</v>
      </c>
      <c r="J15" s="168" t="s">
        <v>20892</v>
      </c>
      <c r="K15" s="183" t="s">
        <v>22484</v>
      </c>
    </row>
    <row r="16" spans="1:11" ht="14.25" customHeight="1">
      <c r="B16" s="165" t="s">
        <v>22599</v>
      </c>
      <c r="C16" s="185">
        <f>(15+Kalk5!H29+10)/1000</f>
        <v>2.5000000000000001E-2</v>
      </c>
      <c r="D16" s="168" t="s">
        <v>6945</v>
      </c>
      <c r="E16" s="183" t="s">
        <v>22352</v>
      </c>
      <c r="H16" s="165" t="s">
        <v>22599</v>
      </c>
      <c r="I16" s="185">
        <f>(15+C15*200+10)/1000</f>
        <v>2.5000000000000001E-2</v>
      </c>
      <c r="J16" s="168" t="s">
        <v>6945</v>
      </c>
      <c r="K16" s="183" t="s">
        <v>22352</v>
      </c>
    </row>
    <row r="17" spans="1:8" ht="5.0999999999999996" customHeight="1">
      <c r="E17" s="183"/>
    </row>
    <row r="18" spans="1:8" ht="14.25" customHeight="1">
      <c r="A18" s="171" t="s">
        <v>22353</v>
      </c>
      <c r="B18" s="172" t="s">
        <v>22405</v>
      </c>
      <c r="C18" s="166" t="s">
        <v>22406</v>
      </c>
      <c r="E18" s="183"/>
    </row>
    <row r="19" spans="1:8" ht="14.25" customHeight="1">
      <c r="A19" s="179"/>
      <c r="B19" s="175" t="s">
        <v>22407</v>
      </c>
      <c r="C19" s="187">
        <v>7000</v>
      </c>
      <c r="D19" s="168" t="s">
        <v>22408</v>
      </c>
      <c r="E19" s="183"/>
    </row>
    <row r="20" spans="1:8" ht="14.25" customHeight="1">
      <c r="B20" s="165" t="s">
        <v>22409</v>
      </c>
      <c r="C20" s="185">
        <v>20</v>
      </c>
      <c r="D20" s="168" t="s">
        <v>22408</v>
      </c>
      <c r="E20" s="183"/>
    </row>
    <row r="21" spans="1:8" ht="14.25" customHeight="1">
      <c r="B21" s="165" t="s">
        <v>22410</v>
      </c>
      <c r="C21" s="185">
        <v>24.5</v>
      </c>
      <c r="D21" s="168" t="s">
        <v>22408</v>
      </c>
      <c r="E21" s="183"/>
    </row>
    <row r="22" spans="1:8" ht="14.25" customHeight="1">
      <c r="A22" s="179"/>
      <c r="B22" s="178" t="s">
        <v>22411</v>
      </c>
      <c r="C22" s="185">
        <v>1.1000000000000001</v>
      </c>
      <c r="D22" s="168"/>
      <c r="E22" s="183"/>
      <c r="H22" s="186"/>
    </row>
    <row r="23" spans="1:8" ht="14.25" customHeight="1">
      <c r="A23" s="179"/>
      <c r="B23" s="178" t="s">
        <v>22412</v>
      </c>
      <c r="C23" s="185">
        <v>1.25</v>
      </c>
      <c r="D23" s="168"/>
      <c r="E23" s="183"/>
      <c r="H23" s="186"/>
    </row>
    <row r="24" spans="1:8" ht="5.0999999999999996" customHeight="1">
      <c r="B24" s="165"/>
      <c r="C24" s="185"/>
      <c r="D24" s="168"/>
      <c r="E24" s="183"/>
    </row>
    <row r="25" spans="1:8" ht="14.25" customHeight="1">
      <c r="A25" s="171" t="s">
        <v>22413</v>
      </c>
      <c r="B25" s="172" t="s">
        <v>22328</v>
      </c>
    </row>
    <row r="26" spans="1:8" ht="14.25" customHeight="1" thickBot="1">
      <c r="B26" s="192" t="s">
        <v>22485</v>
      </c>
    </row>
    <row r="27" spans="1:8" ht="14.25" customHeight="1" thickBot="1">
      <c r="B27" s="193" t="s">
        <v>22486</v>
      </c>
      <c r="C27" s="194" t="e">
        <f>MAX(Kalk5_Lastfallkombi!C50,Kalk5_Lastfallkombi!C60,Kalk5_Lastfallkombi!C65,Kalk5_Lastfallkombi!C69)</f>
        <v>#DIV/0!</v>
      </c>
      <c r="D27" s="190" t="s">
        <v>22379</v>
      </c>
      <c r="E27" s="183" t="s">
        <v>22487</v>
      </c>
    </row>
    <row r="28" spans="1:8" ht="14.25" customHeight="1" thickBot="1">
      <c r="B28" s="193" t="s">
        <v>22488</v>
      </c>
      <c r="C28" s="194" t="e">
        <f>MAX(Kalk5_Lastfallkombi!C51,Kalk5_Lastfallkombi!C61,Kalk5_Lastfallkombi!C66,Kalk5_Lastfallkombi!C70)</f>
        <v>#DIV/0!</v>
      </c>
      <c r="D28" s="190" t="s">
        <v>22428</v>
      </c>
      <c r="E28" s="183" t="s">
        <v>22489</v>
      </c>
    </row>
    <row r="29" spans="1:8" ht="5.0999999999999996" customHeight="1">
      <c r="E29" s="183"/>
    </row>
    <row r="30" spans="1:8" ht="14.25" customHeight="1">
      <c r="A30" s="171" t="s">
        <v>22448</v>
      </c>
      <c r="B30" s="172" t="s">
        <v>22449</v>
      </c>
      <c r="C30" s="185"/>
      <c r="D30" s="168"/>
      <c r="E30" s="183"/>
    </row>
    <row r="31" spans="1:8" ht="14.25" customHeight="1">
      <c r="A31" s="179" t="s">
        <v>22450</v>
      </c>
      <c r="B31" s="180" t="s">
        <v>22451</v>
      </c>
      <c r="C31" s="185"/>
      <c r="D31" s="168"/>
      <c r="E31" s="183"/>
    </row>
    <row r="32" spans="1:8" ht="14.25" customHeight="1" thickBot="1">
      <c r="B32" s="165" t="s">
        <v>22452</v>
      </c>
      <c r="C32" s="185">
        <f>C11*C20/(3^0.5*C22)</f>
        <v>57.839999695178861</v>
      </c>
      <c r="D32" s="168" t="s">
        <v>22379</v>
      </c>
    </row>
    <row r="33" spans="1:4" ht="14.25" customHeight="1" thickBot="1">
      <c r="B33" s="195" t="s">
        <v>22455</v>
      </c>
      <c r="C33" s="196" t="e">
        <f>C27/C32</f>
        <v>#DIV/0!</v>
      </c>
      <c r="D33" s="168"/>
    </row>
    <row r="34" spans="1:4" ht="5.0999999999999996" customHeight="1">
      <c r="B34" s="195"/>
      <c r="C34" s="197"/>
      <c r="D34" s="168"/>
    </row>
    <row r="35" spans="1:4" ht="14.25" customHeight="1">
      <c r="A35" s="179" t="s">
        <v>22457</v>
      </c>
      <c r="B35" s="180" t="s">
        <v>22458</v>
      </c>
      <c r="C35" s="185"/>
      <c r="D35" s="168"/>
    </row>
    <row r="36" spans="1:4" ht="14.25" customHeight="1">
      <c r="B36" s="198" t="s">
        <v>22600</v>
      </c>
      <c r="C36" s="185">
        <v>1.0900000000000001</v>
      </c>
    </row>
    <row r="37" spans="1:4" ht="14.25" customHeight="1">
      <c r="B37" s="198" t="s">
        <v>22460</v>
      </c>
      <c r="C37" s="185" t="e">
        <f>C20*(1-(2*C27/C32-1)^2)</f>
        <v>#DIV/0!</v>
      </c>
      <c r="D37" s="168" t="s">
        <v>22408</v>
      </c>
    </row>
    <row r="38" spans="1:4" ht="14.25" customHeight="1">
      <c r="B38" s="178" t="s">
        <v>22461</v>
      </c>
      <c r="C38" s="185" t="e">
        <f>IF(C33&gt;0.5,C36*C13*C37/C22/100,C36*C13*C20/C22/100)</f>
        <v>#DIV/0!</v>
      </c>
      <c r="D38" s="168" t="s">
        <v>22428</v>
      </c>
    </row>
    <row r="39" spans="1:4" ht="14.25" customHeight="1">
      <c r="B39" s="178" t="s">
        <v>22601</v>
      </c>
      <c r="C39" s="185">
        <f>C13*C21/C23/100</f>
        <v>15.186079999999999</v>
      </c>
      <c r="D39" s="168" t="s">
        <v>22428</v>
      </c>
    </row>
    <row r="40" spans="1:4" ht="14.25" customHeight="1" thickBot="1">
      <c r="B40" s="178" t="s">
        <v>22463</v>
      </c>
      <c r="C40" s="185" t="e">
        <f>MIN(C38,C39)</f>
        <v>#DIV/0!</v>
      </c>
      <c r="D40" s="168" t="s">
        <v>22428</v>
      </c>
    </row>
    <row r="41" spans="1:4" ht="14.25" customHeight="1" thickBot="1">
      <c r="B41" s="195" t="s">
        <v>22465</v>
      </c>
      <c r="C41" s="196" t="e">
        <f>C28/C40</f>
        <v>#DIV/0!</v>
      </c>
    </row>
    <row r="42" spans="1:4" ht="5.0999999999999996" customHeight="1">
      <c r="B42" s="178"/>
    </row>
    <row r="43" spans="1:4" ht="14.25" customHeight="1">
      <c r="A43" s="171" t="s">
        <v>22466</v>
      </c>
      <c r="B43" s="172" t="s">
        <v>22467</v>
      </c>
    </row>
    <row r="44" spans="1:4" ht="14.25" customHeight="1">
      <c r="A44" s="171"/>
      <c r="B44" s="200" t="s">
        <v>22490</v>
      </c>
    </row>
    <row r="45" spans="1:4" ht="14.25" customHeight="1">
      <c r="B45" s="178" t="s">
        <v>22491</v>
      </c>
      <c r="C45" s="185">
        <f>Kalk5_Lastfallkombi!D24*Kalk5_Lastfallkombi!C15/100</f>
        <v>-0.1512</v>
      </c>
      <c r="D45" s="168" t="s">
        <v>22469</v>
      </c>
    </row>
    <row r="46" spans="1:4" ht="14.25" customHeight="1">
      <c r="B46" s="178" t="s">
        <v>22492</v>
      </c>
      <c r="C46" s="185">
        <f>5*C45/100*(Kalk5_Eingabe!C19*100-5)^4/(384*'Kalk5_DB_80-200'!C19*'Kalk5_DB_80-200'!C12)</f>
        <v>-5.6718266004130092E-9</v>
      </c>
      <c r="D46" s="168" t="s">
        <v>22416</v>
      </c>
    </row>
    <row r="47" spans="1:4" ht="14.25" customHeight="1" thickBot="1">
      <c r="B47" s="178" t="s">
        <v>22473</v>
      </c>
      <c r="C47" s="185">
        <f>(Kalk5_Eingabe!C19*100-5)/Haftungsausschluß!L34</f>
        <v>-3.3333333333333333E-2</v>
      </c>
      <c r="D47" s="168" t="s">
        <v>22416</v>
      </c>
    </row>
    <row r="48" spans="1:4" ht="14.25" customHeight="1" thickBot="1">
      <c r="B48" s="193" t="s">
        <v>22474</v>
      </c>
      <c r="C48" s="196">
        <f>C46/C47</f>
        <v>1.7015479801239028E-7</v>
      </c>
    </row>
    <row r="49" spans="2:5" ht="14.25" customHeight="1">
      <c r="B49" s="200" t="s">
        <v>22493</v>
      </c>
      <c r="C49" s="199" t="s">
        <v>22422</v>
      </c>
      <c r="D49" s="199" t="s">
        <v>21191</v>
      </c>
    </row>
    <row r="50" spans="2:5" ht="14.25" customHeight="1">
      <c r="B50" s="178" t="s">
        <v>22494</v>
      </c>
      <c r="C50" s="185" t="e">
        <f>Kalk5_Lastfallkombi!D38*Kalk5_Lastfallkombi!C14/100</f>
        <v>#DIV/0!</v>
      </c>
      <c r="D50" s="185">
        <f>Kalk5_Lastfallkombi!D26*Kalk5_Lastfallkombi!C14/100</f>
        <v>-0.14399999999999999</v>
      </c>
      <c r="E50" s="168" t="s">
        <v>22469</v>
      </c>
    </row>
    <row r="51" spans="2:5" ht="14.25" customHeight="1">
      <c r="B51" s="178" t="s">
        <v>22495</v>
      </c>
      <c r="C51" s="185" t="e">
        <f>5*C50/100*(Kalk5_Eingabe!C19*100-5)^4/(384*'Kalk5_DB_80-200'!C19*'Kalk5_DB_80-200'!C12)</f>
        <v>#DIV/0!</v>
      </c>
      <c r="D51" s="185">
        <f>5*D50/100*(Kalk5_Eingabe!C19*100-5)^4/(384*'Kalk5_DB_80-200'!C19*'Kalk5_DB_80-200'!C12)</f>
        <v>-5.4017396194409619E-9</v>
      </c>
      <c r="E51" s="168" t="s">
        <v>22416</v>
      </c>
    </row>
    <row r="52" spans="2:5" ht="14.25" customHeight="1">
      <c r="B52" s="165" t="s">
        <v>22496</v>
      </c>
      <c r="C52" s="185" t="e">
        <f>Kalk5_Lastfallkombi!D44</f>
        <v>#DIV/0!</v>
      </c>
      <c r="D52" s="185" t="e">
        <f>Kalk5_Lastfallkombi!D54</f>
        <v>#NUM!</v>
      </c>
      <c r="E52" s="168" t="s">
        <v>22469</v>
      </c>
    </row>
    <row r="53" spans="2:5" ht="14.25" customHeight="1">
      <c r="B53" s="165" t="s">
        <v>22497</v>
      </c>
      <c r="C53" s="185">
        <f>(Kalk5_Eingabe!C19-0.5-0.05)/2</f>
        <v>-0.27500000000000002</v>
      </c>
      <c r="D53" s="185">
        <f>C53</f>
        <v>-0.27500000000000002</v>
      </c>
      <c r="E53" s="168" t="s">
        <v>6945</v>
      </c>
    </row>
    <row r="54" spans="2:5" ht="14.25" customHeight="1">
      <c r="B54" s="165" t="s">
        <v>22498</v>
      </c>
      <c r="C54" s="185" t="e">
        <f>C52/100*(Kalk5_Eingabe!C19*100-5)^4/(384*'Kalk5_DB_80-200'!C19*'Kalk5_DB_80-200'!C12)*(5-24*('Kalk5_DB_80-200'!C53*100)^2/(Kalk5_Eingabe!C19*100-5)^2+16*('Kalk5_DB_80-200'!C53*100)^4/(Kalk5_Eingabe!C19*100-5)^4)</f>
        <v>#DIV/0!</v>
      </c>
      <c r="D54" s="185" t="e">
        <f>D52/100*(Kalk5_Eingabe!C19*100-5)^4/(384*'Kalk5_DB_80-200'!C19*'Kalk5_DB_80-200'!C12)*(5-24*('Kalk5_DB_80-200'!C53*100)^2/(Kalk5_Eingabe!C19*100-5)^2+16*('Kalk5_DB_80-200'!C53*100)^4/(Kalk5_Eingabe!C19*100-5)^4)</f>
        <v>#NUM!</v>
      </c>
      <c r="E54" s="168" t="s">
        <v>22416</v>
      </c>
    </row>
    <row r="55" spans="2:5" ht="14.25" customHeight="1">
      <c r="B55" s="165" t="s">
        <v>22499</v>
      </c>
      <c r="C55" s="185" t="e">
        <f>C54+C51</f>
        <v>#DIV/0!</v>
      </c>
      <c r="D55" s="185" t="e">
        <f>D54+D51</f>
        <v>#NUM!</v>
      </c>
      <c r="E55" s="168" t="s">
        <v>22416</v>
      </c>
    </row>
    <row r="56" spans="2:5" ht="14.25" customHeight="1" thickBot="1">
      <c r="B56" s="178" t="s">
        <v>22500</v>
      </c>
      <c r="C56" s="185">
        <f>(Kalk5_Eingabe!C19*100-5)/150</f>
        <v>-3.3333333333333333E-2</v>
      </c>
      <c r="D56" s="185">
        <f>C56</f>
        <v>-3.3333333333333333E-2</v>
      </c>
      <c r="E56" s="168" t="s">
        <v>22416</v>
      </c>
    </row>
    <row r="57" spans="2:5" ht="14.25" customHeight="1" thickBot="1">
      <c r="B57" s="193" t="s">
        <v>22480</v>
      </c>
      <c r="C57" s="196" t="e">
        <f>MAX(C55,D55)/C56</f>
        <v>#DIV/0!</v>
      </c>
    </row>
    <row r="58" spans="2:5" ht="14.25" customHeight="1"/>
    <row r="59" spans="2:5" ht="14.25" customHeight="1"/>
    <row r="60" spans="2:5" ht="14.25" customHeight="1"/>
    <row r="61" spans="2:5" ht="14.25" customHeight="1"/>
    <row r="62" spans="2:5" ht="14.25" customHeight="1"/>
    <row r="63" spans="2:5" ht="14.25" customHeight="1"/>
    <row r="64" spans="2:5"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sheetData>
  <mergeCells count="3">
    <mergeCell ref="B1:C1"/>
    <mergeCell ref="C4:E4"/>
    <mergeCell ref="C5:E5"/>
  </mergeCells>
  <conditionalFormatting sqref="C33:C34">
    <cfRule type="cellIs" dxfId="3" priority="10" operator="greaterThan">
      <formula>1</formula>
    </cfRule>
    <cfRule type="dataBar" priority="11">
      <dataBar>
        <cfvo type="num" val="0"/>
        <cfvo type="num" val="0.99"/>
        <color rgb="FF638EC6"/>
      </dataBar>
      <extLst>
        <ext xmlns:x14="http://schemas.microsoft.com/office/spreadsheetml/2009/9/main" uri="{B025F937-C7B1-47D3-B67F-A62EFF666E3E}">
          <x14:id>{63FB9F5C-CCAE-430E-8526-413D67EB55E4}</x14:id>
        </ext>
      </extLst>
    </cfRule>
    <cfRule type="dataBar" priority="12">
      <dataBar>
        <cfvo type="num" val="0"/>
        <cfvo type="num" val="1"/>
        <color rgb="FF638EC6"/>
      </dataBar>
      <extLst>
        <ext xmlns:x14="http://schemas.microsoft.com/office/spreadsheetml/2009/9/main" uri="{B025F937-C7B1-47D3-B67F-A62EFF666E3E}">
          <x14:id>{A3C14DC2-6073-42BB-AA11-74D11C4E5C69}</x14:id>
        </ext>
      </extLst>
    </cfRule>
  </conditionalFormatting>
  <conditionalFormatting sqref="C41">
    <cfRule type="cellIs" dxfId="2" priority="7" operator="greaterThan">
      <formula>1</formula>
    </cfRule>
    <cfRule type="dataBar" priority="8">
      <dataBar>
        <cfvo type="num" val="0"/>
        <cfvo type="num" val="0.99"/>
        <color rgb="FF638EC6"/>
      </dataBar>
      <extLst>
        <ext xmlns:x14="http://schemas.microsoft.com/office/spreadsheetml/2009/9/main" uri="{B025F937-C7B1-47D3-B67F-A62EFF666E3E}">
          <x14:id>{EA4BD244-E242-4D43-B6DA-C82CBDDC44F8}</x14:id>
        </ext>
      </extLst>
    </cfRule>
    <cfRule type="dataBar" priority="9">
      <dataBar>
        <cfvo type="num" val="0"/>
        <cfvo type="num" val="1"/>
        <color rgb="FF638EC6"/>
      </dataBar>
      <extLst>
        <ext xmlns:x14="http://schemas.microsoft.com/office/spreadsheetml/2009/9/main" uri="{B025F937-C7B1-47D3-B67F-A62EFF666E3E}">
          <x14:id>{4854794D-B64E-4E29-B58F-29EF496799C9}</x14:id>
        </ext>
      </extLst>
    </cfRule>
  </conditionalFormatting>
  <conditionalFormatting sqref="C48">
    <cfRule type="cellIs" dxfId="1" priority="4" operator="greaterThan">
      <formula>1</formula>
    </cfRule>
    <cfRule type="dataBar" priority="5">
      <dataBar>
        <cfvo type="num" val="0"/>
        <cfvo type="num" val="0.99"/>
        <color rgb="FF638EC6"/>
      </dataBar>
      <extLst>
        <ext xmlns:x14="http://schemas.microsoft.com/office/spreadsheetml/2009/9/main" uri="{B025F937-C7B1-47D3-B67F-A62EFF666E3E}">
          <x14:id>{C6136A5E-ADB7-4882-B504-2FC72C367CA1}</x14:id>
        </ext>
      </extLst>
    </cfRule>
    <cfRule type="dataBar" priority="6">
      <dataBar>
        <cfvo type="num" val="0"/>
        <cfvo type="num" val="1"/>
        <color rgb="FF638EC6"/>
      </dataBar>
      <extLst>
        <ext xmlns:x14="http://schemas.microsoft.com/office/spreadsheetml/2009/9/main" uri="{B025F937-C7B1-47D3-B67F-A62EFF666E3E}">
          <x14:id>{2AB8B7C9-429F-484D-8F2F-0A5C9370CD3A}</x14:id>
        </ext>
      </extLst>
    </cfRule>
  </conditionalFormatting>
  <conditionalFormatting sqref="C57">
    <cfRule type="cellIs" dxfId="0" priority="1" operator="greaterThan">
      <formula>1</formula>
    </cfRule>
    <cfRule type="dataBar" priority="2">
      <dataBar>
        <cfvo type="num" val="0"/>
        <cfvo type="num" val="0.99"/>
        <color rgb="FF638EC6"/>
      </dataBar>
      <extLst>
        <ext xmlns:x14="http://schemas.microsoft.com/office/spreadsheetml/2009/9/main" uri="{B025F937-C7B1-47D3-B67F-A62EFF666E3E}">
          <x14:id>{78C79ED6-1A19-4D33-AC51-8497398B147E}</x14:id>
        </ext>
      </extLst>
    </cfRule>
    <cfRule type="dataBar" priority="3">
      <dataBar>
        <cfvo type="num" val="0"/>
        <cfvo type="num" val="1"/>
        <color rgb="FF638EC6"/>
      </dataBar>
      <extLst>
        <ext xmlns:x14="http://schemas.microsoft.com/office/spreadsheetml/2009/9/main" uri="{B025F937-C7B1-47D3-B67F-A62EFF666E3E}">
          <x14:id>{C741A3B2-D09A-4A2A-880E-DF1CF7CB8CB3}</x14:id>
        </ext>
      </extLst>
    </cfRule>
  </conditionalFormatting>
  <pageMargins left="0.39370078740157483" right="0.39370078740157483" top="0.39370078740157483" bottom="0.39370078740157483" header="0.31496062992125984" footer="0.31496062992125984"/>
  <pageSetup paperSize="9" scale="76" orientation="landscape" r:id="rId1"/>
  <colBreaks count="1" manualBreakCount="1">
    <brk id="9" max="58" man="1"/>
  </colBreaks>
  <extLst>
    <ext xmlns:x14="http://schemas.microsoft.com/office/spreadsheetml/2009/9/main" uri="{78C0D931-6437-407d-A8EE-F0AAD7539E65}">
      <x14:conditionalFormattings>
        <x14:conditionalFormatting xmlns:xm="http://schemas.microsoft.com/office/excel/2006/main">
          <x14:cfRule type="dataBar" id="{63FB9F5C-CCAE-430E-8526-413D67EB55E4}">
            <x14:dataBar minLength="0" maxLength="100">
              <x14:cfvo type="num">
                <xm:f>0</xm:f>
              </x14:cfvo>
              <x14:cfvo type="num">
                <xm:f>0.99</xm:f>
              </x14:cfvo>
              <x14:negativeFillColor rgb="FFFF0000"/>
              <x14:axisColor rgb="FF000000"/>
            </x14:dataBar>
          </x14:cfRule>
          <x14:cfRule type="dataBar" id="{A3C14DC2-6073-42BB-AA11-74D11C4E5C69}">
            <x14:dataBar minLength="0" maxLength="100">
              <x14:cfvo type="num">
                <xm:f>0</xm:f>
              </x14:cfvo>
              <x14:cfvo type="num">
                <xm:f>1</xm:f>
              </x14:cfvo>
              <x14:negativeFillColor rgb="FFFF0000"/>
              <x14:axisColor rgb="FF000000"/>
            </x14:dataBar>
          </x14:cfRule>
          <xm:sqref>C33:C34</xm:sqref>
        </x14:conditionalFormatting>
        <x14:conditionalFormatting xmlns:xm="http://schemas.microsoft.com/office/excel/2006/main">
          <x14:cfRule type="dataBar" id="{EA4BD244-E242-4D43-B6DA-C82CBDDC44F8}">
            <x14:dataBar minLength="0" maxLength="100">
              <x14:cfvo type="num">
                <xm:f>0</xm:f>
              </x14:cfvo>
              <x14:cfvo type="num">
                <xm:f>0.99</xm:f>
              </x14:cfvo>
              <x14:negativeFillColor rgb="FFFF0000"/>
              <x14:axisColor rgb="FF000000"/>
            </x14:dataBar>
          </x14:cfRule>
          <x14:cfRule type="dataBar" id="{4854794D-B64E-4E29-B58F-29EF496799C9}">
            <x14:dataBar minLength="0" maxLength="100">
              <x14:cfvo type="num">
                <xm:f>0</xm:f>
              </x14:cfvo>
              <x14:cfvo type="num">
                <xm:f>1</xm:f>
              </x14:cfvo>
              <x14:negativeFillColor rgb="FFFF0000"/>
              <x14:axisColor rgb="FF000000"/>
            </x14:dataBar>
          </x14:cfRule>
          <xm:sqref>C41</xm:sqref>
        </x14:conditionalFormatting>
        <x14:conditionalFormatting xmlns:xm="http://schemas.microsoft.com/office/excel/2006/main">
          <x14:cfRule type="dataBar" id="{C6136A5E-ADB7-4882-B504-2FC72C367CA1}">
            <x14:dataBar minLength="0" maxLength="100">
              <x14:cfvo type="num">
                <xm:f>0</xm:f>
              </x14:cfvo>
              <x14:cfvo type="num">
                <xm:f>0.99</xm:f>
              </x14:cfvo>
              <x14:negativeFillColor rgb="FFFF0000"/>
              <x14:axisColor rgb="FF000000"/>
            </x14:dataBar>
          </x14:cfRule>
          <x14:cfRule type="dataBar" id="{2AB8B7C9-429F-484D-8F2F-0A5C9370CD3A}">
            <x14:dataBar minLength="0" maxLength="100">
              <x14:cfvo type="num">
                <xm:f>0</xm:f>
              </x14:cfvo>
              <x14:cfvo type="num">
                <xm:f>1</xm:f>
              </x14:cfvo>
              <x14:negativeFillColor rgb="FFFF0000"/>
              <x14:axisColor rgb="FF000000"/>
            </x14:dataBar>
          </x14:cfRule>
          <xm:sqref>C48</xm:sqref>
        </x14:conditionalFormatting>
        <x14:conditionalFormatting xmlns:xm="http://schemas.microsoft.com/office/excel/2006/main">
          <x14:cfRule type="dataBar" id="{78C79ED6-1A19-4D33-AC51-8497398B147E}">
            <x14:dataBar minLength="0" maxLength="100">
              <x14:cfvo type="num">
                <xm:f>0</xm:f>
              </x14:cfvo>
              <x14:cfvo type="num">
                <xm:f>0.99</xm:f>
              </x14:cfvo>
              <x14:negativeFillColor rgb="FFFF0000"/>
              <x14:axisColor rgb="FF000000"/>
            </x14:dataBar>
          </x14:cfRule>
          <x14:cfRule type="dataBar" id="{C741A3B2-D09A-4A2A-880E-DF1CF7CB8CB3}">
            <x14:dataBar minLength="0" maxLength="100">
              <x14:cfvo type="num">
                <xm:f>0</xm:f>
              </x14:cfvo>
              <x14:cfvo type="num">
                <xm:f>1</xm:f>
              </x14:cfvo>
              <x14:negativeFillColor rgb="FFFF0000"/>
              <x14:axisColor rgb="FF000000"/>
            </x14:dataBar>
          </x14:cfRule>
          <xm:sqref>C57</xm:sqref>
        </x14:conditionalFormatting>
      </x14:conditionalFormatting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0DA2C-96EC-4740-BC89-37EA04062B8B}">
  <sheetPr codeName="Tabelle67"/>
  <dimension ref="A1:AC582"/>
  <sheetViews>
    <sheetView workbookViewId="0"/>
  </sheetViews>
  <sheetFormatPr baseColWidth="10" defaultColWidth="11.42578125" defaultRowHeight="12.75"/>
  <cols>
    <col min="1" max="1" width="4.28515625" style="152" customWidth="1"/>
    <col min="2" max="2" width="38.7109375" style="152" customWidth="1"/>
    <col min="3" max="4" width="20.7109375" style="152" customWidth="1"/>
    <col min="5" max="9" width="15.7109375" style="152" customWidth="1"/>
    <col min="10" max="16384" width="11.42578125" style="152"/>
  </cols>
  <sheetData>
    <row r="1" spans="1:9" ht="42" customHeight="1">
      <c r="A1" s="148"/>
      <c r="B1" s="546"/>
      <c r="C1" s="546"/>
      <c r="D1" s="150"/>
      <c r="E1" s="151"/>
      <c r="F1" s="150"/>
      <c r="G1" s="150"/>
      <c r="H1" s="150"/>
      <c r="I1" s="150"/>
    </row>
    <row r="2" spans="1:9" ht="16.5" customHeight="1">
      <c r="A2" s="148"/>
      <c r="B2" s="149"/>
      <c r="C2" s="149"/>
      <c r="D2" s="150"/>
      <c r="E2" s="151"/>
      <c r="F2" s="153" t="s">
        <v>22309</v>
      </c>
      <c r="G2" s="154"/>
      <c r="H2" s="153" t="s">
        <v>22310</v>
      </c>
      <c r="I2" s="154" t="s">
        <v>22311</v>
      </c>
    </row>
    <row r="3" spans="1:9" ht="16.5" customHeight="1">
      <c r="A3" s="148"/>
      <c r="B3" s="155"/>
      <c r="C3" s="148"/>
      <c r="D3" s="150"/>
      <c r="E3" s="151"/>
      <c r="F3" s="156" t="s">
        <v>3225</v>
      </c>
      <c r="G3" s="157">
        <v>44901</v>
      </c>
      <c r="H3" s="156" t="s">
        <v>22312</v>
      </c>
      <c r="I3" s="158" t="s">
        <v>22313</v>
      </c>
    </row>
    <row r="4" spans="1:9" ht="16.5" customHeight="1">
      <c r="A4" s="148"/>
      <c r="B4" s="160" t="s">
        <v>22316</v>
      </c>
      <c r="C4" s="547" t="str">
        <f>Kalk5_Eingabe!C4</f>
        <v>PREFA</v>
      </c>
      <c r="D4" s="547"/>
      <c r="E4" s="548"/>
      <c r="F4" s="150"/>
      <c r="G4" s="150"/>
      <c r="H4" s="151"/>
      <c r="I4" s="148"/>
    </row>
    <row r="5" spans="1:9" ht="16.5" customHeight="1">
      <c r="A5" s="148"/>
      <c r="B5" s="164" t="s">
        <v>22319</v>
      </c>
      <c r="C5" s="549" t="str">
        <f>Kalk5_Eingabe!C5</f>
        <v>Dammblaken 50/150 - H = 1,50 m</v>
      </c>
      <c r="D5" s="549"/>
      <c r="E5" s="550"/>
      <c r="F5" s="150"/>
      <c r="G5" s="150"/>
      <c r="H5" s="151"/>
      <c r="I5" s="148"/>
    </row>
    <row r="6" spans="1:9" ht="16.5" customHeight="1">
      <c r="A6" s="148"/>
      <c r="B6" s="148"/>
      <c r="C6" s="148"/>
      <c r="D6" s="168"/>
      <c r="E6" s="168"/>
      <c r="F6" s="148"/>
      <c r="G6" s="148"/>
      <c r="H6" s="148"/>
      <c r="I6" s="148"/>
    </row>
    <row r="7" spans="1:9" ht="16.5" customHeight="1">
      <c r="A7" s="148"/>
      <c r="B7" s="169" t="s">
        <v>22326</v>
      </c>
      <c r="C7" s="148"/>
      <c r="D7" s="168"/>
      <c r="E7" s="168"/>
      <c r="F7" s="148"/>
      <c r="G7" s="148"/>
      <c r="H7" s="148"/>
      <c r="I7" s="148"/>
    </row>
    <row r="8" spans="1:9" ht="16.5" customHeight="1">
      <c r="A8" s="148"/>
      <c r="B8" s="170"/>
      <c r="C8" s="148"/>
      <c r="D8" s="168"/>
      <c r="E8" s="168"/>
      <c r="F8" s="148"/>
      <c r="G8" s="148"/>
      <c r="H8" s="148"/>
      <c r="I8" s="148"/>
    </row>
    <row r="9" spans="1:9" ht="14.25" customHeight="1">
      <c r="A9" s="148"/>
      <c r="B9" s="148"/>
      <c r="C9" s="148"/>
      <c r="D9" s="168"/>
      <c r="E9" s="168"/>
      <c r="F9" s="148"/>
      <c r="G9" s="148"/>
      <c r="H9" s="148"/>
      <c r="I9" s="148"/>
    </row>
    <row r="10" spans="1:9" ht="14.25" customHeight="1" thickBot="1">
      <c r="A10" s="171" t="s">
        <v>22327</v>
      </c>
      <c r="B10" s="172" t="s">
        <v>22505</v>
      </c>
      <c r="C10" s="148"/>
      <c r="D10" s="168"/>
      <c r="E10" s="168"/>
      <c r="F10" s="148"/>
      <c r="G10" s="148"/>
      <c r="H10" s="148"/>
      <c r="I10" s="148"/>
    </row>
    <row r="11" spans="1:9" ht="14.25" customHeight="1" thickBot="1">
      <c r="A11" s="148"/>
      <c r="B11" s="173"/>
      <c r="C11" s="201" t="s">
        <v>22506</v>
      </c>
      <c r="D11" s="201" t="s">
        <v>22507</v>
      </c>
      <c r="E11" s="168"/>
      <c r="F11" s="148"/>
      <c r="G11" s="148"/>
      <c r="H11" s="148"/>
      <c r="I11" s="148"/>
    </row>
    <row r="12" spans="1:9" ht="14.25" customHeight="1">
      <c r="A12" s="148"/>
      <c r="B12" s="175" t="s">
        <v>22508</v>
      </c>
      <c r="C12" s="202">
        <v>1.35</v>
      </c>
      <c r="D12" s="202">
        <v>1</v>
      </c>
      <c r="F12" s="177"/>
      <c r="G12" s="148"/>
      <c r="H12" s="148"/>
      <c r="I12" s="148"/>
    </row>
    <row r="13" spans="1:9" ht="14.25" customHeight="1">
      <c r="A13" s="148"/>
      <c r="B13" s="175" t="s">
        <v>22509</v>
      </c>
      <c r="C13" s="203">
        <v>0.9</v>
      </c>
      <c r="D13" s="203">
        <f>C13</f>
        <v>0.9</v>
      </c>
      <c r="F13" s="177"/>
      <c r="G13" s="148"/>
      <c r="H13" s="148"/>
      <c r="I13" s="148"/>
    </row>
    <row r="14" spans="1:9" ht="14.25" customHeight="1">
      <c r="A14" s="148"/>
      <c r="B14" s="175" t="s">
        <v>22314</v>
      </c>
      <c r="C14" s="203">
        <f>IF(Kalk5_Eingabe!C22="50/150",Kalk5_Eingabe!N5,IF(Kalk5_Eingabe!C22="50/200",Kalk5_Eingabe!N6,IF(Kalk5_Eingabe!C22="80/200",Kalk5_Eingabe!N7,IF(Kalk5_Eingabe!C22="25/200",Kalk5_Eingabe!N8))))</f>
        <v>20</v>
      </c>
      <c r="D14" s="204"/>
      <c r="E14" s="168" t="s">
        <v>22416</v>
      </c>
      <c r="F14" s="163" t="s">
        <v>22318</v>
      </c>
      <c r="G14" s="148"/>
      <c r="I14" s="148"/>
    </row>
    <row r="15" spans="1:9" ht="14.25" customHeight="1" thickBot="1">
      <c r="A15" s="148"/>
      <c r="B15" s="175" t="s">
        <v>22315</v>
      </c>
      <c r="C15" s="205">
        <f>IF(Kalk5_Eingabe!C22="50/150",Kalk5_Eingabe!O5,IF(Kalk5_Eingabe!C22="50/200",Kalk5_Eingabe!O6,IF(Kalk5_Eingabe!C22="80/200",Kalk5_Eingabe!O7,IF(Kalk5_Eingabe!C22="25/200",Kalk5_Eingabe!O8))))</f>
        <v>21</v>
      </c>
      <c r="D15" s="206"/>
      <c r="E15" s="168" t="s">
        <v>22416</v>
      </c>
      <c r="F15" s="163" t="s">
        <v>22323</v>
      </c>
      <c r="G15" s="148"/>
      <c r="I15" s="148"/>
    </row>
    <row r="16" spans="1:9" ht="5.0999999999999996" customHeight="1">
      <c r="A16" s="148"/>
      <c r="B16" s="175"/>
      <c r="C16" s="207"/>
      <c r="D16" s="208"/>
      <c r="E16" s="168"/>
      <c r="F16" s="163"/>
      <c r="G16" s="148"/>
      <c r="I16" s="148"/>
    </row>
    <row r="17" spans="1:9" ht="24" customHeight="1" thickBot="1">
      <c r="A17" s="171" t="s">
        <v>22353</v>
      </c>
      <c r="B17" s="172" t="s">
        <v>22510</v>
      </c>
      <c r="C17" s="209" t="s">
        <v>22511</v>
      </c>
      <c r="D17" s="210" t="s">
        <v>22512</v>
      </c>
      <c r="I17" s="148"/>
    </row>
    <row r="18" spans="1:9" ht="14.25" customHeight="1">
      <c r="A18" s="211" t="s">
        <v>22513</v>
      </c>
      <c r="B18" s="212" t="s">
        <v>21191</v>
      </c>
      <c r="C18" s="213"/>
      <c r="D18" s="213"/>
      <c r="G18" s="181"/>
      <c r="I18" s="148"/>
    </row>
    <row r="19" spans="1:9" ht="14.25" customHeight="1">
      <c r="A19" s="179"/>
      <c r="B19" s="175" t="s">
        <v>22514</v>
      </c>
      <c r="C19" s="203">
        <f>C13*C12*Kalk5_Eingabe!C29</f>
        <v>0.30375000000000002</v>
      </c>
      <c r="D19" s="203">
        <f>D13*D12*Kalk5_Eingabe!C29</f>
        <v>0.22500000000000001</v>
      </c>
      <c r="E19" s="168" t="s">
        <v>22358</v>
      </c>
      <c r="G19" s="148"/>
      <c r="I19" s="148"/>
    </row>
    <row r="20" spans="1:9" ht="14.25" customHeight="1">
      <c r="A20" s="179"/>
      <c r="B20" s="175" t="s">
        <v>22515</v>
      </c>
      <c r="C20" s="203">
        <f>C13*Kalk5_Lastfallkombi!C12*Kalk5_Eingabe!C32</f>
        <v>0</v>
      </c>
      <c r="D20" s="203">
        <f>D13*Kalk5_Lastfallkombi!D12*Kalk5_Eingabe!C32</f>
        <v>0</v>
      </c>
      <c r="E20" s="168"/>
      <c r="G20" s="148"/>
      <c r="I20" s="148"/>
    </row>
    <row r="21" spans="1:9" ht="14.25" customHeight="1">
      <c r="B21" s="214" t="s">
        <v>22516</v>
      </c>
      <c r="C21" s="215"/>
      <c r="D21" s="203"/>
      <c r="E21" s="168"/>
    </row>
    <row r="22" spans="1:9" ht="14.25" customHeight="1">
      <c r="B22" s="175" t="s">
        <v>22517</v>
      </c>
      <c r="C22" s="203">
        <f>C19</f>
        <v>0.30375000000000002</v>
      </c>
      <c r="D22" s="203">
        <f>D19</f>
        <v>0.22500000000000001</v>
      </c>
      <c r="E22" s="168" t="s">
        <v>22358</v>
      </c>
    </row>
    <row r="23" spans="1:9" ht="14.25" customHeight="1">
      <c r="A23" s="179"/>
      <c r="B23" s="175" t="s">
        <v>22518</v>
      </c>
      <c r="C23" s="203">
        <f>C19*(Kalk5_Eingabe!C24-C15/100)/Kalk5_Eingabe!C24</f>
        <v>-2.2477499999999999</v>
      </c>
      <c r="D23" s="203">
        <f>D19*(Kalk5_Eingabe!C24-C15/100)/Kalk5_Eingabe!C24</f>
        <v>-1.665</v>
      </c>
      <c r="E23" s="168" t="s">
        <v>22358</v>
      </c>
    </row>
    <row r="24" spans="1:9" ht="14.25" customHeight="1">
      <c r="B24" s="175" t="s">
        <v>22519</v>
      </c>
      <c r="C24" s="203">
        <f>(C22+C23)/2+C20</f>
        <v>-0.97199999999999998</v>
      </c>
      <c r="D24" s="203">
        <f>(D22+D23)/2+D20</f>
        <v>-0.72</v>
      </c>
      <c r="E24" s="168" t="s">
        <v>22358</v>
      </c>
      <c r="F24" s="163" t="s">
        <v>22520</v>
      </c>
    </row>
    <row r="25" spans="1:9" ht="14.25" customHeight="1">
      <c r="B25" s="214" t="s">
        <v>22521</v>
      </c>
      <c r="C25" s="215"/>
      <c r="D25" s="215"/>
      <c r="E25" s="168"/>
    </row>
    <row r="26" spans="1:9" ht="14.25" customHeight="1">
      <c r="B26" s="175" t="s">
        <v>22522</v>
      </c>
      <c r="C26" s="203">
        <f>VLOOKUP(P102+1,K47:Y94,15,FALSE)</f>
        <v>-0.97199999999999998</v>
      </c>
      <c r="D26" s="203">
        <f>VLOOKUP(P102+1,K47:AC94,19,FALSE)</f>
        <v>-0.72</v>
      </c>
      <c r="E26" s="168" t="s">
        <v>22358</v>
      </c>
      <c r="F26" s="163" t="s">
        <v>22523</v>
      </c>
    </row>
    <row r="27" spans="1:9" ht="14.25" customHeight="1">
      <c r="B27" s="165" t="s">
        <v>22524</v>
      </c>
      <c r="C27" s="203" t="e">
        <f>C12*C13*Kalk5_Eingabe!C46</f>
        <v>#NUM!</v>
      </c>
      <c r="D27" s="203" t="e">
        <f>D12*D13*Kalk5_Eingabe!C46</f>
        <v>#NUM!</v>
      </c>
      <c r="E27" s="168" t="s">
        <v>22379</v>
      </c>
      <c r="F27" s="163" t="s">
        <v>22525</v>
      </c>
    </row>
    <row r="28" spans="1:9" ht="14.25" customHeight="1">
      <c r="B28" s="165" t="s">
        <v>22526</v>
      </c>
      <c r="C28" s="203" t="e">
        <f>C12*C13*Kalk5_Eingabe!C47</f>
        <v>#NUM!</v>
      </c>
      <c r="D28" s="203" t="e">
        <f>D12*D13*Kalk5_Eingabe!C47</f>
        <v>#NUM!</v>
      </c>
      <c r="E28" s="168" t="s">
        <v>22379</v>
      </c>
      <c r="F28" s="163" t="s">
        <v>22527</v>
      </c>
    </row>
    <row r="29" spans="1:9" ht="5.0999999999999996" customHeight="1">
      <c r="B29" s="165"/>
      <c r="C29" s="203"/>
      <c r="D29" s="203"/>
      <c r="F29" s="163"/>
    </row>
    <row r="30" spans="1:9" ht="14.25" customHeight="1">
      <c r="A30" s="216" t="s">
        <v>22528</v>
      </c>
      <c r="B30" s="212" t="s">
        <v>22422</v>
      </c>
      <c r="C30" s="203"/>
      <c r="D30" s="203"/>
      <c r="F30" s="163"/>
    </row>
    <row r="31" spans="1:9" ht="14.25" customHeight="1">
      <c r="B31" s="175" t="s">
        <v>22529</v>
      </c>
      <c r="C31" s="203">
        <f>C12*Kalk5_Eingabe!C28</f>
        <v>0</v>
      </c>
      <c r="D31" s="203">
        <f>D12*Kalk5_Eingabe!C28</f>
        <v>0</v>
      </c>
      <c r="E31" s="168" t="s">
        <v>22358</v>
      </c>
      <c r="F31" s="163"/>
      <c r="G31" s="185"/>
    </row>
    <row r="32" spans="1:9" ht="14.25" customHeight="1">
      <c r="B32" s="175" t="s">
        <v>22530</v>
      </c>
      <c r="C32" s="203">
        <f>Kalk5_Lastfallkombi!C12*Kalk5_Eingabe!C32</f>
        <v>0</v>
      </c>
      <c r="D32" s="203">
        <f>Kalk5_Lastfallkombi!D12*Kalk5_Eingabe!C32</f>
        <v>0</v>
      </c>
      <c r="E32" s="168"/>
      <c r="F32" s="163"/>
    </row>
    <row r="33" spans="1:29" ht="14.25" customHeight="1">
      <c r="B33" s="214" t="s">
        <v>22516</v>
      </c>
      <c r="C33" s="215"/>
      <c r="D33" s="215"/>
      <c r="E33" s="168"/>
      <c r="F33" s="163"/>
      <c r="G33" s="185"/>
    </row>
    <row r="34" spans="1:29" ht="14.25" customHeight="1">
      <c r="B34" s="175" t="s">
        <v>22531</v>
      </c>
      <c r="C34" s="203">
        <f>C31</f>
        <v>0</v>
      </c>
      <c r="D34" s="203">
        <f>D31</f>
        <v>0</v>
      </c>
      <c r="E34" s="168" t="s">
        <v>22358</v>
      </c>
      <c r="F34" s="183"/>
      <c r="G34" s="185"/>
    </row>
    <row r="35" spans="1:29" ht="14.25" customHeight="1">
      <c r="B35" s="175" t="s">
        <v>22532</v>
      </c>
      <c r="C35" s="203" t="e">
        <f>C31*(Kalk5_Eingabe!C18-Kalk5_Lastfallkombi!C15/100)/Kalk5_Eingabe!C18</f>
        <v>#DIV/0!</v>
      </c>
      <c r="D35" s="203" t="e">
        <f>D31*(Kalk5_Eingabe!C18-Kalk5_Lastfallkombi!C15/100)/Kalk5_Eingabe!C18</f>
        <v>#DIV/0!</v>
      </c>
      <c r="E35" s="168" t="s">
        <v>22358</v>
      </c>
      <c r="F35" s="183"/>
      <c r="G35" s="185"/>
    </row>
    <row r="36" spans="1:29" ht="14.25" customHeight="1">
      <c r="B36" s="175" t="s">
        <v>22533</v>
      </c>
      <c r="C36" s="203" t="e">
        <f>(C34+C35)/2+C32</f>
        <v>#DIV/0!</v>
      </c>
      <c r="D36" s="203" t="e">
        <f>(D34+D35)/2+D32</f>
        <v>#DIV/0!</v>
      </c>
      <c r="E36" s="168" t="s">
        <v>22358</v>
      </c>
      <c r="F36" s="163" t="s">
        <v>22520</v>
      </c>
      <c r="K36" s="152" t="s">
        <v>22534</v>
      </c>
      <c r="L36" s="152">
        <f>IF(Kalk5_Eingabe!C22="50/150",'Kalk5_DB_50-150'!C15,IF(Kalk5_Eingabe!C22="50/200",'Kalk5_DB_50-200'!C15,IF(Kalk5_Eingabe!C22="80/200",'Kalk5_DB_80-200'!C15,IF(Kalk5_Eingabe!C22="25/200",'Kalk5_DB_25-200'!C15))))</f>
        <v>0</v>
      </c>
      <c r="M36" s="152" t="s">
        <v>20892</v>
      </c>
    </row>
    <row r="37" spans="1:29" ht="14.25" customHeight="1">
      <c r="B37" s="214" t="s">
        <v>22535</v>
      </c>
      <c r="C37" s="215"/>
      <c r="D37" s="215"/>
      <c r="E37" s="168"/>
      <c r="L37" s="152">
        <v>2</v>
      </c>
    </row>
    <row r="38" spans="1:29" ht="14.25" customHeight="1">
      <c r="B38" s="217" t="s">
        <v>22536</v>
      </c>
      <c r="C38" s="203" t="e">
        <f>VLOOKUP(P98+1,K47:U94,7,FALSE)</f>
        <v>#DIV/0!</v>
      </c>
      <c r="D38" s="203" t="e">
        <f>VLOOKUP(P98+1,K47:U94,11,FALSE)</f>
        <v>#DIV/0!</v>
      </c>
      <c r="E38" s="168" t="s">
        <v>22358</v>
      </c>
      <c r="F38" s="218" t="s">
        <v>22523</v>
      </c>
      <c r="K38" s="152" t="s">
        <v>22537</v>
      </c>
    </row>
    <row r="39" spans="1:29" ht="14.25" customHeight="1">
      <c r="B39" s="165" t="s">
        <v>22538</v>
      </c>
      <c r="C39" s="203" t="e">
        <f>C12*Kalk5_Eingabe!C39</f>
        <v>#DIV/0!</v>
      </c>
      <c r="D39" s="203" t="e">
        <f>D12*Kalk5_Eingabe!C39</f>
        <v>#DIV/0!</v>
      </c>
      <c r="E39" s="168" t="s">
        <v>22379</v>
      </c>
      <c r="F39" s="218" t="s">
        <v>22525</v>
      </c>
      <c r="L39" s="152" t="s">
        <v>22539</v>
      </c>
      <c r="M39" s="152" t="s">
        <v>22540</v>
      </c>
    </row>
    <row r="40" spans="1:29" ht="14.25" customHeight="1">
      <c r="B40" s="165" t="s">
        <v>22541</v>
      </c>
      <c r="C40" s="203" t="e">
        <f>C12*Kalk5_Eingabe!C40</f>
        <v>#DIV/0!</v>
      </c>
      <c r="D40" s="203" t="e">
        <f>D12*Kalk5_Eingabe!C40</f>
        <v>#DIV/0!</v>
      </c>
      <c r="E40" s="168" t="s">
        <v>22379</v>
      </c>
      <c r="F40" s="218" t="s">
        <v>22527</v>
      </c>
      <c r="K40" s="152" t="s">
        <v>22542</v>
      </c>
      <c r="L40" s="152">
        <v>0</v>
      </c>
      <c r="M40" s="152">
        <v>0</v>
      </c>
    </row>
    <row r="41" spans="1:29" ht="5.0999999999999996" customHeight="1" thickBot="1">
      <c r="C41" s="206"/>
      <c r="D41" s="206"/>
      <c r="L41" s="152">
        <f>L37+0.5</f>
        <v>2.5</v>
      </c>
      <c r="M41" s="152">
        <v>0</v>
      </c>
    </row>
    <row r="42" spans="1:29" ht="14.25" customHeight="1" thickBot="1">
      <c r="A42" s="171" t="s">
        <v>22413</v>
      </c>
      <c r="B42" s="172" t="s">
        <v>22543</v>
      </c>
      <c r="C42" s="201" t="s">
        <v>22506</v>
      </c>
      <c r="D42" s="201" t="s">
        <v>22507</v>
      </c>
      <c r="K42" s="152" t="s">
        <v>22544</v>
      </c>
      <c r="L42" s="152">
        <f>L37</f>
        <v>2</v>
      </c>
      <c r="M42" s="152">
        <v>0</v>
      </c>
    </row>
    <row r="43" spans="1:29" ht="14.25" customHeight="1">
      <c r="A43" s="219" t="s">
        <v>22528</v>
      </c>
      <c r="B43" s="192" t="s">
        <v>22545</v>
      </c>
      <c r="C43" s="213"/>
      <c r="D43" s="213"/>
      <c r="L43" s="152">
        <f>L42</f>
        <v>2</v>
      </c>
      <c r="M43" s="185">
        <f>Kalk5_Eingabe!C24</f>
        <v>2.5000000000000001E-2</v>
      </c>
    </row>
    <row r="44" spans="1:29" ht="14.25" customHeight="1">
      <c r="B44" s="165" t="s">
        <v>22496</v>
      </c>
      <c r="C44" s="203" t="e">
        <f>C39/Kalk5_Eingabe!C41/0.5</f>
        <v>#DIV/0!</v>
      </c>
      <c r="D44" s="203" t="e">
        <f>D39/Kalk5_Eingabe!C41/0.5</f>
        <v>#DIV/0!</v>
      </c>
      <c r="E44" s="168" t="s">
        <v>22469</v>
      </c>
      <c r="K44" s="152" t="s">
        <v>22422</v>
      </c>
      <c r="L44" s="152">
        <v>0</v>
      </c>
      <c r="M44" s="185">
        <f>Kalk5_Eingabe!C18</f>
        <v>0</v>
      </c>
      <c r="N44" s="551" t="s">
        <v>22546</v>
      </c>
      <c r="O44" s="552"/>
      <c r="P44" s="552"/>
      <c r="Q44" s="553"/>
      <c r="R44" s="551" t="s">
        <v>22547</v>
      </c>
      <c r="S44" s="552"/>
      <c r="T44" s="552"/>
      <c r="U44" s="553"/>
      <c r="V44" s="551" t="s">
        <v>22548</v>
      </c>
      <c r="W44" s="552"/>
      <c r="X44" s="552"/>
      <c r="Y44" s="553"/>
      <c r="Z44" s="551" t="s">
        <v>22547</v>
      </c>
      <c r="AA44" s="552"/>
      <c r="AB44" s="552"/>
      <c r="AC44" s="553"/>
    </row>
    <row r="45" spans="1:29" ht="14.25" customHeight="1">
      <c r="B45" s="165" t="s">
        <v>22549</v>
      </c>
      <c r="C45" s="203" t="e">
        <f>C44*0.5*(2*((Kalk5_Eingabe!C19-0.5)/2)+0.5)/(2*Kalk5_Eingabe!C19)</f>
        <v>#DIV/0!</v>
      </c>
      <c r="D45" s="203" t="e">
        <f>D44*0.5*(2*((Kalk5_Eingabe!C19-0.5)/2)+0.5)/(2*Kalk5_Eingabe!C19)</f>
        <v>#DIV/0!</v>
      </c>
      <c r="E45" s="168" t="s">
        <v>22379</v>
      </c>
      <c r="F45" s="163"/>
      <c r="L45" s="152">
        <f>L43</f>
        <v>2</v>
      </c>
      <c r="M45" s="185">
        <f>M44</f>
        <v>0</v>
      </c>
      <c r="N45" s="220"/>
      <c r="O45" s="221"/>
      <c r="P45" s="221"/>
      <c r="Q45" s="222"/>
      <c r="R45" s="220"/>
      <c r="S45" s="221"/>
      <c r="T45" s="221"/>
      <c r="U45" s="222"/>
      <c r="V45" s="220"/>
      <c r="W45" s="221"/>
      <c r="X45" s="221"/>
      <c r="Y45" s="222"/>
      <c r="Z45" s="220"/>
      <c r="AA45" s="221"/>
      <c r="AB45" s="221"/>
      <c r="AC45" s="222"/>
    </row>
    <row r="46" spans="1:29" ht="14.25" customHeight="1">
      <c r="B46" s="165" t="s">
        <v>22550</v>
      </c>
      <c r="C46" s="203" t="e">
        <f>IF(C44=0,0,C45*(((Kalk5_Eingabe!C19-0.5)/2)+Kalk5_Lastfallkombi!C45/(2*Kalk5_Lastfallkombi!C44)))</f>
        <v>#DIV/0!</v>
      </c>
      <c r="D46" s="203" t="e">
        <f>IF(D44=0,0,D45*(((Kalk5_Eingabe!C19-0.5)/2)+Kalk5_Lastfallkombi!D45/(2*Kalk5_Lastfallkombi!D44)))</f>
        <v>#DIV/0!</v>
      </c>
      <c r="E46" s="168" t="s">
        <v>22428</v>
      </c>
      <c r="F46" s="163"/>
      <c r="K46" s="152" t="s">
        <v>22551</v>
      </c>
      <c r="N46" s="223" t="s">
        <v>22552</v>
      </c>
      <c r="O46" s="224" t="s">
        <v>22553</v>
      </c>
      <c r="P46" s="225" t="s">
        <v>22554</v>
      </c>
      <c r="Q46" s="226" t="s">
        <v>22555</v>
      </c>
      <c r="R46" s="223" t="s">
        <v>22552</v>
      </c>
      <c r="S46" s="224" t="s">
        <v>22553</v>
      </c>
      <c r="T46" s="225" t="s">
        <v>22554</v>
      </c>
      <c r="U46" s="226" t="s">
        <v>22555</v>
      </c>
      <c r="V46" s="223" t="s">
        <v>22552</v>
      </c>
      <c r="W46" s="224" t="s">
        <v>22553</v>
      </c>
      <c r="X46" s="225" t="s">
        <v>22554</v>
      </c>
      <c r="Y46" s="226" t="s">
        <v>22555</v>
      </c>
      <c r="Z46" s="223" t="s">
        <v>22552</v>
      </c>
      <c r="AA46" s="224" t="s">
        <v>22553</v>
      </c>
      <c r="AB46" s="225" t="s">
        <v>22554</v>
      </c>
      <c r="AC46" s="226" t="s">
        <v>22555</v>
      </c>
    </row>
    <row r="47" spans="1:29" ht="14.25" customHeight="1">
      <c r="B47" s="192" t="s">
        <v>22556</v>
      </c>
      <c r="C47" s="204"/>
      <c r="D47" s="204"/>
      <c r="F47" s="163"/>
      <c r="K47" s="152">
        <v>1</v>
      </c>
      <c r="L47" s="185">
        <f>L42-0.02</f>
        <v>1.98</v>
      </c>
      <c r="M47" s="185">
        <f>C15/100</f>
        <v>0.21</v>
      </c>
      <c r="N47" s="227">
        <f>C31</f>
        <v>0</v>
      </c>
      <c r="O47" s="185">
        <f>C32</f>
        <v>0</v>
      </c>
      <c r="P47" s="185">
        <f>O47+N47</f>
        <v>0</v>
      </c>
      <c r="Q47" s="228" t="e">
        <f>Q48</f>
        <v>#DIV/0!</v>
      </c>
      <c r="R47" s="227">
        <f>D31</f>
        <v>0</v>
      </c>
      <c r="S47" s="185">
        <f>D32</f>
        <v>0</v>
      </c>
      <c r="T47" s="185">
        <f>S47+R47</f>
        <v>0</v>
      </c>
      <c r="U47" s="228" t="e">
        <f>U48</f>
        <v>#DIV/0!</v>
      </c>
      <c r="V47" s="229">
        <f>C19</f>
        <v>0.30375000000000002</v>
      </c>
      <c r="W47" s="230">
        <f>C20</f>
        <v>0</v>
      </c>
      <c r="X47" s="230">
        <f>W47+V47</f>
        <v>0.30375000000000002</v>
      </c>
      <c r="Y47" s="231">
        <f>Y48</f>
        <v>-0.97199999999999998</v>
      </c>
      <c r="Z47" s="229">
        <f>D19</f>
        <v>0.22500000000000001</v>
      </c>
      <c r="AA47" s="230">
        <f>D20</f>
        <v>0</v>
      </c>
      <c r="AB47" s="230">
        <f>AA47+Z47</f>
        <v>0.22500000000000001</v>
      </c>
      <c r="AC47" s="231">
        <f>AC48</f>
        <v>-0.72</v>
      </c>
    </row>
    <row r="48" spans="1:29" ht="14.25" customHeight="1">
      <c r="B48" s="165" t="s">
        <v>22557</v>
      </c>
      <c r="C48" s="203" t="e">
        <f>C38*C14/100*Kalk5_Eingabe!C19/2</f>
        <v>#DIV/0!</v>
      </c>
      <c r="D48" s="203" t="e">
        <f>D38*C14/100*Kalk5_Eingabe!C19/2</f>
        <v>#DIV/0!</v>
      </c>
      <c r="E48" s="168" t="s">
        <v>22379</v>
      </c>
      <c r="K48" s="152">
        <v>1</v>
      </c>
      <c r="L48" s="185">
        <f>L42+0.02</f>
        <v>2.02</v>
      </c>
      <c r="M48" s="185">
        <f>M47</f>
        <v>0.21</v>
      </c>
      <c r="N48" s="227" t="e">
        <f>$N$47/Kalk5_Eingabe!$C$18*(Kalk5_Eingabe!$C$18-Kalk5_Lastfallkombi!M48)</f>
        <v>#DIV/0!</v>
      </c>
      <c r="O48" s="185">
        <f>O47</f>
        <v>0</v>
      </c>
      <c r="P48" s="185" t="e">
        <f t="shared" ref="P48:P94" si="0">O48+N48</f>
        <v>#DIV/0!</v>
      </c>
      <c r="Q48" s="228" t="e">
        <f>AVERAGE(P48,P47)</f>
        <v>#DIV/0!</v>
      </c>
      <c r="R48" s="227" t="e">
        <f>$R$47/Kalk5_Eingabe!$C$18*(Kalk5_Eingabe!$C$18-Kalk5_Lastfallkombi!M48)</f>
        <v>#DIV/0!</v>
      </c>
      <c r="S48" s="185">
        <f>S47</f>
        <v>0</v>
      </c>
      <c r="T48" s="185" t="e">
        <f>S48+R48</f>
        <v>#DIV/0!</v>
      </c>
      <c r="U48" s="228" t="e">
        <f>AVERAGE(T48,T47)</f>
        <v>#DIV/0!</v>
      </c>
      <c r="V48" s="227">
        <f>$V$47/Kalk5_Eingabe!$C$24*(Kalk5_Eingabe!$C$24-Kalk5_Lastfallkombi!M48)</f>
        <v>-2.2477499999999999</v>
      </c>
      <c r="W48" s="185">
        <f>W47</f>
        <v>0</v>
      </c>
      <c r="X48" s="185">
        <f>W48+V48</f>
        <v>-2.2477499999999999</v>
      </c>
      <c r="Y48" s="228">
        <f>AVERAGE(X48,X47)</f>
        <v>-0.97199999999999998</v>
      </c>
      <c r="Z48" s="227">
        <f>$Z$47/Kalk5_Eingabe!$C$24*(Kalk5_Eingabe!$C$24-Kalk5_Lastfallkombi!M48)</f>
        <v>-1.665</v>
      </c>
      <c r="AA48" s="185">
        <f>AA47</f>
        <v>0</v>
      </c>
      <c r="AB48" s="185">
        <f>AA48+Z48</f>
        <v>-1.665</v>
      </c>
      <c r="AC48" s="228">
        <f>AVERAGE(AB48,AB47)</f>
        <v>-0.72</v>
      </c>
    </row>
    <row r="49" spans="1:29" ht="14.25" customHeight="1" thickBot="1">
      <c r="B49" s="165" t="s">
        <v>22558</v>
      </c>
      <c r="C49" s="203" t="e">
        <f>C38*C14/100*Kalk5_Eingabe!C19^2/8</f>
        <v>#DIV/0!</v>
      </c>
      <c r="D49" s="203" t="e">
        <f>D38*C14/100*Kalk5_Eingabe!C19^2/8</f>
        <v>#DIV/0!</v>
      </c>
      <c r="E49" s="168" t="s">
        <v>22428</v>
      </c>
      <c r="K49" s="152">
        <v>2</v>
      </c>
      <c r="L49" s="185">
        <f>L47</f>
        <v>1.98</v>
      </c>
      <c r="M49" s="185">
        <f>M47+IF(K49&lt;=$L$36,$C$14/100,0)</f>
        <v>0.21</v>
      </c>
      <c r="N49" s="227" t="e">
        <f>N48</f>
        <v>#DIV/0!</v>
      </c>
      <c r="O49" s="185" t="e">
        <f>IF(N49=0,0,O48)</f>
        <v>#DIV/0!</v>
      </c>
      <c r="P49" s="185" t="e">
        <f t="shared" si="0"/>
        <v>#DIV/0!</v>
      </c>
      <c r="Q49" s="228" t="e">
        <f>Q50</f>
        <v>#DIV/0!</v>
      </c>
      <c r="R49" s="227" t="e">
        <f>R48</f>
        <v>#DIV/0!</v>
      </c>
      <c r="S49" s="185" t="e">
        <f>IF(R49=0,0,S48)</f>
        <v>#DIV/0!</v>
      </c>
      <c r="T49" s="185" t="e">
        <f>S49+R49</f>
        <v>#DIV/0!</v>
      </c>
      <c r="U49" s="228" t="e">
        <f>U50</f>
        <v>#DIV/0!</v>
      </c>
      <c r="V49" s="227">
        <f>V48</f>
        <v>-2.2477499999999999</v>
      </c>
      <c r="W49" s="185">
        <f>IF(V49=0,0,W48)</f>
        <v>0</v>
      </c>
      <c r="X49" s="185">
        <f>W49+V49</f>
        <v>-2.2477499999999999</v>
      </c>
      <c r="Y49" s="228">
        <f>Y50</f>
        <v>-1.123875</v>
      </c>
      <c r="Z49" s="227">
        <f>Z48</f>
        <v>-1.665</v>
      </c>
      <c r="AA49" s="185">
        <f>IF(Z49=0,0,AA48)</f>
        <v>0</v>
      </c>
      <c r="AB49" s="185">
        <f>AA49+Z49</f>
        <v>-1.665</v>
      </c>
      <c r="AC49" s="228">
        <f>AC50</f>
        <v>-0.83250000000000002</v>
      </c>
    </row>
    <row r="50" spans="1:29" ht="14.25" customHeight="1" thickBot="1">
      <c r="A50" s="216" t="s">
        <v>22528</v>
      </c>
      <c r="B50" s="195" t="s">
        <v>22559</v>
      </c>
      <c r="C50" s="194" t="e">
        <f>C48+C45</f>
        <v>#DIV/0!</v>
      </c>
      <c r="D50" s="194" t="e">
        <f>D48+D45</f>
        <v>#DIV/0!</v>
      </c>
      <c r="E50" s="190" t="s">
        <v>22379</v>
      </c>
      <c r="K50" s="152">
        <v>2</v>
      </c>
      <c r="L50" s="185">
        <f>L48</f>
        <v>2.02</v>
      </c>
      <c r="M50" s="185">
        <f>M49</f>
        <v>0.21</v>
      </c>
      <c r="N50" s="227" t="e">
        <f>MAX($N$47/Kalk5_Eingabe!$C$18*(Kalk5_Eingabe!$C$18-Kalk5_Lastfallkombi!M50),0)</f>
        <v>#DIV/0!</v>
      </c>
      <c r="O50" s="185" t="e">
        <f t="shared" ref="O50:O94" si="1">O49</f>
        <v>#DIV/0!</v>
      </c>
      <c r="P50" s="185" t="e">
        <f t="shared" si="0"/>
        <v>#DIV/0!</v>
      </c>
      <c r="Q50" s="228" t="e">
        <f>AVERAGE(P50,P49)</f>
        <v>#DIV/0!</v>
      </c>
      <c r="R50" s="227" t="e">
        <f>MAX($R$47/Kalk5_Eingabe!$C$18*(Kalk5_Eingabe!$C$18-Kalk5_Lastfallkombi!M50),0)</f>
        <v>#DIV/0!</v>
      </c>
      <c r="S50" s="185" t="e">
        <f t="shared" ref="S50:S94" si="2">S49</f>
        <v>#DIV/0!</v>
      </c>
      <c r="T50" s="185" t="e">
        <f>S50+R50</f>
        <v>#DIV/0!</v>
      </c>
      <c r="U50" s="228" t="e">
        <f>AVERAGE(T50,T49)</f>
        <v>#DIV/0!</v>
      </c>
      <c r="V50" s="227">
        <f>MAX($V$47/Kalk5_Eingabe!$C$24*(Kalk5_Eingabe!$C$24-Kalk5_Lastfallkombi!M50),0)</f>
        <v>0</v>
      </c>
      <c r="W50" s="185">
        <f t="shared" ref="W50:W94" si="3">W49</f>
        <v>0</v>
      </c>
      <c r="X50" s="185">
        <f>W50+V50</f>
        <v>0</v>
      </c>
      <c r="Y50" s="228">
        <f>AVERAGE(X50,X49)</f>
        <v>-1.123875</v>
      </c>
      <c r="Z50" s="227">
        <f>MAX($Z$47/Kalk5_Eingabe!$C$24*(Kalk5_Eingabe!$C$24-Kalk5_Lastfallkombi!M50),0)</f>
        <v>0</v>
      </c>
      <c r="AA50" s="185">
        <f t="shared" ref="AA50:AA94" si="4">AA49</f>
        <v>0</v>
      </c>
      <c r="AB50" s="185">
        <f>AA50+Z50</f>
        <v>0</v>
      </c>
      <c r="AC50" s="228">
        <f>AVERAGE(AB50,AB49)</f>
        <v>-0.83250000000000002</v>
      </c>
    </row>
    <row r="51" spans="1:29" ht="14.25" customHeight="1" thickBot="1">
      <c r="B51" s="195" t="s">
        <v>22560</v>
      </c>
      <c r="C51" s="194" t="e">
        <f>C46+C49</f>
        <v>#DIV/0!</v>
      </c>
      <c r="D51" s="194" t="e">
        <f>D46+D49</f>
        <v>#DIV/0!</v>
      </c>
      <c r="E51" s="190" t="s">
        <v>22428</v>
      </c>
      <c r="K51" s="152">
        <v>3</v>
      </c>
      <c r="L51" s="185">
        <f t="shared" ref="L51:L94" si="5">L49</f>
        <v>1.98</v>
      </c>
      <c r="M51" s="185">
        <f>M49+IF(K51&lt;=$L$36,$C$14/100,0)</f>
        <v>0.21</v>
      </c>
      <c r="N51" s="227" t="e">
        <f>N50</f>
        <v>#DIV/0!</v>
      </c>
      <c r="O51" s="185" t="e">
        <f>IF(N51=0,0,O50)</f>
        <v>#DIV/0!</v>
      </c>
      <c r="P51" s="185" t="e">
        <f t="shared" si="0"/>
        <v>#DIV/0!</v>
      </c>
      <c r="Q51" s="228" t="e">
        <f>Q52</f>
        <v>#DIV/0!</v>
      </c>
      <c r="R51" s="227" t="e">
        <f>R50</f>
        <v>#DIV/0!</v>
      </c>
      <c r="S51" s="185" t="e">
        <f>IF(R51=0,0,S50)</f>
        <v>#DIV/0!</v>
      </c>
      <c r="T51" s="185" t="e">
        <f t="shared" ref="T51:T94" si="6">S51+R51</f>
        <v>#DIV/0!</v>
      </c>
      <c r="U51" s="228" t="e">
        <f>U52</f>
        <v>#DIV/0!</v>
      </c>
      <c r="V51" s="227">
        <f>V50</f>
        <v>0</v>
      </c>
      <c r="W51" s="185">
        <f>IF(V51=0,0,W50)</f>
        <v>0</v>
      </c>
      <c r="X51" s="185">
        <f t="shared" ref="X51:X94" si="7">W51+V51</f>
        <v>0</v>
      </c>
      <c r="Y51" s="228">
        <f>Y52</f>
        <v>0</v>
      </c>
      <c r="Z51" s="227">
        <f>Z50</f>
        <v>0</v>
      </c>
      <c r="AA51" s="185">
        <f>IF(Z51=0,0,AA50)</f>
        <v>0</v>
      </c>
      <c r="AB51" s="185">
        <f t="shared" ref="AB51:AB94" si="8">AA51+Z51</f>
        <v>0</v>
      </c>
      <c r="AC51" s="228">
        <f>AC52</f>
        <v>0</v>
      </c>
    </row>
    <row r="52" spans="1:29" ht="5.0999999999999996" customHeight="1">
      <c r="C52" s="204"/>
      <c r="D52" s="204"/>
      <c r="H52" s="163"/>
      <c r="K52" s="152">
        <v>3</v>
      </c>
      <c r="L52" s="185">
        <f t="shared" si="5"/>
        <v>2.02</v>
      </c>
      <c r="M52" s="185">
        <f>M51</f>
        <v>0.21</v>
      </c>
      <c r="N52" s="227" t="e">
        <f>MAX($N$47/Kalk5_Eingabe!$C$18*(Kalk5_Eingabe!$C$18-Kalk5_Lastfallkombi!M52),0)</f>
        <v>#DIV/0!</v>
      </c>
      <c r="O52" s="185" t="e">
        <f t="shared" si="1"/>
        <v>#DIV/0!</v>
      </c>
      <c r="P52" s="185" t="e">
        <f t="shared" si="0"/>
        <v>#DIV/0!</v>
      </c>
      <c r="Q52" s="228" t="e">
        <f>AVERAGE(P52,P51)</f>
        <v>#DIV/0!</v>
      </c>
      <c r="R52" s="227" t="e">
        <f>MAX($R$47/Kalk5_Eingabe!$C$18*(Kalk5_Eingabe!$C$18-Kalk5_Lastfallkombi!M52),0)</f>
        <v>#DIV/0!</v>
      </c>
      <c r="S52" s="185" t="e">
        <f t="shared" si="2"/>
        <v>#DIV/0!</v>
      </c>
      <c r="T52" s="185" t="e">
        <f t="shared" si="6"/>
        <v>#DIV/0!</v>
      </c>
      <c r="U52" s="228" t="e">
        <f>AVERAGE(T52,T51)</f>
        <v>#DIV/0!</v>
      </c>
      <c r="V52" s="227">
        <f>MAX($V$47/Kalk5_Eingabe!$C$24*(Kalk5_Eingabe!$C$24-Kalk5_Lastfallkombi!M52),0)</f>
        <v>0</v>
      </c>
      <c r="W52" s="185">
        <f t="shared" si="3"/>
        <v>0</v>
      </c>
      <c r="X52" s="185">
        <f t="shared" si="7"/>
        <v>0</v>
      </c>
      <c r="Y52" s="228">
        <f>AVERAGE(X52,X51)</f>
        <v>0</v>
      </c>
      <c r="Z52" s="227">
        <f>MAX($Z$47/Kalk5_Eingabe!$C$24*(Kalk5_Eingabe!$C$24-Kalk5_Lastfallkombi!M52),0)</f>
        <v>0</v>
      </c>
      <c r="AA52" s="185">
        <f t="shared" si="4"/>
        <v>0</v>
      </c>
      <c r="AB52" s="185">
        <f t="shared" si="8"/>
        <v>0</v>
      </c>
      <c r="AC52" s="228">
        <f>AVERAGE(AB52,AB51)</f>
        <v>0</v>
      </c>
    </row>
    <row r="53" spans="1:29" ht="14.25" customHeight="1">
      <c r="A53" s="219" t="s">
        <v>22513</v>
      </c>
      <c r="B53" s="192" t="s">
        <v>22561</v>
      </c>
      <c r="C53" s="204"/>
      <c r="D53" s="204"/>
      <c r="H53" s="163"/>
      <c r="K53" s="152">
        <v>4</v>
      </c>
      <c r="L53" s="185">
        <f t="shared" si="5"/>
        <v>1.98</v>
      </c>
      <c r="M53" s="185">
        <f>M51+IF(K53&lt;=$L$36,$C$14/100,0)</f>
        <v>0.21</v>
      </c>
      <c r="N53" s="227" t="e">
        <f>N52</f>
        <v>#DIV/0!</v>
      </c>
      <c r="O53" s="185" t="e">
        <f>IF(N53=0,0,O52)</f>
        <v>#DIV/0!</v>
      </c>
      <c r="P53" s="185" t="e">
        <f t="shared" si="0"/>
        <v>#DIV/0!</v>
      </c>
      <c r="Q53" s="228" t="e">
        <f>Q54</f>
        <v>#DIV/0!</v>
      </c>
      <c r="R53" s="227" t="e">
        <f>R52</f>
        <v>#DIV/0!</v>
      </c>
      <c r="S53" s="185" t="e">
        <f>IF(R53=0,0,S52)</f>
        <v>#DIV/0!</v>
      </c>
      <c r="T53" s="185" t="e">
        <f t="shared" si="6"/>
        <v>#DIV/0!</v>
      </c>
      <c r="U53" s="228" t="e">
        <f>U54</f>
        <v>#DIV/0!</v>
      </c>
      <c r="V53" s="227">
        <f>V52</f>
        <v>0</v>
      </c>
      <c r="W53" s="185">
        <f>IF(V53=0,0,W52)</f>
        <v>0</v>
      </c>
      <c r="X53" s="185">
        <f t="shared" si="7"/>
        <v>0</v>
      </c>
      <c r="Y53" s="228">
        <f>Y54</f>
        <v>0</v>
      </c>
      <c r="Z53" s="227">
        <f>Z52</f>
        <v>0</v>
      </c>
      <c r="AA53" s="185">
        <f>IF(Z53=0,0,AA52)</f>
        <v>0</v>
      </c>
      <c r="AB53" s="185">
        <f t="shared" si="8"/>
        <v>0</v>
      </c>
      <c r="AC53" s="228">
        <f>AC54</f>
        <v>0</v>
      </c>
    </row>
    <row r="54" spans="1:29" ht="14.25" customHeight="1">
      <c r="B54" s="165" t="s">
        <v>22562</v>
      </c>
      <c r="C54" s="203" t="e">
        <f>C27/Kalk5_Eingabe!C48/0.5</f>
        <v>#NUM!</v>
      </c>
      <c r="D54" s="203" t="e">
        <f>D27/Kalk5_Eingabe!C48/0.5</f>
        <v>#NUM!</v>
      </c>
      <c r="E54" s="168" t="s">
        <v>22469</v>
      </c>
      <c r="H54" s="163"/>
      <c r="K54" s="152">
        <v>4</v>
      </c>
      <c r="L54" s="185">
        <f t="shared" si="5"/>
        <v>2.02</v>
      </c>
      <c r="M54" s="185">
        <f>M53</f>
        <v>0.21</v>
      </c>
      <c r="N54" s="227" t="e">
        <f>MAX($N$47/Kalk5_Eingabe!$C$18*(Kalk5_Eingabe!$C$18-Kalk5_Lastfallkombi!M54),0)</f>
        <v>#DIV/0!</v>
      </c>
      <c r="O54" s="185" t="e">
        <f t="shared" si="1"/>
        <v>#DIV/0!</v>
      </c>
      <c r="P54" s="185" t="e">
        <f t="shared" si="0"/>
        <v>#DIV/0!</v>
      </c>
      <c r="Q54" s="228" t="e">
        <f>AVERAGE(P54,P53)</f>
        <v>#DIV/0!</v>
      </c>
      <c r="R54" s="227" t="e">
        <f>MAX($R$47/Kalk5_Eingabe!$C$18*(Kalk5_Eingabe!$C$18-Kalk5_Lastfallkombi!M54),0)</f>
        <v>#DIV/0!</v>
      </c>
      <c r="S54" s="185" t="e">
        <f t="shared" si="2"/>
        <v>#DIV/0!</v>
      </c>
      <c r="T54" s="185" t="e">
        <f t="shared" si="6"/>
        <v>#DIV/0!</v>
      </c>
      <c r="U54" s="228" t="e">
        <f>AVERAGE(T54,T53)</f>
        <v>#DIV/0!</v>
      </c>
      <c r="V54" s="227">
        <f>MAX($V$47/Kalk5_Eingabe!$C$24*(Kalk5_Eingabe!$C$24-Kalk5_Lastfallkombi!M54),0)</f>
        <v>0</v>
      </c>
      <c r="W54" s="185">
        <f t="shared" si="3"/>
        <v>0</v>
      </c>
      <c r="X54" s="185">
        <f t="shared" si="7"/>
        <v>0</v>
      </c>
      <c r="Y54" s="228">
        <f>AVERAGE(X54,X53)</f>
        <v>0</v>
      </c>
      <c r="Z54" s="227">
        <f>MAX($Z$47/Kalk5_Eingabe!$C$24*(Kalk5_Eingabe!$C$24-Kalk5_Lastfallkombi!M54),0)</f>
        <v>0</v>
      </c>
      <c r="AA54" s="185">
        <f t="shared" si="4"/>
        <v>0</v>
      </c>
      <c r="AB54" s="185">
        <f t="shared" si="8"/>
        <v>0</v>
      </c>
      <c r="AC54" s="228">
        <f>AVERAGE(AB54,AB53)</f>
        <v>0</v>
      </c>
    </row>
    <row r="55" spans="1:29" ht="14.25" customHeight="1">
      <c r="B55" s="165" t="s">
        <v>22549</v>
      </c>
      <c r="C55" s="203" t="e">
        <f>C54*0.5*(2*((Kalk5_Eingabe!C19-0.5)/2)+0.5)/(2*Kalk5_Eingabe!C19)</f>
        <v>#NUM!</v>
      </c>
      <c r="D55" s="203" t="e">
        <f>D54*0.5*(2*((Kalk5_Eingabe!C19-0.5)/2)+0.5)/(2*Kalk5_Eingabe!C19)</f>
        <v>#NUM!</v>
      </c>
      <c r="E55" s="168" t="s">
        <v>22379</v>
      </c>
      <c r="H55" s="163"/>
      <c r="K55" s="152">
        <v>5</v>
      </c>
      <c r="L55" s="185">
        <f t="shared" si="5"/>
        <v>1.98</v>
      </c>
      <c r="M55" s="185">
        <f>M53+IF(K55&lt;=$L$36,$C$14/100,0)</f>
        <v>0.21</v>
      </c>
      <c r="N55" s="227" t="e">
        <f>N54</f>
        <v>#DIV/0!</v>
      </c>
      <c r="O55" s="185" t="e">
        <f>IF(N55=0,0,O54)</f>
        <v>#DIV/0!</v>
      </c>
      <c r="P55" s="185" t="e">
        <f t="shared" si="0"/>
        <v>#DIV/0!</v>
      </c>
      <c r="Q55" s="228" t="e">
        <f>Q56</f>
        <v>#DIV/0!</v>
      </c>
      <c r="R55" s="227" t="e">
        <f>R54</f>
        <v>#DIV/0!</v>
      </c>
      <c r="S55" s="185" t="e">
        <f>IF(R55=0,0,S54)</f>
        <v>#DIV/0!</v>
      </c>
      <c r="T55" s="185" t="e">
        <f t="shared" si="6"/>
        <v>#DIV/0!</v>
      </c>
      <c r="U55" s="228" t="e">
        <f>U56</f>
        <v>#DIV/0!</v>
      </c>
      <c r="V55" s="227">
        <f>V54</f>
        <v>0</v>
      </c>
      <c r="W55" s="185">
        <f>IF(V55=0,0,W54)</f>
        <v>0</v>
      </c>
      <c r="X55" s="185">
        <f t="shared" si="7"/>
        <v>0</v>
      </c>
      <c r="Y55" s="228">
        <f>Y56</f>
        <v>0</v>
      </c>
      <c r="Z55" s="227">
        <f>Z54</f>
        <v>0</v>
      </c>
      <c r="AA55" s="185">
        <f>IF(Z55=0,0,AA54)</f>
        <v>0</v>
      </c>
      <c r="AB55" s="185">
        <f t="shared" si="8"/>
        <v>0</v>
      </c>
      <c r="AC55" s="228">
        <f>AC56</f>
        <v>0</v>
      </c>
    </row>
    <row r="56" spans="1:29" ht="14.25" customHeight="1">
      <c r="B56" s="165" t="s">
        <v>22550</v>
      </c>
      <c r="C56" s="203" t="e">
        <f>IF(C54=0,0,C55*(((Kalk5_Eingabe!C19-0.5)/2)+Kalk5_Lastfallkombi!C55/(2*Kalk5_Lastfallkombi!C54)))</f>
        <v>#NUM!</v>
      </c>
      <c r="D56" s="203" t="e">
        <f>IF(D54=0,0,D55*(((Kalk5_Eingabe!C19-0.5)/2)+Kalk5_Lastfallkombi!D55/(2*Kalk5_Lastfallkombi!D54)))</f>
        <v>#NUM!</v>
      </c>
      <c r="E56" s="168" t="s">
        <v>22428</v>
      </c>
      <c r="H56" s="163"/>
      <c r="K56" s="152">
        <v>5</v>
      </c>
      <c r="L56" s="185">
        <f t="shared" si="5"/>
        <v>2.02</v>
      </c>
      <c r="M56" s="185">
        <f>M55</f>
        <v>0.21</v>
      </c>
      <c r="N56" s="227" t="e">
        <f>MAX($N$47/Kalk5_Eingabe!$C$18*(Kalk5_Eingabe!$C$18-Kalk5_Lastfallkombi!M56),0)</f>
        <v>#DIV/0!</v>
      </c>
      <c r="O56" s="185" t="e">
        <f t="shared" si="1"/>
        <v>#DIV/0!</v>
      </c>
      <c r="P56" s="185" t="e">
        <f t="shared" si="0"/>
        <v>#DIV/0!</v>
      </c>
      <c r="Q56" s="228" t="e">
        <f>AVERAGE(P56,P55)</f>
        <v>#DIV/0!</v>
      </c>
      <c r="R56" s="227" t="e">
        <f>MAX($R$47/Kalk5_Eingabe!$C$18*(Kalk5_Eingabe!$C$18-Kalk5_Lastfallkombi!M56),0)</f>
        <v>#DIV/0!</v>
      </c>
      <c r="S56" s="185" t="e">
        <f t="shared" si="2"/>
        <v>#DIV/0!</v>
      </c>
      <c r="T56" s="185" t="e">
        <f t="shared" si="6"/>
        <v>#DIV/0!</v>
      </c>
      <c r="U56" s="228" t="e">
        <f>AVERAGE(T56,T55)</f>
        <v>#DIV/0!</v>
      </c>
      <c r="V56" s="227">
        <f>MAX($V$47/Kalk5_Eingabe!$C$24*(Kalk5_Eingabe!$C$24-Kalk5_Lastfallkombi!M56),0)</f>
        <v>0</v>
      </c>
      <c r="W56" s="185">
        <f t="shared" si="3"/>
        <v>0</v>
      </c>
      <c r="X56" s="185">
        <f t="shared" si="7"/>
        <v>0</v>
      </c>
      <c r="Y56" s="228">
        <f>AVERAGE(X56,X55)</f>
        <v>0</v>
      </c>
      <c r="Z56" s="227">
        <f>MAX($Z$47/Kalk5_Eingabe!$C$24*(Kalk5_Eingabe!$C$24-Kalk5_Lastfallkombi!M56),0)</f>
        <v>0</v>
      </c>
      <c r="AA56" s="185">
        <f t="shared" si="4"/>
        <v>0</v>
      </c>
      <c r="AB56" s="185">
        <f t="shared" si="8"/>
        <v>0</v>
      </c>
      <c r="AC56" s="228">
        <f>AVERAGE(AB56,AB55)</f>
        <v>0</v>
      </c>
    </row>
    <row r="57" spans="1:29" ht="14.25" customHeight="1">
      <c r="B57" s="192" t="s">
        <v>22556</v>
      </c>
      <c r="C57" s="204"/>
      <c r="D57" s="204"/>
      <c r="H57" s="163"/>
      <c r="K57" s="152">
        <v>6</v>
      </c>
      <c r="L57" s="185">
        <f t="shared" si="5"/>
        <v>1.98</v>
      </c>
      <c r="M57" s="185">
        <f>M55+IF(K57&lt;=$L$36,$C$14/100,0)</f>
        <v>0.21</v>
      </c>
      <c r="N57" s="227" t="e">
        <f>N56</f>
        <v>#DIV/0!</v>
      </c>
      <c r="O57" s="185" t="e">
        <f>IF(N57=0,0,O56)</f>
        <v>#DIV/0!</v>
      </c>
      <c r="P57" s="185" t="e">
        <f t="shared" si="0"/>
        <v>#DIV/0!</v>
      </c>
      <c r="Q57" s="228" t="e">
        <f>Q58</f>
        <v>#DIV/0!</v>
      </c>
      <c r="R57" s="227" t="e">
        <f>R56</f>
        <v>#DIV/0!</v>
      </c>
      <c r="S57" s="185" t="e">
        <f>IF(R57=0,0,S56)</f>
        <v>#DIV/0!</v>
      </c>
      <c r="T57" s="185" t="e">
        <f t="shared" si="6"/>
        <v>#DIV/0!</v>
      </c>
      <c r="U57" s="228" t="e">
        <f>U58</f>
        <v>#DIV/0!</v>
      </c>
      <c r="V57" s="227">
        <f>V56</f>
        <v>0</v>
      </c>
      <c r="W57" s="185">
        <f>IF(V57=0,0,W56)</f>
        <v>0</v>
      </c>
      <c r="X57" s="185">
        <f t="shared" si="7"/>
        <v>0</v>
      </c>
      <c r="Y57" s="228">
        <f>Y58</f>
        <v>0</v>
      </c>
      <c r="Z57" s="227">
        <f>Z56</f>
        <v>0</v>
      </c>
      <c r="AA57" s="185">
        <f>IF(Z57=0,0,AA56)</f>
        <v>0</v>
      </c>
      <c r="AB57" s="185">
        <f t="shared" si="8"/>
        <v>0</v>
      </c>
      <c r="AC57" s="228">
        <f>AC58</f>
        <v>0</v>
      </c>
    </row>
    <row r="58" spans="1:29" ht="14.25" customHeight="1">
      <c r="B58" s="165" t="s">
        <v>22563</v>
      </c>
      <c r="C58" s="203">
        <f>C26*C14/100*Kalk5_Eingabe!C19/2</f>
        <v>0</v>
      </c>
      <c r="D58" s="203">
        <f>D26*C14/100*Kalk5_Eingabe!C19/2</f>
        <v>0</v>
      </c>
      <c r="E58" s="168" t="s">
        <v>22379</v>
      </c>
      <c r="H58" s="163"/>
      <c r="K58" s="152">
        <v>6</v>
      </c>
      <c r="L58" s="185">
        <f t="shared" si="5"/>
        <v>2.02</v>
      </c>
      <c r="M58" s="185">
        <f>M57</f>
        <v>0.21</v>
      </c>
      <c r="N58" s="227" t="e">
        <f>MAX($N$47/Kalk5_Eingabe!$C$18*(Kalk5_Eingabe!$C$18-Kalk5_Lastfallkombi!M58),0)</f>
        <v>#DIV/0!</v>
      </c>
      <c r="O58" s="185" t="e">
        <f t="shared" si="1"/>
        <v>#DIV/0!</v>
      </c>
      <c r="P58" s="185" t="e">
        <f t="shared" si="0"/>
        <v>#DIV/0!</v>
      </c>
      <c r="Q58" s="228" t="e">
        <f>AVERAGE(P58,P57)</f>
        <v>#DIV/0!</v>
      </c>
      <c r="R58" s="227" t="e">
        <f>MAX($R$47/Kalk5_Eingabe!$C$18*(Kalk5_Eingabe!$C$18-Kalk5_Lastfallkombi!M58),0)</f>
        <v>#DIV/0!</v>
      </c>
      <c r="S58" s="185" t="e">
        <f t="shared" si="2"/>
        <v>#DIV/0!</v>
      </c>
      <c r="T58" s="185" t="e">
        <f t="shared" si="6"/>
        <v>#DIV/0!</v>
      </c>
      <c r="U58" s="228" t="e">
        <f>AVERAGE(T58,T57)</f>
        <v>#DIV/0!</v>
      </c>
      <c r="V58" s="227">
        <f>MAX($V$47/Kalk5_Eingabe!$C$24*(Kalk5_Eingabe!$C$24-Kalk5_Lastfallkombi!M58),0)</f>
        <v>0</v>
      </c>
      <c r="W58" s="185">
        <f t="shared" si="3"/>
        <v>0</v>
      </c>
      <c r="X58" s="185">
        <f t="shared" si="7"/>
        <v>0</v>
      </c>
      <c r="Y58" s="228">
        <f>AVERAGE(X58,X57)</f>
        <v>0</v>
      </c>
      <c r="Z58" s="227">
        <f>MAX($Z$47/Kalk5_Eingabe!$C$24*(Kalk5_Eingabe!$C$24-Kalk5_Lastfallkombi!M58),0)</f>
        <v>0</v>
      </c>
      <c r="AA58" s="185">
        <f t="shared" si="4"/>
        <v>0</v>
      </c>
      <c r="AB58" s="185">
        <f t="shared" si="8"/>
        <v>0</v>
      </c>
      <c r="AC58" s="228">
        <f>AVERAGE(AB58,AB57)</f>
        <v>0</v>
      </c>
    </row>
    <row r="59" spans="1:29" ht="14.25" customHeight="1" thickBot="1">
      <c r="B59" s="165" t="s">
        <v>22564</v>
      </c>
      <c r="C59" s="203">
        <f>C26*C14/100*Kalk5_Eingabe!C19^2/8</f>
        <v>0</v>
      </c>
      <c r="D59" s="203">
        <f>D26*C14/100*Kalk5_Eingabe!C19^2/8</f>
        <v>0</v>
      </c>
      <c r="E59" s="168" t="s">
        <v>22428</v>
      </c>
      <c r="H59" s="163"/>
      <c r="K59" s="152">
        <v>7</v>
      </c>
      <c r="L59" s="185">
        <f t="shared" si="5"/>
        <v>1.98</v>
      </c>
      <c r="M59" s="185">
        <f>M57+IF(K59&lt;=$L$36,$C$14/100,0)</f>
        <v>0.21</v>
      </c>
      <c r="N59" s="227" t="e">
        <f>N58</f>
        <v>#DIV/0!</v>
      </c>
      <c r="O59" s="185" t="e">
        <f>IF(N59=0,0,O58)</f>
        <v>#DIV/0!</v>
      </c>
      <c r="P59" s="185" t="e">
        <f t="shared" si="0"/>
        <v>#DIV/0!</v>
      </c>
      <c r="Q59" s="228" t="e">
        <f>Q60</f>
        <v>#DIV/0!</v>
      </c>
      <c r="R59" s="227" t="e">
        <f>R58</f>
        <v>#DIV/0!</v>
      </c>
      <c r="S59" s="185" t="e">
        <f>IF(R59=0,0,S58)</f>
        <v>#DIV/0!</v>
      </c>
      <c r="T59" s="185" t="e">
        <f t="shared" si="6"/>
        <v>#DIV/0!</v>
      </c>
      <c r="U59" s="228" t="e">
        <f>U60</f>
        <v>#DIV/0!</v>
      </c>
      <c r="V59" s="227">
        <f>V58</f>
        <v>0</v>
      </c>
      <c r="W59" s="185">
        <f>IF(V59=0,0,W58)</f>
        <v>0</v>
      </c>
      <c r="X59" s="185">
        <f t="shared" si="7"/>
        <v>0</v>
      </c>
      <c r="Y59" s="228">
        <f>Y60</f>
        <v>0</v>
      </c>
      <c r="Z59" s="227">
        <f>Z58</f>
        <v>0</v>
      </c>
      <c r="AA59" s="185">
        <f>IF(Z59=0,0,AA58)</f>
        <v>0</v>
      </c>
      <c r="AB59" s="185">
        <f t="shared" si="8"/>
        <v>0</v>
      </c>
      <c r="AC59" s="228">
        <f>AC60</f>
        <v>0</v>
      </c>
    </row>
    <row r="60" spans="1:29" ht="14.25" customHeight="1" thickBot="1">
      <c r="A60" s="216" t="s">
        <v>22513</v>
      </c>
      <c r="B60" s="195" t="s">
        <v>22565</v>
      </c>
      <c r="C60" s="194" t="e">
        <f>C58+C55</f>
        <v>#NUM!</v>
      </c>
      <c r="D60" s="194" t="e">
        <f>D58+D55</f>
        <v>#NUM!</v>
      </c>
      <c r="E60" s="190" t="s">
        <v>22379</v>
      </c>
      <c r="H60" s="163"/>
      <c r="K60" s="152">
        <v>7</v>
      </c>
      <c r="L60" s="185">
        <f t="shared" si="5"/>
        <v>2.02</v>
      </c>
      <c r="M60" s="185">
        <f>M59</f>
        <v>0.21</v>
      </c>
      <c r="N60" s="227" t="e">
        <f>MAX($N$47/Kalk5_Eingabe!$C$18*(Kalk5_Eingabe!$C$18-Kalk5_Lastfallkombi!M60),0)</f>
        <v>#DIV/0!</v>
      </c>
      <c r="O60" s="185" t="e">
        <f t="shared" si="1"/>
        <v>#DIV/0!</v>
      </c>
      <c r="P60" s="185" t="e">
        <f t="shared" si="0"/>
        <v>#DIV/0!</v>
      </c>
      <c r="Q60" s="228" t="e">
        <f>AVERAGE(P60,P59)</f>
        <v>#DIV/0!</v>
      </c>
      <c r="R60" s="227" t="e">
        <f>MAX($R$47/Kalk5_Eingabe!$C$18*(Kalk5_Eingabe!$C$18-Kalk5_Lastfallkombi!M60),0)</f>
        <v>#DIV/0!</v>
      </c>
      <c r="S60" s="185" t="e">
        <f t="shared" si="2"/>
        <v>#DIV/0!</v>
      </c>
      <c r="T60" s="185" t="e">
        <f t="shared" si="6"/>
        <v>#DIV/0!</v>
      </c>
      <c r="U60" s="228" t="e">
        <f>AVERAGE(T60,T59)</f>
        <v>#DIV/0!</v>
      </c>
      <c r="V60" s="227">
        <f>MAX($V$47/Kalk5_Eingabe!$C$24*(Kalk5_Eingabe!$C$24-Kalk5_Lastfallkombi!M60),0)</f>
        <v>0</v>
      </c>
      <c r="W60" s="185">
        <f t="shared" si="3"/>
        <v>0</v>
      </c>
      <c r="X60" s="185">
        <f t="shared" si="7"/>
        <v>0</v>
      </c>
      <c r="Y60" s="228">
        <f>AVERAGE(X60,X59)</f>
        <v>0</v>
      </c>
      <c r="Z60" s="227">
        <f>MAX($Z$47/Kalk5_Eingabe!$C$24*(Kalk5_Eingabe!$C$24-Kalk5_Lastfallkombi!M60),0)</f>
        <v>0</v>
      </c>
      <c r="AA60" s="185">
        <f t="shared" si="4"/>
        <v>0</v>
      </c>
      <c r="AB60" s="185">
        <f t="shared" si="8"/>
        <v>0</v>
      </c>
      <c r="AC60" s="228">
        <f>AVERAGE(AB60,AB59)</f>
        <v>0</v>
      </c>
    </row>
    <row r="61" spans="1:29" ht="14.25" customHeight="1" thickBot="1">
      <c r="B61" s="195" t="s">
        <v>22566</v>
      </c>
      <c r="C61" s="194" t="e">
        <f>C56+C59</f>
        <v>#NUM!</v>
      </c>
      <c r="D61" s="194" t="e">
        <f>D56+D59</f>
        <v>#NUM!</v>
      </c>
      <c r="E61" s="190" t="s">
        <v>22428</v>
      </c>
      <c r="H61" s="163"/>
      <c r="K61" s="152">
        <v>8</v>
      </c>
      <c r="L61" s="185">
        <f t="shared" si="5"/>
        <v>1.98</v>
      </c>
      <c r="M61" s="185">
        <f>M59+IF(K61&lt;=$L$36,$C$14/100,0)</f>
        <v>0.21</v>
      </c>
      <c r="N61" s="227" t="e">
        <f>N60</f>
        <v>#DIV/0!</v>
      </c>
      <c r="O61" s="185" t="e">
        <f>IF(N61=0,0,O60)</f>
        <v>#DIV/0!</v>
      </c>
      <c r="P61" s="185" t="e">
        <f t="shared" si="0"/>
        <v>#DIV/0!</v>
      </c>
      <c r="Q61" s="228" t="e">
        <f>Q62</f>
        <v>#DIV/0!</v>
      </c>
      <c r="R61" s="227" t="e">
        <f>R60</f>
        <v>#DIV/0!</v>
      </c>
      <c r="S61" s="185" t="e">
        <f>IF(R61=0,0,S60)</f>
        <v>#DIV/0!</v>
      </c>
      <c r="T61" s="185" t="e">
        <f t="shared" si="6"/>
        <v>#DIV/0!</v>
      </c>
      <c r="U61" s="228" t="e">
        <f>U62</f>
        <v>#DIV/0!</v>
      </c>
      <c r="V61" s="227">
        <f>V60</f>
        <v>0</v>
      </c>
      <c r="W61" s="185">
        <f>IF(V61=0,0,W60)</f>
        <v>0</v>
      </c>
      <c r="X61" s="185">
        <f t="shared" si="7"/>
        <v>0</v>
      </c>
      <c r="Y61" s="228">
        <f>Y62</f>
        <v>0</v>
      </c>
      <c r="Z61" s="227">
        <f>Z60</f>
        <v>0</v>
      </c>
      <c r="AA61" s="185">
        <f>IF(Z61=0,0,AA60)</f>
        <v>0</v>
      </c>
      <c r="AB61" s="185">
        <f t="shared" si="8"/>
        <v>0</v>
      </c>
      <c r="AC61" s="228">
        <f>AC62</f>
        <v>0</v>
      </c>
    </row>
    <row r="62" spans="1:29" ht="5.0999999999999996" customHeight="1" thickBot="1">
      <c r="H62" s="163"/>
      <c r="K62" s="152">
        <v>8</v>
      </c>
      <c r="L62" s="185">
        <f t="shared" si="5"/>
        <v>2.02</v>
      </c>
      <c r="M62" s="185">
        <f>M61</f>
        <v>0.21</v>
      </c>
      <c r="N62" s="227" t="e">
        <f>MAX($N$47/Kalk5_Eingabe!$C$18*(Kalk5_Eingabe!$C$18-Kalk5_Lastfallkombi!M62),0)</f>
        <v>#DIV/0!</v>
      </c>
      <c r="O62" s="185" t="e">
        <f t="shared" si="1"/>
        <v>#DIV/0!</v>
      </c>
      <c r="P62" s="185" t="e">
        <f t="shared" si="0"/>
        <v>#DIV/0!</v>
      </c>
      <c r="Q62" s="228" t="e">
        <f>AVERAGE(P62,P61)</f>
        <v>#DIV/0!</v>
      </c>
      <c r="R62" s="227" t="e">
        <f>MAX($R$47/Kalk5_Eingabe!$C$18*(Kalk5_Eingabe!$C$18-Kalk5_Lastfallkombi!M62),0)</f>
        <v>#DIV/0!</v>
      </c>
      <c r="S62" s="185" t="e">
        <f t="shared" si="2"/>
        <v>#DIV/0!</v>
      </c>
      <c r="T62" s="185" t="e">
        <f t="shared" si="6"/>
        <v>#DIV/0!</v>
      </c>
      <c r="U62" s="228" t="e">
        <f>AVERAGE(T62,T61)</f>
        <v>#DIV/0!</v>
      </c>
      <c r="V62" s="227">
        <f>MAX($V$47/Kalk5_Eingabe!$C$24*(Kalk5_Eingabe!$C$24-Kalk5_Lastfallkombi!M62),0)</f>
        <v>0</v>
      </c>
      <c r="W62" s="185">
        <f t="shared" si="3"/>
        <v>0</v>
      </c>
      <c r="X62" s="185">
        <f t="shared" si="7"/>
        <v>0</v>
      </c>
      <c r="Y62" s="228">
        <f>AVERAGE(X62,X61)</f>
        <v>0</v>
      </c>
      <c r="Z62" s="227">
        <f>MAX($Z$47/Kalk5_Eingabe!$C$24*(Kalk5_Eingabe!$C$24-Kalk5_Lastfallkombi!M62),0)</f>
        <v>0</v>
      </c>
      <c r="AA62" s="185">
        <f t="shared" si="4"/>
        <v>0</v>
      </c>
      <c r="AB62" s="185">
        <f t="shared" si="8"/>
        <v>0</v>
      </c>
      <c r="AC62" s="228">
        <f>AVERAGE(AB62,AB61)</f>
        <v>0</v>
      </c>
    </row>
    <row r="63" spans="1:29" ht="14.25" customHeight="1" thickBot="1">
      <c r="A63" s="171" t="s">
        <v>22448</v>
      </c>
      <c r="B63" s="172" t="s">
        <v>22567</v>
      </c>
      <c r="C63" s="201" t="s">
        <v>22506</v>
      </c>
      <c r="D63" s="201" t="s">
        <v>22507</v>
      </c>
      <c r="H63" s="163"/>
      <c r="K63" s="152">
        <v>9</v>
      </c>
      <c r="L63" s="185">
        <f t="shared" si="5"/>
        <v>1.98</v>
      </c>
      <c r="M63" s="185">
        <f>M61+IF(K63&lt;=$L$36,$C$14/100,0)</f>
        <v>0.21</v>
      </c>
      <c r="N63" s="227" t="e">
        <f>N62</f>
        <v>#DIV/0!</v>
      </c>
      <c r="O63" s="185" t="e">
        <f>IF(N63=0,0,O62)</f>
        <v>#DIV/0!</v>
      </c>
      <c r="P63" s="185" t="e">
        <f t="shared" si="0"/>
        <v>#DIV/0!</v>
      </c>
      <c r="Q63" s="228" t="e">
        <f>Q64</f>
        <v>#DIV/0!</v>
      </c>
      <c r="R63" s="227" t="e">
        <f>R62</f>
        <v>#DIV/0!</v>
      </c>
      <c r="S63" s="185" t="e">
        <f>IF(R63=0,0,S62)</f>
        <v>#DIV/0!</v>
      </c>
      <c r="T63" s="185" t="e">
        <f t="shared" si="6"/>
        <v>#DIV/0!</v>
      </c>
      <c r="U63" s="228" t="e">
        <f>U64</f>
        <v>#DIV/0!</v>
      </c>
      <c r="V63" s="227">
        <f>V62</f>
        <v>0</v>
      </c>
      <c r="W63" s="185">
        <f>IF(V63=0,0,W62)</f>
        <v>0</v>
      </c>
      <c r="X63" s="185">
        <f t="shared" si="7"/>
        <v>0</v>
      </c>
      <c r="Y63" s="228">
        <f>Y64</f>
        <v>0</v>
      </c>
      <c r="Z63" s="227">
        <f>Z62</f>
        <v>0</v>
      </c>
      <c r="AA63" s="185">
        <f>IF(Z63=0,0,AA62)</f>
        <v>0</v>
      </c>
      <c r="AB63" s="185">
        <f t="shared" si="8"/>
        <v>0</v>
      </c>
      <c r="AC63" s="228">
        <f>AC64</f>
        <v>0</v>
      </c>
    </row>
    <row r="64" spans="1:29" ht="14.25" customHeight="1" thickBot="1">
      <c r="A64" s="219"/>
      <c r="B64" s="192" t="s">
        <v>22568</v>
      </c>
      <c r="C64" s="213"/>
      <c r="D64" s="213"/>
      <c r="H64" s="163"/>
      <c r="K64" s="152">
        <v>9</v>
      </c>
      <c r="L64" s="185">
        <f t="shared" si="5"/>
        <v>2.02</v>
      </c>
      <c r="M64" s="185">
        <f>M63</f>
        <v>0.21</v>
      </c>
      <c r="N64" s="227" t="e">
        <f>MAX($N$47/Kalk5_Eingabe!$C$18*(Kalk5_Eingabe!$C$18-Kalk5_Lastfallkombi!M64),0)</f>
        <v>#DIV/0!</v>
      </c>
      <c r="O64" s="185" t="e">
        <f t="shared" si="1"/>
        <v>#DIV/0!</v>
      </c>
      <c r="P64" s="185" t="e">
        <f t="shared" si="0"/>
        <v>#DIV/0!</v>
      </c>
      <c r="Q64" s="228" t="e">
        <f>AVERAGE(P64,P63)</f>
        <v>#DIV/0!</v>
      </c>
      <c r="R64" s="227" t="e">
        <f>MAX($R$47/Kalk5_Eingabe!$C$18*(Kalk5_Eingabe!$C$18-Kalk5_Lastfallkombi!M64),0)</f>
        <v>#DIV/0!</v>
      </c>
      <c r="S64" s="185" t="e">
        <f t="shared" si="2"/>
        <v>#DIV/0!</v>
      </c>
      <c r="T64" s="185" t="e">
        <f t="shared" si="6"/>
        <v>#DIV/0!</v>
      </c>
      <c r="U64" s="228" t="e">
        <f>AVERAGE(T64,T63)</f>
        <v>#DIV/0!</v>
      </c>
      <c r="V64" s="227">
        <f>MAX($V$47/Kalk5_Eingabe!$C$24*(Kalk5_Eingabe!$C$24-Kalk5_Lastfallkombi!M64),0)</f>
        <v>0</v>
      </c>
      <c r="W64" s="185">
        <f t="shared" si="3"/>
        <v>0</v>
      </c>
      <c r="X64" s="185">
        <f t="shared" si="7"/>
        <v>0</v>
      </c>
      <c r="Y64" s="228">
        <f>AVERAGE(X64,X63)</f>
        <v>0</v>
      </c>
      <c r="Z64" s="227">
        <f>MAX($Z$47/Kalk5_Eingabe!$C$24*(Kalk5_Eingabe!$C$24-Kalk5_Lastfallkombi!M64),0)</f>
        <v>0</v>
      </c>
      <c r="AA64" s="185">
        <f t="shared" si="4"/>
        <v>0</v>
      </c>
      <c r="AB64" s="185">
        <f t="shared" si="8"/>
        <v>0</v>
      </c>
      <c r="AC64" s="228">
        <f>AVERAGE(AB64,AB63)</f>
        <v>0</v>
      </c>
    </row>
    <row r="65" spans="1:29" ht="14.25" customHeight="1" thickBot="1">
      <c r="A65" s="216" t="s">
        <v>22528</v>
      </c>
      <c r="B65" s="195" t="s">
        <v>22569</v>
      </c>
      <c r="C65" s="194" t="e">
        <f>C36*C15/100*Kalk5_Eingabe!$C$19/2</f>
        <v>#DIV/0!</v>
      </c>
      <c r="D65" s="194" t="e">
        <f>D36*$C$15/100*Kalk5_Eingabe!$C$19/2</f>
        <v>#DIV/0!</v>
      </c>
      <c r="E65" s="190" t="s">
        <v>22379</v>
      </c>
      <c r="H65" s="163"/>
      <c r="K65" s="152">
        <v>10</v>
      </c>
      <c r="L65" s="185">
        <f t="shared" si="5"/>
        <v>1.98</v>
      </c>
      <c r="M65" s="185">
        <f>M63+IF(K65&lt;=$L$36,$C$14/100,0)</f>
        <v>0.21</v>
      </c>
      <c r="N65" s="227" t="e">
        <f>N64</f>
        <v>#DIV/0!</v>
      </c>
      <c r="O65" s="185" t="e">
        <f>IF(N65=0,0,O64)</f>
        <v>#DIV/0!</v>
      </c>
      <c r="P65" s="185" t="e">
        <f t="shared" si="0"/>
        <v>#DIV/0!</v>
      </c>
      <c r="Q65" s="228" t="e">
        <f>Q66</f>
        <v>#DIV/0!</v>
      </c>
      <c r="R65" s="227" t="e">
        <f>R64</f>
        <v>#DIV/0!</v>
      </c>
      <c r="S65" s="185" t="e">
        <f>IF(R65=0,0,S64)</f>
        <v>#DIV/0!</v>
      </c>
      <c r="T65" s="185" t="e">
        <f t="shared" si="6"/>
        <v>#DIV/0!</v>
      </c>
      <c r="U65" s="228" t="e">
        <f>U66</f>
        <v>#DIV/0!</v>
      </c>
      <c r="V65" s="227">
        <f>V64</f>
        <v>0</v>
      </c>
      <c r="W65" s="185">
        <f>IF(V65=0,0,W64)</f>
        <v>0</v>
      </c>
      <c r="X65" s="185">
        <f t="shared" si="7"/>
        <v>0</v>
      </c>
      <c r="Y65" s="228">
        <f>Y66</f>
        <v>0</v>
      </c>
      <c r="Z65" s="227">
        <f>Z64</f>
        <v>0</v>
      </c>
      <c r="AA65" s="185">
        <f>IF(Z65=0,0,AA64)</f>
        <v>0</v>
      </c>
      <c r="AB65" s="185">
        <f t="shared" si="8"/>
        <v>0</v>
      </c>
      <c r="AC65" s="228">
        <f>AC66</f>
        <v>0</v>
      </c>
    </row>
    <row r="66" spans="1:29" ht="14.25" customHeight="1" thickBot="1">
      <c r="B66" s="195" t="s">
        <v>22570</v>
      </c>
      <c r="C66" s="194" t="e">
        <f>C36*C15/100*Kalk5_Eingabe!$C$19^2/8</f>
        <v>#DIV/0!</v>
      </c>
      <c r="D66" s="194" t="e">
        <f>D36*$C$15/100*Kalk5_Eingabe!$C$19^2/8</f>
        <v>#DIV/0!</v>
      </c>
      <c r="E66" s="190" t="s">
        <v>22428</v>
      </c>
      <c r="K66" s="152">
        <v>10</v>
      </c>
      <c r="L66" s="185">
        <f t="shared" si="5"/>
        <v>2.02</v>
      </c>
      <c r="M66" s="185">
        <f>M65</f>
        <v>0.21</v>
      </c>
      <c r="N66" s="227" t="e">
        <f>MAX($N$47/Kalk5_Eingabe!$C$18*(Kalk5_Eingabe!$C$18-Kalk5_Lastfallkombi!M66),0)</f>
        <v>#DIV/0!</v>
      </c>
      <c r="O66" s="185" t="e">
        <f t="shared" si="1"/>
        <v>#DIV/0!</v>
      </c>
      <c r="P66" s="185" t="e">
        <f t="shared" si="0"/>
        <v>#DIV/0!</v>
      </c>
      <c r="Q66" s="228" t="e">
        <f>AVERAGE(P66,P65)</f>
        <v>#DIV/0!</v>
      </c>
      <c r="R66" s="227" t="e">
        <f>MAX($R$47/Kalk5_Eingabe!$C$18*(Kalk5_Eingabe!$C$18-Kalk5_Lastfallkombi!M66),0)</f>
        <v>#DIV/0!</v>
      </c>
      <c r="S66" s="185" t="e">
        <f t="shared" si="2"/>
        <v>#DIV/0!</v>
      </c>
      <c r="T66" s="185" t="e">
        <f t="shared" si="6"/>
        <v>#DIV/0!</v>
      </c>
      <c r="U66" s="228" t="e">
        <f>AVERAGE(T66,T65)</f>
        <v>#DIV/0!</v>
      </c>
      <c r="V66" s="227">
        <f>MAX($V$47/Kalk5_Eingabe!$C$24*(Kalk5_Eingabe!$C$24-Kalk5_Lastfallkombi!M66),0)</f>
        <v>0</v>
      </c>
      <c r="W66" s="185">
        <f t="shared" si="3"/>
        <v>0</v>
      </c>
      <c r="X66" s="185">
        <f t="shared" si="7"/>
        <v>0</v>
      </c>
      <c r="Y66" s="228">
        <f>AVERAGE(X66,X65)</f>
        <v>0</v>
      </c>
      <c r="Z66" s="227">
        <f>MAX($Z$47/Kalk5_Eingabe!$C$24*(Kalk5_Eingabe!$C$24-Kalk5_Lastfallkombi!M66),0)</f>
        <v>0</v>
      </c>
      <c r="AA66" s="185">
        <f t="shared" si="4"/>
        <v>0</v>
      </c>
      <c r="AB66" s="185">
        <f t="shared" si="8"/>
        <v>0</v>
      </c>
      <c r="AC66" s="228">
        <f>AVERAGE(AB66,AB65)</f>
        <v>0</v>
      </c>
    </row>
    <row r="67" spans="1:29" ht="5.0999999999999996" customHeight="1">
      <c r="E67" s="163"/>
      <c r="K67" s="152">
        <v>11</v>
      </c>
      <c r="L67" s="185">
        <f t="shared" si="5"/>
        <v>1.98</v>
      </c>
      <c r="M67" s="185">
        <f>M65+IF(K67&lt;=$L$36,$C$14/100,0)</f>
        <v>0.21</v>
      </c>
      <c r="N67" s="227" t="e">
        <f>N66</f>
        <v>#DIV/0!</v>
      </c>
      <c r="O67" s="185" t="e">
        <f>IF(N67=0,0,O66)</f>
        <v>#DIV/0!</v>
      </c>
      <c r="P67" s="185" t="e">
        <f t="shared" si="0"/>
        <v>#DIV/0!</v>
      </c>
      <c r="Q67" s="228" t="e">
        <f>Q68</f>
        <v>#DIV/0!</v>
      </c>
      <c r="R67" s="227" t="e">
        <f>R66</f>
        <v>#DIV/0!</v>
      </c>
      <c r="S67" s="185" t="e">
        <f>IF(R67=0,0,S66)</f>
        <v>#DIV/0!</v>
      </c>
      <c r="T67" s="185" t="e">
        <f t="shared" si="6"/>
        <v>#DIV/0!</v>
      </c>
      <c r="U67" s="228" t="e">
        <f>U68</f>
        <v>#DIV/0!</v>
      </c>
      <c r="V67" s="227">
        <f>V66</f>
        <v>0</v>
      </c>
      <c r="W67" s="185">
        <f>IF(V67=0,0,W66)</f>
        <v>0</v>
      </c>
      <c r="X67" s="185">
        <f t="shared" si="7"/>
        <v>0</v>
      </c>
      <c r="Y67" s="228">
        <f>Y68</f>
        <v>0</v>
      </c>
      <c r="Z67" s="227">
        <f>Z66</f>
        <v>0</v>
      </c>
      <c r="AA67" s="185">
        <f>IF(Z67=0,0,AA66)</f>
        <v>0</v>
      </c>
      <c r="AB67" s="185">
        <f t="shared" si="8"/>
        <v>0</v>
      </c>
      <c r="AC67" s="228">
        <f>AC68</f>
        <v>0</v>
      </c>
    </row>
    <row r="68" spans="1:29" ht="14.25" customHeight="1" thickBot="1">
      <c r="B68" s="192" t="s">
        <v>22571</v>
      </c>
      <c r="E68" s="163"/>
      <c r="K68" s="152">
        <v>11</v>
      </c>
      <c r="L68" s="185">
        <f t="shared" si="5"/>
        <v>2.02</v>
      </c>
      <c r="M68" s="185">
        <f>M67</f>
        <v>0.21</v>
      </c>
      <c r="N68" s="227" t="e">
        <f>MAX($N$47/Kalk5_Eingabe!$C$18*(Kalk5_Eingabe!$C$18-Kalk5_Lastfallkombi!M68),0)</f>
        <v>#DIV/0!</v>
      </c>
      <c r="O68" s="185" t="e">
        <f t="shared" si="1"/>
        <v>#DIV/0!</v>
      </c>
      <c r="P68" s="185" t="e">
        <f t="shared" si="0"/>
        <v>#DIV/0!</v>
      </c>
      <c r="Q68" s="228" t="e">
        <f>AVERAGE(P68,P67)</f>
        <v>#DIV/0!</v>
      </c>
      <c r="R68" s="227" t="e">
        <f>MAX($R$47/Kalk5_Eingabe!$C$18*(Kalk5_Eingabe!$C$18-Kalk5_Lastfallkombi!M68),0)</f>
        <v>#DIV/0!</v>
      </c>
      <c r="S68" s="185" t="e">
        <f t="shared" si="2"/>
        <v>#DIV/0!</v>
      </c>
      <c r="T68" s="185" t="e">
        <f t="shared" si="6"/>
        <v>#DIV/0!</v>
      </c>
      <c r="U68" s="228" t="e">
        <f>AVERAGE(T68,T67)</f>
        <v>#DIV/0!</v>
      </c>
      <c r="V68" s="227">
        <f>MAX($V$47/Kalk5_Eingabe!$C$24*(Kalk5_Eingabe!$C$24-Kalk5_Lastfallkombi!M68),0)</f>
        <v>0</v>
      </c>
      <c r="W68" s="185">
        <f t="shared" si="3"/>
        <v>0</v>
      </c>
      <c r="X68" s="185">
        <f t="shared" si="7"/>
        <v>0</v>
      </c>
      <c r="Y68" s="228">
        <f>AVERAGE(X68,X67)</f>
        <v>0</v>
      </c>
      <c r="Z68" s="227">
        <f>MAX($Z$47/Kalk5_Eingabe!$C$24*(Kalk5_Eingabe!$C$24-Kalk5_Lastfallkombi!M68),0)</f>
        <v>0</v>
      </c>
      <c r="AA68" s="185">
        <f t="shared" si="4"/>
        <v>0</v>
      </c>
      <c r="AB68" s="185">
        <f t="shared" si="8"/>
        <v>0</v>
      </c>
      <c r="AC68" s="228">
        <f>AVERAGE(AB68,AB67)</f>
        <v>0</v>
      </c>
    </row>
    <row r="69" spans="1:29" ht="14.25" customHeight="1" thickBot="1">
      <c r="A69" s="216" t="s">
        <v>22513</v>
      </c>
      <c r="B69" s="195" t="s">
        <v>22572</v>
      </c>
      <c r="C69" s="194">
        <f>C24*C15/100*Kalk5_Eingabe!$C$19/2</f>
        <v>0</v>
      </c>
      <c r="D69" s="194">
        <f>D24*$C$15/100*Kalk5_Eingabe!$C$19/2</f>
        <v>0</v>
      </c>
      <c r="E69" s="190" t="s">
        <v>22379</v>
      </c>
      <c r="K69" s="152">
        <v>12</v>
      </c>
      <c r="L69" s="185">
        <f t="shared" si="5"/>
        <v>1.98</v>
      </c>
      <c r="M69" s="185">
        <f>M67+IF(K69&lt;=$L$36,$C$14/100,0)</f>
        <v>0.21</v>
      </c>
      <c r="N69" s="227" t="e">
        <f>N68</f>
        <v>#DIV/0!</v>
      </c>
      <c r="O69" s="185" t="e">
        <f>IF(N69=0,0,O68)</f>
        <v>#DIV/0!</v>
      </c>
      <c r="P69" s="185" t="e">
        <f t="shared" si="0"/>
        <v>#DIV/0!</v>
      </c>
      <c r="Q69" s="228" t="e">
        <f>Q70</f>
        <v>#DIV/0!</v>
      </c>
      <c r="R69" s="227" t="e">
        <f>R68</f>
        <v>#DIV/0!</v>
      </c>
      <c r="S69" s="185" t="e">
        <f>IF(R69=0,0,S68)</f>
        <v>#DIV/0!</v>
      </c>
      <c r="T69" s="185" t="e">
        <f t="shared" si="6"/>
        <v>#DIV/0!</v>
      </c>
      <c r="U69" s="228" t="e">
        <f>U70</f>
        <v>#DIV/0!</v>
      </c>
      <c r="V69" s="227">
        <f>V68</f>
        <v>0</v>
      </c>
      <c r="W69" s="185">
        <f>IF(V69=0,0,W68)</f>
        <v>0</v>
      </c>
      <c r="X69" s="185">
        <f t="shared" si="7"/>
        <v>0</v>
      </c>
      <c r="Y69" s="228">
        <f>Y70</f>
        <v>0</v>
      </c>
      <c r="Z69" s="227">
        <f>Z68</f>
        <v>0</v>
      </c>
      <c r="AA69" s="185">
        <f>IF(Z69=0,0,AA68)</f>
        <v>0</v>
      </c>
      <c r="AB69" s="185">
        <f t="shared" si="8"/>
        <v>0</v>
      </c>
      <c r="AC69" s="228">
        <f>AC70</f>
        <v>0</v>
      </c>
    </row>
    <row r="70" spans="1:29" ht="14.25" customHeight="1" thickBot="1">
      <c r="B70" s="195" t="s">
        <v>22573</v>
      </c>
      <c r="C70" s="194">
        <f>C24*C15/100*Kalk5_Eingabe!$C$19^2/8</f>
        <v>0</v>
      </c>
      <c r="D70" s="194">
        <f>D24*$C$15/100*Kalk5_Eingabe!$C$19^2/8</f>
        <v>0</v>
      </c>
      <c r="E70" s="190" t="s">
        <v>22428</v>
      </c>
      <c r="K70" s="152">
        <v>12</v>
      </c>
      <c r="L70" s="185">
        <f t="shared" si="5"/>
        <v>2.02</v>
      </c>
      <c r="M70" s="185">
        <f>M69</f>
        <v>0.21</v>
      </c>
      <c r="N70" s="227" t="e">
        <f>MAX($N$47/Kalk5_Eingabe!$C$18*(Kalk5_Eingabe!$C$18-Kalk5_Lastfallkombi!M70),0)</f>
        <v>#DIV/0!</v>
      </c>
      <c r="O70" s="185" t="e">
        <f t="shared" si="1"/>
        <v>#DIV/0!</v>
      </c>
      <c r="P70" s="185" t="e">
        <f t="shared" si="0"/>
        <v>#DIV/0!</v>
      </c>
      <c r="Q70" s="228" t="e">
        <f>AVERAGE(P70,P69)</f>
        <v>#DIV/0!</v>
      </c>
      <c r="R70" s="227" t="e">
        <f>MAX($R$47/Kalk5_Eingabe!$C$18*(Kalk5_Eingabe!$C$18-Kalk5_Lastfallkombi!M70),0)</f>
        <v>#DIV/0!</v>
      </c>
      <c r="S70" s="185" t="e">
        <f t="shared" si="2"/>
        <v>#DIV/0!</v>
      </c>
      <c r="T70" s="185" t="e">
        <f t="shared" si="6"/>
        <v>#DIV/0!</v>
      </c>
      <c r="U70" s="228" t="e">
        <f>AVERAGE(T70,T69)</f>
        <v>#DIV/0!</v>
      </c>
      <c r="V70" s="227">
        <f>MAX($V$47/Kalk5_Eingabe!$C$24*(Kalk5_Eingabe!$C$24-Kalk5_Lastfallkombi!M70),0)</f>
        <v>0</v>
      </c>
      <c r="W70" s="185">
        <f t="shared" si="3"/>
        <v>0</v>
      </c>
      <c r="X70" s="185">
        <f t="shared" si="7"/>
        <v>0</v>
      </c>
      <c r="Y70" s="228">
        <f>AVERAGE(X70,X69)</f>
        <v>0</v>
      </c>
      <c r="Z70" s="227">
        <f>MAX($Z$47/Kalk5_Eingabe!$C$24*(Kalk5_Eingabe!$C$24-Kalk5_Lastfallkombi!M70),0)</f>
        <v>0</v>
      </c>
      <c r="AA70" s="185">
        <f t="shared" si="4"/>
        <v>0</v>
      </c>
      <c r="AB70" s="185">
        <f t="shared" si="8"/>
        <v>0</v>
      </c>
      <c r="AC70" s="228">
        <f>AVERAGE(AB70,AB69)</f>
        <v>0</v>
      </c>
    </row>
    <row r="71" spans="1:29" ht="14.25" customHeight="1">
      <c r="E71" s="163"/>
      <c r="K71" s="152">
        <v>13</v>
      </c>
      <c r="L71" s="185">
        <f t="shared" si="5"/>
        <v>1.98</v>
      </c>
      <c r="M71" s="185">
        <f>M69+IF(K71&lt;=$L$36,$C$14/100,0)</f>
        <v>0.21</v>
      </c>
      <c r="N71" s="227" t="e">
        <f>N70</f>
        <v>#DIV/0!</v>
      </c>
      <c r="O71" s="185" t="e">
        <f>IF(N71=0,0,O70)</f>
        <v>#DIV/0!</v>
      </c>
      <c r="P71" s="185" t="e">
        <f t="shared" si="0"/>
        <v>#DIV/0!</v>
      </c>
      <c r="Q71" s="228" t="e">
        <f>Q72</f>
        <v>#DIV/0!</v>
      </c>
      <c r="R71" s="227" t="e">
        <f>R70</f>
        <v>#DIV/0!</v>
      </c>
      <c r="S71" s="185" t="e">
        <f>IF(R71=0,0,S70)</f>
        <v>#DIV/0!</v>
      </c>
      <c r="T71" s="185" t="e">
        <f t="shared" si="6"/>
        <v>#DIV/0!</v>
      </c>
      <c r="U71" s="228" t="e">
        <f>U72</f>
        <v>#DIV/0!</v>
      </c>
      <c r="V71" s="227">
        <f>V70</f>
        <v>0</v>
      </c>
      <c r="W71" s="185">
        <f>IF(V71=0,0,W70)</f>
        <v>0</v>
      </c>
      <c r="X71" s="185">
        <f t="shared" si="7"/>
        <v>0</v>
      </c>
      <c r="Y71" s="228">
        <f>Y72</f>
        <v>0</v>
      </c>
      <c r="Z71" s="227">
        <f>Z70</f>
        <v>0</v>
      </c>
      <c r="AA71" s="185">
        <f>IF(Z71=0,0,AA70)</f>
        <v>0</v>
      </c>
      <c r="AB71" s="185">
        <f t="shared" si="8"/>
        <v>0</v>
      </c>
      <c r="AC71" s="228">
        <f>AC72</f>
        <v>0</v>
      </c>
    </row>
    <row r="72" spans="1:29" ht="14.25" customHeight="1">
      <c r="E72" s="163"/>
      <c r="K72" s="152">
        <v>13</v>
      </c>
      <c r="L72" s="185">
        <f t="shared" si="5"/>
        <v>2.02</v>
      </c>
      <c r="M72" s="185">
        <f>M71</f>
        <v>0.21</v>
      </c>
      <c r="N72" s="227" t="e">
        <f>MAX($N$47/Kalk5_Eingabe!$C$18*(Kalk5_Eingabe!$C$18-Kalk5_Lastfallkombi!M72),0)</f>
        <v>#DIV/0!</v>
      </c>
      <c r="O72" s="185" t="e">
        <f t="shared" si="1"/>
        <v>#DIV/0!</v>
      </c>
      <c r="P72" s="185" t="e">
        <f t="shared" si="0"/>
        <v>#DIV/0!</v>
      </c>
      <c r="Q72" s="228" t="e">
        <f>AVERAGE(P72,P71)</f>
        <v>#DIV/0!</v>
      </c>
      <c r="R72" s="227" t="e">
        <f>MAX($R$47/Kalk5_Eingabe!$C$18*(Kalk5_Eingabe!$C$18-Kalk5_Lastfallkombi!M72),0)</f>
        <v>#DIV/0!</v>
      </c>
      <c r="S72" s="185" t="e">
        <f t="shared" si="2"/>
        <v>#DIV/0!</v>
      </c>
      <c r="T72" s="185" t="e">
        <f t="shared" si="6"/>
        <v>#DIV/0!</v>
      </c>
      <c r="U72" s="228" t="e">
        <f>AVERAGE(T72,T71)</f>
        <v>#DIV/0!</v>
      </c>
      <c r="V72" s="227">
        <f>MAX($V$47/Kalk5_Eingabe!$C$24*(Kalk5_Eingabe!$C$24-Kalk5_Lastfallkombi!M72),0)</f>
        <v>0</v>
      </c>
      <c r="W72" s="185">
        <f t="shared" si="3"/>
        <v>0</v>
      </c>
      <c r="X72" s="185">
        <f t="shared" si="7"/>
        <v>0</v>
      </c>
      <c r="Y72" s="228">
        <f>AVERAGE(X72,X71)</f>
        <v>0</v>
      </c>
      <c r="Z72" s="227">
        <f>MAX($Z$47/Kalk5_Eingabe!$C$24*(Kalk5_Eingabe!$C$24-Kalk5_Lastfallkombi!M72),0)</f>
        <v>0</v>
      </c>
      <c r="AA72" s="185">
        <f t="shared" si="4"/>
        <v>0</v>
      </c>
      <c r="AB72" s="185">
        <f t="shared" si="8"/>
        <v>0</v>
      </c>
      <c r="AC72" s="228">
        <f>AVERAGE(AB72,AB71)</f>
        <v>0</v>
      </c>
    </row>
    <row r="73" spans="1:29" ht="14.25" customHeight="1">
      <c r="E73" s="163"/>
      <c r="K73" s="152">
        <v>14</v>
      </c>
      <c r="L73" s="185">
        <f t="shared" si="5"/>
        <v>1.98</v>
      </c>
      <c r="M73" s="185">
        <f>M71+IF(K73&lt;=$L$36,$C$14/100,0)</f>
        <v>0.21</v>
      </c>
      <c r="N73" s="227" t="e">
        <f>N72</f>
        <v>#DIV/0!</v>
      </c>
      <c r="O73" s="185" t="e">
        <f>IF(N73=0,0,O72)</f>
        <v>#DIV/0!</v>
      </c>
      <c r="P73" s="185" t="e">
        <f t="shared" si="0"/>
        <v>#DIV/0!</v>
      </c>
      <c r="Q73" s="228" t="e">
        <f>Q74</f>
        <v>#DIV/0!</v>
      </c>
      <c r="R73" s="227" t="e">
        <f>R72</f>
        <v>#DIV/0!</v>
      </c>
      <c r="S73" s="185" t="e">
        <f>IF(R73=0,0,S72)</f>
        <v>#DIV/0!</v>
      </c>
      <c r="T73" s="185" t="e">
        <f t="shared" si="6"/>
        <v>#DIV/0!</v>
      </c>
      <c r="U73" s="228" t="e">
        <f>U74</f>
        <v>#DIV/0!</v>
      </c>
      <c r="V73" s="227">
        <f>V72</f>
        <v>0</v>
      </c>
      <c r="W73" s="185">
        <f>IF(V73=0,0,W72)</f>
        <v>0</v>
      </c>
      <c r="X73" s="185">
        <f t="shared" si="7"/>
        <v>0</v>
      </c>
      <c r="Y73" s="228">
        <f>Y74</f>
        <v>0</v>
      </c>
      <c r="Z73" s="227">
        <f>Z72</f>
        <v>0</v>
      </c>
      <c r="AA73" s="185">
        <f>IF(Z73=0,0,AA72)</f>
        <v>0</v>
      </c>
      <c r="AB73" s="185">
        <f t="shared" si="8"/>
        <v>0</v>
      </c>
      <c r="AC73" s="228">
        <f>AC74</f>
        <v>0</v>
      </c>
    </row>
    <row r="74" spans="1:29" ht="14.25" customHeight="1">
      <c r="E74" s="163"/>
      <c r="K74" s="152">
        <v>14</v>
      </c>
      <c r="L74" s="185">
        <f t="shared" si="5"/>
        <v>2.02</v>
      </c>
      <c r="M74" s="185">
        <f>M73</f>
        <v>0.21</v>
      </c>
      <c r="N74" s="227" t="e">
        <f>MAX($N$47/Kalk5_Eingabe!$C$18*(Kalk5_Eingabe!$C$18-Kalk5_Lastfallkombi!M74),0)</f>
        <v>#DIV/0!</v>
      </c>
      <c r="O74" s="185" t="e">
        <f t="shared" si="1"/>
        <v>#DIV/0!</v>
      </c>
      <c r="P74" s="185" t="e">
        <f t="shared" si="0"/>
        <v>#DIV/0!</v>
      </c>
      <c r="Q74" s="228" t="e">
        <f>AVERAGE(P74,P73)</f>
        <v>#DIV/0!</v>
      </c>
      <c r="R74" s="227" t="e">
        <f>MAX($R$47/Kalk5_Eingabe!$C$18*(Kalk5_Eingabe!$C$18-Kalk5_Lastfallkombi!M74),0)</f>
        <v>#DIV/0!</v>
      </c>
      <c r="S74" s="185" t="e">
        <f t="shared" si="2"/>
        <v>#DIV/0!</v>
      </c>
      <c r="T74" s="185" t="e">
        <f t="shared" si="6"/>
        <v>#DIV/0!</v>
      </c>
      <c r="U74" s="228" t="e">
        <f>AVERAGE(T74,T73)</f>
        <v>#DIV/0!</v>
      </c>
      <c r="V74" s="227">
        <f>MAX($V$47/Kalk5_Eingabe!$C$24*(Kalk5_Eingabe!$C$24-Kalk5_Lastfallkombi!M74),0)</f>
        <v>0</v>
      </c>
      <c r="W74" s="185">
        <f t="shared" si="3"/>
        <v>0</v>
      </c>
      <c r="X74" s="185">
        <f t="shared" si="7"/>
        <v>0</v>
      </c>
      <c r="Y74" s="228">
        <f>AVERAGE(X74,X73)</f>
        <v>0</v>
      </c>
      <c r="Z74" s="227">
        <f>MAX($Z$47/Kalk5_Eingabe!$C$24*(Kalk5_Eingabe!$C$24-Kalk5_Lastfallkombi!M74),0)</f>
        <v>0</v>
      </c>
      <c r="AA74" s="185">
        <f t="shared" si="4"/>
        <v>0</v>
      </c>
      <c r="AB74" s="185">
        <f t="shared" si="8"/>
        <v>0</v>
      </c>
      <c r="AC74" s="228">
        <f>AVERAGE(AB74,AB73)</f>
        <v>0</v>
      </c>
    </row>
    <row r="75" spans="1:29" ht="14.25" customHeight="1">
      <c r="E75" s="163"/>
      <c r="K75" s="152">
        <v>15</v>
      </c>
      <c r="L75" s="185">
        <f t="shared" si="5"/>
        <v>1.98</v>
      </c>
      <c r="M75" s="185">
        <f>M73+IF(K75&lt;=$L$36,$C$14/100,0)</f>
        <v>0.21</v>
      </c>
      <c r="N75" s="227" t="e">
        <f>N74</f>
        <v>#DIV/0!</v>
      </c>
      <c r="O75" s="185" t="e">
        <f>IF(N75=0,0,O74)</f>
        <v>#DIV/0!</v>
      </c>
      <c r="P75" s="185" t="e">
        <f t="shared" si="0"/>
        <v>#DIV/0!</v>
      </c>
      <c r="Q75" s="228" t="e">
        <f>Q76</f>
        <v>#DIV/0!</v>
      </c>
      <c r="R75" s="227" t="e">
        <f>R74</f>
        <v>#DIV/0!</v>
      </c>
      <c r="S75" s="185" t="e">
        <f>IF(R75=0,0,S74)</f>
        <v>#DIV/0!</v>
      </c>
      <c r="T75" s="185" t="e">
        <f t="shared" si="6"/>
        <v>#DIV/0!</v>
      </c>
      <c r="U75" s="228" t="e">
        <f>U76</f>
        <v>#DIV/0!</v>
      </c>
      <c r="V75" s="227">
        <f>V74</f>
        <v>0</v>
      </c>
      <c r="W75" s="185">
        <f>IF(V75=0,0,W74)</f>
        <v>0</v>
      </c>
      <c r="X75" s="185">
        <f t="shared" si="7"/>
        <v>0</v>
      </c>
      <c r="Y75" s="228">
        <f>Y76</f>
        <v>0</v>
      </c>
      <c r="Z75" s="227">
        <f>Z74</f>
        <v>0</v>
      </c>
      <c r="AA75" s="185">
        <f>IF(Z75=0,0,AA74)</f>
        <v>0</v>
      </c>
      <c r="AB75" s="185">
        <f t="shared" si="8"/>
        <v>0</v>
      </c>
      <c r="AC75" s="228">
        <f>AC76</f>
        <v>0</v>
      </c>
    </row>
    <row r="76" spans="1:29" ht="14.25" customHeight="1">
      <c r="E76" s="163"/>
      <c r="K76" s="152">
        <v>15</v>
      </c>
      <c r="L76" s="185">
        <f t="shared" si="5"/>
        <v>2.02</v>
      </c>
      <c r="M76" s="185">
        <f>M75</f>
        <v>0.21</v>
      </c>
      <c r="N76" s="227" t="e">
        <f>MAX($N$47/Kalk5_Eingabe!$C$18*(Kalk5_Eingabe!$C$18-Kalk5_Lastfallkombi!M76),0)</f>
        <v>#DIV/0!</v>
      </c>
      <c r="O76" s="185" t="e">
        <f t="shared" si="1"/>
        <v>#DIV/0!</v>
      </c>
      <c r="P76" s="185" t="e">
        <f t="shared" si="0"/>
        <v>#DIV/0!</v>
      </c>
      <c r="Q76" s="228" t="e">
        <f>AVERAGE(P76,P75)</f>
        <v>#DIV/0!</v>
      </c>
      <c r="R76" s="227" t="e">
        <f>MAX($R$47/Kalk5_Eingabe!$C$18*(Kalk5_Eingabe!$C$18-Kalk5_Lastfallkombi!M76),0)</f>
        <v>#DIV/0!</v>
      </c>
      <c r="S76" s="185" t="e">
        <f t="shared" si="2"/>
        <v>#DIV/0!</v>
      </c>
      <c r="T76" s="185" t="e">
        <f t="shared" si="6"/>
        <v>#DIV/0!</v>
      </c>
      <c r="U76" s="228" t="e">
        <f>AVERAGE(T76,T75)</f>
        <v>#DIV/0!</v>
      </c>
      <c r="V76" s="227">
        <f>MAX($V$47/Kalk5_Eingabe!$C$24*(Kalk5_Eingabe!$C$24-Kalk5_Lastfallkombi!M76),0)</f>
        <v>0</v>
      </c>
      <c r="W76" s="185">
        <f t="shared" si="3"/>
        <v>0</v>
      </c>
      <c r="X76" s="185">
        <f t="shared" si="7"/>
        <v>0</v>
      </c>
      <c r="Y76" s="228">
        <f>AVERAGE(X76,X75)</f>
        <v>0</v>
      </c>
      <c r="Z76" s="227">
        <f>MAX($Z$47/Kalk5_Eingabe!$C$24*(Kalk5_Eingabe!$C$24-Kalk5_Lastfallkombi!M76),0)</f>
        <v>0</v>
      </c>
      <c r="AA76" s="185">
        <f t="shared" si="4"/>
        <v>0</v>
      </c>
      <c r="AB76" s="185">
        <f t="shared" si="8"/>
        <v>0</v>
      </c>
      <c r="AC76" s="228">
        <f>AVERAGE(AB76,AB75)</f>
        <v>0</v>
      </c>
    </row>
    <row r="77" spans="1:29" ht="14.25" customHeight="1">
      <c r="E77" s="163"/>
      <c r="K77" s="152">
        <v>16</v>
      </c>
      <c r="L77" s="185">
        <f t="shared" si="5"/>
        <v>1.98</v>
      </c>
      <c r="M77" s="185">
        <f>M75+IF(K77&lt;=$L$36,$C$14/100,0)</f>
        <v>0.21</v>
      </c>
      <c r="N77" s="227" t="e">
        <f>N76</f>
        <v>#DIV/0!</v>
      </c>
      <c r="O77" s="185" t="e">
        <f>IF(N77=0,0,O76)</f>
        <v>#DIV/0!</v>
      </c>
      <c r="P77" s="185" t="e">
        <f t="shared" si="0"/>
        <v>#DIV/0!</v>
      </c>
      <c r="Q77" s="228" t="e">
        <f>Q78</f>
        <v>#DIV/0!</v>
      </c>
      <c r="R77" s="227" t="e">
        <f>R76</f>
        <v>#DIV/0!</v>
      </c>
      <c r="S77" s="185" t="e">
        <f>IF(R77=0,0,S76)</f>
        <v>#DIV/0!</v>
      </c>
      <c r="T77" s="185" t="e">
        <f t="shared" si="6"/>
        <v>#DIV/0!</v>
      </c>
      <c r="U77" s="228" t="e">
        <f>U78</f>
        <v>#DIV/0!</v>
      </c>
      <c r="V77" s="227">
        <f>V76</f>
        <v>0</v>
      </c>
      <c r="W77" s="185">
        <f>IF(V77=0,0,W76)</f>
        <v>0</v>
      </c>
      <c r="X77" s="185">
        <f t="shared" si="7"/>
        <v>0</v>
      </c>
      <c r="Y77" s="228">
        <f>Y78</f>
        <v>0</v>
      </c>
      <c r="Z77" s="227">
        <f>Z76</f>
        <v>0</v>
      </c>
      <c r="AA77" s="185">
        <f>IF(Z77=0,0,AA76)</f>
        <v>0</v>
      </c>
      <c r="AB77" s="185">
        <f t="shared" si="8"/>
        <v>0</v>
      </c>
      <c r="AC77" s="228">
        <f>AC78</f>
        <v>0</v>
      </c>
    </row>
    <row r="78" spans="1:29" ht="14.25" customHeight="1">
      <c r="E78" s="163"/>
      <c r="K78" s="152">
        <v>16</v>
      </c>
      <c r="L78" s="185">
        <f t="shared" si="5"/>
        <v>2.02</v>
      </c>
      <c r="M78" s="185">
        <f>M77</f>
        <v>0.21</v>
      </c>
      <c r="N78" s="227" t="e">
        <f>MAX($N$47/Kalk5_Eingabe!$C$18*(Kalk5_Eingabe!$C$18-Kalk5_Lastfallkombi!M78),0)</f>
        <v>#DIV/0!</v>
      </c>
      <c r="O78" s="185" t="e">
        <f t="shared" si="1"/>
        <v>#DIV/0!</v>
      </c>
      <c r="P78" s="185" t="e">
        <f t="shared" si="0"/>
        <v>#DIV/0!</v>
      </c>
      <c r="Q78" s="228" t="e">
        <f>AVERAGE(P78,P77)</f>
        <v>#DIV/0!</v>
      </c>
      <c r="R78" s="227" t="e">
        <f>MAX($R$47/Kalk5_Eingabe!$C$18*(Kalk5_Eingabe!$C$18-Kalk5_Lastfallkombi!M78),0)</f>
        <v>#DIV/0!</v>
      </c>
      <c r="S78" s="185" t="e">
        <f t="shared" si="2"/>
        <v>#DIV/0!</v>
      </c>
      <c r="T78" s="185" t="e">
        <f t="shared" si="6"/>
        <v>#DIV/0!</v>
      </c>
      <c r="U78" s="228" t="e">
        <f>AVERAGE(T78,T77)</f>
        <v>#DIV/0!</v>
      </c>
      <c r="V78" s="227">
        <f>MAX($V$47/Kalk5_Eingabe!$C$24*(Kalk5_Eingabe!$C$24-Kalk5_Lastfallkombi!M78),0)</f>
        <v>0</v>
      </c>
      <c r="W78" s="185">
        <f t="shared" si="3"/>
        <v>0</v>
      </c>
      <c r="X78" s="185">
        <f t="shared" si="7"/>
        <v>0</v>
      </c>
      <c r="Y78" s="228">
        <f>AVERAGE(X78,X77)</f>
        <v>0</v>
      </c>
      <c r="Z78" s="227">
        <f>MAX($Z$47/Kalk5_Eingabe!$C$24*(Kalk5_Eingabe!$C$24-Kalk5_Lastfallkombi!M78),0)</f>
        <v>0</v>
      </c>
      <c r="AA78" s="185">
        <f t="shared" si="4"/>
        <v>0</v>
      </c>
      <c r="AB78" s="185">
        <f t="shared" si="8"/>
        <v>0</v>
      </c>
      <c r="AC78" s="228">
        <f>AVERAGE(AB78,AB77)</f>
        <v>0</v>
      </c>
    </row>
    <row r="79" spans="1:29" ht="14.25" customHeight="1">
      <c r="E79" s="163"/>
      <c r="K79" s="152">
        <v>17</v>
      </c>
      <c r="L79" s="185">
        <f t="shared" si="5"/>
        <v>1.98</v>
      </c>
      <c r="M79" s="185">
        <f>M77+IF(K79&lt;=$L$36,$C$14/100,0)</f>
        <v>0.21</v>
      </c>
      <c r="N79" s="227" t="e">
        <f>N78</f>
        <v>#DIV/0!</v>
      </c>
      <c r="O79" s="185" t="e">
        <f>IF(N79=0,0,O78)</f>
        <v>#DIV/0!</v>
      </c>
      <c r="P79" s="185" t="e">
        <f t="shared" si="0"/>
        <v>#DIV/0!</v>
      </c>
      <c r="Q79" s="228" t="e">
        <f>Q80</f>
        <v>#DIV/0!</v>
      </c>
      <c r="R79" s="227" t="e">
        <f>R78</f>
        <v>#DIV/0!</v>
      </c>
      <c r="S79" s="185" t="e">
        <f>IF(R79=0,0,S78)</f>
        <v>#DIV/0!</v>
      </c>
      <c r="T79" s="185" t="e">
        <f t="shared" si="6"/>
        <v>#DIV/0!</v>
      </c>
      <c r="U79" s="228" t="e">
        <f>U80</f>
        <v>#DIV/0!</v>
      </c>
      <c r="V79" s="227">
        <f>V78</f>
        <v>0</v>
      </c>
      <c r="W79" s="185">
        <f>IF(V79=0,0,W78)</f>
        <v>0</v>
      </c>
      <c r="X79" s="185">
        <f t="shared" si="7"/>
        <v>0</v>
      </c>
      <c r="Y79" s="228">
        <f>Y80</f>
        <v>0</v>
      </c>
      <c r="Z79" s="227">
        <f>Z78</f>
        <v>0</v>
      </c>
      <c r="AA79" s="185">
        <f>IF(Z79=0,0,AA78)</f>
        <v>0</v>
      </c>
      <c r="AB79" s="185">
        <f t="shared" si="8"/>
        <v>0</v>
      </c>
      <c r="AC79" s="228">
        <f>AC80</f>
        <v>0</v>
      </c>
    </row>
    <row r="80" spans="1:29" ht="14.25" customHeight="1">
      <c r="E80" s="163"/>
      <c r="K80" s="152">
        <v>17</v>
      </c>
      <c r="L80" s="185">
        <f t="shared" si="5"/>
        <v>2.02</v>
      </c>
      <c r="M80" s="185">
        <f>M79</f>
        <v>0.21</v>
      </c>
      <c r="N80" s="227" t="e">
        <f>MAX($N$47/Kalk5_Eingabe!$C$18*(Kalk5_Eingabe!$C$18-Kalk5_Lastfallkombi!M80),0)</f>
        <v>#DIV/0!</v>
      </c>
      <c r="O80" s="185" t="e">
        <f t="shared" si="1"/>
        <v>#DIV/0!</v>
      </c>
      <c r="P80" s="185" t="e">
        <f t="shared" si="0"/>
        <v>#DIV/0!</v>
      </c>
      <c r="Q80" s="228" t="e">
        <f>AVERAGE(P80,P79)</f>
        <v>#DIV/0!</v>
      </c>
      <c r="R80" s="227" t="e">
        <f>MAX($R$47/Kalk5_Eingabe!$C$18*(Kalk5_Eingabe!$C$18-Kalk5_Lastfallkombi!M80),0)</f>
        <v>#DIV/0!</v>
      </c>
      <c r="S80" s="185" t="e">
        <f t="shared" si="2"/>
        <v>#DIV/0!</v>
      </c>
      <c r="T80" s="185" t="e">
        <f t="shared" si="6"/>
        <v>#DIV/0!</v>
      </c>
      <c r="U80" s="228" t="e">
        <f>AVERAGE(T80,T79)</f>
        <v>#DIV/0!</v>
      </c>
      <c r="V80" s="227">
        <f>MAX($V$47/Kalk5_Eingabe!$C$24*(Kalk5_Eingabe!$C$24-Kalk5_Lastfallkombi!M80),0)</f>
        <v>0</v>
      </c>
      <c r="W80" s="185">
        <f t="shared" si="3"/>
        <v>0</v>
      </c>
      <c r="X80" s="185">
        <f t="shared" si="7"/>
        <v>0</v>
      </c>
      <c r="Y80" s="228">
        <f>AVERAGE(X80,X79)</f>
        <v>0</v>
      </c>
      <c r="Z80" s="227">
        <f>MAX($Z$47/Kalk5_Eingabe!$C$24*(Kalk5_Eingabe!$C$24-Kalk5_Lastfallkombi!M80),0)</f>
        <v>0</v>
      </c>
      <c r="AA80" s="185">
        <f t="shared" si="4"/>
        <v>0</v>
      </c>
      <c r="AB80" s="185">
        <f t="shared" si="8"/>
        <v>0</v>
      </c>
      <c r="AC80" s="228">
        <f>AVERAGE(AB80,AB79)</f>
        <v>0</v>
      </c>
    </row>
    <row r="81" spans="5:29" ht="14.25" customHeight="1">
      <c r="E81" s="163"/>
      <c r="K81" s="152">
        <v>18</v>
      </c>
      <c r="L81" s="185">
        <f t="shared" si="5"/>
        <v>1.98</v>
      </c>
      <c r="M81" s="185">
        <f>M79+IF(K81&lt;=$L$36,$C$14/100,0)</f>
        <v>0.21</v>
      </c>
      <c r="N81" s="227" t="e">
        <f>N80</f>
        <v>#DIV/0!</v>
      </c>
      <c r="O81" s="185" t="e">
        <f>IF(N81=0,0,O80)</f>
        <v>#DIV/0!</v>
      </c>
      <c r="P81" s="185" t="e">
        <f t="shared" si="0"/>
        <v>#DIV/0!</v>
      </c>
      <c r="Q81" s="228" t="e">
        <f>Q82</f>
        <v>#DIV/0!</v>
      </c>
      <c r="R81" s="227" t="e">
        <f>R80</f>
        <v>#DIV/0!</v>
      </c>
      <c r="S81" s="185" t="e">
        <f>IF(R81=0,0,S80)</f>
        <v>#DIV/0!</v>
      </c>
      <c r="T81" s="185" t="e">
        <f t="shared" si="6"/>
        <v>#DIV/0!</v>
      </c>
      <c r="U81" s="228" t="e">
        <f>U82</f>
        <v>#DIV/0!</v>
      </c>
      <c r="V81" s="227">
        <f>V80</f>
        <v>0</v>
      </c>
      <c r="W81" s="185">
        <f>IF(V81=0,0,W80)</f>
        <v>0</v>
      </c>
      <c r="X81" s="185">
        <f t="shared" si="7"/>
        <v>0</v>
      </c>
      <c r="Y81" s="228">
        <f>Y82</f>
        <v>0</v>
      </c>
      <c r="Z81" s="227">
        <f>Z80</f>
        <v>0</v>
      </c>
      <c r="AA81" s="185">
        <f>IF(Z81=0,0,AA80)</f>
        <v>0</v>
      </c>
      <c r="AB81" s="185">
        <f t="shared" si="8"/>
        <v>0</v>
      </c>
      <c r="AC81" s="228">
        <f>AC82</f>
        <v>0</v>
      </c>
    </row>
    <row r="82" spans="5:29" ht="14.25" customHeight="1">
      <c r="E82" s="163"/>
      <c r="K82" s="152">
        <v>18</v>
      </c>
      <c r="L82" s="185">
        <f t="shared" si="5"/>
        <v>2.02</v>
      </c>
      <c r="M82" s="185">
        <f>M81</f>
        <v>0.21</v>
      </c>
      <c r="N82" s="227" t="e">
        <f>MAX($N$47/Kalk5_Eingabe!$C$18*(Kalk5_Eingabe!$C$18-Kalk5_Lastfallkombi!M82),0)</f>
        <v>#DIV/0!</v>
      </c>
      <c r="O82" s="185" t="e">
        <f t="shared" si="1"/>
        <v>#DIV/0!</v>
      </c>
      <c r="P82" s="185" t="e">
        <f t="shared" si="0"/>
        <v>#DIV/0!</v>
      </c>
      <c r="Q82" s="228" t="e">
        <f>AVERAGE(P82,P81)</f>
        <v>#DIV/0!</v>
      </c>
      <c r="R82" s="227" t="e">
        <f>MAX($R$47/Kalk5_Eingabe!$C$18*(Kalk5_Eingabe!$C$18-Kalk5_Lastfallkombi!M82),0)</f>
        <v>#DIV/0!</v>
      </c>
      <c r="S82" s="185" t="e">
        <f t="shared" si="2"/>
        <v>#DIV/0!</v>
      </c>
      <c r="T82" s="185" t="e">
        <f t="shared" si="6"/>
        <v>#DIV/0!</v>
      </c>
      <c r="U82" s="228" t="e">
        <f>AVERAGE(T82,T81)</f>
        <v>#DIV/0!</v>
      </c>
      <c r="V82" s="227">
        <f>MAX($V$47/Kalk5_Eingabe!$C$24*(Kalk5_Eingabe!$C$24-Kalk5_Lastfallkombi!M82),0)</f>
        <v>0</v>
      </c>
      <c r="W82" s="185">
        <f t="shared" si="3"/>
        <v>0</v>
      </c>
      <c r="X82" s="185">
        <f t="shared" si="7"/>
        <v>0</v>
      </c>
      <c r="Y82" s="228">
        <f>AVERAGE(X82,X81)</f>
        <v>0</v>
      </c>
      <c r="Z82" s="227">
        <f>MAX($Z$47/Kalk5_Eingabe!$C$24*(Kalk5_Eingabe!$C$24-Kalk5_Lastfallkombi!M82),0)</f>
        <v>0</v>
      </c>
      <c r="AA82" s="185">
        <f t="shared" si="4"/>
        <v>0</v>
      </c>
      <c r="AB82" s="185">
        <f t="shared" si="8"/>
        <v>0</v>
      </c>
      <c r="AC82" s="228">
        <f>AVERAGE(AB82,AB81)</f>
        <v>0</v>
      </c>
    </row>
    <row r="83" spans="5:29" ht="14.25" customHeight="1">
      <c r="E83" s="163"/>
      <c r="K83" s="152">
        <v>19</v>
      </c>
      <c r="L83" s="185">
        <f t="shared" si="5"/>
        <v>1.98</v>
      </c>
      <c r="M83" s="185">
        <f>M81+IF(K83&lt;=$L$36,$C$14/100,0)</f>
        <v>0.21</v>
      </c>
      <c r="N83" s="227" t="e">
        <f>N82</f>
        <v>#DIV/0!</v>
      </c>
      <c r="O83" s="185" t="e">
        <f>IF(N83=0,0,O82)</f>
        <v>#DIV/0!</v>
      </c>
      <c r="P83" s="185" t="e">
        <f t="shared" si="0"/>
        <v>#DIV/0!</v>
      </c>
      <c r="Q83" s="228" t="e">
        <f>Q84</f>
        <v>#DIV/0!</v>
      </c>
      <c r="R83" s="227" t="e">
        <f>R82</f>
        <v>#DIV/0!</v>
      </c>
      <c r="S83" s="185" t="e">
        <f>IF(R83=0,0,S82)</f>
        <v>#DIV/0!</v>
      </c>
      <c r="T83" s="185" t="e">
        <f t="shared" si="6"/>
        <v>#DIV/0!</v>
      </c>
      <c r="U83" s="228" t="e">
        <f>U84</f>
        <v>#DIV/0!</v>
      </c>
      <c r="V83" s="227">
        <f>V82</f>
        <v>0</v>
      </c>
      <c r="W83" s="185">
        <f>IF(V83=0,0,W82)</f>
        <v>0</v>
      </c>
      <c r="X83" s="185">
        <f t="shared" si="7"/>
        <v>0</v>
      </c>
      <c r="Y83" s="228">
        <f>Y84</f>
        <v>0</v>
      </c>
      <c r="Z83" s="227">
        <f>Z82</f>
        <v>0</v>
      </c>
      <c r="AA83" s="185">
        <f>IF(Z83=0,0,AA82)</f>
        <v>0</v>
      </c>
      <c r="AB83" s="185">
        <f t="shared" si="8"/>
        <v>0</v>
      </c>
      <c r="AC83" s="228">
        <f>AC84</f>
        <v>0</v>
      </c>
    </row>
    <row r="84" spans="5:29" ht="14.25" customHeight="1">
      <c r="E84" s="163"/>
      <c r="K84" s="152">
        <v>19</v>
      </c>
      <c r="L84" s="185">
        <f t="shared" si="5"/>
        <v>2.02</v>
      </c>
      <c r="M84" s="185">
        <f>M83</f>
        <v>0.21</v>
      </c>
      <c r="N84" s="227" t="e">
        <f>MAX($N$47/Kalk5_Eingabe!$C$18*(Kalk5_Eingabe!$C$18-Kalk5_Lastfallkombi!M84),0)</f>
        <v>#DIV/0!</v>
      </c>
      <c r="O84" s="185" t="e">
        <f t="shared" si="1"/>
        <v>#DIV/0!</v>
      </c>
      <c r="P84" s="185" t="e">
        <f t="shared" si="0"/>
        <v>#DIV/0!</v>
      </c>
      <c r="Q84" s="228" t="e">
        <f>AVERAGE(P84,P83)</f>
        <v>#DIV/0!</v>
      </c>
      <c r="R84" s="227" t="e">
        <f>MAX($R$47/Kalk5_Eingabe!$C$18*(Kalk5_Eingabe!$C$18-Kalk5_Lastfallkombi!M84),0)</f>
        <v>#DIV/0!</v>
      </c>
      <c r="S84" s="185" t="e">
        <f t="shared" si="2"/>
        <v>#DIV/0!</v>
      </c>
      <c r="T84" s="185" t="e">
        <f t="shared" si="6"/>
        <v>#DIV/0!</v>
      </c>
      <c r="U84" s="228" t="e">
        <f>AVERAGE(T84,T83)</f>
        <v>#DIV/0!</v>
      </c>
      <c r="V84" s="227">
        <f>MAX($V$47/Kalk5_Eingabe!$C$24*(Kalk5_Eingabe!$C$24-Kalk5_Lastfallkombi!M84),0)</f>
        <v>0</v>
      </c>
      <c r="W84" s="185">
        <f t="shared" si="3"/>
        <v>0</v>
      </c>
      <c r="X84" s="185">
        <f t="shared" si="7"/>
        <v>0</v>
      </c>
      <c r="Y84" s="228">
        <f>AVERAGE(X84,X83)</f>
        <v>0</v>
      </c>
      <c r="Z84" s="227">
        <f>MAX($Z$47/Kalk5_Eingabe!$C$24*(Kalk5_Eingabe!$C$24-Kalk5_Lastfallkombi!M84),0)</f>
        <v>0</v>
      </c>
      <c r="AA84" s="185">
        <f t="shared" si="4"/>
        <v>0</v>
      </c>
      <c r="AB84" s="185">
        <f t="shared" si="8"/>
        <v>0</v>
      </c>
      <c r="AC84" s="228">
        <f>AVERAGE(AB84,AB83)</f>
        <v>0</v>
      </c>
    </row>
    <row r="85" spans="5:29" ht="14.25" customHeight="1">
      <c r="E85" s="163"/>
      <c r="K85" s="152">
        <v>20</v>
      </c>
      <c r="L85" s="185">
        <f t="shared" si="5"/>
        <v>1.98</v>
      </c>
      <c r="M85" s="185">
        <f>M83+IF(K85&lt;=$L$36,$C$14/100,0)</f>
        <v>0.21</v>
      </c>
      <c r="N85" s="227" t="e">
        <f>N84</f>
        <v>#DIV/0!</v>
      </c>
      <c r="O85" s="185" t="e">
        <f>IF(N85=0,0,O84)</f>
        <v>#DIV/0!</v>
      </c>
      <c r="P85" s="185" t="e">
        <f t="shared" si="0"/>
        <v>#DIV/0!</v>
      </c>
      <c r="Q85" s="228" t="e">
        <f>Q86</f>
        <v>#DIV/0!</v>
      </c>
      <c r="R85" s="227" t="e">
        <f>R84</f>
        <v>#DIV/0!</v>
      </c>
      <c r="S85" s="185" t="e">
        <f>IF(R85=0,0,S84)</f>
        <v>#DIV/0!</v>
      </c>
      <c r="T85" s="185" t="e">
        <f t="shared" si="6"/>
        <v>#DIV/0!</v>
      </c>
      <c r="U85" s="228" t="e">
        <f>U86</f>
        <v>#DIV/0!</v>
      </c>
      <c r="V85" s="227">
        <f>V84</f>
        <v>0</v>
      </c>
      <c r="W85" s="185">
        <f>IF(V85=0,0,W84)</f>
        <v>0</v>
      </c>
      <c r="X85" s="185">
        <f t="shared" si="7"/>
        <v>0</v>
      </c>
      <c r="Y85" s="228">
        <f>Y86</f>
        <v>0</v>
      </c>
      <c r="Z85" s="227">
        <f>Z84</f>
        <v>0</v>
      </c>
      <c r="AA85" s="185">
        <f>IF(Z85=0,0,AA84)</f>
        <v>0</v>
      </c>
      <c r="AB85" s="185">
        <f t="shared" si="8"/>
        <v>0</v>
      </c>
      <c r="AC85" s="228">
        <f>AC86</f>
        <v>0</v>
      </c>
    </row>
    <row r="86" spans="5:29" ht="14.25" customHeight="1">
      <c r="E86" s="163"/>
      <c r="K86" s="152">
        <v>20</v>
      </c>
      <c r="L86" s="185">
        <f t="shared" si="5"/>
        <v>2.02</v>
      </c>
      <c r="M86" s="185">
        <f>M85</f>
        <v>0.21</v>
      </c>
      <c r="N86" s="227" t="e">
        <f>MAX($N$47/Kalk5_Eingabe!$C$18*(Kalk5_Eingabe!$C$18-Kalk5_Lastfallkombi!M86),0)</f>
        <v>#DIV/0!</v>
      </c>
      <c r="O86" s="185" t="e">
        <f t="shared" si="1"/>
        <v>#DIV/0!</v>
      </c>
      <c r="P86" s="185" t="e">
        <f t="shared" si="0"/>
        <v>#DIV/0!</v>
      </c>
      <c r="Q86" s="228" t="e">
        <f>AVERAGE(P86,P85)</f>
        <v>#DIV/0!</v>
      </c>
      <c r="R86" s="227" t="e">
        <f>MAX($R$47/Kalk5_Eingabe!$C$18*(Kalk5_Eingabe!$C$18-Kalk5_Lastfallkombi!M86),0)</f>
        <v>#DIV/0!</v>
      </c>
      <c r="S86" s="185" t="e">
        <f t="shared" si="2"/>
        <v>#DIV/0!</v>
      </c>
      <c r="T86" s="185" t="e">
        <f t="shared" si="6"/>
        <v>#DIV/0!</v>
      </c>
      <c r="U86" s="228" t="e">
        <f>AVERAGE(T86,T85)</f>
        <v>#DIV/0!</v>
      </c>
      <c r="V86" s="227">
        <f>MAX($V$47/Kalk5_Eingabe!$C$24*(Kalk5_Eingabe!$C$24-Kalk5_Lastfallkombi!M86),0)</f>
        <v>0</v>
      </c>
      <c r="W86" s="185">
        <f t="shared" si="3"/>
        <v>0</v>
      </c>
      <c r="X86" s="185">
        <f t="shared" si="7"/>
        <v>0</v>
      </c>
      <c r="Y86" s="228">
        <f>AVERAGE(X86,X85)</f>
        <v>0</v>
      </c>
      <c r="Z86" s="227">
        <f>MAX($Z$47/Kalk5_Eingabe!$C$24*(Kalk5_Eingabe!$C$24-Kalk5_Lastfallkombi!M86),0)</f>
        <v>0</v>
      </c>
      <c r="AA86" s="185">
        <f t="shared" si="4"/>
        <v>0</v>
      </c>
      <c r="AB86" s="185">
        <f t="shared" si="8"/>
        <v>0</v>
      </c>
      <c r="AC86" s="228">
        <f>AVERAGE(AB86,AB85)</f>
        <v>0</v>
      </c>
    </row>
    <row r="87" spans="5:29" ht="14.25" customHeight="1">
      <c r="E87" s="163"/>
      <c r="K87" s="152">
        <v>21</v>
      </c>
      <c r="L87" s="185">
        <f t="shared" si="5"/>
        <v>1.98</v>
      </c>
      <c r="M87" s="185">
        <f>M85+IF(K87&lt;=$L$36,$C$14/100,0)</f>
        <v>0.21</v>
      </c>
      <c r="N87" s="227" t="e">
        <f>N86</f>
        <v>#DIV/0!</v>
      </c>
      <c r="O87" s="185" t="e">
        <f>IF(N87=0,0,O86)</f>
        <v>#DIV/0!</v>
      </c>
      <c r="P87" s="185" t="e">
        <f t="shared" si="0"/>
        <v>#DIV/0!</v>
      </c>
      <c r="Q87" s="228" t="e">
        <f>Q88</f>
        <v>#DIV/0!</v>
      </c>
      <c r="R87" s="227" t="e">
        <f>R86</f>
        <v>#DIV/0!</v>
      </c>
      <c r="S87" s="185" t="e">
        <f>IF(R87=0,0,S86)</f>
        <v>#DIV/0!</v>
      </c>
      <c r="T87" s="185" t="e">
        <f t="shared" si="6"/>
        <v>#DIV/0!</v>
      </c>
      <c r="U87" s="228" t="e">
        <f>U88</f>
        <v>#DIV/0!</v>
      </c>
      <c r="V87" s="227">
        <f>V86</f>
        <v>0</v>
      </c>
      <c r="W87" s="185">
        <f>IF(V87=0,0,W86)</f>
        <v>0</v>
      </c>
      <c r="X87" s="185">
        <f t="shared" si="7"/>
        <v>0</v>
      </c>
      <c r="Y87" s="228">
        <f>Y88</f>
        <v>0</v>
      </c>
      <c r="Z87" s="227">
        <f>Z86</f>
        <v>0</v>
      </c>
      <c r="AA87" s="185">
        <f>IF(Z87=0,0,AA86)</f>
        <v>0</v>
      </c>
      <c r="AB87" s="185">
        <f t="shared" si="8"/>
        <v>0</v>
      </c>
      <c r="AC87" s="228">
        <f>AC88</f>
        <v>0</v>
      </c>
    </row>
    <row r="88" spans="5:29" ht="14.25" customHeight="1">
      <c r="E88" s="163"/>
      <c r="K88" s="152">
        <v>21</v>
      </c>
      <c r="L88" s="185">
        <f t="shared" si="5"/>
        <v>2.02</v>
      </c>
      <c r="M88" s="185">
        <f>M87</f>
        <v>0.21</v>
      </c>
      <c r="N88" s="227" t="e">
        <f>MAX($N$47/Kalk5_Eingabe!$C$18*(Kalk5_Eingabe!$C$18-Kalk5_Lastfallkombi!M88),0)</f>
        <v>#DIV/0!</v>
      </c>
      <c r="O88" s="185" t="e">
        <f t="shared" si="1"/>
        <v>#DIV/0!</v>
      </c>
      <c r="P88" s="185" t="e">
        <f t="shared" si="0"/>
        <v>#DIV/0!</v>
      </c>
      <c r="Q88" s="228" t="e">
        <f t="shared" ref="Q88:Q94" si="9">AVERAGE(P88,P87)</f>
        <v>#DIV/0!</v>
      </c>
      <c r="R88" s="227" t="e">
        <f>MAX($R$47/Kalk5_Eingabe!$C$18*(Kalk5_Eingabe!$C$18-Kalk5_Lastfallkombi!M88),0)</f>
        <v>#DIV/0!</v>
      </c>
      <c r="S88" s="185" t="e">
        <f t="shared" si="2"/>
        <v>#DIV/0!</v>
      </c>
      <c r="T88" s="185" t="e">
        <f t="shared" si="6"/>
        <v>#DIV/0!</v>
      </c>
      <c r="U88" s="228" t="e">
        <f t="shared" ref="U88:U94" si="10">AVERAGE(T88,T87)</f>
        <v>#DIV/0!</v>
      </c>
      <c r="V88" s="227">
        <f>MAX($V$47/Kalk5_Eingabe!$C$24*(Kalk5_Eingabe!$C$24-Kalk5_Lastfallkombi!M88),0)</f>
        <v>0</v>
      </c>
      <c r="W88" s="185">
        <f t="shared" si="3"/>
        <v>0</v>
      </c>
      <c r="X88" s="185">
        <f t="shared" si="7"/>
        <v>0</v>
      </c>
      <c r="Y88" s="228">
        <f t="shared" ref="Y88:Y94" si="11">AVERAGE(X88,X87)</f>
        <v>0</v>
      </c>
      <c r="Z88" s="227">
        <f>MAX($Z$47/Kalk5_Eingabe!$C$24*(Kalk5_Eingabe!$C$24-Kalk5_Lastfallkombi!M88),0)</f>
        <v>0</v>
      </c>
      <c r="AA88" s="185">
        <f t="shared" si="4"/>
        <v>0</v>
      </c>
      <c r="AB88" s="185">
        <f t="shared" si="8"/>
        <v>0</v>
      </c>
      <c r="AC88" s="228">
        <f t="shared" ref="AC88:AC94" si="12">AVERAGE(AB88,AB87)</f>
        <v>0</v>
      </c>
    </row>
    <row r="89" spans="5:29" ht="14.25" customHeight="1">
      <c r="E89" s="163"/>
      <c r="K89" s="152">
        <v>22</v>
      </c>
      <c r="L89" s="185">
        <f t="shared" si="5"/>
        <v>1.98</v>
      </c>
      <c r="M89" s="185">
        <f>M87+IF(K89&lt;=$L$36,$C$14/100,0)</f>
        <v>0.21</v>
      </c>
      <c r="N89" s="227" t="e">
        <f>N88</f>
        <v>#DIV/0!</v>
      </c>
      <c r="O89" s="185" t="e">
        <f>IF(N89=0,0,O88)</f>
        <v>#DIV/0!</v>
      </c>
      <c r="P89" s="185" t="e">
        <f t="shared" si="0"/>
        <v>#DIV/0!</v>
      </c>
      <c r="Q89" s="228" t="e">
        <f>Q90</f>
        <v>#DIV/0!</v>
      </c>
      <c r="R89" s="227" t="e">
        <f>R88</f>
        <v>#DIV/0!</v>
      </c>
      <c r="S89" s="185" t="e">
        <f>IF(R89=0,0,S88)</f>
        <v>#DIV/0!</v>
      </c>
      <c r="T89" s="185" t="e">
        <f t="shared" si="6"/>
        <v>#DIV/0!</v>
      </c>
      <c r="U89" s="228" t="e">
        <f>U90</f>
        <v>#DIV/0!</v>
      </c>
      <c r="V89" s="227">
        <f>V88</f>
        <v>0</v>
      </c>
      <c r="W89" s="185">
        <f>IF(V89=0,0,W88)</f>
        <v>0</v>
      </c>
      <c r="X89" s="185">
        <f t="shared" si="7"/>
        <v>0</v>
      </c>
      <c r="Y89" s="228">
        <f>Y90</f>
        <v>0</v>
      </c>
      <c r="Z89" s="227">
        <f>Z88</f>
        <v>0</v>
      </c>
      <c r="AA89" s="185">
        <f>IF(Z89=0,0,AA88)</f>
        <v>0</v>
      </c>
      <c r="AB89" s="185">
        <f t="shared" si="8"/>
        <v>0</v>
      </c>
      <c r="AC89" s="228">
        <f>AC90</f>
        <v>0</v>
      </c>
    </row>
    <row r="90" spans="5:29" ht="14.25" customHeight="1">
      <c r="E90" s="163"/>
      <c r="K90" s="152">
        <v>22</v>
      </c>
      <c r="L90" s="185">
        <f t="shared" si="5"/>
        <v>2.02</v>
      </c>
      <c r="M90" s="185">
        <f>M89</f>
        <v>0.21</v>
      </c>
      <c r="N90" s="227" t="e">
        <f>MAX($N$47/Kalk5_Eingabe!$C$18*(Kalk5_Eingabe!$C$18-Kalk5_Lastfallkombi!M90),0)</f>
        <v>#DIV/0!</v>
      </c>
      <c r="O90" s="185" t="e">
        <f t="shared" si="1"/>
        <v>#DIV/0!</v>
      </c>
      <c r="P90" s="185" t="e">
        <f t="shared" si="0"/>
        <v>#DIV/0!</v>
      </c>
      <c r="Q90" s="228" t="e">
        <f t="shared" si="9"/>
        <v>#DIV/0!</v>
      </c>
      <c r="R90" s="227" t="e">
        <f>MAX($R$47/Kalk5_Eingabe!$C$18*(Kalk5_Eingabe!$C$18-Kalk5_Lastfallkombi!M90),0)</f>
        <v>#DIV/0!</v>
      </c>
      <c r="S90" s="185" t="e">
        <f t="shared" si="2"/>
        <v>#DIV/0!</v>
      </c>
      <c r="T90" s="185" t="e">
        <f t="shared" si="6"/>
        <v>#DIV/0!</v>
      </c>
      <c r="U90" s="228" t="e">
        <f t="shared" si="10"/>
        <v>#DIV/0!</v>
      </c>
      <c r="V90" s="227">
        <f>MAX($V$47/Kalk5_Eingabe!$C$24*(Kalk5_Eingabe!$C$24-Kalk5_Lastfallkombi!M90),0)</f>
        <v>0</v>
      </c>
      <c r="W90" s="185">
        <f t="shared" si="3"/>
        <v>0</v>
      </c>
      <c r="X90" s="185">
        <f t="shared" si="7"/>
        <v>0</v>
      </c>
      <c r="Y90" s="228">
        <f t="shared" si="11"/>
        <v>0</v>
      </c>
      <c r="Z90" s="227">
        <f>MAX($Z$47/Kalk5_Eingabe!$C$24*(Kalk5_Eingabe!$C$24-Kalk5_Lastfallkombi!M90),0)</f>
        <v>0</v>
      </c>
      <c r="AA90" s="185">
        <f t="shared" si="4"/>
        <v>0</v>
      </c>
      <c r="AB90" s="185">
        <f t="shared" si="8"/>
        <v>0</v>
      </c>
      <c r="AC90" s="228">
        <f t="shared" si="12"/>
        <v>0</v>
      </c>
    </row>
    <row r="91" spans="5:29" ht="14.25" customHeight="1">
      <c r="E91" s="163"/>
      <c r="K91" s="152">
        <v>23</v>
      </c>
      <c r="L91" s="185">
        <f t="shared" si="5"/>
        <v>1.98</v>
      </c>
      <c r="M91" s="185">
        <f>M89+IF(K91&lt;=$L$36,$C$14/100,0)</f>
        <v>0.21</v>
      </c>
      <c r="N91" s="227" t="e">
        <f>N90</f>
        <v>#DIV/0!</v>
      </c>
      <c r="O91" s="185" t="e">
        <f>IF(N91=0,0,O90)</f>
        <v>#DIV/0!</v>
      </c>
      <c r="P91" s="185" t="e">
        <f t="shared" si="0"/>
        <v>#DIV/0!</v>
      </c>
      <c r="Q91" s="228" t="e">
        <f>Q92</f>
        <v>#DIV/0!</v>
      </c>
      <c r="R91" s="227" t="e">
        <f>R90</f>
        <v>#DIV/0!</v>
      </c>
      <c r="S91" s="185" t="e">
        <f>IF(R91=0,0,S90)</f>
        <v>#DIV/0!</v>
      </c>
      <c r="T91" s="185" t="e">
        <f t="shared" si="6"/>
        <v>#DIV/0!</v>
      </c>
      <c r="U91" s="228" t="e">
        <f>U92</f>
        <v>#DIV/0!</v>
      </c>
      <c r="V91" s="227">
        <f>V90</f>
        <v>0</v>
      </c>
      <c r="W91" s="185">
        <f>IF(V91=0,0,W90)</f>
        <v>0</v>
      </c>
      <c r="X91" s="185">
        <f t="shared" si="7"/>
        <v>0</v>
      </c>
      <c r="Y91" s="228">
        <f>Y92</f>
        <v>0</v>
      </c>
      <c r="Z91" s="227">
        <f>Z90</f>
        <v>0</v>
      </c>
      <c r="AA91" s="185">
        <f>IF(Z91=0,0,AA90)</f>
        <v>0</v>
      </c>
      <c r="AB91" s="185">
        <f t="shared" si="8"/>
        <v>0</v>
      </c>
      <c r="AC91" s="228">
        <f>AC92</f>
        <v>0</v>
      </c>
    </row>
    <row r="92" spans="5:29" ht="14.25" customHeight="1">
      <c r="E92" s="163"/>
      <c r="K92" s="152">
        <v>23</v>
      </c>
      <c r="L92" s="185">
        <f t="shared" si="5"/>
        <v>2.02</v>
      </c>
      <c r="M92" s="185">
        <f>M91</f>
        <v>0.21</v>
      </c>
      <c r="N92" s="227" t="e">
        <f>MAX($N$47/Kalk5_Eingabe!$C$18*(Kalk5_Eingabe!$C$18-Kalk5_Lastfallkombi!M92),0)</f>
        <v>#DIV/0!</v>
      </c>
      <c r="O92" s="185" t="e">
        <f t="shared" si="1"/>
        <v>#DIV/0!</v>
      </c>
      <c r="P92" s="185" t="e">
        <f t="shared" si="0"/>
        <v>#DIV/0!</v>
      </c>
      <c r="Q92" s="228" t="e">
        <f t="shared" si="9"/>
        <v>#DIV/0!</v>
      </c>
      <c r="R92" s="227" t="e">
        <f>MAX($R$47/Kalk5_Eingabe!$C$18*(Kalk5_Eingabe!$C$18-Kalk5_Lastfallkombi!M92),0)</f>
        <v>#DIV/0!</v>
      </c>
      <c r="S92" s="185" t="e">
        <f t="shared" si="2"/>
        <v>#DIV/0!</v>
      </c>
      <c r="T92" s="185" t="e">
        <f t="shared" si="6"/>
        <v>#DIV/0!</v>
      </c>
      <c r="U92" s="228" t="e">
        <f t="shared" si="10"/>
        <v>#DIV/0!</v>
      </c>
      <c r="V92" s="227">
        <f>MAX($V$47/Kalk5_Eingabe!$C$24*(Kalk5_Eingabe!$C$24-Kalk5_Lastfallkombi!M92),0)</f>
        <v>0</v>
      </c>
      <c r="W92" s="185">
        <f t="shared" si="3"/>
        <v>0</v>
      </c>
      <c r="X92" s="185">
        <f t="shared" si="7"/>
        <v>0</v>
      </c>
      <c r="Y92" s="228">
        <f t="shared" si="11"/>
        <v>0</v>
      </c>
      <c r="Z92" s="227">
        <f>MAX($Z$47/Kalk5_Eingabe!$C$24*(Kalk5_Eingabe!$C$24-Kalk5_Lastfallkombi!M92),0)</f>
        <v>0</v>
      </c>
      <c r="AA92" s="185">
        <f t="shared" si="4"/>
        <v>0</v>
      </c>
      <c r="AB92" s="185">
        <f t="shared" si="8"/>
        <v>0</v>
      </c>
      <c r="AC92" s="228">
        <f t="shared" si="12"/>
        <v>0</v>
      </c>
    </row>
    <row r="93" spans="5:29" ht="14.25" customHeight="1">
      <c r="E93" s="163"/>
      <c r="K93" s="152">
        <v>24</v>
      </c>
      <c r="L93" s="185">
        <f t="shared" si="5"/>
        <v>1.98</v>
      </c>
      <c r="M93" s="185">
        <f>M91+IF(K93&lt;=$L$36,$C$14/100,0)</f>
        <v>0.21</v>
      </c>
      <c r="N93" s="227" t="e">
        <f>N92</f>
        <v>#DIV/0!</v>
      </c>
      <c r="O93" s="185" t="e">
        <f>IF(N93=0,0,O92)</f>
        <v>#DIV/0!</v>
      </c>
      <c r="P93" s="185" t="e">
        <f t="shared" si="0"/>
        <v>#DIV/0!</v>
      </c>
      <c r="Q93" s="228" t="e">
        <f>Q94</f>
        <v>#DIV/0!</v>
      </c>
      <c r="R93" s="227" t="e">
        <f>R92</f>
        <v>#DIV/0!</v>
      </c>
      <c r="S93" s="185" t="e">
        <f>IF(R93=0,0,S92)</f>
        <v>#DIV/0!</v>
      </c>
      <c r="T93" s="185" t="e">
        <f t="shared" si="6"/>
        <v>#DIV/0!</v>
      </c>
      <c r="U93" s="228" t="e">
        <f>U94</f>
        <v>#DIV/0!</v>
      </c>
      <c r="V93" s="227">
        <f>V92</f>
        <v>0</v>
      </c>
      <c r="W93" s="185">
        <f>IF(V93=0,0,W92)</f>
        <v>0</v>
      </c>
      <c r="X93" s="185">
        <f t="shared" si="7"/>
        <v>0</v>
      </c>
      <c r="Y93" s="228">
        <f>Y94</f>
        <v>0</v>
      </c>
      <c r="Z93" s="227">
        <f>Z92</f>
        <v>0</v>
      </c>
      <c r="AA93" s="185">
        <f>IF(Z93=0,0,AA92)</f>
        <v>0</v>
      </c>
      <c r="AB93" s="185">
        <f t="shared" si="8"/>
        <v>0</v>
      </c>
      <c r="AC93" s="228">
        <f>AC94</f>
        <v>0</v>
      </c>
    </row>
    <row r="94" spans="5:29" ht="14.25" customHeight="1">
      <c r="E94" s="163"/>
      <c r="K94" s="152">
        <v>24</v>
      </c>
      <c r="L94" s="185">
        <f t="shared" si="5"/>
        <v>2.02</v>
      </c>
      <c r="M94" s="185">
        <f>M93</f>
        <v>0.21</v>
      </c>
      <c r="N94" s="232" t="e">
        <f>MAX($N$47/Kalk5_Eingabe!$C$18*(Kalk5_Eingabe!$C$18-Kalk5_Lastfallkombi!M94),0)</f>
        <v>#DIV/0!</v>
      </c>
      <c r="O94" s="233" t="e">
        <f t="shared" si="1"/>
        <v>#DIV/0!</v>
      </c>
      <c r="P94" s="233" t="e">
        <f t="shared" si="0"/>
        <v>#DIV/0!</v>
      </c>
      <c r="Q94" s="234" t="e">
        <f t="shared" si="9"/>
        <v>#DIV/0!</v>
      </c>
      <c r="R94" s="232" t="e">
        <f>MAX($R$47/Kalk5_Eingabe!$C$18*(Kalk5_Eingabe!$C$18-Kalk5_Lastfallkombi!M94),0)</f>
        <v>#DIV/0!</v>
      </c>
      <c r="S94" s="233" t="e">
        <f t="shared" si="2"/>
        <v>#DIV/0!</v>
      </c>
      <c r="T94" s="233" t="e">
        <f t="shared" si="6"/>
        <v>#DIV/0!</v>
      </c>
      <c r="U94" s="234" t="e">
        <f t="shared" si="10"/>
        <v>#DIV/0!</v>
      </c>
      <c r="V94" s="232">
        <f>MAX($V$47/Kalk5_Eingabe!$C$24*(Kalk5_Eingabe!$C$24-Kalk5_Lastfallkombi!M94),0)</f>
        <v>0</v>
      </c>
      <c r="W94" s="233">
        <f t="shared" si="3"/>
        <v>0</v>
      </c>
      <c r="X94" s="233">
        <f t="shared" si="7"/>
        <v>0</v>
      </c>
      <c r="Y94" s="234">
        <f t="shared" si="11"/>
        <v>0</v>
      </c>
      <c r="Z94" s="232">
        <f>MAX($Z$47/Kalk5_Eingabe!$C$24*(Kalk5_Eingabe!$C$24-Kalk5_Lastfallkombi!M94),0)</f>
        <v>0</v>
      </c>
      <c r="AA94" s="233">
        <f t="shared" si="4"/>
        <v>0</v>
      </c>
      <c r="AB94" s="233">
        <f t="shared" si="8"/>
        <v>0</v>
      </c>
      <c r="AC94" s="234">
        <f t="shared" si="12"/>
        <v>0</v>
      </c>
    </row>
    <row r="95" spans="5:29" ht="14.25" customHeight="1">
      <c r="E95" s="163"/>
    </row>
    <row r="96" spans="5:29" ht="14.25" customHeight="1">
      <c r="E96" s="163"/>
      <c r="O96" s="152" t="s">
        <v>22574</v>
      </c>
      <c r="P96" s="185"/>
    </row>
    <row r="97" spans="5:18" ht="14.25" customHeight="1">
      <c r="E97" s="163"/>
      <c r="K97" s="152" t="s">
        <v>22575</v>
      </c>
      <c r="L97" s="185"/>
      <c r="M97" s="185"/>
      <c r="O97" s="185">
        <f>(M44+0.25-C15/100)/(C14/100)+1</f>
        <v>1.2</v>
      </c>
      <c r="P97" s="185">
        <f>IF(O97&gt;Kalk5_Lastfallkombi!L36,Kalk5_Lastfallkombi!L36,ROUNDUP(O97,0))</f>
        <v>0</v>
      </c>
      <c r="Q97" s="185">
        <f>C15/100+(P97-1)*C14/100</f>
        <v>9.9999999999999811E-3</v>
      </c>
      <c r="R97" s="185">
        <f>IF(Q97&gt;Kalk5_Eingabe!C24,Kalk5_Eingabe!C24,Q97)</f>
        <v>9.9999999999999811E-3</v>
      </c>
    </row>
    <row r="98" spans="5:18" ht="14.25" customHeight="1">
      <c r="E98" s="163"/>
      <c r="L98" s="185">
        <f>L42-0.2</f>
        <v>1.8</v>
      </c>
      <c r="M98" s="185">
        <f>M42</f>
        <v>0</v>
      </c>
      <c r="O98" s="185">
        <f>IF((M44-0.25-C15/100)/(C14/100)+1&lt;0,0,(M44-0.25-C15/100)/(C14/100)+1)</f>
        <v>0</v>
      </c>
      <c r="P98" s="185">
        <f>ROUNDDOWN(O98,0)</f>
        <v>0</v>
      </c>
      <c r="Q98" s="185"/>
      <c r="R98" s="185"/>
    </row>
    <row r="99" spans="5:18" ht="14.25" customHeight="1">
      <c r="E99" s="163"/>
      <c r="L99" s="185">
        <f>L98</f>
        <v>1.8</v>
      </c>
      <c r="M99" s="185">
        <f>M100</f>
        <v>0</v>
      </c>
      <c r="P99" s="152">
        <f>P97-P98</f>
        <v>0</v>
      </c>
      <c r="Q99" s="152" t="s">
        <v>20892</v>
      </c>
    </row>
    <row r="100" spans="5:18" ht="14.25" customHeight="1">
      <c r="E100" s="163"/>
      <c r="L100" s="185">
        <f>L98-C32/100</f>
        <v>1.8</v>
      </c>
      <c r="M100" s="185">
        <f>M44</f>
        <v>0</v>
      </c>
      <c r="O100" s="152" t="s">
        <v>22576</v>
      </c>
      <c r="P100" s="185"/>
    </row>
    <row r="101" spans="5:18" ht="14.25" customHeight="1">
      <c r="E101" s="163"/>
      <c r="L101" s="185">
        <f>L100-(C31/100+C32/100)</f>
        <v>1.8</v>
      </c>
      <c r="M101" s="185">
        <f>M98</f>
        <v>0</v>
      </c>
      <c r="O101" s="185">
        <f>Kalk5_Lastfallkombi!L36</f>
        <v>0</v>
      </c>
      <c r="P101" s="185">
        <f>O101</f>
        <v>0</v>
      </c>
      <c r="Q101" s="185"/>
      <c r="R101" s="185"/>
    </row>
    <row r="102" spans="5:18" ht="14.25" customHeight="1">
      <c r="E102" s="163"/>
      <c r="K102" s="152" t="s">
        <v>22577</v>
      </c>
      <c r="O102" s="185">
        <f>IF(O101-Kalk5_Eingabe!C48&lt;0,0,O101-Kalk5_Eingabe!C48)</f>
        <v>0</v>
      </c>
      <c r="P102" s="185">
        <f>ROUNDDOWN(O102,0)</f>
        <v>0</v>
      </c>
      <c r="Q102" s="185"/>
      <c r="R102" s="185"/>
    </row>
    <row r="103" spans="5:18" ht="14.25" customHeight="1">
      <c r="E103" s="163"/>
      <c r="L103" s="185">
        <f>L101-0.1</f>
        <v>1.7</v>
      </c>
      <c r="M103" s="152">
        <v>0</v>
      </c>
      <c r="P103" s="152">
        <f>P101-P102</f>
        <v>0</v>
      </c>
      <c r="Q103" s="152" t="s">
        <v>20892</v>
      </c>
    </row>
    <row r="104" spans="5:18" ht="14.25" customHeight="1">
      <c r="E104" s="163"/>
      <c r="L104" s="185">
        <f>L103</f>
        <v>1.7</v>
      </c>
      <c r="M104" s="185">
        <f>M44+0.25</f>
        <v>0.25</v>
      </c>
    </row>
    <row r="105" spans="5:18" ht="14.25" customHeight="1">
      <c r="E105" s="163"/>
      <c r="L105" s="185">
        <f>L104-0.05</f>
        <v>1.65</v>
      </c>
      <c r="M105" s="185">
        <f>M104</f>
        <v>0.25</v>
      </c>
    </row>
    <row r="106" spans="5:18" ht="14.25" customHeight="1">
      <c r="E106" s="163"/>
      <c r="L106" s="185">
        <f>L105</f>
        <v>1.65</v>
      </c>
      <c r="M106" s="185">
        <f>M104-0.5</f>
        <v>-0.25</v>
      </c>
      <c r="N106" s="152">
        <f>(M106-C15/100)/(C14/100)</f>
        <v>-2.2999999999999998</v>
      </c>
    </row>
    <row r="107" spans="5:18" ht="14.25" customHeight="1">
      <c r="E107" s="163"/>
      <c r="L107" s="185">
        <f>L104</f>
        <v>1.7</v>
      </c>
      <c r="M107" s="185">
        <f>M106</f>
        <v>-0.25</v>
      </c>
    </row>
    <row r="108" spans="5:18" ht="14.25" customHeight="1">
      <c r="E108" s="163"/>
      <c r="K108" s="152" t="s">
        <v>21191</v>
      </c>
      <c r="L108" s="152">
        <v>0</v>
      </c>
      <c r="M108" s="185">
        <f>Kalk5_Eingabe!C24</f>
        <v>2.5000000000000001E-2</v>
      </c>
    </row>
    <row r="109" spans="5:18" ht="14.25" customHeight="1">
      <c r="E109" s="163"/>
      <c r="L109" s="152">
        <f>L45</f>
        <v>2</v>
      </c>
      <c r="M109" s="185">
        <f>M108</f>
        <v>2.5000000000000001E-2</v>
      </c>
    </row>
    <row r="110" spans="5:18" ht="14.25" customHeight="1">
      <c r="E110" s="163"/>
      <c r="K110" s="152" t="s">
        <v>22578</v>
      </c>
      <c r="L110" s="185"/>
      <c r="M110" s="185"/>
    </row>
    <row r="111" spans="5:18" ht="14.25" customHeight="1">
      <c r="E111" s="163"/>
      <c r="L111" s="185">
        <f>L103-0.4</f>
        <v>1.2999999999999998</v>
      </c>
      <c r="M111" s="185">
        <v>0</v>
      </c>
    </row>
    <row r="112" spans="5:18" ht="14.25" customHeight="1">
      <c r="E112" s="163"/>
      <c r="L112" s="185">
        <f>L111</f>
        <v>1.2999999999999998</v>
      </c>
      <c r="M112" s="185">
        <f>Kalk5_Eingabe!C24</f>
        <v>2.5000000000000001E-2</v>
      </c>
    </row>
    <row r="113" spans="5:13" ht="14.25" customHeight="1">
      <c r="E113" s="163"/>
      <c r="L113" s="185">
        <f>L111-C20/100</f>
        <v>1.2999999999999998</v>
      </c>
      <c r="M113" s="185">
        <f>M112</f>
        <v>2.5000000000000001E-2</v>
      </c>
    </row>
    <row r="114" spans="5:13" ht="14.25" customHeight="1">
      <c r="E114" s="163"/>
      <c r="L114" s="185">
        <f>L113-(C19/100+C20/100)</f>
        <v>1.2969624999999998</v>
      </c>
      <c r="M114" s="185">
        <f>M111</f>
        <v>0</v>
      </c>
    </row>
    <row r="115" spans="5:13" ht="14.25" customHeight="1">
      <c r="E115" s="163"/>
      <c r="K115" s="152" t="s">
        <v>22579</v>
      </c>
    </row>
    <row r="116" spans="5:13" ht="14.25" customHeight="1">
      <c r="L116" s="185">
        <f>L114-0.1</f>
        <v>1.1969624999999997</v>
      </c>
      <c r="M116" s="152">
        <v>0</v>
      </c>
    </row>
    <row r="117" spans="5:13" ht="14.25" customHeight="1">
      <c r="L117" s="185">
        <f>L116</f>
        <v>1.1969624999999997</v>
      </c>
      <c r="M117" s="185">
        <f>Kalk5_Eingabe!C24</f>
        <v>2.5000000000000001E-2</v>
      </c>
    </row>
    <row r="118" spans="5:13" ht="14.25" customHeight="1">
      <c r="L118" s="185">
        <f>L117-0.05</f>
        <v>1.1469624999999997</v>
      </c>
      <c r="M118" s="185">
        <f>M117</f>
        <v>2.5000000000000001E-2</v>
      </c>
    </row>
    <row r="119" spans="5:13" ht="14.25" customHeight="1">
      <c r="L119" s="185">
        <f>L118</f>
        <v>1.1469624999999997</v>
      </c>
      <c r="M119" s="185">
        <f>M117-0.5</f>
        <v>-0.47499999999999998</v>
      </c>
    </row>
    <row r="120" spans="5:13" ht="14.25" customHeight="1">
      <c r="L120" s="185">
        <f>L117</f>
        <v>1.1969624999999997</v>
      </c>
      <c r="M120" s="185">
        <f>M119</f>
        <v>-0.47499999999999998</v>
      </c>
    </row>
    <row r="121" spans="5:13" ht="14.25" customHeight="1"/>
    <row r="122" spans="5:13" ht="14.25" customHeight="1"/>
    <row r="123" spans="5:13" ht="14.25" customHeight="1"/>
    <row r="124" spans="5:13" ht="14.25" customHeight="1"/>
    <row r="125" spans="5:13" ht="14.25" customHeight="1"/>
    <row r="126" spans="5:13" ht="14.25" customHeight="1"/>
    <row r="127" spans="5:13" ht="14.25" customHeight="1"/>
    <row r="128" spans="5:13"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sheetData>
  <mergeCells count="7">
    <mergeCell ref="Z44:AC44"/>
    <mergeCell ref="B1:C1"/>
    <mergeCell ref="C4:E4"/>
    <mergeCell ref="C5:E5"/>
    <mergeCell ref="N44:Q44"/>
    <mergeCell ref="R44:U44"/>
    <mergeCell ref="V44:Y44"/>
  </mergeCell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8D0AE-A4BF-4EF8-9E73-C510AF7C85A7}">
  <sheetPr codeName="Tabelle22"/>
  <dimension ref="A1:AP56"/>
  <sheetViews>
    <sheetView showGridLines="0" workbookViewId="0">
      <selection activeCell="D16" sqref="D16:I16"/>
    </sheetView>
  </sheetViews>
  <sheetFormatPr baseColWidth="10" defaultColWidth="0" defaultRowHeight="12.75" zeroHeight="1"/>
  <cols>
    <col min="1" max="25" width="5.7109375" style="21" customWidth="1"/>
    <col min="26" max="26" width="255.7109375" style="21" hidden="1" customWidth="1"/>
    <col min="27" max="27" width="9.140625" style="21" hidden="1" customWidth="1"/>
    <col min="28" max="28" width="11.85546875" style="21" hidden="1" customWidth="1"/>
    <col min="29" max="31" width="5.7109375" style="21" hidden="1" customWidth="1"/>
    <col min="32" max="32" width="11.42578125" style="21" hidden="1" customWidth="1"/>
    <col min="33" max="33" width="22.42578125" style="21" hidden="1" customWidth="1"/>
    <col min="34" max="34" width="11.42578125" style="21" hidden="1" customWidth="1"/>
    <col min="35" max="36" width="6.28515625" style="21" hidden="1" customWidth="1"/>
    <col min="37" max="37" width="5" style="21" hidden="1" customWidth="1"/>
    <col min="38" max="38" width="2.85546875" style="21" hidden="1" customWidth="1"/>
    <col min="39" max="16384" width="11.42578125" style="21" hidden="1"/>
  </cols>
  <sheetData>
    <row r="1" spans="3:35" ht="20.25">
      <c r="Y1" s="47" t="str">
        <f>VLOOKUP(1780,Sprachindex!$A:$Z,Erhebungsbogen!$Y$20,FALSE)</f>
        <v>PREFA HOCHWASSERSCHUTZ SYSTEM</v>
      </c>
    </row>
    <row r="2" spans="3:35">
      <c r="Y2" s="41" t="str">
        <f>VLOOKUP(1741,Sprachindex!$A:$Z,Erhebungsbogen!$Y$20,FALSE) &amp; " 3"</f>
        <v>KALKULATION 3</v>
      </c>
    </row>
    <row r="3" spans="3:35" ht="15" customHeight="1">
      <c r="Y3" s="41"/>
    </row>
    <row r="4" spans="3:35">
      <c r="D4" s="104" t="str">
        <f>VLOOKUP(393,Sprachindex!$A:$Z,Erhebungsbogen!$Y$20,FALSE)</f>
        <v>Firma / Besteller:</v>
      </c>
      <c r="K4" s="423" t="str">
        <f>VLOOKUP(1646,Sprachindex!$A:$Z,Erhebungsbogen!$Y$20,FALSE)</f>
        <v>Beschichtung</v>
      </c>
      <c r="L4" s="424"/>
      <c r="M4" s="424"/>
      <c r="N4" s="424"/>
      <c r="O4" s="424"/>
      <c r="P4" s="424"/>
      <c r="Q4" s="425"/>
      <c r="S4" s="423" t="str">
        <f>VLOOKUP(1657,Sprachindex!$A:$Z,Erhebungsbogen!$Y$20,FALSE)</f>
        <v>Bodenhülsendeckel</v>
      </c>
      <c r="T4" s="424"/>
      <c r="U4" s="424"/>
      <c r="V4" s="424"/>
      <c r="W4" s="424"/>
      <c r="X4" s="425"/>
      <c r="AA4" s="273"/>
    </row>
    <row r="5" spans="3:35">
      <c r="C5" s="105" t="str">
        <f>VLOOKUP(622,Sprachindex!$A:$Z,Erhebungsbogen!$Y$20,FALSE)</f>
        <v>Name:</v>
      </c>
      <c r="D5" s="472">
        <f>Erhebungsbogen!F8</f>
        <v>0</v>
      </c>
      <c r="E5" s="472"/>
      <c r="F5" s="472"/>
      <c r="G5" s="472"/>
      <c r="H5" s="472"/>
      <c r="I5" s="472"/>
      <c r="K5" s="460" t="str">
        <f>VLOOKUP(625,Sprachindex!$A:$Z,Erhebungsbogen!$Y$20,FALSE)</f>
        <v>nein</v>
      </c>
      <c r="L5" s="460"/>
      <c r="M5" s="460"/>
      <c r="N5" s="460" t="str">
        <f>VLOOKUP(498,Sprachindex!$A:$Z,Erhebungsbogen!$Y$20,FALSE)</f>
        <v>ja</v>
      </c>
      <c r="O5" s="460"/>
      <c r="P5" s="460"/>
      <c r="Q5" s="460"/>
      <c r="S5" s="460" t="str">
        <f>VLOOKUP(1617,Sprachindex!$A:$Z,Erhebungsbogen!$Y$20,FALSE)</f>
        <v>Aluminium</v>
      </c>
      <c r="T5" s="460"/>
      <c r="U5" s="460"/>
      <c r="V5" s="460" t="str">
        <f>VLOOKUP(1696,Sprachindex!$A:$Z,Erhebungsbogen!$Y$20,FALSE)</f>
        <v>Edelstahl</v>
      </c>
      <c r="W5" s="460"/>
      <c r="X5" s="460"/>
      <c r="AA5" s="273">
        <f>Erhebungsbogen!S35</f>
        <v>1</v>
      </c>
      <c r="AB5" s="142" t="s">
        <v>18593</v>
      </c>
    </row>
    <row r="6" spans="3:35" ht="2.1" customHeight="1">
      <c r="C6" s="105"/>
      <c r="D6" s="27"/>
      <c r="E6" s="27"/>
      <c r="F6" s="27"/>
      <c r="G6" s="27"/>
      <c r="H6" s="27"/>
      <c r="I6" s="27"/>
      <c r="K6" s="33"/>
      <c r="L6" s="34"/>
      <c r="M6" s="34"/>
      <c r="N6" s="34"/>
      <c r="O6" s="34"/>
      <c r="P6" s="34"/>
      <c r="Q6" s="35"/>
      <c r="AA6" s="273"/>
    </row>
    <row r="7" spans="3:35">
      <c r="C7" s="105" t="str">
        <f>VLOOKUP(884,Sprachindex!$A:$Z,Erhebungsbogen!$Y$20,FALSE)</f>
        <v>Straße:</v>
      </c>
      <c r="D7" s="472">
        <f>Erhebungsbogen!F10</f>
        <v>0</v>
      </c>
      <c r="E7" s="472"/>
      <c r="F7" s="472"/>
      <c r="G7" s="472"/>
      <c r="H7" s="472"/>
      <c r="I7" s="472"/>
      <c r="K7" s="110" t="str">
        <f>VLOOKUP(1791,Sprachindex!$A:$Z,Erhebungsbogen!$Y$20,FALSE)</f>
        <v>RAL oder PREFA Farbe:</v>
      </c>
      <c r="Q7" s="37"/>
      <c r="AA7" s="273">
        <v>1</v>
      </c>
      <c r="AB7" s="142" t="s">
        <v>22065</v>
      </c>
      <c r="AH7" s="49"/>
    </row>
    <row r="8" spans="3:35" ht="2.1" customHeight="1">
      <c r="C8" s="105"/>
      <c r="D8" s="27"/>
      <c r="E8" s="27"/>
      <c r="F8" s="27"/>
      <c r="G8" s="27"/>
      <c r="H8" s="27"/>
      <c r="I8" s="27"/>
      <c r="K8" s="36"/>
      <c r="Q8" s="37"/>
      <c r="AA8" s="273"/>
    </row>
    <row r="9" spans="3:35">
      <c r="C9" s="105" t="str">
        <f>VLOOKUP(641,Sprachindex!$A:$Z,Erhebungsbogen!$Y$20,FALSE)</f>
        <v>Ort:</v>
      </c>
      <c r="D9" s="472">
        <f>Erhebungsbogen!F12</f>
        <v>0</v>
      </c>
      <c r="E9" s="472"/>
      <c r="F9" s="472"/>
      <c r="G9" s="472"/>
      <c r="H9" s="472"/>
      <c r="I9" s="472"/>
      <c r="K9" s="471"/>
      <c r="L9" s="472"/>
      <c r="M9" s="472"/>
      <c r="N9" s="472"/>
      <c r="O9" s="472"/>
      <c r="P9" s="472"/>
      <c r="Q9" s="473"/>
      <c r="S9" s="423" t="str">
        <f>VLOOKUP(1608,Sprachindex!$A:$Z,Erhebungsbogen!$Y$20,FALSE)</f>
        <v>Abdeckung</v>
      </c>
      <c r="T9" s="424"/>
      <c r="U9" s="424"/>
      <c r="V9" s="424"/>
      <c r="W9" s="424"/>
      <c r="X9" s="425"/>
      <c r="AA9" s="273">
        <v>1</v>
      </c>
      <c r="AB9" s="142" t="s">
        <v>22066</v>
      </c>
      <c r="AH9" s="49"/>
      <c r="AI9" s="49"/>
    </row>
    <row r="10" spans="3:35" ht="2.1" customHeight="1">
      <c r="C10" s="105"/>
      <c r="D10" s="27"/>
      <c r="E10" s="27"/>
      <c r="F10" s="27"/>
      <c r="G10" s="27"/>
      <c r="H10" s="27"/>
      <c r="I10" s="27"/>
      <c r="K10" s="36"/>
      <c r="Q10" s="37"/>
      <c r="S10" s="33"/>
      <c r="T10" s="35"/>
      <c r="U10" s="33"/>
      <c r="V10" s="35"/>
      <c r="W10" s="33"/>
      <c r="X10" s="35"/>
      <c r="AA10" s="273"/>
      <c r="AH10" s="49"/>
      <c r="AI10" s="49"/>
    </row>
    <row r="11" spans="3:35">
      <c r="C11" s="105" t="str">
        <f>VLOOKUP(901,Sprachindex!$A:$Z,Erhebungsbogen!$Y$20,FALSE)</f>
        <v>Telefon:</v>
      </c>
      <c r="D11" s="476">
        <f>Erhebungsbogen!F14</f>
        <v>0</v>
      </c>
      <c r="E11" s="476"/>
      <c r="F11" s="476"/>
      <c r="G11" s="476"/>
      <c r="H11" s="476"/>
      <c r="I11" s="476"/>
      <c r="K11" s="491" t="str">
        <f>VLOOKUP(2117,Sprachindex!$A:$Z,Erhebungsbogen!$Y$20,FALSE)</f>
        <v>Beschichtungsteile</v>
      </c>
      <c r="L11" s="492"/>
      <c r="M11" s="492"/>
      <c r="N11" s="492"/>
      <c r="O11" s="492"/>
      <c r="P11" s="492"/>
      <c r="Q11" s="493"/>
      <c r="S11" s="36"/>
      <c r="T11" s="37"/>
      <c r="U11" s="474" t="str">
        <f>VLOOKUP(1755,Sprachindex!$A:$Z,Erhebungsbogen!$Y$20,FALSE)</f>
        <v>Links</v>
      </c>
      <c r="V11" s="475"/>
      <c r="W11" s="474" t="str">
        <f>VLOOKUP(1792,Sprachindex!$A:$Z,Erhebungsbogen!$Y$20,FALSE)</f>
        <v>Rechts</v>
      </c>
      <c r="X11" s="475"/>
      <c r="AA11" s="273" t="b">
        <f>Erhebungsbogen!S38</f>
        <v>0</v>
      </c>
      <c r="AB11" s="142" t="s">
        <v>22067</v>
      </c>
      <c r="AH11" s="49"/>
      <c r="AI11" s="49"/>
    </row>
    <row r="12" spans="3:35" ht="2.1" customHeight="1">
      <c r="C12" s="105"/>
      <c r="D12" s="27"/>
      <c r="E12" s="27"/>
      <c r="F12" s="27"/>
      <c r="G12" s="27"/>
      <c r="H12" s="27"/>
      <c r="I12" s="27"/>
      <c r="K12" s="36"/>
      <c r="Q12" s="37"/>
      <c r="S12" s="43"/>
      <c r="T12" s="38"/>
      <c r="U12" s="43"/>
      <c r="V12" s="38"/>
      <c r="W12" s="43"/>
      <c r="X12" s="38"/>
      <c r="AA12" s="273"/>
    </row>
    <row r="13" spans="3:35">
      <c r="C13" s="105" t="str">
        <f>VLOOKUP(1698,Sprachindex!$A:$Z,Erhebungsbogen!$Y$20,FALSE)</f>
        <v>eMail:</v>
      </c>
      <c r="D13" s="472">
        <f>Erhebungsbogen!F16</f>
        <v>0</v>
      </c>
      <c r="E13" s="472"/>
      <c r="F13" s="472"/>
      <c r="G13" s="472"/>
      <c r="H13" s="472"/>
      <c r="I13" s="472"/>
      <c r="K13" s="494" t="str">
        <f>VLOOKUP(1608,Sprachindex!$A:$Z,Erhebungsbogen!$Y$20,FALSE)</f>
        <v>Abdeckung</v>
      </c>
      <c r="L13" s="494"/>
      <c r="M13" s="495"/>
      <c r="N13" s="498" t="str">
        <f>VLOOKUP(1659,Sprachindex!$A:$Z,Erhebungsbogen!$Y$20,FALSE) &amp; " (≤ 3 m)"</f>
        <v>Dammbalken (≤ 3 m)</v>
      </c>
      <c r="O13" s="494"/>
      <c r="P13" s="494"/>
      <c r="Q13" s="494"/>
      <c r="S13" s="110" t="str">
        <f>VLOOKUP(1742,Sprachindex!$A:$Z,Erhebungsbogen!$Y$20,FALSE)</f>
        <v>keine</v>
      </c>
      <c r="T13" s="329"/>
      <c r="U13" s="110"/>
      <c r="V13" s="329"/>
      <c r="W13" s="110"/>
      <c r="X13" s="329"/>
      <c r="AA13" s="273" t="b">
        <f>Erhebungsbogen!S39</f>
        <v>0</v>
      </c>
      <c r="AB13" s="142" t="s">
        <v>22068</v>
      </c>
      <c r="AH13" s="49"/>
      <c r="AI13" s="49"/>
    </row>
    <row r="14" spans="3:35" ht="2.1" customHeight="1">
      <c r="C14" s="105"/>
      <c r="D14" s="27"/>
      <c r="E14" s="27"/>
      <c r="F14" s="27"/>
      <c r="G14" s="27"/>
      <c r="H14" s="27"/>
      <c r="I14" s="27"/>
      <c r="K14" s="62"/>
      <c r="L14" s="63"/>
      <c r="M14" s="63"/>
      <c r="N14" s="63"/>
      <c r="O14" s="63"/>
      <c r="P14" s="103"/>
      <c r="Q14" s="64"/>
      <c r="S14" s="36"/>
      <c r="T14" s="37"/>
      <c r="U14" s="36"/>
      <c r="V14" s="37"/>
      <c r="W14" s="36"/>
      <c r="X14" s="37"/>
      <c r="AA14" s="273"/>
      <c r="AH14" s="49"/>
      <c r="AI14" s="49"/>
    </row>
    <row r="15" spans="3:35">
      <c r="C15" s="105" t="str">
        <f>VLOOKUP(203,Sprachindex!$A:$Z,Erhebungsbogen!$Y$20,FALSE)</f>
        <v>Bauvorhaben:</v>
      </c>
      <c r="D15" s="472">
        <f>Erhebungsbogen!F18</f>
        <v>0</v>
      </c>
      <c r="E15" s="472"/>
      <c r="F15" s="472"/>
      <c r="G15" s="472"/>
      <c r="H15" s="472"/>
      <c r="I15" s="472"/>
      <c r="K15" s="496" t="str">
        <f>VLOOKUP(1811,Sprachindex!$A:$Z,Erhebungsbogen!$Y$20,FALSE)</f>
        <v>Seitenteile</v>
      </c>
      <c r="L15" s="496"/>
      <c r="M15" s="497"/>
      <c r="N15" s="499" t="str">
        <f>VLOOKUP(1751,Sprachindex!$A:$Z,Erhebungsbogen!$Y$20,FALSE)</f>
        <v>Lagerabdeckung</v>
      </c>
      <c r="O15" s="496"/>
      <c r="P15" s="496"/>
      <c r="Q15" s="496"/>
      <c r="S15" s="110" t="str">
        <f>VLOOKUP(1715,Sprachindex!$A:$Z,Erhebungsbogen!$Y$20,FALSE)</f>
        <v>Gerade V</v>
      </c>
      <c r="T15" s="329"/>
      <c r="U15" s="110"/>
      <c r="V15" s="329"/>
      <c r="W15" s="110"/>
      <c r="X15" s="329"/>
      <c r="AA15" s="273" t="b">
        <f>Erhebungsbogen!S40</f>
        <v>0</v>
      </c>
      <c r="AB15" s="142" t="s">
        <v>22069</v>
      </c>
      <c r="AH15" s="49"/>
      <c r="AI15" s="49"/>
    </row>
    <row r="16" spans="3:35">
      <c r="C16" s="105" t="str">
        <f>VLOOKUP(660,Sprachindex!$A:$Z,Erhebungsbogen!$Y$20,FALSE)</f>
        <v>Pos.</v>
      </c>
      <c r="D16" s="472"/>
      <c r="E16" s="472"/>
      <c r="F16" s="472"/>
      <c r="G16" s="472"/>
      <c r="H16" s="472"/>
      <c r="I16" s="472"/>
      <c r="S16" s="327" t="str">
        <f>VLOOKUP(1022,Sprachindex!$A:$Z,Erhebungsbogen!$Y$20,FALSE) &amp; " VO"</f>
        <v>Winkel VO</v>
      </c>
      <c r="T16" s="328"/>
      <c r="U16" s="327"/>
      <c r="V16" s="328"/>
      <c r="W16" s="327"/>
      <c r="X16" s="328"/>
      <c r="AA16" s="273" t="b">
        <f>Erhebungsbogen!S41</f>
        <v>0</v>
      </c>
      <c r="AB16" s="142" t="s">
        <v>22070</v>
      </c>
      <c r="AG16" s="67"/>
      <c r="AH16" s="49"/>
      <c r="AI16" s="49"/>
    </row>
    <row r="17" spans="2:38">
      <c r="B17" s="423" t="str">
        <f>VLOOKUP(1768,Sprachindex!$A:$Z,Erhebungsbogen!$Y$20,FALSE)</f>
        <v>Montageart</v>
      </c>
      <c r="C17" s="424"/>
      <c r="D17" s="424"/>
      <c r="E17" s="424"/>
      <c r="F17" s="424"/>
      <c r="G17" s="424"/>
      <c r="H17" s="424"/>
      <c r="I17" s="425"/>
      <c r="K17" s="423" t="str">
        <f>VLOOKUP(1793,Sprachindex!$A:$Z,Erhebungsbogen!$Y$20,FALSE)</f>
        <v>Rundprofil</v>
      </c>
      <c r="L17" s="424"/>
      <c r="M17" s="424"/>
      <c r="N17" s="424"/>
      <c r="O17" s="424"/>
      <c r="P17" s="424"/>
      <c r="Q17" s="425"/>
      <c r="AA17" s="273">
        <v>1</v>
      </c>
      <c r="AB17" s="21" t="s">
        <v>22071</v>
      </c>
      <c r="AH17" s="49"/>
      <c r="AI17" s="68"/>
    </row>
    <row r="18" spans="2:38" ht="12.75" customHeight="1">
      <c r="B18" s="432" t="str">
        <f>VLOOKUP(1755,Sprachindex!$A:$Z,Erhebungsbogen!$Y$20,FALSE)</f>
        <v>Links</v>
      </c>
      <c r="C18" s="432"/>
      <c r="D18" s="432"/>
      <c r="E18" s="432"/>
      <c r="F18" s="432" t="str">
        <f>VLOOKUP(1792,Sprachindex!$A:$Z,Erhebungsbogen!$Y$20,FALSE)</f>
        <v>Rechts</v>
      </c>
      <c r="G18" s="432"/>
      <c r="H18" s="432"/>
      <c r="I18" s="432"/>
      <c r="K18" s="506" t="str">
        <f>VLOOKUP(1793,Sprachindex!$A:$Z,Erhebungsbogen!$Y$20,FALSE)</f>
        <v>Rundprofil</v>
      </c>
      <c r="L18" s="507"/>
      <c r="M18" s="507"/>
      <c r="N18" s="507"/>
      <c r="O18" s="35"/>
      <c r="P18" s="34"/>
      <c r="Q18" s="35"/>
      <c r="S18" s="423" t="str">
        <f>VLOOKUP(2119,Sprachindex!$A:$Z,Erhebungsbogen!$Y$20,FALSE)</f>
        <v>Systemwahl</v>
      </c>
      <c r="T18" s="424"/>
      <c r="U18" s="424"/>
      <c r="V18" s="424"/>
      <c r="W18" s="424"/>
      <c r="X18" s="425"/>
      <c r="AA18" s="322">
        <v>1</v>
      </c>
      <c r="AB18" s="323" t="s">
        <v>22639</v>
      </c>
      <c r="AC18" s="324"/>
      <c r="AD18" s="324"/>
      <c r="AE18" s="324"/>
      <c r="AF18" s="325">
        <v>1</v>
      </c>
      <c r="AG18" s="326" t="s">
        <v>22640</v>
      </c>
      <c r="AH18" s="49"/>
      <c r="AI18" s="49"/>
    </row>
    <row r="19" spans="2:38">
      <c r="B19" s="33"/>
      <c r="C19" s="34"/>
      <c r="D19" s="34"/>
      <c r="E19" s="35"/>
      <c r="F19" s="33"/>
      <c r="G19" s="34"/>
      <c r="H19" s="34"/>
      <c r="I19" s="35"/>
      <c r="K19" s="500" t="str">
        <f>VLOOKUP(1809,Sprachindex!$A:$Z,Erhebungsbogen!$Y$20,FALSE)</f>
        <v>Rundprofil Groß</v>
      </c>
      <c r="L19" s="501"/>
      <c r="M19" s="501"/>
      <c r="N19" s="501"/>
      <c r="O19" s="38"/>
      <c r="Q19" s="37"/>
      <c r="S19" s="432" t="str">
        <f>VLOOKUP(1844,Sprachindex!$A:$Z,Erhebungsbogen!$Y$20,FALSE)</f>
        <v>System 25:</v>
      </c>
      <c r="T19" s="432"/>
      <c r="U19" s="432" t="str">
        <f>VLOOKUP(1846,Sprachindex!$A:$Z,Erhebungsbogen!$Y$20,FALSE)</f>
        <v>System 50:</v>
      </c>
      <c r="V19" s="432"/>
      <c r="W19" s="432" t="str">
        <f>VLOOKUP(1847,Sprachindex!$A:$Z,Erhebungsbogen!$Y$20,FALSE)</f>
        <v>System 80:</v>
      </c>
      <c r="X19" s="432"/>
      <c r="AA19" s="273">
        <v>3</v>
      </c>
      <c r="AB19" s="21" t="s">
        <v>22072</v>
      </c>
    </row>
    <row r="20" spans="2:38">
      <c r="B20" s="36"/>
      <c r="E20" s="37"/>
      <c r="F20" s="36"/>
      <c r="I20" s="37"/>
      <c r="K20" s="467" t="str">
        <f>VLOOKUP(1808,Sprachindex!$A:$Z,Erhebungsbogen!$Y$20,FALSE)</f>
        <v>Rundprofil 90°</v>
      </c>
      <c r="L20" s="468"/>
      <c r="M20" s="468"/>
      <c r="N20" s="469"/>
      <c r="O20" s="279"/>
      <c r="Q20" s="37"/>
      <c r="S20" s="460" t="s">
        <v>21826</v>
      </c>
      <c r="T20" s="460"/>
      <c r="U20" s="460" t="s">
        <v>21828</v>
      </c>
      <c r="V20" s="460"/>
      <c r="W20" s="460" t="s">
        <v>21826</v>
      </c>
      <c r="X20" s="460"/>
      <c r="AA20" s="273">
        <v>1</v>
      </c>
      <c r="AB20" s="21" t="s">
        <v>22073</v>
      </c>
    </row>
    <row r="21" spans="2:38">
      <c r="B21" s="36"/>
      <c r="E21" s="37"/>
      <c r="F21" s="36"/>
      <c r="I21" s="37"/>
      <c r="K21" s="464" t="str">
        <f>VLOOKUP(1810,Sprachindex!$A:$Z,Erhebungsbogen!$Y$20,FALSE)</f>
        <v>Rundprofil Vario</v>
      </c>
      <c r="L21" s="465"/>
      <c r="M21" s="466"/>
      <c r="N21" s="281"/>
      <c r="O21" s="277"/>
      <c r="P21" s="39"/>
      <c r="Q21" s="38"/>
      <c r="S21" s="460" t="s">
        <v>21827</v>
      </c>
      <c r="T21" s="460"/>
      <c r="U21" s="460" t="s">
        <v>21829</v>
      </c>
      <c r="V21" s="460"/>
      <c r="W21" s="460" t="s">
        <v>21830</v>
      </c>
      <c r="X21" s="460"/>
      <c r="AA21" s="273" t="b">
        <v>0</v>
      </c>
      <c r="AB21" s="21" t="s">
        <v>22074</v>
      </c>
      <c r="AG21" s="42" t="s">
        <v>21831</v>
      </c>
    </row>
    <row r="22" spans="2:38">
      <c r="B22" s="43"/>
      <c r="C22" s="39"/>
      <c r="D22" s="39"/>
      <c r="E22" s="38"/>
      <c r="F22" s="36"/>
      <c r="I22" s="37"/>
      <c r="AA22" s="273" t="b">
        <v>0</v>
      </c>
      <c r="AB22" s="21" t="s">
        <v>22075</v>
      </c>
      <c r="AG22" s="44" t="str">
        <f>IF(AA19=1,"","15°")</f>
        <v>15°</v>
      </c>
    </row>
    <row r="23" spans="2:38">
      <c r="B23" s="338" t="str">
        <f>VLOOKUP(1867,Sprachindex!$A:$Z,Erhebungsbogen!$Y$20,FALSE)</f>
        <v>Vor der Leibung</v>
      </c>
      <c r="C23" s="34"/>
      <c r="D23" s="34"/>
      <c r="E23" s="35"/>
      <c r="F23" s="339" t="str">
        <f>VLOOKUP(1867,Sprachindex!$A:$Z,Erhebungsbogen!$Y$20,FALSE)</f>
        <v>Vor der Leibung</v>
      </c>
      <c r="I23" s="37"/>
      <c r="K23" s="423" t="str">
        <f>VLOOKUP(1815,Sprachindex!$A:$Z,Erhebungsbogen!$Y$20,FALSE)</f>
        <v>Sonderkosten</v>
      </c>
      <c r="L23" s="424"/>
      <c r="M23" s="424"/>
      <c r="N23" s="424"/>
      <c r="O23" s="424"/>
      <c r="P23" s="424"/>
      <c r="Q23" s="424"/>
      <c r="R23" s="424"/>
      <c r="S23" s="424"/>
      <c r="T23" s="424"/>
      <c r="U23" s="424"/>
      <c r="V23" s="424"/>
      <c r="W23" s="424"/>
      <c r="X23" s="425"/>
      <c r="AA23" s="273" t="b">
        <v>0</v>
      </c>
      <c r="AB23" s="21" t="s">
        <v>22076</v>
      </c>
      <c r="AG23" s="44" t="str">
        <f>IF(AA19=1,"","30°")</f>
        <v>30°</v>
      </c>
    </row>
    <row r="24" spans="2:38">
      <c r="B24" s="102" t="str">
        <f>VLOOKUP(1739,Sprachindex!$A:$Z,Erhebungsbogen!$Y$20,FALSE)</f>
        <v>In der Leibung</v>
      </c>
      <c r="C24" s="45"/>
      <c r="D24" s="45"/>
      <c r="E24" s="46"/>
      <c r="F24" s="99" t="str">
        <f>VLOOKUP(1739,Sprachindex!$A:$Z,Erhebungsbogen!$Y$20,FALSE)</f>
        <v>In der Leibung</v>
      </c>
      <c r="G24" s="45"/>
      <c r="H24" s="45"/>
      <c r="I24" s="46"/>
      <c r="K24" s="462" t="str">
        <f>VLOOKUP(2259,Sprachindex!$A:$Z,Erhebungsbogen!$Y$20,FALSE)</f>
        <v>Ausfräsungen Dammbalken</v>
      </c>
      <c r="L24" s="463"/>
      <c r="M24" s="463"/>
      <c r="N24" s="463"/>
      <c r="O24" s="463"/>
      <c r="P24" s="109" t="s">
        <v>20872</v>
      </c>
      <c r="Q24" s="274"/>
      <c r="R24" s="462" t="str">
        <f>VLOOKUP(1629,Sprachindex!$A:$Z,Erhebungsbogen!$Y$20,FALSE)</f>
        <v>Ausfräsung Seitenteile für DB</v>
      </c>
      <c r="S24" s="463"/>
      <c r="T24" s="463"/>
      <c r="U24" s="463"/>
      <c r="V24" s="463"/>
      <c r="W24" s="109" t="s">
        <v>20872</v>
      </c>
      <c r="X24" s="276"/>
      <c r="AA24" s="273" t="b">
        <v>0</v>
      </c>
      <c r="AB24" s="21" t="s">
        <v>22077</v>
      </c>
      <c r="AG24" s="32" t="str">
        <f>IF(AA19=1,"","45°")</f>
        <v>45°</v>
      </c>
    </row>
    <row r="25" spans="2:38">
      <c r="B25" s="101" t="str">
        <f>VLOOKUP(1658,Sprachindex!$A:$Z,Erhebungsbogen!$Y$20,FALSE)</f>
        <v>Bündig</v>
      </c>
      <c r="C25" s="39"/>
      <c r="D25" s="39"/>
      <c r="E25" s="38"/>
      <c r="F25" s="100" t="str">
        <f>VLOOKUP(1658,Sprachindex!$A:$Z,Erhebungsbogen!$Y$20,FALSE)</f>
        <v>Bündig</v>
      </c>
      <c r="G25" s="39"/>
      <c r="H25" s="39"/>
      <c r="I25" s="38"/>
      <c r="K25" s="434" t="str">
        <f>VLOOKUP(1753,Sprachindex!$A:$Z,Erhebungsbogen!$Y$20,FALSE)</f>
        <v>Längenänderung Seitenteile</v>
      </c>
      <c r="L25" s="435"/>
      <c r="M25" s="435"/>
      <c r="N25" s="435"/>
      <c r="O25" s="435"/>
      <c r="P25" s="108" t="s">
        <v>20872</v>
      </c>
      <c r="Q25" s="275"/>
      <c r="R25" s="434" t="str">
        <f>VLOOKUP(1627,Sprachindex!$A:$Z,Erhebungsbogen!$Y$20,FALSE)</f>
        <v>Aufpreis Planungsstunde</v>
      </c>
      <c r="S25" s="435"/>
      <c r="T25" s="435"/>
      <c r="U25" s="435"/>
      <c r="V25" s="435"/>
      <c r="W25" s="108" t="s">
        <v>20848</v>
      </c>
      <c r="X25" s="277"/>
      <c r="AA25" s="273" t="b">
        <v>0</v>
      </c>
      <c r="AB25" s="21" t="s">
        <v>21834</v>
      </c>
      <c r="AG25" s="32" t="str">
        <f>IF(AA19=1,"","60°")</f>
        <v>60°</v>
      </c>
    </row>
    <row r="26" spans="2:38">
      <c r="AA26" s="273" t="b">
        <v>0</v>
      </c>
      <c r="AB26" s="21" t="s">
        <v>21835</v>
      </c>
      <c r="AG26" s="32" t="str">
        <f>IF(OR(AA19=2,AA19=3),"75°","")</f>
        <v>75°</v>
      </c>
      <c r="AI26" s="95">
        <f>26+$AA$7</f>
        <v>27</v>
      </c>
      <c r="AJ26" s="95"/>
      <c r="AK26" s="95"/>
      <c r="AL26" s="95"/>
    </row>
    <row r="27" spans="2:38">
      <c r="B27" s="423" t="str">
        <f>VLOOKUP(1671,Sprachindex!$A:$Z,Erhebungsbogen!$Y$20,FALSE)</f>
        <v>Dateneingabe</v>
      </c>
      <c r="C27" s="424"/>
      <c r="D27" s="424"/>
      <c r="E27" s="424"/>
      <c r="F27" s="424"/>
      <c r="G27" s="424"/>
      <c r="H27" s="424"/>
      <c r="I27" s="425"/>
      <c r="K27" s="423" t="str">
        <f>VLOOKUP(1872,Sprachindex!$A:$Z,Erhebungsbogen!$Y$20,FALSE)</f>
        <v>Zubehör</v>
      </c>
      <c r="L27" s="424"/>
      <c r="M27" s="424"/>
      <c r="N27" s="424"/>
      <c r="O27" s="424"/>
      <c r="P27" s="424"/>
      <c r="Q27" s="425"/>
      <c r="AA27" s="273" t="b">
        <f>IF(AND(AA37=1,H28&gt;0,H29&gt;0),TRUE,FALSE)</f>
        <v>0</v>
      </c>
      <c r="AB27" s="142" t="s">
        <v>20650</v>
      </c>
    </row>
    <row r="28" spans="2:38">
      <c r="B28" s="482" t="str">
        <f>VLOOKUP(1754,Sprachindex!$A:$Z,Erhebungsbogen!$Y$20,FALSE)</f>
        <v>Lichteweite [mm]:</v>
      </c>
      <c r="C28" s="483"/>
      <c r="D28" s="483"/>
      <c r="E28" s="483"/>
      <c r="F28" s="483"/>
      <c r="G28" s="484"/>
      <c r="H28" s="449"/>
      <c r="I28" s="450"/>
      <c r="K28" s="462" t="str">
        <f>VLOOKUP(1814,Sprachindex!$A:$Z,Erhebungsbogen!$Y$20,FALSE)</f>
        <v>Sicherungsschraube für Abdeckung</v>
      </c>
      <c r="L28" s="463"/>
      <c r="M28" s="463"/>
      <c r="N28" s="463"/>
      <c r="O28" s="463"/>
      <c r="P28" s="504"/>
      <c r="Q28" s="505"/>
      <c r="S28" s="444" t="s">
        <v>22591</v>
      </c>
      <c r="T28" s="444"/>
      <c r="U28" s="444"/>
      <c r="V28" s="444"/>
      <c r="W28" s="444"/>
      <c r="X28" s="444"/>
      <c r="Z28" s="319" t="e">
        <f>IF(AND(W29&lt;100%,W31&lt;100%,X30&gt;=Haftungsausschluß!L34),1,0)</f>
        <v>#DIV/0!</v>
      </c>
      <c r="AA28" s="273" t="b">
        <f>IF(AND(AA37=2,H28&gt;0,H29&gt;0),TRUE,FALSE)</f>
        <v>0</v>
      </c>
      <c r="AB28" s="142" t="s">
        <v>20623</v>
      </c>
    </row>
    <row r="29" spans="2:38">
      <c r="B29" s="452" t="str">
        <f>VLOOKUP(1834,Sprachindex!$A:$Z,Erhebungsbogen!$Y$20,FALSE)</f>
        <v>Stauhöhe (BHW) [mm]:</v>
      </c>
      <c r="C29" s="453"/>
      <c r="D29" s="453"/>
      <c r="E29" s="453"/>
      <c r="F29" s="453"/>
      <c r="G29" s="454"/>
      <c r="H29" s="485"/>
      <c r="I29" s="486"/>
      <c r="K29" s="421" t="str">
        <f>VLOOKUP(2120,Sprachindex!$A:$Z,Erhebungsbogen!$Y$20,FALSE)</f>
        <v>Niederhalter Dammbalken</v>
      </c>
      <c r="L29" s="422"/>
      <c r="M29" s="422"/>
      <c r="N29" s="422"/>
      <c r="O29" s="422"/>
      <c r="P29" s="106" t="s">
        <v>20872</v>
      </c>
      <c r="Q29" s="278"/>
      <c r="S29" s="432" t="str">
        <f>VLOOKUP(1853,Sprachindex!$A:$Z,Erhebungsbogen!$Y$20,FALSE)</f>
        <v>Tragsicherheitsauslastung</v>
      </c>
      <c r="T29" s="432"/>
      <c r="U29" s="432"/>
      <c r="V29" s="432"/>
      <c r="W29" s="443" t="e">
        <f>Kalk3_Eingabe!I54</f>
        <v>#DIV/0!</v>
      </c>
      <c r="X29" s="443"/>
      <c r="AA29" s="273" t="b">
        <f>Erhebungsbogen!S43</f>
        <v>0</v>
      </c>
      <c r="AB29" s="142" t="s">
        <v>21822</v>
      </c>
    </row>
    <row r="30" spans="2:38">
      <c r="B30" s="317"/>
      <c r="C30" s="45"/>
      <c r="D30" s="45"/>
      <c r="E30" s="45"/>
      <c r="F30" s="45"/>
      <c r="G30" s="45"/>
      <c r="H30" s="318"/>
      <c r="I30" s="46"/>
      <c r="K30" s="421" t="str">
        <f>VLOOKUP(1819,Sprachindex!$A:$Z,Erhebungsbogen!$Y$20,FALSE)</f>
        <v>Spannstück mit Sterngriff</v>
      </c>
      <c r="L30" s="422"/>
      <c r="M30" s="422"/>
      <c r="N30" s="422"/>
      <c r="O30" s="422"/>
      <c r="P30" s="446"/>
      <c r="Q30" s="451"/>
      <c r="S30" s="427" t="str">
        <f>VLOOKUP(1688,Sprachindex!$A:$Z,Erhebungsbogen!$Y$20,FALSE)</f>
        <v>Durchbiegung</v>
      </c>
      <c r="T30" s="427"/>
      <c r="U30" s="427"/>
      <c r="V30" s="427"/>
      <c r="W30" s="251" t="s">
        <v>22590</v>
      </c>
      <c r="X30" s="252">
        <f>Kalk3_Eingabe!J55</f>
        <v>176753777.77777779</v>
      </c>
      <c r="AA30" s="273" t="b">
        <f>Erhebungsbogen!S44</f>
        <v>0</v>
      </c>
      <c r="AB30" s="142" t="s">
        <v>21836</v>
      </c>
    </row>
    <row r="31" spans="2:38">
      <c r="B31" s="452" t="str">
        <f>VLOOKUP(1714,Sprachindex!$A:$Z,Erhebungsbogen!$Y$20,FALSE)</f>
        <v>Freibord [mm]:</v>
      </c>
      <c r="C31" s="453"/>
      <c r="D31" s="453"/>
      <c r="E31" s="453"/>
      <c r="F31" s="453"/>
      <c r="G31" s="454"/>
      <c r="H31" s="485"/>
      <c r="I31" s="486"/>
      <c r="K31" s="421" t="str">
        <f>VLOOKUP(1817,Sprachindex!$A:$Z,Erhebungsbogen!$Y$20,FALSE)</f>
        <v>Spannstück mit 6-Kantschraube</v>
      </c>
      <c r="L31" s="422"/>
      <c r="M31" s="422"/>
      <c r="N31" s="422"/>
      <c r="O31" s="422"/>
      <c r="P31" s="422"/>
      <c r="Q31" s="451"/>
      <c r="S31" s="427" t="str">
        <f>VLOOKUP(1761,Sprachindex!$A:$Z,Erhebungsbogen!$Y$20,FALSE)</f>
        <v>mit Treibgut</v>
      </c>
      <c r="T31" s="427"/>
      <c r="U31" s="427"/>
      <c r="V31" s="427"/>
      <c r="W31" s="443" t="e">
        <f>Kalk3_Eingabe!I56</f>
        <v>#DIV/0!</v>
      </c>
      <c r="X31" s="443"/>
      <c r="AA31" s="273" t="b">
        <f>Erhebungsbogen!S45</f>
        <v>0</v>
      </c>
      <c r="AB31" s="142" t="s">
        <v>19831</v>
      </c>
      <c r="AG31" s="27" t="s">
        <v>21837</v>
      </c>
      <c r="AH31" s="27"/>
      <c r="AI31" s="27"/>
      <c r="AJ31" s="27"/>
      <c r="AK31" s="27"/>
    </row>
    <row r="32" spans="2:38">
      <c r="B32" s="452" t="str">
        <f>VLOOKUP(1621,Sprachindex!$A:$Z,Erhebungsbogen!$Y$20,FALSE)</f>
        <v>Anströmwinkel [°]:</v>
      </c>
      <c r="C32" s="453"/>
      <c r="D32" s="453"/>
      <c r="E32" s="453"/>
      <c r="F32" s="453"/>
      <c r="G32" s="454"/>
      <c r="H32" s="485"/>
      <c r="I32" s="486"/>
      <c r="K32" s="421" t="str">
        <f>VLOOKUP(1675,Sprachindex!$A:$Z,Erhebungsbogen!$Y$20,FALSE)</f>
        <v>Dauerbodendichtung:</v>
      </c>
      <c r="L32" s="422"/>
      <c r="M32" s="422"/>
      <c r="N32" s="422"/>
      <c r="O32" s="422"/>
      <c r="P32" s="422"/>
      <c r="Q32" s="451"/>
      <c r="S32" s="27"/>
      <c r="T32" s="27"/>
      <c r="U32" s="27"/>
      <c r="V32" s="27"/>
      <c r="W32" s="27"/>
      <c r="X32" s="27"/>
      <c r="AA32" s="273" t="b">
        <f>IF(H33&gt;1,TRUE,FALSE)</f>
        <v>0</v>
      </c>
      <c r="AB32" s="21" t="s">
        <v>22064</v>
      </c>
      <c r="AG32" s="27" t="s">
        <v>21844</v>
      </c>
      <c r="AH32" s="27"/>
      <c r="AI32" s="27"/>
      <c r="AJ32" s="27"/>
      <c r="AK32" s="27"/>
    </row>
    <row r="33" spans="1:37">
      <c r="B33" s="455" t="str">
        <f>VLOOKUP(1623,Sprachindex!$A:$Z,Erhebungsbogen!$Y$20,FALSE)</f>
        <v>Anzahl der Felder:</v>
      </c>
      <c r="C33" s="456"/>
      <c r="D33" s="456"/>
      <c r="E33" s="456"/>
      <c r="F33" s="456"/>
      <c r="G33" s="457"/>
      <c r="H33" s="489">
        <v>1</v>
      </c>
      <c r="I33" s="490"/>
      <c r="K33" s="421" t="str">
        <f>VLOOKUP(1724,Sprachindex!$A:$Z,Erhebungsbogen!$Y$20,FALSE)</f>
        <v>Halterung für Dammbalken</v>
      </c>
      <c r="L33" s="422"/>
      <c r="M33" s="422"/>
      <c r="N33" s="422"/>
      <c r="O33" s="422"/>
      <c r="P33" s="422"/>
      <c r="Q33" s="451"/>
      <c r="S33" s="444" t="s">
        <v>22589</v>
      </c>
      <c r="T33" s="444"/>
      <c r="U33" s="444"/>
      <c r="V33" s="444"/>
      <c r="W33" s="444"/>
      <c r="X33" s="444"/>
      <c r="AA33" s="273" t="b">
        <v>0</v>
      </c>
      <c r="AB33" s="21" t="s">
        <v>19014</v>
      </c>
      <c r="AG33" s="27" t="s">
        <v>21843</v>
      </c>
      <c r="AH33" s="51">
        <f>H28</f>
        <v>0</v>
      </c>
      <c r="AI33" s="345" t="s">
        <v>25455</v>
      </c>
      <c r="AJ33" s="345" t="s">
        <v>25454</v>
      </c>
      <c r="AK33" s="345" t="s">
        <v>25453</v>
      </c>
    </row>
    <row r="34" spans="1:37">
      <c r="B34" s="479" t="str">
        <f>VLOOKUP(1702,Sprachindex!$A:$Z,Erhebungsbogen!$Y$20,FALSE)</f>
        <v>erf. Profilhöhe f. Spanner:</v>
      </c>
      <c r="C34" s="480"/>
      <c r="D34" s="480"/>
      <c r="E34" s="480"/>
      <c r="F34" s="480"/>
      <c r="G34" s="481"/>
      <c r="H34" s="487">
        <f>AH50</f>
        <v>120</v>
      </c>
      <c r="I34" s="488"/>
      <c r="K34" s="421" t="str">
        <f>VLOOKUP(1751,Sprachindex!$A:$Z,Erhebungsbogen!$Y$20,FALSE)</f>
        <v>Lagerabdeckung</v>
      </c>
      <c r="L34" s="422"/>
      <c r="M34" s="422"/>
      <c r="N34" s="422"/>
      <c r="O34" s="422"/>
      <c r="P34" s="461"/>
      <c r="Q34" s="451"/>
      <c r="S34" s="432" t="str">
        <f>VLOOKUP(1853,Sprachindex!$A:$Z,Erhebungsbogen!$Y$20,FALSE)</f>
        <v>Tragsicherheitsauslastung</v>
      </c>
      <c r="T34" s="432"/>
      <c r="U34" s="432"/>
      <c r="V34" s="432"/>
      <c r="W34" s="443" t="e">
        <f>Kalk3_Eingabe!I59</f>
        <v>#NUM!</v>
      </c>
      <c r="X34" s="443"/>
      <c r="Z34" s="319" t="e">
        <f>IF(AND(W34&lt;100%,W36&lt;100%,X35&gt;=Haftungsausschluß!L35),1,0)</f>
        <v>#NUM!</v>
      </c>
      <c r="AA34" s="273" t="b">
        <v>0</v>
      </c>
      <c r="AB34" s="21" t="s">
        <v>19027</v>
      </c>
      <c r="AG34" s="27" t="s">
        <v>21840</v>
      </c>
      <c r="AH34" s="51">
        <f>IF(AA7=1,AI34,IF(AA7=2,AJ34,IF(AA7=3,AK34)))</f>
        <v>39</v>
      </c>
      <c r="AI34" s="343">
        <f>IF(AA19=1,33.5,39)</f>
        <v>39</v>
      </c>
      <c r="AJ34" s="343">
        <f>IF(AA19=1,-21.5,-30)</f>
        <v>-30</v>
      </c>
      <c r="AK34" s="343">
        <f>IF(AA19=1,28.5,34)</f>
        <v>34</v>
      </c>
    </row>
    <row r="35" spans="1:37">
      <c r="H35" s="426">
        <f>IF(AA19=1,1,H33)</f>
        <v>1</v>
      </c>
      <c r="I35" s="426"/>
      <c r="K35" s="421" t="str">
        <f>VLOOKUP(1727,Sprachindex!$A:$Z,Erhebungsbogen!$Y$20,FALSE)</f>
        <v>Hebehilfe</v>
      </c>
      <c r="L35" s="422"/>
      <c r="M35" s="422"/>
      <c r="N35" s="422"/>
      <c r="O35" s="422"/>
      <c r="P35" s="106" t="s">
        <v>20872</v>
      </c>
      <c r="Q35" s="278">
        <v>1</v>
      </c>
      <c r="S35" s="427" t="str">
        <f>VLOOKUP(1688,Sprachindex!$A:$Z,Erhebungsbogen!$Y$20,FALSE)</f>
        <v>Durchbiegung</v>
      </c>
      <c r="T35" s="427"/>
      <c r="U35" s="427"/>
      <c r="V35" s="427"/>
      <c r="W35" s="251" t="s">
        <v>22590</v>
      </c>
      <c r="X35" s="252" t="e">
        <f>Kalk3_Eingabe!J60</f>
        <v>#DIV/0!</v>
      </c>
      <c r="AG35" s="27" t="s">
        <v>21841</v>
      </c>
      <c r="AH35" s="51">
        <f>IF(AA9=1,AI35,IF(AA9=2,AJ35,IF(AA9=3,AK35)))</f>
        <v>39</v>
      </c>
      <c r="AI35" s="343">
        <f>IF(AA19=1,33.5,39)</f>
        <v>39</v>
      </c>
      <c r="AJ35" s="343">
        <f>IF(AA19=1,-21.5,-30)</f>
        <v>-30</v>
      </c>
      <c r="AK35" s="343">
        <f>IF(AA19=1,28.5,34)</f>
        <v>34</v>
      </c>
    </row>
    <row r="36" spans="1:37" ht="12.75" customHeight="1">
      <c r="B36" s="423" t="str">
        <f>VLOOKUP(1771,Sprachindex!$A:$Z,Erhebungsbogen!$Y$20,FALSE)</f>
        <v>Multiplikator</v>
      </c>
      <c r="C36" s="424"/>
      <c r="D36" s="424"/>
      <c r="E36" s="424"/>
      <c r="F36" s="424"/>
      <c r="G36" s="424"/>
      <c r="H36" s="424"/>
      <c r="I36" s="425"/>
      <c r="K36" s="421" t="str">
        <f>VLOOKUP(1681,Sprachindex!$A:$Z,Erhebungsbogen!$Y$20,FALSE)</f>
        <v>Dichtungsroller 25/50</v>
      </c>
      <c r="L36" s="422"/>
      <c r="M36" s="422"/>
      <c r="N36" s="422"/>
      <c r="O36" s="422"/>
      <c r="P36" s="106" t="s">
        <v>20872</v>
      </c>
      <c r="Q36" s="278"/>
      <c r="S36" s="427" t="str">
        <f>VLOOKUP(1761,Sprachindex!$A:$Z,Erhebungsbogen!$Y$20,FALSE)</f>
        <v>mit Treibgut</v>
      </c>
      <c r="T36" s="427"/>
      <c r="U36" s="427"/>
      <c r="V36" s="427"/>
      <c r="W36" s="443" t="e">
        <f>Kalk3_Eingabe!I61</f>
        <v>#NUM!</v>
      </c>
      <c r="X36" s="443"/>
      <c r="AG36" s="27" t="s">
        <v>21842</v>
      </c>
      <c r="AH36" s="51">
        <f>(H33-1)*AI36</f>
        <v>0</v>
      </c>
      <c r="AI36" s="343">
        <v>-58</v>
      </c>
      <c r="AJ36" s="98"/>
      <c r="AK36" s="98"/>
    </row>
    <row r="37" spans="1:37">
      <c r="B37" s="432" t="str">
        <f>VLOOKUP(1624,Sprachindex!$A:$Z,Erhebungsbogen!$Y$20,FALSE)</f>
        <v>Anzahl der gleichen Systeme:</v>
      </c>
      <c r="C37" s="432"/>
      <c r="D37" s="432"/>
      <c r="E37" s="432"/>
      <c r="F37" s="432"/>
      <c r="G37" s="432"/>
      <c r="H37" s="502">
        <v>1</v>
      </c>
      <c r="I37" s="503"/>
      <c r="K37" s="434" t="str">
        <f>VLOOKUP(1682,Sprachindex!$A:$Z,Erhebungsbogen!$Y$20,FALSE)</f>
        <v>Dichtungsroller 80</v>
      </c>
      <c r="L37" s="435"/>
      <c r="M37" s="435"/>
      <c r="N37" s="435"/>
      <c r="O37" s="435"/>
      <c r="P37" s="107" t="s">
        <v>20872</v>
      </c>
      <c r="Q37" s="277"/>
      <c r="AA37" s="273">
        <v>1</v>
      </c>
      <c r="AB37" s="21" t="s">
        <v>22630</v>
      </c>
      <c r="AG37" s="27" t="s">
        <v>21846</v>
      </c>
      <c r="AH37" s="51">
        <f>IF(AND(H28&gt;0,H29&gt;0),AH33+AH34+AH35+AH36,0)</f>
        <v>0</v>
      </c>
      <c r="AI37" s="98"/>
      <c r="AJ37" s="98"/>
      <c r="AK37" s="98"/>
    </row>
    <row r="38" spans="1:37">
      <c r="S38" s="385" t="e">
        <f>IF(AND(W29&lt;100%,W31&lt;100%,X30&gt;=Haftungsausschluß!L34,IF(H33=1,TRUE,W34&lt;100%),IF(H33=1,TRUE,W36&lt;100%),IF(H33=1,TRUE,X35&gt;=Haftungsausschluß!L35)),"Gewünschte Eingabe                      statisch in Ordnung","Gewünschte Eingabe                      statisch nicht in Ordnung")</f>
        <v>#DIV/0!</v>
      </c>
      <c r="T38" s="385"/>
      <c r="U38" s="385"/>
      <c r="V38" s="385"/>
      <c r="W38" s="385"/>
      <c r="X38" s="385"/>
      <c r="AG38" s="27" t="s">
        <v>21845</v>
      </c>
      <c r="AH38" s="52">
        <f>AH37/H33</f>
        <v>0</v>
      </c>
      <c r="AI38" s="98" t="s">
        <v>21849</v>
      </c>
      <c r="AJ38" s="98"/>
      <c r="AK38" s="98"/>
    </row>
    <row r="39" spans="1:37">
      <c r="B39" s="439" t="str">
        <f>VLOOKUP(1667,Sprachindex!$A:$Z,Erhebungsbogen!$Y$20,FALSE) &amp; " [mm]"</f>
        <v>Dammbalkenlänge: [mm]</v>
      </c>
      <c r="C39" s="440"/>
      <c r="D39" s="440"/>
      <c r="E39" s="440"/>
      <c r="F39" s="440"/>
      <c r="G39" s="441"/>
      <c r="H39" s="437" t="str">
        <f>IF(AH38=0,"",AH38)</f>
        <v/>
      </c>
      <c r="I39" s="438"/>
      <c r="S39" s="385"/>
      <c r="T39" s="385"/>
      <c r="U39" s="385"/>
      <c r="V39" s="385"/>
      <c r="W39" s="385"/>
      <c r="X39" s="385"/>
      <c r="AG39" s="27" t="s">
        <v>21847</v>
      </c>
      <c r="AH39" s="51">
        <f>IF(AA19=2,150,200)</f>
        <v>200</v>
      </c>
      <c r="AI39" s="98"/>
      <c r="AJ39" s="98"/>
      <c r="AK39" s="98"/>
    </row>
    <row r="40" spans="1:37" ht="8.1" customHeight="1">
      <c r="AG40" s="27" t="s">
        <v>22115</v>
      </c>
      <c r="AH40" s="52">
        <f>ROUNDUP((AH47+AH48)/AH39,0)</f>
        <v>0</v>
      </c>
      <c r="AI40" s="98" t="s">
        <v>20872</v>
      </c>
      <c r="AJ40" s="98"/>
      <c r="AK40" s="98"/>
    </row>
    <row r="41" spans="1:37">
      <c r="H41" s="442" t="str">
        <f>H39</f>
        <v/>
      </c>
      <c r="I41" s="442"/>
      <c r="AG41" s="27" t="s">
        <v>21848</v>
      </c>
      <c r="AH41" s="52">
        <f>ROUNDUP(H29/AH39,0)*H33*H37</f>
        <v>0</v>
      </c>
      <c r="AI41" s="98" t="s">
        <v>20872</v>
      </c>
      <c r="AJ41" s="98"/>
      <c r="AK41" s="98"/>
    </row>
    <row r="42" spans="1:37">
      <c r="AG42" s="27" t="s">
        <v>21838</v>
      </c>
      <c r="AH42" s="51">
        <f>IF(AH41&gt;1,(AH38*AH41*2)/1000,0)</f>
        <v>0</v>
      </c>
      <c r="AI42" s="98" t="s">
        <v>17115</v>
      </c>
      <c r="AJ42" s="98"/>
      <c r="AK42" s="98"/>
    </row>
    <row r="43" spans="1:37" ht="12.75" customHeight="1">
      <c r="K43" s="27"/>
      <c r="T43" s="313" t="str">
        <f>VLOOKUP(1429,Sprachindex!$A:$Z,Erhebungsbogen!$Y$20,FALSE)</f>
        <v>Bearbeiter:</v>
      </c>
      <c r="U43" s="436">
        <f>Kalk1!U43</f>
        <v>0</v>
      </c>
      <c r="V43" s="436"/>
      <c r="W43" s="436"/>
      <c r="X43" s="436"/>
      <c r="AG43" s="27" t="s">
        <v>21838</v>
      </c>
      <c r="AH43" s="52">
        <f>ROUNDUP(AH42/25,0)</f>
        <v>0</v>
      </c>
      <c r="AI43" s="98" t="s">
        <v>21857</v>
      </c>
      <c r="AJ43" s="98"/>
      <c r="AK43" s="98"/>
    </row>
    <row r="44" spans="1:37">
      <c r="Z44" s="319" t="e">
        <f>IF(H33=1,IF(Z28=1,1,0),IF(H33&gt;1,IF(OR(Z28=0,Z34=0),0,1)))</f>
        <v>#DIV/0!</v>
      </c>
      <c r="AG44" s="27" t="s">
        <v>21839</v>
      </c>
      <c r="AH44" s="51">
        <f>(AH38*H33*H37)/1000</f>
        <v>0</v>
      </c>
      <c r="AI44" s="98" t="s">
        <v>17115</v>
      </c>
      <c r="AJ44" s="98"/>
      <c r="AK44" s="98"/>
    </row>
    <row r="45" spans="1:37">
      <c r="A45" s="428" t="s">
        <v>22603</v>
      </c>
      <c r="B45" s="428"/>
      <c r="C45" s="428"/>
      <c r="D45" s="428"/>
      <c r="E45" s="428"/>
      <c r="F45" s="429" t="str" cm="1">
        <f t="array" aca="1" ref="F45" ca="1">MID(CELL("Dateiname"),FIND("[",CELL("Dateiname"))+1,FIND("]",CELL("Dateiname"))-FIND("[",CELL("Dateiname"))-1)</f>
        <v>02110307_CH-de_Vorlage_Erhebungsbogen Hochwasserschutz_PREFA_2024-4.xlsx</v>
      </c>
      <c r="G45" s="429"/>
      <c r="H45" s="429"/>
      <c r="I45" s="429"/>
      <c r="J45" s="429"/>
      <c r="K45" s="429"/>
      <c r="L45" s="429"/>
      <c r="M45" s="429"/>
      <c r="N45" s="429"/>
      <c r="O45" s="429"/>
      <c r="P45" s="429"/>
      <c r="Q45" s="429"/>
      <c r="R45" s="429"/>
      <c r="S45" s="429"/>
      <c r="T45" s="429"/>
      <c r="U45" s="429"/>
      <c r="V45" s="430" t="s">
        <v>10443</v>
      </c>
      <c r="W45" s="430"/>
      <c r="X45" s="431">
        <f>Erhebungsbogen!W63</f>
        <v>45398</v>
      </c>
      <c r="Y45" s="429"/>
      <c r="AG45" s="27" t="s">
        <v>21839</v>
      </c>
      <c r="AH45" s="52">
        <f>ROUNDUP(AH44,0)</f>
        <v>0</v>
      </c>
      <c r="AI45" s="98" t="s">
        <v>21858</v>
      </c>
      <c r="AJ45" s="98"/>
      <c r="AK45" s="98"/>
    </row>
    <row r="46" spans="1:37" hidden="1">
      <c r="AG46" s="27" t="s">
        <v>21850</v>
      </c>
      <c r="AH46" s="27"/>
      <c r="AI46" s="27"/>
      <c r="AJ46" s="27"/>
      <c r="AK46" s="27"/>
    </row>
    <row r="47" spans="1:37" hidden="1">
      <c r="AG47" s="27" t="s">
        <v>21851</v>
      </c>
      <c r="AH47" s="51">
        <f>H29</f>
        <v>0</v>
      </c>
      <c r="AI47" s="27"/>
      <c r="AJ47" s="27"/>
      <c r="AK47" s="27"/>
    </row>
    <row r="48" spans="1:37" hidden="1">
      <c r="AG48" s="27" t="s">
        <v>21854</v>
      </c>
      <c r="AH48" s="51">
        <f>H31</f>
        <v>0</v>
      </c>
      <c r="AI48" s="27"/>
      <c r="AJ48" s="27"/>
      <c r="AK48" s="27"/>
    </row>
    <row r="49" spans="33:42" hidden="1">
      <c r="AG49" s="27" t="s">
        <v>21852</v>
      </c>
      <c r="AH49" s="51">
        <f>IF(AA19=4,150,120)</f>
        <v>120</v>
      </c>
      <c r="AI49" s="98" t="s">
        <v>21849</v>
      </c>
      <c r="AJ49" s="98"/>
      <c r="AK49" s="27"/>
    </row>
    <row r="50" spans="33:42" hidden="1">
      <c r="AG50" s="27" t="s">
        <v>21853</v>
      </c>
      <c r="AH50" s="51">
        <f>ROUNDUP((AH47+AH48)/AH39,0)*AH39+AH49</f>
        <v>120</v>
      </c>
      <c r="AI50" s="98" t="s">
        <v>21849</v>
      </c>
      <c r="AJ50" s="98"/>
      <c r="AK50" s="27"/>
    </row>
    <row r="51" spans="33:42" hidden="1">
      <c r="AG51" s="27" t="s">
        <v>21855</v>
      </c>
      <c r="AH51" s="52">
        <f>IF(H29&gt;0,IF(AND(AA19=1,AH50&gt;AJ53),0,AI51),0)</f>
        <v>0</v>
      </c>
      <c r="AI51" s="98">
        <f>IF(AH50&lt;=AJ52,AJ52,IF(AH50&lt;=AJ53,AJ53,IF(AH50&lt;=AJ54,AJ54,IF(AH50&lt;=AJ55,AJ55,0))))</f>
        <v>750</v>
      </c>
      <c r="AJ51" s="98"/>
      <c r="AK51" s="27"/>
    </row>
    <row r="52" spans="33:42" hidden="1">
      <c r="AG52" s="27" t="s">
        <v>21856</v>
      </c>
      <c r="AH52" s="52">
        <f>IF(OR(AND(AA19=1,AH50&gt;AJ53),AH50&gt;AJ55),AH50,0)</f>
        <v>0</v>
      </c>
      <c r="AI52" s="98"/>
      <c r="AJ52" s="98">
        <v>750</v>
      </c>
      <c r="AK52" s="27"/>
    </row>
    <row r="53" spans="33:42" hidden="1">
      <c r="AG53" s="27" t="s">
        <v>19519</v>
      </c>
      <c r="AH53" s="147">
        <f>(4+(H35-1)*4)*(MAX(AH51,AH52))*H37/1000</f>
        <v>0</v>
      </c>
      <c r="AI53" s="98" t="s">
        <v>17115</v>
      </c>
      <c r="AJ53" s="98">
        <v>1350</v>
      </c>
      <c r="AM53" s="68" t="s">
        <v>22585</v>
      </c>
      <c r="AN53" s="68" t="s">
        <v>22586</v>
      </c>
      <c r="AO53" s="68" t="s">
        <v>22587</v>
      </c>
      <c r="AP53" s="68" t="s">
        <v>22588</v>
      </c>
    </row>
    <row r="54" spans="33:42" hidden="1">
      <c r="AG54" s="27" t="s">
        <v>19519</v>
      </c>
      <c r="AH54" s="52">
        <f>ROUNDUP(AH53/10,0)</f>
        <v>0</v>
      </c>
      <c r="AI54" s="98" t="s">
        <v>21859</v>
      </c>
      <c r="AJ54" s="98">
        <v>1750</v>
      </c>
      <c r="AM54" s="68">
        <v>13</v>
      </c>
      <c r="AN54" s="68">
        <v>7</v>
      </c>
      <c r="AO54" s="68">
        <v>6</v>
      </c>
      <c r="AP54" s="68">
        <v>4</v>
      </c>
    </row>
    <row r="55" spans="33:42" hidden="1">
      <c r="AG55" s="27" t="s">
        <v>22584</v>
      </c>
      <c r="AH55" s="27">
        <f>IF(AA19=1,AM55,IF(AA19=2,AN55,IF(AA19=3,AO55,IF(AA19=4,AP55,0))))</f>
        <v>0</v>
      </c>
      <c r="AI55" s="98"/>
      <c r="AJ55" s="98">
        <v>2150</v>
      </c>
      <c r="AM55" s="21">
        <f>ROUNDUP(AH41/AM54,0)</f>
        <v>0</v>
      </c>
      <c r="AN55" s="21">
        <f>ROUNDUP(AH41/AN54,0)</f>
        <v>0</v>
      </c>
      <c r="AO55" s="21">
        <f>ROUNDUP(AH41/AO54,0)</f>
        <v>0</v>
      </c>
      <c r="AP55" s="21">
        <f>ROUNDUP(AH41/AP54,0)</f>
        <v>0</v>
      </c>
    </row>
    <row r="56" spans="33:42" hidden="1">
      <c r="AI56" s="95"/>
      <c r="AJ56" s="95"/>
    </row>
  </sheetData>
  <sheetProtection sheet="1" objects="1" selectLockedCells="1"/>
  <mergeCells count="94">
    <mergeCell ref="D7:I7"/>
    <mergeCell ref="D9:I9"/>
    <mergeCell ref="K9:Q9"/>
    <mergeCell ref="S9:X9"/>
    <mergeCell ref="D11:I11"/>
    <mergeCell ref="K11:Q11"/>
    <mergeCell ref="U11:V11"/>
    <mergeCell ref="W11:X11"/>
    <mergeCell ref="K4:Q4"/>
    <mergeCell ref="S4:X4"/>
    <mergeCell ref="D5:I5"/>
    <mergeCell ref="K5:M5"/>
    <mergeCell ref="N5:Q5"/>
    <mergeCell ref="S5:U5"/>
    <mergeCell ref="V5:X5"/>
    <mergeCell ref="S18:X18"/>
    <mergeCell ref="B18:E18"/>
    <mergeCell ref="F18:I18"/>
    <mergeCell ref="K18:N18"/>
    <mergeCell ref="K13:M13"/>
    <mergeCell ref="N13:Q13"/>
    <mergeCell ref="D15:I15"/>
    <mergeCell ref="K15:M15"/>
    <mergeCell ref="N15:Q15"/>
    <mergeCell ref="D13:I13"/>
    <mergeCell ref="D16:I16"/>
    <mergeCell ref="R25:V25"/>
    <mergeCell ref="K23:X23"/>
    <mergeCell ref="K19:N19"/>
    <mergeCell ref="S20:T20"/>
    <mergeCell ref="U20:V20"/>
    <mergeCell ref="W20:X20"/>
    <mergeCell ref="K20:N20"/>
    <mergeCell ref="S21:T21"/>
    <mergeCell ref="U21:V21"/>
    <mergeCell ref="W21:X21"/>
    <mergeCell ref="K21:M21"/>
    <mergeCell ref="K24:O24"/>
    <mergeCell ref="S19:T19"/>
    <mergeCell ref="U19:V19"/>
    <mergeCell ref="W19:X19"/>
    <mergeCell ref="R24:V24"/>
    <mergeCell ref="S33:X33"/>
    <mergeCell ref="S34:V34"/>
    <mergeCell ref="W34:X34"/>
    <mergeCell ref="B28:G28"/>
    <mergeCell ref="H28:I28"/>
    <mergeCell ref="K28:Q28"/>
    <mergeCell ref="S28:X28"/>
    <mergeCell ref="S29:V29"/>
    <mergeCell ref="W29:X29"/>
    <mergeCell ref="S30:V30"/>
    <mergeCell ref="S31:V31"/>
    <mergeCell ref="W31:X31"/>
    <mergeCell ref="B34:G34"/>
    <mergeCell ref="H34:I34"/>
    <mergeCell ref="K34:Q34"/>
    <mergeCell ref="K29:O29"/>
    <mergeCell ref="B27:I27"/>
    <mergeCell ref="K27:Q27"/>
    <mergeCell ref="K25:O25"/>
    <mergeCell ref="B17:I17"/>
    <mergeCell ref="K17:Q17"/>
    <mergeCell ref="B33:G33"/>
    <mergeCell ref="H33:I33"/>
    <mergeCell ref="K33:Q33"/>
    <mergeCell ref="B29:G29"/>
    <mergeCell ref="H29:I29"/>
    <mergeCell ref="K30:Q30"/>
    <mergeCell ref="B31:G31"/>
    <mergeCell ref="H31:I31"/>
    <mergeCell ref="K31:Q31"/>
    <mergeCell ref="B32:G32"/>
    <mergeCell ref="H32:I32"/>
    <mergeCell ref="K32:Q32"/>
    <mergeCell ref="H35:I35"/>
    <mergeCell ref="W36:X36"/>
    <mergeCell ref="S38:X39"/>
    <mergeCell ref="H37:I37"/>
    <mergeCell ref="B36:I36"/>
    <mergeCell ref="B37:G37"/>
    <mergeCell ref="S35:V35"/>
    <mergeCell ref="S36:V36"/>
    <mergeCell ref="B39:G39"/>
    <mergeCell ref="H39:I39"/>
    <mergeCell ref="K36:O36"/>
    <mergeCell ref="K37:O37"/>
    <mergeCell ref="K35:O35"/>
    <mergeCell ref="H41:I41"/>
    <mergeCell ref="A45:E45"/>
    <mergeCell ref="F45:U45"/>
    <mergeCell ref="V45:W45"/>
    <mergeCell ref="X45:Y45"/>
    <mergeCell ref="U43:X43"/>
  </mergeCells>
  <conditionalFormatting sqref="B33:I33">
    <cfRule type="expression" dxfId="530" priority="54">
      <formula>$AA$19=1</formula>
    </cfRule>
  </conditionalFormatting>
  <conditionalFormatting sqref="B34:I34">
    <cfRule type="expression" dxfId="529" priority="1395">
      <formula>$H$29&gt;0</formula>
    </cfRule>
  </conditionalFormatting>
  <conditionalFormatting sqref="D5:I5 H28:I29 H31:I32">
    <cfRule type="cellIs" dxfId="528" priority="73" operator="equal">
      <formula>0</formula>
    </cfRule>
  </conditionalFormatting>
  <conditionalFormatting sqref="D7:I7">
    <cfRule type="cellIs" dxfId="527" priority="72" operator="equal">
      <formula>0</formula>
    </cfRule>
  </conditionalFormatting>
  <conditionalFormatting sqref="D9:I9">
    <cfRule type="cellIs" dxfId="526" priority="71" operator="equal">
      <formula>0</formula>
    </cfRule>
  </conditionalFormatting>
  <conditionalFormatting sqref="D11:I11">
    <cfRule type="cellIs" dxfId="525" priority="70" operator="equal">
      <formula>0</formula>
    </cfRule>
  </conditionalFormatting>
  <conditionalFormatting sqref="D13:I13">
    <cfRule type="cellIs" dxfId="524" priority="69" operator="equal">
      <formula>0</formula>
    </cfRule>
  </conditionalFormatting>
  <conditionalFormatting sqref="D15:I16">
    <cfRule type="cellIs" dxfId="523" priority="42" operator="equal">
      <formula>0</formula>
    </cfRule>
  </conditionalFormatting>
  <conditionalFormatting sqref="H33:I33">
    <cfRule type="cellIs" dxfId="522" priority="60" operator="equal">
      <formula>OR(0,1)</formula>
    </cfRule>
  </conditionalFormatting>
  <conditionalFormatting sqref="K19:N19">
    <cfRule type="expression" dxfId="520" priority="55">
      <formula>OR($AA$19=1,$AA$19=2,$AA$19=3)</formula>
    </cfRule>
  </conditionalFormatting>
  <conditionalFormatting sqref="K20:N21">
    <cfRule type="expression" dxfId="519" priority="56">
      <formula>$AA$19=1</formula>
    </cfRule>
  </conditionalFormatting>
  <conditionalFormatting sqref="K7:Q9">
    <cfRule type="expression" dxfId="518" priority="53">
      <formula>$AA$5=1</formula>
    </cfRule>
  </conditionalFormatting>
  <conditionalFormatting sqref="K9:Q9">
    <cfRule type="cellIs" dxfId="517" priority="67" operator="equal">
      <formula>0</formula>
    </cfRule>
  </conditionalFormatting>
  <conditionalFormatting sqref="K17:Q18">
    <cfRule type="expression" dxfId="516" priority="35">
      <formula>$AA$19=1</formula>
    </cfRule>
  </conditionalFormatting>
  <conditionalFormatting sqref="O20 N21:O21">
    <cfRule type="cellIs" dxfId="515" priority="66" operator="equal">
      <formula>0</formula>
    </cfRule>
  </conditionalFormatting>
  <conditionalFormatting sqref="P24:Q24">
    <cfRule type="expression" dxfId="514" priority="48">
      <formula>$AA$21=FALSE</formula>
    </cfRule>
  </conditionalFormatting>
  <conditionalFormatting sqref="P25:Q25">
    <cfRule type="expression" dxfId="513" priority="47">
      <formula>$AA$22=FALSE</formula>
    </cfRule>
  </conditionalFormatting>
  <conditionalFormatting sqref="P29:Q29">
    <cfRule type="expression" dxfId="512" priority="52">
      <formula>$AA$26=FALSE</formula>
    </cfRule>
  </conditionalFormatting>
  <conditionalFormatting sqref="P35:Q35">
    <cfRule type="expression" dxfId="511" priority="51">
      <formula>$AA$32=FALSE</formula>
    </cfRule>
  </conditionalFormatting>
  <conditionalFormatting sqref="P36:Q36">
    <cfRule type="expression" dxfId="510" priority="50">
      <formula>$AA$33=FALSE</formula>
    </cfRule>
  </conditionalFormatting>
  <conditionalFormatting sqref="P37:Q37">
    <cfRule type="expression" dxfId="509" priority="49">
      <formula>$AA$34=FALSE</formula>
    </cfRule>
  </conditionalFormatting>
  <conditionalFormatting sqref="Q24:Q25 X24:X25">
    <cfRule type="cellIs" dxfId="508" priority="65" operator="equal">
      <formula>0</formula>
    </cfRule>
  </conditionalFormatting>
  <conditionalFormatting sqref="Q29 Q35:Q37">
    <cfRule type="cellIs" dxfId="507" priority="58" operator="equal">
      <formula>0</formula>
    </cfRule>
  </conditionalFormatting>
  <conditionalFormatting sqref="S4:X5">
    <cfRule type="expression" dxfId="506" priority="34">
      <formula>$AA$19=1</formula>
    </cfRule>
  </conditionalFormatting>
  <conditionalFormatting sqref="S31:X31">
    <cfRule type="expression" dxfId="505" priority="15">
      <formula>$H$32=0</formula>
    </cfRule>
  </conditionalFormatting>
  <conditionalFormatting sqref="S33:X36">
    <cfRule type="expression" dxfId="504" priority="10">
      <formula>$H$35&lt;2</formula>
    </cfRule>
  </conditionalFormatting>
  <conditionalFormatting sqref="S36:X36">
    <cfRule type="expression" dxfId="503" priority="11">
      <formula>$H$32=0</formula>
    </cfRule>
  </conditionalFormatting>
  <conditionalFormatting sqref="S38:X39">
    <cfRule type="expression" dxfId="502" priority="2">
      <formula>OR($H$28=0,$H$29=0)</formula>
    </cfRule>
    <cfRule type="expression" dxfId="501" priority="3">
      <formula>$Z$44=1</formula>
    </cfRule>
    <cfRule type="expression" dxfId="500" priority="4">
      <formula>$Z$44=0</formula>
    </cfRule>
  </conditionalFormatting>
  <conditionalFormatting sqref="U43">
    <cfRule type="containsBlanks" dxfId="499" priority="5">
      <formula>LEN(TRIM(U43))=0</formula>
    </cfRule>
  </conditionalFormatting>
  <conditionalFormatting sqref="W24:X24">
    <cfRule type="expression" dxfId="498" priority="46">
      <formula>$AA$23=FALSE</formula>
    </cfRule>
  </conditionalFormatting>
  <conditionalFormatting sqref="W25:X25">
    <cfRule type="expression" dxfId="497" priority="45">
      <formula>$AA$24=FALSE</formula>
    </cfRule>
  </conditionalFormatting>
  <conditionalFormatting sqref="W29:X29 W31:X31 W34:X34 W36:X36">
    <cfRule type="expression" dxfId="496" priority="1401">
      <formula>OR($H$28=0,$H$29=0)</formula>
    </cfRule>
    <cfRule type="cellIs" dxfId="495" priority="1402" operator="lessThan">
      <formula>1</formula>
    </cfRule>
    <cfRule type="cellIs" dxfId="494" priority="1403" operator="greaterThan">
      <formula>1</formula>
    </cfRule>
  </conditionalFormatting>
  <conditionalFormatting sqref="X30 X35">
    <cfRule type="expression" dxfId="493" priority="1413">
      <formula>OR($H$28=0,$H$29=0)</formula>
    </cfRule>
  </conditionalFormatting>
  <dataValidations disablePrompts="1" count="2">
    <dataValidation type="list" allowBlank="1" showInputMessage="1" showErrorMessage="1" sqref="N21" xr:uid="{5C68A58C-1A9D-4F0C-BE21-B48B6ABE4C9A}">
      <formula1>$AG$22:$AG$26</formula1>
    </dataValidation>
    <dataValidation type="whole" operator="greaterThan" allowBlank="1" showInputMessage="1" showErrorMessage="1" errorTitle="Falsche Eingabe" error="Bitte nur ganze Zahlen eingeben!" sqref="H37:I37" xr:uid="{ADBA10CD-9BC4-494B-9A43-B9B05447EC72}">
      <formula1>0</formula1>
    </dataValidation>
  </dataValidations>
  <pageMargins left="0.19685039370078741" right="0.19685039370078741" top="0.39370078740157483" bottom="0.19685039370078741"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3009" r:id="rId4" name="Group Box 1">
              <controlPr defaultSize="0" print="0" autoFill="0" autoPict="0">
                <anchor moveWithCells="1">
                  <from>
                    <xdr:col>1</xdr:col>
                    <xdr:colOff>0</xdr:colOff>
                    <xdr:row>22</xdr:row>
                    <xdr:rowOff>0</xdr:rowOff>
                  </from>
                  <to>
                    <xdr:col>5</xdr:col>
                    <xdr:colOff>0</xdr:colOff>
                    <xdr:row>25</xdr:row>
                    <xdr:rowOff>0</xdr:rowOff>
                  </to>
                </anchor>
              </controlPr>
            </control>
          </mc:Choice>
        </mc:AlternateContent>
        <mc:AlternateContent xmlns:mc="http://schemas.openxmlformats.org/markup-compatibility/2006">
          <mc:Choice Requires="x14">
            <control shapeId="43010" r:id="rId5" name="Group Box 2">
              <controlPr defaultSize="0" print="0" autoFill="0" autoPict="0">
                <anchor moveWithCells="1">
                  <from>
                    <xdr:col>5</xdr:col>
                    <xdr:colOff>0</xdr:colOff>
                    <xdr:row>22</xdr:row>
                    <xdr:rowOff>0</xdr:rowOff>
                  </from>
                  <to>
                    <xdr:col>9</xdr:col>
                    <xdr:colOff>0</xdr:colOff>
                    <xdr:row>25</xdr:row>
                    <xdr:rowOff>0</xdr:rowOff>
                  </to>
                </anchor>
              </controlPr>
            </control>
          </mc:Choice>
        </mc:AlternateContent>
        <mc:AlternateContent xmlns:mc="http://schemas.openxmlformats.org/markup-compatibility/2006">
          <mc:Choice Requires="x14">
            <control shapeId="43011" r:id="rId6" name="Option Button 3">
              <controlPr defaultSize="0" autoFill="0" autoLine="0" autoPict="0">
                <anchor moveWithCells="1" sizeWithCells="1">
                  <from>
                    <xdr:col>1</xdr:col>
                    <xdr:colOff>28575</xdr:colOff>
                    <xdr:row>22</xdr:row>
                    <xdr:rowOff>19050</xdr:rowOff>
                  </from>
                  <to>
                    <xdr:col>3</xdr:col>
                    <xdr:colOff>371475</xdr:colOff>
                    <xdr:row>23</xdr:row>
                    <xdr:rowOff>0</xdr:rowOff>
                  </to>
                </anchor>
              </controlPr>
            </control>
          </mc:Choice>
        </mc:AlternateContent>
        <mc:AlternateContent xmlns:mc="http://schemas.openxmlformats.org/markup-compatibility/2006">
          <mc:Choice Requires="x14">
            <control shapeId="43012" r:id="rId7" name="Option Button 4">
              <controlPr defaultSize="0" autoFill="0" autoLine="0" autoPict="0">
                <anchor moveWithCells="1" sizeWithCells="1">
                  <from>
                    <xdr:col>1</xdr:col>
                    <xdr:colOff>28575</xdr:colOff>
                    <xdr:row>23</xdr:row>
                    <xdr:rowOff>19050</xdr:rowOff>
                  </from>
                  <to>
                    <xdr:col>3</xdr:col>
                    <xdr:colOff>371475</xdr:colOff>
                    <xdr:row>23</xdr:row>
                    <xdr:rowOff>152400</xdr:rowOff>
                  </to>
                </anchor>
              </controlPr>
            </control>
          </mc:Choice>
        </mc:AlternateContent>
        <mc:AlternateContent xmlns:mc="http://schemas.openxmlformats.org/markup-compatibility/2006">
          <mc:Choice Requires="x14">
            <control shapeId="43013" r:id="rId8" name="Option Button 5">
              <controlPr defaultSize="0" autoFill="0" autoLine="0" autoPict="0">
                <anchor moveWithCells="1" sizeWithCells="1">
                  <from>
                    <xdr:col>1</xdr:col>
                    <xdr:colOff>28575</xdr:colOff>
                    <xdr:row>24</xdr:row>
                    <xdr:rowOff>19050</xdr:rowOff>
                  </from>
                  <to>
                    <xdr:col>3</xdr:col>
                    <xdr:colOff>371475</xdr:colOff>
                    <xdr:row>24</xdr:row>
                    <xdr:rowOff>142875</xdr:rowOff>
                  </to>
                </anchor>
              </controlPr>
            </control>
          </mc:Choice>
        </mc:AlternateContent>
        <mc:AlternateContent xmlns:mc="http://schemas.openxmlformats.org/markup-compatibility/2006">
          <mc:Choice Requires="x14">
            <control shapeId="43014" r:id="rId9" name="Option Button 6">
              <controlPr defaultSize="0" autoFill="0" autoLine="0" autoPict="0">
                <anchor moveWithCells="1" sizeWithCells="1">
                  <from>
                    <xdr:col>5</xdr:col>
                    <xdr:colOff>28575</xdr:colOff>
                    <xdr:row>22</xdr:row>
                    <xdr:rowOff>28575</xdr:rowOff>
                  </from>
                  <to>
                    <xdr:col>7</xdr:col>
                    <xdr:colOff>371475</xdr:colOff>
                    <xdr:row>23</xdr:row>
                    <xdr:rowOff>0</xdr:rowOff>
                  </to>
                </anchor>
              </controlPr>
            </control>
          </mc:Choice>
        </mc:AlternateContent>
        <mc:AlternateContent xmlns:mc="http://schemas.openxmlformats.org/markup-compatibility/2006">
          <mc:Choice Requires="x14">
            <control shapeId="43015" r:id="rId10" name="Option Button 7">
              <controlPr defaultSize="0" autoFill="0" autoLine="0" autoPict="0">
                <anchor moveWithCells="1" sizeWithCells="1">
                  <from>
                    <xdr:col>5</xdr:col>
                    <xdr:colOff>28575</xdr:colOff>
                    <xdr:row>23</xdr:row>
                    <xdr:rowOff>19050</xdr:rowOff>
                  </from>
                  <to>
                    <xdr:col>7</xdr:col>
                    <xdr:colOff>371475</xdr:colOff>
                    <xdr:row>23</xdr:row>
                    <xdr:rowOff>152400</xdr:rowOff>
                  </to>
                </anchor>
              </controlPr>
            </control>
          </mc:Choice>
        </mc:AlternateContent>
        <mc:AlternateContent xmlns:mc="http://schemas.openxmlformats.org/markup-compatibility/2006">
          <mc:Choice Requires="x14">
            <control shapeId="43016" r:id="rId11" name="Option Button 8">
              <controlPr defaultSize="0" autoFill="0" autoLine="0" autoPict="0">
                <anchor moveWithCells="1" sizeWithCells="1">
                  <from>
                    <xdr:col>5</xdr:col>
                    <xdr:colOff>28575</xdr:colOff>
                    <xdr:row>24</xdr:row>
                    <xdr:rowOff>19050</xdr:rowOff>
                  </from>
                  <to>
                    <xdr:col>7</xdr:col>
                    <xdr:colOff>371475</xdr:colOff>
                    <xdr:row>24</xdr:row>
                    <xdr:rowOff>142875</xdr:rowOff>
                  </to>
                </anchor>
              </controlPr>
            </control>
          </mc:Choice>
        </mc:AlternateContent>
        <mc:AlternateContent xmlns:mc="http://schemas.openxmlformats.org/markup-compatibility/2006">
          <mc:Choice Requires="x14">
            <control shapeId="43017" r:id="rId12" name="Group Box 9">
              <controlPr defaultSize="0" print="0" autoFill="0" autoPict="0">
                <anchor moveWithCells="1">
                  <from>
                    <xdr:col>10</xdr:col>
                    <xdr:colOff>0</xdr:colOff>
                    <xdr:row>4</xdr:row>
                    <xdr:rowOff>0</xdr:rowOff>
                  </from>
                  <to>
                    <xdr:col>17</xdr:col>
                    <xdr:colOff>0</xdr:colOff>
                    <xdr:row>5</xdr:row>
                    <xdr:rowOff>0</xdr:rowOff>
                  </to>
                </anchor>
              </controlPr>
            </control>
          </mc:Choice>
        </mc:AlternateContent>
        <mc:AlternateContent xmlns:mc="http://schemas.openxmlformats.org/markup-compatibility/2006">
          <mc:Choice Requires="x14">
            <control shapeId="43018" r:id="rId13" name="Option Button 10">
              <controlPr defaultSize="0" autoFill="0" autoLine="0" autoPict="0">
                <anchor moveWithCells="1">
                  <from>
                    <xdr:col>10</xdr:col>
                    <xdr:colOff>9525</xdr:colOff>
                    <xdr:row>4</xdr:row>
                    <xdr:rowOff>19050</xdr:rowOff>
                  </from>
                  <to>
                    <xdr:col>13</xdr:col>
                    <xdr:colOff>0</xdr:colOff>
                    <xdr:row>4</xdr:row>
                    <xdr:rowOff>152400</xdr:rowOff>
                  </to>
                </anchor>
              </controlPr>
            </control>
          </mc:Choice>
        </mc:AlternateContent>
        <mc:AlternateContent xmlns:mc="http://schemas.openxmlformats.org/markup-compatibility/2006">
          <mc:Choice Requires="x14">
            <control shapeId="43019" r:id="rId14" name="Option Button 11">
              <controlPr defaultSize="0" autoFill="0" autoLine="0" autoPict="0">
                <anchor moveWithCells="1">
                  <from>
                    <xdr:col>13</xdr:col>
                    <xdr:colOff>9525</xdr:colOff>
                    <xdr:row>4</xdr:row>
                    <xdr:rowOff>19050</xdr:rowOff>
                  </from>
                  <to>
                    <xdr:col>15</xdr:col>
                    <xdr:colOff>371475</xdr:colOff>
                    <xdr:row>4</xdr:row>
                    <xdr:rowOff>142875</xdr:rowOff>
                  </to>
                </anchor>
              </controlPr>
            </control>
          </mc:Choice>
        </mc:AlternateContent>
        <mc:AlternateContent xmlns:mc="http://schemas.openxmlformats.org/markup-compatibility/2006">
          <mc:Choice Requires="x14">
            <control shapeId="43020" r:id="rId15" name="Check Box 12">
              <controlPr defaultSize="0" autoFill="0" autoLine="0" autoPict="0">
                <anchor moveWithCells="1">
                  <from>
                    <xdr:col>10</xdr:col>
                    <xdr:colOff>0</xdr:colOff>
                    <xdr:row>12</xdr:row>
                    <xdr:rowOff>0</xdr:rowOff>
                  </from>
                  <to>
                    <xdr:col>13</xdr:col>
                    <xdr:colOff>0</xdr:colOff>
                    <xdr:row>14</xdr:row>
                    <xdr:rowOff>0</xdr:rowOff>
                  </to>
                </anchor>
              </controlPr>
            </control>
          </mc:Choice>
        </mc:AlternateContent>
        <mc:AlternateContent xmlns:mc="http://schemas.openxmlformats.org/markup-compatibility/2006">
          <mc:Choice Requires="x14">
            <control shapeId="43021" r:id="rId16" name="Check Box 13">
              <controlPr defaultSize="0" autoFill="0" autoLine="0" autoPict="0">
                <anchor moveWithCells="1" sizeWithCells="1">
                  <from>
                    <xdr:col>10</xdr:col>
                    <xdr:colOff>0</xdr:colOff>
                    <xdr:row>14</xdr:row>
                    <xdr:rowOff>0</xdr:rowOff>
                  </from>
                  <to>
                    <xdr:col>13</xdr:col>
                    <xdr:colOff>0</xdr:colOff>
                    <xdr:row>14</xdr:row>
                    <xdr:rowOff>180975</xdr:rowOff>
                  </to>
                </anchor>
              </controlPr>
            </control>
          </mc:Choice>
        </mc:AlternateContent>
        <mc:AlternateContent xmlns:mc="http://schemas.openxmlformats.org/markup-compatibility/2006">
          <mc:Choice Requires="x14">
            <control shapeId="43022" r:id="rId17" name="Check Box 14">
              <controlPr defaultSize="0" autoFill="0" autoLine="0" autoPict="0">
                <anchor moveWithCells="1">
                  <from>
                    <xdr:col>13</xdr:col>
                    <xdr:colOff>0</xdr:colOff>
                    <xdr:row>11</xdr:row>
                    <xdr:rowOff>19050</xdr:rowOff>
                  </from>
                  <to>
                    <xdr:col>17</xdr:col>
                    <xdr:colOff>0</xdr:colOff>
                    <xdr:row>14</xdr:row>
                    <xdr:rowOff>0</xdr:rowOff>
                  </to>
                </anchor>
              </controlPr>
            </control>
          </mc:Choice>
        </mc:AlternateContent>
        <mc:AlternateContent xmlns:mc="http://schemas.openxmlformats.org/markup-compatibility/2006">
          <mc:Choice Requires="x14">
            <control shapeId="43023" r:id="rId18" name="Check Box 15">
              <controlPr defaultSize="0" autoFill="0" autoLine="0" autoPict="0">
                <anchor moveWithCells="1" sizeWithCells="1">
                  <from>
                    <xdr:col>13</xdr:col>
                    <xdr:colOff>0</xdr:colOff>
                    <xdr:row>14</xdr:row>
                    <xdr:rowOff>0</xdr:rowOff>
                  </from>
                  <to>
                    <xdr:col>17</xdr:col>
                    <xdr:colOff>0</xdr:colOff>
                    <xdr:row>14</xdr:row>
                    <xdr:rowOff>180975</xdr:rowOff>
                  </to>
                </anchor>
              </controlPr>
            </control>
          </mc:Choice>
        </mc:AlternateContent>
        <mc:AlternateContent xmlns:mc="http://schemas.openxmlformats.org/markup-compatibility/2006">
          <mc:Choice Requires="x14">
            <control shapeId="43024" r:id="rId19" name="Option Button 16">
              <controlPr defaultSize="0" autoFill="0" autoLine="0" autoPict="0">
                <anchor moveWithCells="1">
                  <from>
                    <xdr:col>18</xdr:col>
                    <xdr:colOff>9525</xdr:colOff>
                    <xdr:row>4</xdr:row>
                    <xdr:rowOff>19050</xdr:rowOff>
                  </from>
                  <to>
                    <xdr:col>21</xdr:col>
                    <xdr:colOff>0</xdr:colOff>
                    <xdr:row>4</xdr:row>
                    <xdr:rowOff>142875</xdr:rowOff>
                  </to>
                </anchor>
              </controlPr>
            </control>
          </mc:Choice>
        </mc:AlternateContent>
        <mc:AlternateContent xmlns:mc="http://schemas.openxmlformats.org/markup-compatibility/2006">
          <mc:Choice Requires="x14">
            <control shapeId="43025" r:id="rId20" name="Group Box 17">
              <controlPr defaultSize="0" print="0" autoFill="0" autoPict="0">
                <anchor moveWithCells="1">
                  <from>
                    <xdr:col>18</xdr:col>
                    <xdr:colOff>0</xdr:colOff>
                    <xdr:row>3</xdr:row>
                    <xdr:rowOff>190500</xdr:rowOff>
                  </from>
                  <to>
                    <xdr:col>24</xdr:col>
                    <xdr:colOff>0</xdr:colOff>
                    <xdr:row>5</xdr:row>
                    <xdr:rowOff>0</xdr:rowOff>
                  </to>
                </anchor>
              </controlPr>
            </control>
          </mc:Choice>
        </mc:AlternateContent>
        <mc:AlternateContent xmlns:mc="http://schemas.openxmlformats.org/markup-compatibility/2006">
          <mc:Choice Requires="x14">
            <control shapeId="43026" r:id="rId21" name="Option Button 18">
              <controlPr defaultSize="0" autoFill="0" autoLine="0" autoPict="0">
                <anchor moveWithCells="1">
                  <from>
                    <xdr:col>21</xdr:col>
                    <xdr:colOff>9525</xdr:colOff>
                    <xdr:row>4</xdr:row>
                    <xdr:rowOff>19050</xdr:rowOff>
                  </from>
                  <to>
                    <xdr:col>24</xdr:col>
                    <xdr:colOff>0</xdr:colOff>
                    <xdr:row>4</xdr:row>
                    <xdr:rowOff>142875</xdr:rowOff>
                  </to>
                </anchor>
              </controlPr>
            </control>
          </mc:Choice>
        </mc:AlternateContent>
        <mc:AlternateContent xmlns:mc="http://schemas.openxmlformats.org/markup-compatibility/2006">
          <mc:Choice Requires="x14">
            <control shapeId="43031" r:id="rId22" name="Group Box 23">
              <controlPr defaultSize="0" print="0" autoFill="0" autoPict="0">
                <anchor moveWithCells="1">
                  <from>
                    <xdr:col>18</xdr:col>
                    <xdr:colOff>0</xdr:colOff>
                    <xdr:row>18</xdr:row>
                    <xdr:rowOff>0</xdr:rowOff>
                  </from>
                  <to>
                    <xdr:col>24</xdr:col>
                    <xdr:colOff>0</xdr:colOff>
                    <xdr:row>21</xdr:row>
                    <xdr:rowOff>0</xdr:rowOff>
                  </to>
                </anchor>
              </controlPr>
            </control>
          </mc:Choice>
        </mc:AlternateContent>
        <mc:AlternateContent xmlns:mc="http://schemas.openxmlformats.org/markup-compatibility/2006">
          <mc:Choice Requires="x14">
            <control shapeId="43032" r:id="rId23" name="Option Button 24">
              <controlPr defaultSize="0" autoFill="0" autoLine="0" autoPict="0">
                <anchor moveWithCells="1">
                  <from>
                    <xdr:col>18</xdr:col>
                    <xdr:colOff>66675</xdr:colOff>
                    <xdr:row>20</xdr:row>
                    <xdr:rowOff>0</xdr:rowOff>
                  </from>
                  <to>
                    <xdr:col>20</xdr:col>
                    <xdr:colOff>0</xdr:colOff>
                    <xdr:row>20</xdr:row>
                    <xdr:rowOff>152400</xdr:rowOff>
                  </to>
                </anchor>
              </controlPr>
            </control>
          </mc:Choice>
        </mc:AlternateContent>
        <mc:AlternateContent xmlns:mc="http://schemas.openxmlformats.org/markup-compatibility/2006">
          <mc:Choice Requires="x14">
            <control shapeId="43033" r:id="rId24" name="Option Button 25">
              <controlPr defaultSize="0" autoFill="0" autoLine="0" autoPict="0">
                <anchor moveWithCells="1">
                  <from>
                    <xdr:col>20</xdr:col>
                    <xdr:colOff>76200</xdr:colOff>
                    <xdr:row>19</xdr:row>
                    <xdr:rowOff>0</xdr:rowOff>
                  </from>
                  <to>
                    <xdr:col>22</xdr:col>
                    <xdr:colOff>0</xdr:colOff>
                    <xdr:row>19</xdr:row>
                    <xdr:rowOff>152400</xdr:rowOff>
                  </to>
                </anchor>
              </controlPr>
            </control>
          </mc:Choice>
        </mc:AlternateContent>
        <mc:AlternateContent xmlns:mc="http://schemas.openxmlformats.org/markup-compatibility/2006">
          <mc:Choice Requires="x14">
            <control shapeId="43034" r:id="rId25" name="Option Button 26">
              <controlPr defaultSize="0" autoFill="0" autoLine="0" autoPict="0">
                <anchor moveWithCells="1">
                  <from>
                    <xdr:col>20</xdr:col>
                    <xdr:colOff>76200</xdr:colOff>
                    <xdr:row>20</xdr:row>
                    <xdr:rowOff>9525</xdr:rowOff>
                  </from>
                  <to>
                    <xdr:col>22</xdr:col>
                    <xdr:colOff>0</xdr:colOff>
                    <xdr:row>20</xdr:row>
                    <xdr:rowOff>152400</xdr:rowOff>
                  </to>
                </anchor>
              </controlPr>
            </control>
          </mc:Choice>
        </mc:AlternateContent>
        <mc:AlternateContent xmlns:mc="http://schemas.openxmlformats.org/markup-compatibility/2006">
          <mc:Choice Requires="x14">
            <control shapeId="43035" r:id="rId26" name="Option Button 27">
              <controlPr defaultSize="0" autoFill="0" autoLine="0" autoPict="0">
                <anchor moveWithCells="1">
                  <from>
                    <xdr:col>22</xdr:col>
                    <xdr:colOff>76200</xdr:colOff>
                    <xdr:row>19</xdr:row>
                    <xdr:rowOff>161925</xdr:rowOff>
                  </from>
                  <to>
                    <xdr:col>24</xdr:col>
                    <xdr:colOff>0</xdr:colOff>
                    <xdr:row>20</xdr:row>
                    <xdr:rowOff>152400</xdr:rowOff>
                  </to>
                </anchor>
              </controlPr>
            </control>
          </mc:Choice>
        </mc:AlternateContent>
        <mc:AlternateContent xmlns:mc="http://schemas.openxmlformats.org/markup-compatibility/2006">
          <mc:Choice Requires="x14">
            <control shapeId="43036" r:id="rId27" name="Check Box 28">
              <controlPr defaultSize="0" autoFill="0" autoLine="0" autoPict="0">
                <anchor moveWithCells="1" sizeWithCells="1">
                  <from>
                    <xdr:col>10</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43037" r:id="rId28" name="Check Box 29">
              <controlPr defaultSize="0" autoFill="0" autoLine="0" autoPict="0">
                <anchor moveWithCells="1" sizeWithCells="1">
                  <from>
                    <xdr:col>10</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43038" r:id="rId29" name="Check Box 30">
              <controlPr defaultSize="0" autoFill="0" autoLine="0" autoPict="0">
                <anchor moveWithCells="1" sizeWithCells="1">
                  <from>
                    <xdr:col>17</xdr:col>
                    <xdr:colOff>0</xdr:colOff>
                    <xdr:row>23</xdr:row>
                    <xdr:rowOff>0</xdr:rowOff>
                  </from>
                  <to>
                    <xdr:col>22</xdr:col>
                    <xdr:colOff>0</xdr:colOff>
                    <xdr:row>24</xdr:row>
                    <xdr:rowOff>0</xdr:rowOff>
                  </to>
                </anchor>
              </controlPr>
            </control>
          </mc:Choice>
        </mc:AlternateContent>
        <mc:AlternateContent xmlns:mc="http://schemas.openxmlformats.org/markup-compatibility/2006">
          <mc:Choice Requires="x14">
            <control shapeId="43039" r:id="rId30" name="Check Box 31">
              <controlPr defaultSize="0" autoFill="0" autoLine="0" autoPict="0">
                <anchor moveWithCells="1" sizeWithCells="1">
                  <from>
                    <xdr:col>17</xdr:col>
                    <xdr:colOff>0</xdr:colOff>
                    <xdr:row>24</xdr:row>
                    <xdr:rowOff>0</xdr:rowOff>
                  </from>
                  <to>
                    <xdr:col>22</xdr:col>
                    <xdr:colOff>0</xdr:colOff>
                    <xdr:row>25</xdr:row>
                    <xdr:rowOff>0</xdr:rowOff>
                  </to>
                </anchor>
              </controlPr>
            </control>
          </mc:Choice>
        </mc:AlternateContent>
        <mc:AlternateContent xmlns:mc="http://schemas.openxmlformats.org/markup-compatibility/2006">
          <mc:Choice Requires="x14">
            <control shapeId="43040" r:id="rId31" name="Group Box 32">
              <controlPr defaultSize="0" print="0" autoFill="0" autoPict="0">
                <anchor moveWithCells="1">
                  <from>
                    <xdr:col>10</xdr:col>
                    <xdr:colOff>0</xdr:colOff>
                    <xdr:row>17</xdr:row>
                    <xdr:rowOff>0</xdr:rowOff>
                  </from>
                  <to>
                    <xdr:col>15</xdr:col>
                    <xdr:colOff>0</xdr:colOff>
                    <xdr:row>19</xdr:row>
                    <xdr:rowOff>0</xdr:rowOff>
                  </to>
                </anchor>
              </controlPr>
            </control>
          </mc:Choice>
        </mc:AlternateContent>
        <mc:AlternateContent xmlns:mc="http://schemas.openxmlformats.org/markup-compatibility/2006">
          <mc:Choice Requires="x14">
            <control shapeId="43041" r:id="rId32" name="Option Button 33">
              <controlPr defaultSize="0" autoFill="0" autoLine="0" autoPict="0">
                <anchor moveWithCells="1">
                  <from>
                    <xdr:col>10</xdr:col>
                    <xdr:colOff>9525</xdr:colOff>
                    <xdr:row>17</xdr:row>
                    <xdr:rowOff>19050</xdr:rowOff>
                  </from>
                  <to>
                    <xdr:col>12</xdr:col>
                    <xdr:colOff>266700</xdr:colOff>
                    <xdr:row>17</xdr:row>
                    <xdr:rowOff>142875</xdr:rowOff>
                  </to>
                </anchor>
              </controlPr>
            </control>
          </mc:Choice>
        </mc:AlternateContent>
        <mc:AlternateContent xmlns:mc="http://schemas.openxmlformats.org/markup-compatibility/2006">
          <mc:Choice Requires="x14">
            <control shapeId="43042" r:id="rId33" name="Option Button 34">
              <controlPr defaultSize="0" autoFill="0" autoLine="0" autoPict="0">
                <anchor moveWithCells="1">
                  <from>
                    <xdr:col>10</xdr:col>
                    <xdr:colOff>9525</xdr:colOff>
                    <xdr:row>18</xdr:row>
                    <xdr:rowOff>9525</xdr:rowOff>
                  </from>
                  <to>
                    <xdr:col>12</xdr:col>
                    <xdr:colOff>266700</xdr:colOff>
                    <xdr:row>18</xdr:row>
                    <xdr:rowOff>133350</xdr:rowOff>
                  </to>
                </anchor>
              </controlPr>
            </control>
          </mc:Choice>
        </mc:AlternateContent>
        <mc:AlternateContent xmlns:mc="http://schemas.openxmlformats.org/markup-compatibility/2006">
          <mc:Choice Requires="x14">
            <control shapeId="43043" r:id="rId34" name="Check Box 35">
              <controlPr defaultSize="0" autoFill="0" autoLine="0" autoPict="0">
                <anchor moveWithCells="1" sizeWithCells="1">
                  <from>
                    <xdr:col>10</xdr:col>
                    <xdr:colOff>0</xdr:colOff>
                    <xdr:row>27</xdr:row>
                    <xdr:rowOff>0</xdr:rowOff>
                  </from>
                  <to>
                    <xdr:col>15</xdr:col>
                    <xdr:colOff>0</xdr:colOff>
                    <xdr:row>28</xdr:row>
                    <xdr:rowOff>0</xdr:rowOff>
                  </to>
                </anchor>
              </controlPr>
            </control>
          </mc:Choice>
        </mc:AlternateContent>
        <mc:AlternateContent xmlns:mc="http://schemas.openxmlformats.org/markup-compatibility/2006">
          <mc:Choice Requires="x14">
            <control shapeId="43046" r:id="rId35" name="Check Box 38">
              <controlPr defaultSize="0" autoFill="0" autoLine="0" autoPict="0">
                <anchor moveWithCells="1" sizeWithCells="1">
                  <from>
                    <xdr:col>10</xdr:col>
                    <xdr:colOff>0</xdr:colOff>
                    <xdr:row>31</xdr:row>
                    <xdr:rowOff>0</xdr:rowOff>
                  </from>
                  <to>
                    <xdr:col>15</xdr:col>
                    <xdr:colOff>0</xdr:colOff>
                    <xdr:row>32</xdr:row>
                    <xdr:rowOff>0</xdr:rowOff>
                  </to>
                </anchor>
              </controlPr>
            </control>
          </mc:Choice>
        </mc:AlternateContent>
        <mc:AlternateContent xmlns:mc="http://schemas.openxmlformats.org/markup-compatibility/2006">
          <mc:Choice Requires="x14">
            <control shapeId="43047" r:id="rId36" name="Check Box 39">
              <controlPr defaultSize="0" autoFill="0" autoLine="0" autoPict="0">
                <anchor moveWithCells="1" sizeWithCells="1">
                  <from>
                    <xdr:col>10</xdr:col>
                    <xdr:colOff>0</xdr:colOff>
                    <xdr:row>32</xdr:row>
                    <xdr:rowOff>0</xdr:rowOff>
                  </from>
                  <to>
                    <xdr:col>15</xdr:col>
                    <xdr:colOff>0</xdr:colOff>
                    <xdr:row>33</xdr:row>
                    <xdr:rowOff>0</xdr:rowOff>
                  </to>
                </anchor>
              </controlPr>
            </control>
          </mc:Choice>
        </mc:AlternateContent>
        <mc:AlternateContent xmlns:mc="http://schemas.openxmlformats.org/markup-compatibility/2006">
          <mc:Choice Requires="x14">
            <control shapeId="43048" r:id="rId37" name="Check Box 40">
              <controlPr defaultSize="0" autoFill="0" autoLine="0" autoPict="0">
                <anchor moveWithCells="1" sizeWithCells="1">
                  <from>
                    <xdr:col>10</xdr:col>
                    <xdr:colOff>0</xdr:colOff>
                    <xdr:row>33</xdr:row>
                    <xdr:rowOff>0</xdr:rowOff>
                  </from>
                  <to>
                    <xdr:col>15</xdr:col>
                    <xdr:colOff>0</xdr:colOff>
                    <xdr:row>34</xdr:row>
                    <xdr:rowOff>0</xdr:rowOff>
                  </to>
                </anchor>
              </controlPr>
            </control>
          </mc:Choice>
        </mc:AlternateContent>
        <mc:AlternateContent xmlns:mc="http://schemas.openxmlformats.org/markup-compatibility/2006">
          <mc:Choice Requires="x14">
            <control shapeId="43049" r:id="rId38" name="Check Box 41">
              <controlPr defaultSize="0" autoFill="0" autoLine="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43050" r:id="rId39" name="Check Box 42">
              <controlPr defaultSize="0" autoFill="0" autoLine="0" autoPict="0">
                <anchor moveWithCells="1" siz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43051" r:id="rId40" name="Check Box 43">
              <controlPr defaultSize="0" autoFill="0" autoLine="0" autoPict="0">
                <anchor moveWithCells="1" sizeWithCells="1">
                  <from>
                    <xdr:col>10</xdr:col>
                    <xdr:colOff>0</xdr:colOff>
                    <xdr:row>35</xdr:row>
                    <xdr:rowOff>0</xdr:rowOff>
                  </from>
                  <to>
                    <xdr:col>15</xdr:col>
                    <xdr:colOff>0</xdr:colOff>
                    <xdr:row>36</xdr:row>
                    <xdr:rowOff>0</xdr:rowOff>
                  </to>
                </anchor>
              </controlPr>
            </control>
          </mc:Choice>
        </mc:AlternateContent>
        <mc:AlternateContent xmlns:mc="http://schemas.openxmlformats.org/markup-compatibility/2006">
          <mc:Choice Requires="x14">
            <control shapeId="43052" r:id="rId41" name="Check Box 44">
              <controlPr defaultSize="0" autoFill="0" autoLine="0" autoPict="0">
                <anchor moveWithCells="1" sizeWithCells="1">
                  <from>
                    <xdr:col>10</xdr:col>
                    <xdr:colOff>0</xdr:colOff>
                    <xdr:row>36</xdr:row>
                    <xdr:rowOff>0</xdr:rowOff>
                  </from>
                  <to>
                    <xdr:col>15</xdr:col>
                    <xdr:colOff>0</xdr:colOff>
                    <xdr:row>37</xdr:row>
                    <xdr:rowOff>0</xdr:rowOff>
                  </to>
                </anchor>
              </controlPr>
            </control>
          </mc:Choice>
        </mc:AlternateContent>
        <mc:AlternateContent xmlns:mc="http://schemas.openxmlformats.org/markup-compatibility/2006">
          <mc:Choice Requires="x14">
            <control shapeId="325923" r:id="rId42" name="Group Box 2339">
              <controlPr defaultSize="0" print="0" autoFill="0" autoPict="0">
                <anchor moveWithCells="1">
                  <from>
                    <xdr:col>10</xdr:col>
                    <xdr:colOff>0</xdr:colOff>
                    <xdr:row>26</xdr:row>
                    <xdr:rowOff>0</xdr:rowOff>
                  </from>
                  <to>
                    <xdr:col>17</xdr:col>
                    <xdr:colOff>0</xdr:colOff>
                    <xdr:row>37</xdr:row>
                    <xdr:rowOff>0</xdr:rowOff>
                  </to>
                </anchor>
              </controlPr>
            </control>
          </mc:Choice>
        </mc:AlternateContent>
        <mc:AlternateContent xmlns:mc="http://schemas.openxmlformats.org/markup-compatibility/2006">
          <mc:Choice Requires="x14">
            <control shapeId="325924" r:id="rId43" name="Option Button 2340">
              <controlPr defaultSize="0" autoFill="0" autoLine="0" autoPict="0">
                <anchor moveWithCells="1">
                  <from>
                    <xdr:col>10</xdr:col>
                    <xdr:colOff>9525</xdr:colOff>
                    <xdr:row>29</xdr:row>
                    <xdr:rowOff>19050</xdr:rowOff>
                  </from>
                  <to>
                    <xdr:col>12</xdr:col>
                    <xdr:colOff>266700</xdr:colOff>
                    <xdr:row>29</xdr:row>
                    <xdr:rowOff>142875</xdr:rowOff>
                  </to>
                </anchor>
              </controlPr>
            </control>
          </mc:Choice>
        </mc:AlternateContent>
        <mc:AlternateContent xmlns:mc="http://schemas.openxmlformats.org/markup-compatibility/2006">
          <mc:Choice Requires="x14">
            <control shapeId="325925" r:id="rId44" name="Option Button 2341">
              <controlPr defaultSize="0" autoFill="0" autoLine="0" autoPict="0">
                <anchor moveWithCells="1">
                  <from>
                    <xdr:col>10</xdr:col>
                    <xdr:colOff>9525</xdr:colOff>
                    <xdr:row>30</xdr:row>
                    <xdr:rowOff>9525</xdr:rowOff>
                  </from>
                  <to>
                    <xdr:col>12</xdr:col>
                    <xdr:colOff>266700</xdr:colOff>
                    <xdr:row>30</xdr:row>
                    <xdr:rowOff>133350</xdr:rowOff>
                  </to>
                </anchor>
              </controlPr>
            </control>
          </mc:Choice>
        </mc:AlternateContent>
        <mc:AlternateContent xmlns:mc="http://schemas.openxmlformats.org/markup-compatibility/2006">
          <mc:Choice Requires="x14">
            <control shapeId="326328" r:id="rId45" name="Group Box 2744">
              <controlPr defaultSize="0" print="0" autoFill="0" autoPict="0">
                <anchor moveWithCells="1">
                  <from>
                    <xdr:col>20</xdr:col>
                    <xdr:colOff>0</xdr:colOff>
                    <xdr:row>12</xdr:row>
                    <xdr:rowOff>0</xdr:rowOff>
                  </from>
                  <to>
                    <xdr:col>22</xdr:col>
                    <xdr:colOff>0</xdr:colOff>
                    <xdr:row>16</xdr:row>
                    <xdr:rowOff>0</xdr:rowOff>
                  </to>
                </anchor>
              </controlPr>
            </control>
          </mc:Choice>
        </mc:AlternateContent>
        <mc:AlternateContent xmlns:mc="http://schemas.openxmlformats.org/markup-compatibility/2006">
          <mc:Choice Requires="x14">
            <control shapeId="326329" r:id="rId46" name="Option Button 2745">
              <controlPr defaultSize="0" autoFill="0" autoLine="0" autoPict="0">
                <anchor moveWithCells="1">
                  <from>
                    <xdr:col>20</xdr:col>
                    <xdr:colOff>285750</xdr:colOff>
                    <xdr:row>12</xdr:row>
                    <xdr:rowOff>19050</xdr:rowOff>
                  </from>
                  <to>
                    <xdr:col>21</xdr:col>
                    <xdr:colOff>123825</xdr:colOff>
                    <xdr:row>13</xdr:row>
                    <xdr:rowOff>0</xdr:rowOff>
                  </to>
                </anchor>
              </controlPr>
            </control>
          </mc:Choice>
        </mc:AlternateContent>
        <mc:AlternateContent xmlns:mc="http://schemas.openxmlformats.org/markup-compatibility/2006">
          <mc:Choice Requires="x14">
            <control shapeId="326330" r:id="rId47" name="Option Button 2746">
              <controlPr defaultSize="0" autoFill="0" autoLine="0" autoPict="0">
                <anchor moveWithCells="1">
                  <from>
                    <xdr:col>20</xdr:col>
                    <xdr:colOff>285750</xdr:colOff>
                    <xdr:row>14</xdr:row>
                    <xdr:rowOff>19050</xdr:rowOff>
                  </from>
                  <to>
                    <xdr:col>21</xdr:col>
                    <xdr:colOff>123825</xdr:colOff>
                    <xdr:row>14</xdr:row>
                    <xdr:rowOff>142875</xdr:rowOff>
                  </to>
                </anchor>
              </controlPr>
            </control>
          </mc:Choice>
        </mc:AlternateContent>
        <mc:AlternateContent xmlns:mc="http://schemas.openxmlformats.org/markup-compatibility/2006">
          <mc:Choice Requires="x14">
            <control shapeId="326331" r:id="rId48" name="Option Button 2747">
              <controlPr defaultSize="0" autoFill="0" autoLine="0" autoPict="0">
                <anchor moveWithCells="1">
                  <from>
                    <xdr:col>20</xdr:col>
                    <xdr:colOff>285750</xdr:colOff>
                    <xdr:row>15</xdr:row>
                    <xdr:rowOff>19050</xdr:rowOff>
                  </from>
                  <to>
                    <xdr:col>21</xdr:col>
                    <xdr:colOff>123825</xdr:colOff>
                    <xdr:row>15</xdr:row>
                    <xdr:rowOff>142875</xdr:rowOff>
                  </to>
                </anchor>
              </controlPr>
            </control>
          </mc:Choice>
        </mc:AlternateContent>
        <mc:AlternateContent xmlns:mc="http://schemas.openxmlformats.org/markup-compatibility/2006">
          <mc:Choice Requires="x14">
            <control shapeId="326332" r:id="rId49" name="Group Box 2748">
              <controlPr defaultSize="0" print="0" autoFill="0" autoPict="0">
                <anchor moveWithCells="1">
                  <from>
                    <xdr:col>22</xdr:col>
                    <xdr:colOff>0</xdr:colOff>
                    <xdr:row>12</xdr:row>
                    <xdr:rowOff>0</xdr:rowOff>
                  </from>
                  <to>
                    <xdr:col>24</xdr:col>
                    <xdr:colOff>0</xdr:colOff>
                    <xdr:row>15</xdr:row>
                    <xdr:rowOff>161925</xdr:rowOff>
                  </to>
                </anchor>
              </controlPr>
            </control>
          </mc:Choice>
        </mc:AlternateContent>
        <mc:AlternateContent xmlns:mc="http://schemas.openxmlformats.org/markup-compatibility/2006">
          <mc:Choice Requires="x14">
            <control shapeId="326333" r:id="rId50" name="Option Button 2749">
              <controlPr defaultSize="0" autoFill="0" autoLine="0" autoPict="0">
                <anchor moveWithCells="1">
                  <from>
                    <xdr:col>22</xdr:col>
                    <xdr:colOff>285750</xdr:colOff>
                    <xdr:row>12</xdr:row>
                    <xdr:rowOff>19050</xdr:rowOff>
                  </from>
                  <to>
                    <xdr:col>23</xdr:col>
                    <xdr:colOff>123825</xdr:colOff>
                    <xdr:row>12</xdr:row>
                    <xdr:rowOff>161925</xdr:rowOff>
                  </to>
                </anchor>
              </controlPr>
            </control>
          </mc:Choice>
        </mc:AlternateContent>
        <mc:AlternateContent xmlns:mc="http://schemas.openxmlformats.org/markup-compatibility/2006">
          <mc:Choice Requires="x14">
            <control shapeId="326334" r:id="rId51" name="Option Button 2750">
              <controlPr defaultSize="0" autoFill="0" autoLine="0" autoPict="0">
                <anchor moveWithCells="1">
                  <from>
                    <xdr:col>22</xdr:col>
                    <xdr:colOff>285750</xdr:colOff>
                    <xdr:row>14</xdr:row>
                    <xdr:rowOff>19050</xdr:rowOff>
                  </from>
                  <to>
                    <xdr:col>23</xdr:col>
                    <xdr:colOff>123825</xdr:colOff>
                    <xdr:row>14</xdr:row>
                    <xdr:rowOff>142875</xdr:rowOff>
                  </to>
                </anchor>
              </controlPr>
            </control>
          </mc:Choice>
        </mc:AlternateContent>
        <mc:AlternateContent xmlns:mc="http://schemas.openxmlformats.org/markup-compatibility/2006">
          <mc:Choice Requires="x14">
            <control shapeId="326335" r:id="rId52" name="Option Button 2751">
              <controlPr defaultSize="0" autoFill="0" autoLine="0" autoPict="0">
                <anchor moveWithCells="1">
                  <from>
                    <xdr:col>22</xdr:col>
                    <xdr:colOff>285750</xdr:colOff>
                    <xdr:row>15</xdr:row>
                    <xdr:rowOff>19050</xdr:rowOff>
                  </from>
                  <to>
                    <xdr:col>23</xdr:col>
                    <xdr:colOff>123825</xdr:colOff>
                    <xdr:row>15</xdr:row>
                    <xdr:rowOff>142875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A14EBD4-70F0-473D-B309-0FAF29456AF7}">
            <xm:f>Erhebungsbogen!$W$37&gt;0</xm:f>
            <x14:dxf>
              <font>
                <color theme="1"/>
              </font>
              <border>
                <left style="thin">
                  <color auto="1"/>
                </left>
                <right style="thin">
                  <color auto="1"/>
                </right>
                <top style="thin">
                  <color auto="1"/>
                </top>
                <bottom style="thin">
                  <color auto="1"/>
                </bottom>
                <vertical/>
                <horizontal/>
              </border>
            </x14:dxf>
          </x14:cfRule>
          <xm:sqref>H41:I41</xm:sqref>
        </x14:conditionalFormatting>
        <x14:conditionalFormatting xmlns:xm="http://schemas.microsoft.com/office/excel/2006/main">
          <x14:cfRule type="cellIs" priority="1414" operator="greaterThan" id="{73275CFE-109D-471A-A65B-A7BB5F28CE17}">
            <xm:f>Haftungsausschluß!$L$34</xm:f>
            <x14:dxf>
              <fill>
                <patternFill>
                  <bgColor theme="9" tint="0.59996337778862885"/>
                </patternFill>
              </fill>
            </x14:dxf>
          </x14:cfRule>
          <x14:cfRule type="cellIs" priority="1415" operator="lessThan" id="{3960C0B8-D714-4A1E-927E-EED8FF4FFBCC}">
            <xm:f>Haftungsausschluß!$L$34</xm:f>
            <x14:dxf>
              <fill>
                <patternFill>
                  <bgColor rgb="FFFF7C80"/>
                </patternFill>
              </fill>
            </x14:dxf>
          </x14:cfRule>
          <xm:sqref>X30 X35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6D877-98FB-42AB-86D5-508B0BD08003}">
  <sheetPr codeName="Tabelle30"/>
  <dimension ref="A1:AP56"/>
  <sheetViews>
    <sheetView showGridLines="0" workbookViewId="0">
      <selection activeCell="D16" sqref="D16:I16"/>
    </sheetView>
  </sheetViews>
  <sheetFormatPr baseColWidth="10" defaultColWidth="0" defaultRowHeight="12.75" zeroHeight="1"/>
  <cols>
    <col min="1" max="25" width="5.7109375" style="21" customWidth="1"/>
    <col min="26" max="26" width="255.7109375" style="21" hidden="1" customWidth="1"/>
    <col min="27" max="27" width="9.140625" style="21" hidden="1" customWidth="1"/>
    <col min="28" max="28" width="11.85546875" style="21" hidden="1" customWidth="1"/>
    <col min="29" max="31" width="5.7109375" style="21" hidden="1" customWidth="1"/>
    <col min="32" max="32" width="11.42578125" style="21" hidden="1" customWidth="1"/>
    <col min="33" max="33" width="22.42578125" style="21" hidden="1" customWidth="1"/>
    <col min="34" max="34" width="11.42578125" style="21" hidden="1" customWidth="1"/>
    <col min="35" max="36" width="6.28515625" style="21" hidden="1" customWidth="1"/>
    <col min="37" max="37" width="5" style="21" hidden="1" customWidth="1"/>
    <col min="38" max="38" width="2.85546875" style="21" hidden="1" customWidth="1"/>
    <col min="39" max="42" width="0" style="21" hidden="1" customWidth="1"/>
    <col min="43" max="16384" width="11.42578125" style="21" hidden="1"/>
  </cols>
  <sheetData>
    <row r="1" spans="3:35" ht="20.25">
      <c r="Y1" s="47" t="str">
        <f>VLOOKUP(1780,Sprachindex!$A:$Z,Erhebungsbogen!$Y$20,FALSE)</f>
        <v>PREFA HOCHWASSERSCHUTZ SYSTEM</v>
      </c>
    </row>
    <row r="2" spans="3:35">
      <c r="Y2" s="41" t="str">
        <f>VLOOKUP(1741,Sprachindex!$A:$Z,Erhebungsbogen!$Y$20,FALSE) &amp; " 4"</f>
        <v>KALKULATION 4</v>
      </c>
    </row>
    <row r="3" spans="3:35" ht="15" customHeight="1">
      <c r="Y3" s="41"/>
    </row>
    <row r="4" spans="3:35">
      <c r="D4" s="104" t="str">
        <f>VLOOKUP(393,Sprachindex!$A:$Z,Erhebungsbogen!$Y$20,FALSE)</f>
        <v>Firma / Besteller:</v>
      </c>
      <c r="K4" s="423" t="str">
        <f>VLOOKUP(1646,Sprachindex!$A:$Z,Erhebungsbogen!$Y$20,FALSE)</f>
        <v>Beschichtung</v>
      </c>
      <c r="L4" s="424"/>
      <c r="M4" s="424"/>
      <c r="N4" s="424"/>
      <c r="O4" s="424"/>
      <c r="P4" s="424"/>
      <c r="Q4" s="425"/>
      <c r="S4" s="423" t="str">
        <f>VLOOKUP(1657,Sprachindex!$A:$Z,Erhebungsbogen!$Y$20,FALSE)</f>
        <v>Bodenhülsendeckel</v>
      </c>
      <c r="T4" s="424"/>
      <c r="U4" s="424"/>
      <c r="V4" s="424"/>
      <c r="W4" s="424"/>
      <c r="X4" s="425"/>
      <c r="AA4" s="273"/>
    </row>
    <row r="5" spans="3:35">
      <c r="C5" s="105" t="str">
        <f>VLOOKUP(622,Sprachindex!$A:$Z,Erhebungsbogen!$Y$20,FALSE)</f>
        <v>Name:</v>
      </c>
      <c r="D5" s="472">
        <f>Erhebungsbogen!F8</f>
        <v>0</v>
      </c>
      <c r="E5" s="472"/>
      <c r="F5" s="472"/>
      <c r="G5" s="472"/>
      <c r="H5" s="472"/>
      <c r="I5" s="472"/>
      <c r="K5" s="460" t="str">
        <f>VLOOKUP(625,Sprachindex!$A:$Z,Erhebungsbogen!$Y$20,FALSE)</f>
        <v>nein</v>
      </c>
      <c r="L5" s="460"/>
      <c r="M5" s="460"/>
      <c r="N5" s="460" t="str">
        <f>VLOOKUP(498,Sprachindex!$A:$Z,Erhebungsbogen!$Y$20,FALSE)</f>
        <v>ja</v>
      </c>
      <c r="O5" s="460"/>
      <c r="P5" s="460"/>
      <c r="Q5" s="460"/>
      <c r="S5" s="460" t="str">
        <f>VLOOKUP(1617,Sprachindex!$A:$Z,Erhebungsbogen!$Y$20,FALSE)</f>
        <v>Aluminium</v>
      </c>
      <c r="T5" s="460"/>
      <c r="U5" s="460"/>
      <c r="V5" s="460" t="str">
        <f>VLOOKUP(1696,Sprachindex!$A:$Z,Erhebungsbogen!$Y$20,FALSE)</f>
        <v>Edelstahl</v>
      </c>
      <c r="W5" s="460"/>
      <c r="X5" s="460"/>
      <c r="AA5" s="273">
        <f>Erhebungsbogen!S35</f>
        <v>1</v>
      </c>
      <c r="AB5" s="142" t="s">
        <v>18593</v>
      </c>
    </row>
    <row r="6" spans="3:35" ht="2.1" customHeight="1">
      <c r="C6" s="105"/>
      <c r="D6" s="27"/>
      <c r="E6" s="27"/>
      <c r="F6" s="27"/>
      <c r="G6" s="27"/>
      <c r="H6" s="27"/>
      <c r="I6" s="27"/>
      <c r="K6" s="33"/>
      <c r="L6" s="34"/>
      <c r="M6" s="34"/>
      <c r="N6" s="34"/>
      <c r="O6" s="34"/>
      <c r="P6" s="34"/>
      <c r="Q6" s="35"/>
      <c r="AA6" s="273"/>
    </row>
    <row r="7" spans="3:35">
      <c r="C7" s="105" t="str">
        <f>VLOOKUP(884,Sprachindex!$A:$Z,Erhebungsbogen!$Y$20,FALSE)</f>
        <v>Straße:</v>
      </c>
      <c r="D7" s="472">
        <f>Erhebungsbogen!F10</f>
        <v>0</v>
      </c>
      <c r="E7" s="472"/>
      <c r="F7" s="472"/>
      <c r="G7" s="472"/>
      <c r="H7" s="472"/>
      <c r="I7" s="472"/>
      <c r="K7" s="110" t="str">
        <f>VLOOKUP(1791,Sprachindex!$A:$Z,Erhebungsbogen!$Y$20,FALSE)</f>
        <v>RAL oder PREFA Farbe:</v>
      </c>
      <c r="Q7" s="37"/>
      <c r="AA7" s="273">
        <v>1</v>
      </c>
      <c r="AB7" s="142" t="s">
        <v>22065</v>
      </c>
      <c r="AH7" s="49"/>
    </row>
    <row r="8" spans="3:35" ht="2.1" customHeight="1">
      <c r="C8" s="105"/>
      <c r="D8" s="27"/>
      <c r="E8" s="27"/>
      <c r="F8" s="27"/>
      <c r="G8" s="27"/>
      <c r="H8" s="27"/>
      <c r="I8" s="27"/>
      <c r="K8" s="36"/>
      <c r="Q8" s="37"/>
      <c r="AA8" s="273"/>
    </row>
    <row r="9" spans="3:35">
      <c r="C9" s="105" t="str">
        <f>VLOOKUP(641,Sprachindex!$A:$Z,Erhebungsbogen!$Y$20,FALSE)</f>
        <v>Ort:</v>
      </c>
      <c r="D9" s="472">
        <f>Erhebungsbogen!F12</f>
        <v>0</v>
      </c>
      <c r="E9" s="472"/>
      <c r="F9" s="472"/>
      <c r="G9" s="472"/>
      <c r="H9" s="472"/>
      <c r="I9" s="472"/>
      <c r="K9" s="471"/>
      <c r="L9" s="472"/>
      <c r="M9" s="472"/>
      <c r="N9" s="472"/>
      <c r="O9" s="472"/>
      <c r="P9" s="472"/>
      <c r="Q9" s="473"/>
      <c r="S9" s="423" t="str">
        <f>VLOOKUP(1608,Sprachindex!$A:$Z,Erhebungsbogen!$Y$20,FALSE)</f>
        <v>Abdeckung</v>
      </c>
      <c r="T9" s="424"/>
      <c r="U9" s="424"/>
      <c r="V9" s="424"/>
      <c r="W9" s="424"/>
      <c r="X9" s="425"/>
      <c r="AA9" s="273">
        <v>1</v>
      </c>
      <c r="AB9" s="142" t="s">
        <v>22066</v>
      </c>
      <c r="AH9" s="49"/>
      <c r="AI9" s="49"/>
    </row>
    <row r="10" spans="3:35" ht="2.1" customHeight="1">
      <c r="C10" s="105"/>
      <c r="D10" s="27"/>
      <c r="E10" s="27"/>
      <c r="F10" s="27"/>
      <c r="G10" s="27"/>
      <c r="H10" s="27"/>
      <c r="I10" s="27"/>
      <c r="K10" s="36"/>
      <c r="Q10" s="37"/>
      <c r="S10" s="33"/>
      <c r="T10" s="35"/>
      <c r="U10" s="33"/>
      <c r="V10" s="35"/>
      <c r="W10" s="33"/>
      <c r="X10" s="35"/>
      <c r="AA10" s="273"/>
      <c r="AH10" s="49"/>
      <c r="AI10" s="49"/>
    </row>
    <row r="11" spans="3:35">
      <c r="C11" s="105" t="str">
        <f>VLOOKUP(901,Sprachindex!$A:$Z,Erhebungsbogen!$Y$20,FALSE)</f>
        <v>Telefon:</v>
      </c>
      <c r="D11" s="476">
        <f>Erhebungsbogen!F14</f>
        <v>0</v>
      </c>
      <c r="E11" s="476"/>
      <c r="F11" s="476"/>
      <c r="G11" s="476"/>
      <c r="H11" s="476"/>
      <c r="I11" s="476"/>
      <c r="K11" s="491" t="str">
        <f>VLOOKUP(2117,Sprachindex!$A:$Z,Erhebungsbogen!$Y$20,FALSE)</f>
        <v>Beschichtungsteile</v>
      </c>
      <c r="L11" s="492"/>
      <c r="M11" s="492"/>
      <c r="N11" s="492"/>
      <c r="O11" s="492"/>
      <c r="P11" s="492"/>
      <c r="Q11" s="493"/>
      <c r="S11" s="36"/>
      <c r="T11" s="37"/>
      <c r="U11" s="474" t="str">
        <f>VLOOKUP(1755,Sprachindex!$A:$Z,Erhebungsbogen!$Y$20,FALSE)</f>
        <v>Links</v>
      </c>
      <c r="V11" s="475"/>
      <c r="W11" s="474" t="str">
        <f>VLOOKUP(1792,Sprachindex!$A:$Z,Erhebungsbogen!$Y$20,FALSE)</f>
        <v>Rechts</v>
      </c>
      <c r="X11" s="475"/>
      <c r="AA11" s="273" t="b">
        <f>Erhebungsbogen!S38</f>
        <v>0</v>
      </c>
      <c r="AB11" s="142" t="s">
        <v>22067</v>
      </c>
      <c r="AH11" s="49"/>
      <c r="AI11" s="49"/>
    </row>
    <row r="12" spans="3:35" ht="2.1" customHeight="1">
      <c r="C12" s="105"/>
      <c r="D12" s="27"/>
      <c r="E12" s="27"/>
      <c r="F12" s="27"/>
      <c r="G12" s="27"/>
      <c r="H12" s="27"/>
      <c r="I12" s="27"/>
      <c r="K12" s="36"/>
      <c r="Q12" s="37"/>
      <c r="S12" s="43"/>
      <c r="T12" s="38"/>
      <c r="U12" s="43"/>
      <c r="V12" s="38"/>
      <c r="W12" s="43"/>
      <c r="X12" s="38"/>
      <c r="AA12" s="273"/>
    </row>
    <row r="13" spans="3:35">
      <c r="C13" s="105" t="str">
        <f>VLOOKUP(1698,Sprachindex!$A:$Z,Erhebungsbogen!$Y$20,FALSE)</f>
        <v>eMail:</v>
      </c>
      <c r="D13" s="472">
        <f>Erhebungsbogen!F16</f>
        <v>0</v>
      </c>
      <c r="E13" s="472"/>
      <c r="F13" s="472"/>
      <c r="G13" s="472"/>
      <c r="H13" s="472"/>
      <c r="I13" s="472"/>
      <c r="K13" s="494" t="str">
        <f>VLOOKUP(1608,Sprachindex!$A:$Z,Erhebungsbogen!$Y$20,FALSE)</f>
        <v>Abdeckung</v>
      </c>
      <c r="L13" s="494"/>
      <c r="M13" s="495"/>
      <c r="N13" s="498" t="str">
        <f>VLOOKUP(1659,Sprachindex!$A:$Z,Erhebungsbogen!$Y$20,FALSE) &amp; " (≤ 3 m)"</f>
        <v>Dammbalken (≤ 3 m)</v>
      </c>
      <c r="O13" s="494"/>
      <c r="P13" s="494"/>
      <c r="Q13" s="494"/>
      <c r="S13" s="110" t="str">
        <f>VLOOKUP(1742,Sprachindex!$A:$Z,Erhebungsbogen!$Y$20,FALSE)</f>
        <v>keine</v>
      </c>
      <c r="T13" s="329"/>
      <c r="U13" s="110"/>
      <c r="V13" s="329"/>
      <c r="W13" s="110"/>
      <c r="X13" s="329"/>
      <c r="AA13" s="273" t="b">
        <f>Erhebungsbogen!S39</f>
        <v>0</v>
      </c>
      <c r="AB13" s="142" t="s">
        <v>22068</v>
      </c>
      <c r="AH13" s="49"/>
      <c r="AI13" s="49"/>
    </row>
    <row r="14" spans="3:35" ht="2.1" customHeight="1">
      <c r="C14" s="105"/>
      <c r="D14" s="27"/>
      <c r="E14" s="27"/>
      <c r="F14" s="27"/>
      <c r="G14" s="27"/>
      <c r="H14" s="27"/>
      <c r="I14" s="27"/>
      <c r="K14" s="62"/>
      <c r="L14" s="63"/>
      <c r="M14" s="63"/>
      <c r="N14" s="63"/>
      <c r="O14" s="63"/>
      <c r="P14" s="103"/>
      <c r="Q14" s="64"/>
      <c r="S14" s="36"/>
      <c r="T14" s="37"/>
      <c r="U14" s="36"/>
      <c r="V14" s="37"/>
      <c r="W14" s="36"/>
      <c r="X14" s="37"/>
      <c r="AA14" s="273"/>
      <c r="AH14" s="49"/>
      <c r="AI14" s="49"/>
    </row>
    <row r="15" spans="3:35">
      <c r="C15" s="105" t="str">
        <f>VLOOKUP(203,Sprachindex!$A:$Z,Erhebungsbogen!$Y$20,FALSE)</f>
        <v>Bauvorhaben:</v>
      </c>
      <c r="D15" s="472">
        <f>Erhebungsbogen!F18</f>
        <v>0</v>
      </c>
      <c r="E15" s="472"/>
      <c r="F15" s="472"/>
      <c r="G15" s="472"/>
      <c r="H15" s="472"/>
      <c r="I15" s="472"/>
      <c r="K15" s="496" t="str">
        <f>VLOOKUP(1811,Sprachindex!$A:$Z,Erhebungsbogen!$Y$20,FALSE)</f>
        <v>Seitenteile</v>
      </c>
      <c r="L15" s="496"/>
      <c r="M15" s="497"/>
      <c r="N15" s="499" t="str">
        <f>VLOOKUP(1751,Sprachindex!$A:$Z,Erhebungsbogen!$Y$20,FALSE)</f>
        <v>Lagerabdeckung</v>
      </c>
      <c r="O15" s="496"/>
      <c r="P15" s="496"/>
      <c r="Q15" s="496"/>
      <c r="S15" s="110" t="str">
        <f>VLOOKUP(1715,Sprachindex!$A:$Z,Erhebungsbogen!$Y$20,FALSE)</f>
        <v>Gerade V</v>
      </c>
      <c r="T15" s="329"/>
      <c r="U15" s="110"/>
      <c r="V15" s="329"/>
      <c r="W15" s="110"/>
      <c r="X15" s="329"/>
      <c r="AA15" s="273" t="b">
        <f>Erhebungsbogen!S40</f>
        <v>0</v>
      </c>
      <c r="AB15" s="142" t="s">
        <v>22069</v>
      </c>
      <c r="AH15" s="49"/>
      <c r="AI15" s="49"/>
    </row>
    <row r="16" spans="3:35">
      <c r="C16" s="105" t="str">
        <f>VLOOKUP(660,Sprachindex!$A:$Z,Erhebungsbogen!$Y$20,FALSE)</f>
        <v>Pos.</v>
      </c>
      <c r="D16" s="472"/>
      <c r="E16" s="472"/>
      <c r="F16" s="472"/>
      <c r="G16" s="472"/>
      <c r="H16" s="472"/>
      <c r="I16" s="472"/>
      <c r="S16" s="327" t="str">
        <f>VLOOKUP(1022,Sprachindex!$A:$Z,Erhebungsbogen!$Y$20,FALSE) &amp; " VO"</f>
        <v>Winkel VO</v>
      </c>
      <c r="T16" s="328"/>
      <c r="U16" s="327"/>
      <c r="V16" s="328"/>
      <c r="W16" s="327"/>
      <c r="X16" s="328"/>
      <c r="AA16" s="273" t="b">
        <f>Erhebungsbogen!S41</f>
        <v>0</v>
      </c>
      <c r="AB16" s="142" t="s">
        <v>22070</v>
      </c>
      <c r="AG16" s="67"/>
      <c r="AH16" s="49"/>
      <c r="AI16" s="49"/>
    </row>
    <row r="17" spans="2:38">
      <c r="B17" s="423" t="str">
        <f>VLOOKUP(1768,Sprachindex!$A:$Z,Erhebungsbogen!$Y$20,FALSE)</f>
        <v>Montageart</v>
      </c>
      <c r="C17" s="424"/>
      <c r="D17" s="424"/>
      <c r="E17" s="424"/>
      <c r="F17" s="424"/>
      <c r="G17" s="424"/>
      <c r="H17" s="424"/>
      <c r="I17" s="425"/>
      <c r="K17" s="423" t="str">
        <f>VLOOKUP(1793,Sprachindex!$A:$Z,Erhebungsbogen!$Y$20,FALSE)</f>
        <v>Rundprofil</v>
      </c>
      <c r="L17" s="424"/>
      <c r="M17" s="424"/>
      <c r="N17" s="424"/>
      <c r="O17" s="424"/>
      <c r="P17" s="424"/>
      <c r="Q17" s="425"/>
      <c r="AA17" s="273">
        <v>1</v>
      </c>
      <c r="AB17" s="21" t="s">
        <v>22071</v>
      </c>
      <c r="AH17" s="49"/>
      <c r="AI17" s="68"/>
    </row>
    <row r="18" spans="2:38" ht="12.75" customHeight="1">
      <c r="B18" s="432" t="str">
        <f>VLOOKUP(1755,Sprachindex!$A:$Z,Erhebungsbogen!$Y$20,FALSE)</f>
        <v>Links</v>
      </c>
      <c r="C18" s="432"/>
      <c r="D18" s="432"/>
      <c r="E18" s="432"/>
      <c r="F18" s="432" t="str">
        <f>VLOOKUP(1792,Sprachindex!$A:$Z,Erhebungsbogen!$Y$20,FALSE)</f>
        <v>Rechts</v>
      </c>
      <c r="G18" s="432"/>
      <c r="H18" s="432"/>
      <c r="I18" s="432"/>
      <c r="K18" s="506" t="str">
        <f>VLOOKUP(1793,Sprachindex!$A:$Z,Erhebungsbogen!$Y$20,FALSE)</f>
        <v>Rundprofil</v>
      </c>
      <c r="L18" s="507"/>
      <c r="M18" s="507"/>
      <c r="N18" s="507"/>
      <c r="O18" s="35"/>
      <c r="P18" s="34"/>
      <c r="Q18" s="35"/>
      <c r="S18" s="423" t="str">
        <f>VLOOKUP(2119,Sprachindex!$A:$Z,Erhebungsbogen!$Y$20,FALSE)</f>
        <v>Systemwahl</v>
      </c>
      <c r="T18" s="424"/>
      <c r="U18" s="424"/>
      <c r="V18" s="424"/>
      <c r="W18" s="424"/>
      <c r="X18" s="425"/>
      <c r="AA18" s="322">
        <v>1</v>
      </c>
      <c r="AB18" s="323" t="s">
        <v>22639</v>
      </c>
      <c r="AC18" s="324"/>
      <c r="AD18" s="324"/>
      <c r="AE18" s="324"/>
      <c r="AF18" s="325">
        <v>1</v>
      </c>
      <c r="AG18" s="326" t="s">
        <v>22640</v>
      </c>
      <c r="AH18" s="49"/>
      <c r="AI18" s="49"/>
    </row>
    <row r="19" spans="2:38">
      <c r="B19" s="33"/>
      <c r="C19" s="34"/>
      <c r="D19" s="34"/>
      <c r="E19" s="35"/>
      <c r="F19" s="33"/>
      <c r="G19" s="34"/>
      <c r="H19" s="34"/>
      <c r="I19" s="35"/>
      <c r="K19" s="500" t="str">
        <f>VLOOKUP(1809,Sprachindex!$A:$Z,Erhebungsbogen!$Y$20,FALSE)</f>
        <v>Rundprofil Groß</v>
      </c>
      <c r="L19" s="501"/>
      <c r="M19" s="501"/>
      <c r="N19" s="501"/>
      <c r="O19" s="38"/>
      <c r="Q19" s="37"/>
      <c r="S19" s="432" t="str">
        <f>VLOOKUP(1844,Sprachindex!$A:$Z,Erhebungsbogen!$Y$20,FALSE)</f>
        <v>System 25:</v>
      </c>
      <c r="T19" s="432"/>
      <c r="U19" s="432" t="str">
        <f>VLOOKUP(1846,Sprachindex!$A:$Z,Erhebungsbogen!$Y$20,FALSE)</f>
        <v>System 50:</v>
      </c>
      <c r="V19" s="432"/>
      <c r="W19" s="432" t="str">
        <f>VLOOKUP(1847,Sprachindex!$A:$Z,Erhebungsbogen!$Y$20,FALSE)</f>
        <v>System 80:</v>
      </c>
      <c r="X19" s="432"/>
      <c r="AA19" s="273">
        <v>3</v>
      </c>
      <c r="AB19" s="21" t="s">
        <v>22072</v>
      </c>
    </row>
    <row r="20" spans="2:38">
      <c r="B20" s="36"/>
      <c r="E20" s="37"/>
      <c r="F20" s="36"/>
      <c r="I20" s="37"/>
      <c r="K20" s="467" t="str">
        <f>VLOOKUP(1808,Sprachindex!$A:$Z,Erhebungsbogen!$Y$20,FALSE)</f>
        <v>Rundprofil 90°</v>
      </c>
      <c r="L20" s="468"/>
      <c r="M20" s="468"/>
      <c r="N20" s="469"/>
      <c r="O20" s="279"/>
      <c r="Q20" s="37"/>
      <c r="S20" s="460" t="s">
        <v>21826</v>
      </c>
      <c r="T20" s="460"/>
      <c r="U20" s="460" t="s">
        <v>21828</v>
      </c>
      <c r="V20" s="460"/>
      <c r="W20" s="460" t="s">
        <v>21826</v>
      </c>
      <c r="X20" s="460"/>
      <c r="AA20" s="273">
        <v>1</v>
      </c>
      <c r="AB20" s="21" t="s">
        <v>22073</v>
      </c>
    </row>
    <row r="21" spans="2:38">
      <c r="B21" s="36"/>
      <c r="E21" s="37"/>
      <c r="F21" s="36"/>
      <c r="I21" s="37"/>
      <c r="K21" s="464" t="str">
        <f>VLOOKUP(1810,Sprachindex!$A:$Z,Erhebungsbogen!$Y$20,FALSE)</f>
        <v>Rundprofil Vario</v>
      </c>
      <c r="L21" s="465"/>
      <c r="M21" s="466"/>
      <c r="N21" s="281"/>
      <c r="O21" s="277"/>
      <c r="P21" s="39"/>
      <c r="Q21" s="38"/>
      <c r="S21" s="460" t="s">
        <v>21827</v>
      </c>
      <c r="T21" s="460"/>
      <c r="U21" s="460" t="s">
        <v>21829</v>
      </c>
      <c r="V21" s="460"/>
      <c r="W21" s="460" t="s">
        <v>21830</v>
      </c>
      <c r="X21" s="460"/>
      <c r="AA21" s="273" t="b">
        <v>0</v>
      </c>
      <c r="AB21" s="21" t="s">
        <v>22074</v>
      </c>
      <c r="AG21" s="42" t="s">
        <v>21831</v>
      </c>
    </row>
    <row r="22" spans="2:38">
      <c r="B22" s="43"/>
      <c r="C22" s="39"/>
      <c r="D22" s="39"/>
      <c r="E22" s="38"/>
      <c r="F22" s="36"/>
      <c r="I22" s="37"/>
      <c r="AA22" s="273" t="b">
        <v>0</v>
      </c>
      <c r="AB22" s="21" t="s">
        <v>22075</v>
      </c>
      <c r="AG22" s="44" t="str">
        <f>IF(AA19=1,"","15°")</f>
        <v>15°</v>
      </c>
    </row>
    <row r="23" spans="2:38">
      <c r="B23" s="338" t="str">
        <f>VLOOKUP(1867,Sprachindex!$A:$Z,Erhebungsbogen!$Y$20,FALSE)</f>
        <v>Vor der Leibung</v>
      </c>
      <c r="C23" s="34"/>
      <c r="D23" s="34"/>
      <c r="E23" s="35"/>
      <c r="F23" s="339" t="str">
        <f>VLOOKUP(1867,Sprachindex!$A:$Z,Erhebungsbogen!$Y$20,FALSE)</f>
        <v>Vor der Leibung</v>
      </c>
      <c r="I23" s="37"/>
      <c r="K23" s="423" t="str">
        <f>VLOOKUP(1815,Sprachindex!$A:$Z,Erhebungsbogen!$Y$20,FALSE)</f>
        <v>Sonderkosten</v>
      </c>
      <c r="L23" s="424"/>
      <c r="M23" s="424"/>
      <c r="N23" s="424"/>
      <c r="O23" s="424"/>
      <c r="P23" s="424"/>
      <c r="Q23" s="424"/>
      <c r="R23" s="424"/>
      <c r="S23" s="424"/>
      <c r="T23" s="424"/>
      <c r="U23" s="424"/>
      <c r="V23" s="424"/>
      <c r="W23" s="424"/>
      <c r="X23" s="425"/>
      <c r="AA23" s="273" t="b">
        <v>0</v>
      </c>
      <c r="AB23" s="21" t="s">
        <v>22076</v>
      </c>
      <c r="AG23" s="44" t="str">
        <f>IF(AA19=1,"","30°")</f>
        <v>30°</v>
      </c>
    </row>
    <row r="24" spans="2:38">
      <c r="B24" s="102" t="str">
        <f>VLOOKUP(1739,Sprachindex!$A:$Z,Erhebungsbogen!$Y$20,FALSE)</f>
        <v>In der Leibung</v>
      </c>
      <c r="C24" s="45"/>
      <c r="D24" s="45"/>
      <c r="E24" s="46"/>
      <c r="F24" s="99" t="str">
        <f>VLOOKUP(1739,Sprachindex!$A:$Z,Erhebungsbogen!$Y$20,FALSE)</f>
        <v>In der Leibung</v>
      </c>
      <c r="G24" s="45"/>
      <c r="H24" s="45"/>
      <c r="I24" s="46"/>
      <c r="K24" s="462" t="str">
        <f>VLOOKUP(2259,Sprachindex!$A:$Z,Erhebungsbogen!$Y$20,FALSE)</f>
        <v>Ausfräsungen Dammbalken</v>
      </c>
      <c r="L24" s="463"/>
      <c r="M24" s="463"/>
      <c r="N24" s="463"/>
      <c r="O24" s="463"/>
      <c r="P24" s="109" t="s">
        <v>20872</v>
      </c>
      <c r="Q24" s="274"/>
      <c r="R24" s="462" t="str">
        <f>VLOOKUP(1629,Sprachindex!$A:$Z,Erhebungsbogen!$Y$20,FALSE)</f>
        <v>Ausfräsung Seitenteile für DB</v>
      </c>
      <c r="S24" s="463"/>
      <c r="T24" s="463"/>
      <c r="U24" s="463"/>
      <c r="V24" s="463"/>
      <c r="W24" s="109" t="s">
        <v>20872</v>
      </c>
      <c r="X24" s="276"/>
      <c r="AA24" s="273" t="b">
        <v>0</v>
      </c>
      <c r="AB24" s="21" t="s">
        <v>22077</v>
      </c>
      <c r="AG24" s="32" t="str">
        <f>IF(AA19=1,"","45°")</f>
        <v>45°</v>
      </c>
    </row>
    <row r="25" spans="2:38">
      <c r="B25" s="101" t="str">
        <f>VLOOKUP(1658,Sprachindex!$A:$Z,Erhebungsbogen!$Y$20,FALSE)</f>
        <v>Bündig</v>
      </c>
      <c r="C25" s="39"/>
      <c r="D25" s="39"/>
      <c r="E25" s="38"/>
      <c r="F25" s="100" t="str">
        <f>VLOOKUP(1658,Sprachindex!$A:$Z,Erhebungsbogen!$Y$20,FALSE)</f>
        <v>Bündig</v>
      </c>
      <c r="G25" s="39"/>
      <c r="H25" s="39"/>
      <c r="I25" s="38"/>
      <c r="K25" s="434" t="str">
        <f>VLOOKUP(1753,Sprachindex!$A:$Z,Erhebungsbogen!$Y$20,FALSE)</f>
        <v>Längenänderung Seitenteile</v>
      </c>
      <c r="L25" s="435"/>
      <c r="M25" s="435"/>
      <c r="N25" s="435"/>
      <c r="O25" s="435"/>
      <c r="P25" s="108" t="s">
        <v>20872</v>
      </c>
      <c r="Q25" s="275"/>
      <c r="R25" s="434" t="str">
        <f>VLOOKUP(1627,Sprachindex!$A:$Z,Erhebungsbogen!$Y$20,FALSE)</f>
        <v>Aufpreis Planungsstunde</v>
      </c>
      <c r="S25" s="435"/>
      <c r="T25" s="435"/>
      <c r="U25" s="435"/>
      <c r="V25" s="435"/>
      <c r="W25" s="108" t="s">
        <v>20848</v>
      </c>
      <c r="X25" s="277"/>
      <c r="AA25" s="273" t="b">
        <v>0</v>
      </c>
      <c r="AB25" s="21" t="s">
        <v>21834</v>
      </c>
      <c r="AG25" s="32" t="str">
        <f>IF(AA19=1,"","60°")</f>
        <v>60°</v>
      </c>
    </row>
    <row r="26" spans="2:38">
      <c r="AA26" s="273" t="b">
        <v>0</v>
      </c>
      <c r="AB26" s="21" t="s">
        <v>21835</v>
      </c>
      <c r="AG26" s="32" t="str">
        <f>IF(OR(AA19=2,AA19=3),"75°","")</f>
        <v>75°</v>
      </c>
      <c r="AI26" s="95">
        <f>26+$AA$7</f>
        <v>27</v>
      </c>
      <c r="AJ26" s="95"/>
      <c r="AK26" s="95"/>
      <c r="AL26" s="95"/>
    </row>
    <row r="27" spans="2:38">
      <c r="B27" s="423" t="str">
        <f>VLOOKUP(1671,Sprachindex!$A:$Z,Erhebungsbogen!$Y$20,FALSE)</f>
        <v>Dateneingabe</v>
      </c>
      <c r="C27" s="424"/>
      <c r="D27" s="424"/>
      <c r="E27" s="424"/>
      <c r="F27" s="424"/>
      <c r="G27" s="424"/>
      <c r="H27" s="424"/>
      <c r="I27" s="425"/>
      <c r="K27" s="423" t="str">
        <f>VLOOKUP(1872,Sprachindex!$A:$Z,Erhebungsbogen!$Y$20,FALSE)</f>
        <v>Zubehör</v>
      </c>
      <c r="L27" s="424"/>
      <c r="M27" s="424"/>
      <c r="N27" s="424"/>
      <c r="O27" s="424"/>
      <c r="P27" s="424"/>
      <c r="Q27" s="425"/>
      <c r="AA27" s="273" t="b">
        <f>IF(AND(AA37=1,H28&gt;0,H29&gt;0),TRUE,FALSE)</f>
        <v>0</v>
      </c>
      <c r="AB27" s="142" t="s">
        <v>20650</v>
      </c>
    </row>
    <row r="28" spans="2:38">
      <c r="B28" s="482" t="str">
        <f>VLOOKUP(1754,Sprachindex!$A:$Z,Erhebungsbogen!$Y$20,FALSE)</f>
        <v>Lichteweite [mm]:</v>
      </c>
      <c r="C28" s="483"/>
      <c r="D28" s="483"/>
      <c r="E28" s="483"/>
      <c r="F28" s="483"/>
      <c r="G28" s="484"/>
      <c r="H28" s="449"/>
      <c r="I28" s="450"/>
      <c r="K28" s="462" t="str">
        <f>VLOOKUP(1814,Sprachindex!$A:$Z,Erhebungsbogen!$Y$20,FALSE)</f>
        <v>Sicherungsschraube für Abdeckung</v>
      </c>
      <c r="L28" s="463"/>
      <c r="M28" s="463"/>
      <c r="N28" s="463"/>
      <c r="O28" s="463"/>
      <c r="P28" s="504"/>
      <c r="Q28" s="505"/>
      <c r="S28" s="444" t="s">
        <v>22591</v>
      </c>
      <c r="T28" s="444"/>
      <c r="U28" s="444"/>
      <c r="V28" s="444"/>
      <c r="W28" s="444"/>
      <c r="X28" s="444"/>
      <c r="Z28" s="319" t="e">
        <f>IF(AND(W29&lt;100%,W31&lt;100%,X30&gt;=Haftungsausschluß!L34),1,0)</f>
        <v>#DIV/0!</v>
      </c>
      <c r="AA28" s="273" t="b">
        <f>IF(AND(AA37=2,H28&gt;0,H29&gt;0),TRUE,FALSE)</f>
        <v>0</v>
      </c>
      <c r="AB28" s="142" t="s">
        <v>20623</v>
      </c>
    </row>
    <row r="29" spans="2:38">
      <c r="B29" s="452" t="str">
        <f>VLOOKUP(1834,Sprachindex!$A:$Z,Erhebungsbogen!$Y$20,FALSE)</f>
        <v>Stauhöhe (BHW) [mm]:</v>
      </c>
      <c r="C29" s="453"/>
      <c r="D29" s="453"/>
      <c r="E29" s="453"/>
      <c r="F29" s="453"/>
      <c r="G29" s="454"/>
      <c r="H29" s="485"/>
      <c r="I29" s="486"/>
      <c r="K29" s="421" t="str">
        <f>VLOOKUP(2120,Sprachindex!$A:$Z,Erhebungsbogen!$Y$20,FALSE)</f>
        <v>Niederhalter Dammbalken</v>
      </c>
      <c r="L29" s="422"/>
      <c r="M29" s="422"/>
      <c r="N29" s="422"/>
      <c r="O29" s="422"/>
      <c r="P29" s="106" t="s">
        <v>20872</v>
      </c>
      <c r="Q29" s="278"/>
      <c r="S29" s="432" t="str">
        <f>VLOOKUP(1853,Sprachindex!$A:$Z,Erhebungsbogen!$Y$20,FALSE)</f>
        <v>Tragsicherheitsauslastung</v>
      </c>
      <c r="T29" s="432"/>
      <c r="U29" s="432"/>
      <c r="V29" s="432"/>
      <c r="W29" s="443" t="e">
        <f>Kalk4_Eingabe!I54</f>
        <v>#DIV/0!</v>
      </c>
      <c r="X29" s="443"/>
      <c r="AA29" s="273" t="b">
        <f>Erhebungsbogen!S43</f>
        <v>0</v>
      </c>
      <c r="AB29" s="142" t="s">
        <v>21822</v>
      </c>
    </row>
    <row r="30" spans="2:38">
      <c r="B30" s="317"/>
      <c r="C30" s="45"/>
      <c r="D30" s="45"/>
      <c r="E30" s="45"/>
      <c r="F30" s="45"/>
      <c r="G30" s="45"/>
      <c r="H30" s="318"/>
      <c r="I30" s="46"/>
      <c r="K30" s="421" t="str">
        <f>VLOOKUP(1819,Sprachindex!$A:$Z,Erhebungsbogen!$Y$20,FALSE)</f>
        <v>Spannstück mit Sterngriff</v>
      </c>
      <c r="L30" s="422"/>
      <c r="M30" s="422"/>
      <c r="N30" s="422"/>
      <c r="O30" s="422"/>
      <c r="P30" s="446"/>
      <c r="Q30" s="451"/>
      <c r="S30" s="427" t="str">
        <f>VLOOKUP(1688,Sprachindex!$A:$Z,Erhebungsbogen!$Y$20,FALSE)</f>
        <v>Durchbiegung</v>
      </c>
      <c r="T30" s="427"/>
      <c r="U30" s="427"/>
      <c r="V30" s="427"/>
      <c r="W30" s="251" t="s">
        <v>22590</v>
      </c>
      <c r="X30" s="252">
        <f>Kalk4_Eingabe!J55</f>
        <v>176753777.77777779</v>
      </c>
      <c r="AA30" s="273" t="b">
        <f>Erhebungsbogen!S44</f>
        <v>0</v>
      </c>
      <c r="AB30" s="142" t="s">
        <v>21836</v>
      </c>
    </row>
    <row r="31" spans="2:38">
      <c r="B31" s="452" t="str">
        <f>VLOOKUP(1714,Sprachindex!$A:$Z,Erhebungsbogen!$Y$20,FALSE)</f>
        <v>Freibord [mm]:</v>
      </c>
      <c r="C31" s="453"/>
      <c r="D31" s="453"/>
      <c r="E31" s="453"/>
      <c r="F31" s="453"/>
      <c r="G31" s="454"/>
      <c r="H31" s="485"/>
      <c r="I31" s="486"/>
      <c r="K31" s="421" t="str">
        <f>VLOOKUP(1817,Sprachindex!$A:$Z,Erhebungsbogen!$Y$20,FALSE)</f>
        <v>Spannstück mit 6-Kantschraube</v>
      </c>
      <c r="L31" s="422"/>
      <c r="M31" s="422"/>
      <c r="N31" s="422"/>
      <c r="O31" s="422"/>
      <c r="P31" s="422"/>
      <c r="Q31" s="451"/>
      <c r="S31" s="427" t="str">
        <f>VLOOKUP(1761,Sprachindex!$A:$Z,Erhebungsbogen!$Y$20,FALSE)</f>
        <v>mit Treibgut</v>
      </c>
      <c r="T31" s="427"/>
      <c r="U31" s="427"/>
      <c r="V31" s="427"/>
      <c r="W31" s="443" t="e">
        <f>Kalk4_Eingabe!I56</f>
        <v>#DIV/0!</v>
      </c>
      <c r="X31" s="443"/>
      <c r="AA31" s="273" t="b">
        <f>Erhebungsbogen!S45</f>
        <v>0</v>
      </c>
      <c r="AB31" s="142" t="s">
        <v>19831</v>
      </c>
      <c r="AG31" s="27" t="s">
        <v>21837</v>
      </c>
      <c r="AH31" s="27"/>
      <c r="AI31" s="27"/>
      <c r="AJ31" s="27"/>
      <c r="AK31" s="27"/>
    </row>
    <row r="32" spans="2:38">
      <c r="B32" s="452" t="str">
        <f>VLOOKUP(1621,Sprachindex!$A:$Z,Erhebungsbogen!$Y$20,FALSE)</f>
        <v>Anströmwinkel [°]:</v>
      </c>
      <c r="C32" s="453"/>
      <c r="D32" s="453"/>
      <c r="E32" s="453"/>
      <c r="F32" s="453"/>
      <c r="G32" s="454"/>
      <c r="H32" s="485"/>
      <c r="I32" s="486"/>
      <c r="K32" s="421" t="str">
        <f>VLOOKUP(1675,Sprachindex!$A:$Z,Erhebungsbogen!$Y$20,FALSE)</f>
        <v>Dauerbodendichtung:</v>
      </c>
      <c r="L32" s="422"/>
      <c r="M32" s="422"/>
      <c r="N32" s="422"/>
      <c r="O32" s="422"/>
      <c r="P32" s="422"/>
      <c r="Q32" s="451"/>
      <c r="S32" s="27"/>
      <c r="T32" s="27"/>
      <c r="U32" s="27"/>
      <c r="V32" s="27"/>
      <c r="W32" s="27"/>
      <c r="X32" s="27"/>
      <c r="AA32" s="273" t="b">
        <f>IF(H33&gt;1,TRUE,FALSE)</f>
        <v>0</v>
      </c>
      <c r="AB32" s="21" t="s">
        <v>22064</v>
      </c>
      <c r="AG32" s="27" t="s">
        <v>21844</v>
      </c>
      <c r="AH32" s="27"/>
      <c r="AI32" s="27"/>
      <c r="AJ32" s="27"/>
      <c r="AK32" s="27"/>
    </row>
    <row r="33" spans="1:37">
      <c r="B33" s="455" t="str">
        <f>VLOOKUP(1623,Sprachindex!$A:$Z,Erhebungsbogen!$Y$20,FALSE)</f>
        <v>Anzahl der Felder:</v>
      </c>
      <c r="C33" s="456"/>
      <c r="D33" s="456"/>
      <c r="E33" s="456"/>
      <c r="F33" s="456"/>
      <c r="G33" s="457"/>
      <c r="H33" s="489">
        <v>1</v>
      </c>
      <c r="I33" s="490"/>
      <c r="K33" s="421" t="str">
        <f>VLOOKUP(1724,Sprachindex!$A:$Z,Erhebungsbogen!$Y$20,FALSE)</f>
        <v>Halterung für Dammbalken</v>
      </c>
      <c r="L33" s="422"/>
      <c r="M33" s="422"/>
      <c r="N33" s="422"/>
      <c r="O33" s="422"/>
      <c r="P33" s="422"/>
      <c r="Q33" s="451"/>
      <c r="S33" s="444" t="s">
        <v>22589</v>
      </c>
      <c r="T33" s="444"/>
      <c r="U33" s="444"/>
      <c r="V33" s="444"/>
      <c r="W33" s="444"/>
      <c r="X33" s="444"/>
      <c r="AA33" s="273" t="b">
        <v>0</v>
      </c>
      <c r="AB33" s="21" t="s">
        <v>19014</v>
      </c>
      <c r="AG33" s="27" t="s">
        <v>21843</v>
      </c>
      <c r="AH33" s="51">
        <f>H28</f>
        <v>0</v>
      </c>
      <c r="AI33" s="345" t="s">
        <v>25455</v>
      </c>
      <c r="AJ33" s="345" t="s">
        <v>25454</v>
      </c>
      <c r="AK33" s="345" t="s">
        <v>25453</v>
      </c>
    </row>
    <row r="34" spans="1:37">
      <c r="B34" s="479" t="str">
        <f>VLOOKUP(1702,Sprachindex!$A:$Z,Erhebungsbogen!$Y$20,FALSE)</f>
        <v>erf. Profilhöhe f. Spanner:</v>
      </c>
      <c r="C34" s="480"/>
      <c r="D34" s="480"/>
      <c r="E34" s="480"/>
      <c r="F34" s="480"/>
      <c r="G34" s="481"/>
      <c r="H34" s="487">
        <f>AH50</f>
        <v>120</v>
      </c>
      <c r="I34" s="488"/>
      <c r="K34" s="421" t="str">
        <f>VLOOKUP(1751,Sprachindex!$A:$Z,Erhebungsbogen!$Y$20,FALSE)</f>
        <v>Lagerabdeckung</v>
      </c>
      <c r="L34" s="422"/>
      <c r="M34" s="422"/>
      <c r="N34" s="422"/>
      <c r="O34" s="422"/>
      <c r="P34" s="461"/>
      <c r="Q34" s="451"/>
      <c r="S34" s="432" t="str">
        <f>VLOOKUP(1853,Sprachindex!$A:$Z,Erhebungsbogen!$Y$20,FALSE)</f>
        <v>Tragsicherheitsauslastung</v>
      </c>
      <c r="T34" s="432"/>
      <c r="U34" s="432"/>
      <c r="V34" s="432"/>
      <c r="W34" s="443" t="e">
        <f>Kalk4_Eingabe!I59</f>
        <v>#NUM!</v>
      </c>
      <c r="X34" s="443"/>
      <c r="Z34" s="319" t="e">
        <f>IF(AND(W34&lt;100%,W36&lt;100%,X35&gt;=Haftungsausschluß!L35),1,0)</f>
        <v>#NUM!</v>
      </c>
      <c r="AA34" s="273" t="b">
        <v>0</v>
      </c>
      <c r="AB34" s="21" t="s">
        <v>19027</v>
      </c>
      <c r="AG34" s="27" t="s">
        <v>21840</v>
      </c>
      <c r="AH34" s="51">
        <f>IF(AA7=1,AI34,IF(AA7=2,AJ34,IF(AA7=3,AK34)))</f>
        <v>39</v>
      </c>
      <c r="AI34" s="343">
        <f>IF(AA19=1,33.5,39)</f>
        <v>39</v>
      </c>
      <c r="AJ34" s="343">
        <f>IF(AA19=1,-21.5,-30)</f>
        <v>-30</v>
      </c>
      <c r="AK34" s="343">
        <f>IF(AA19=1,28.5,34)</f>
        <v>34</v>
      </c>
    </row>
    <row r="35" spans="1:37">
      <c r="H35" s="426">
        <f>IF(AA19=1,1,H33)</f>
        <v>1</v>
      </c>
      <c r="I35" s="426"/>
      <c r="K35" s="421" t="str">
        <f>VLOOKUP(1727,Sprachindex!$A:$Z,Erhebungsbogen!$Y$20,FALSE)</f>
        <v>Hebehilfe</v>
      </c>
      <c r="L35" s="422"/>
      <c r="M35" s="422"/>
      <c r="N35" s="422"/>
      <c r="O35" s="422"/>
      <c r="P35" s="106" t="s">
        <v>20872</v>
      </c>
      <c r="Q35" s="278">
        <v>1</v>
      </c>
      <c r="S35" s="427" t="str">
        <f>VLOOKUP(1688,Sprachindex!$A:$Z,Erhebungsbogen!$Y$20,FALSE)</f>
        <v>Durchbiegung</v>
      </c>
      <c r="T35" s="427"/>
      <c r="U35" s="427"/>
      <c r="V35" s="427"/>
      <c r="W35" s="251" t="s">
        <v>22590</v>
      </c>
      <c r="X35" s="252" t="e">
        <f>Kalk4_Eingabe!J60</f>
        <v>#DIV/0!</v>
      </c>
      <c r="AG35" s="27" t="s">
        <v>21841</v>
      </c>
      <c r="AH35" s="51">
        <f>IF(AA9=1,AI35,IF(AA9=2,AJ35,IF(AA9=3,AK35)))</f>
        <v>39</v>
      </c>
      <c r="AI35" s="343">
        <f>IF(AA19=1,33.5,39)</f>
        <v>39</v>
      </c>
      <c r="AJ35" s="343">
        <f>IF(AA19=1,-21.5,-30)</f>
        <v>-30</v>
      </c>
      <c r="AK35" s="343">
        <f>IF(AA19=1,28.5,34)</f>
        <v>34</v>
      </c>
    </row>
    <row r="36" spans="1:37" ht="12.75" customHeight="1">
      <c r="B36" s="423" t="str">
        <f>VLOOKUP(1771,Sprachindex!$A:$Z,Erhebungsbogen!$Y$20,FALSE)</f>
        <v>Multiplikator</v>
      </c>
      <c r="C36" s="424"/>
      <c r="D36" s="424"/>
      <c r="E36" s="424"/>
      <c r="F36" s="424"/>
      <c r="G36" s="424"/>
      <c r="H36" s="424"/>
      <c r="I36" s="425"/>
      <c r="K36" s="421" t="str">
        <f>VLOOKUP(1681,Sprachindex!$A:$Z,Erhebungsbogen!$Y$20,FALSE)</f>
        <v>Dichtungsroller 25/50</v>
      </c>
      <c r="L36" s="422"/>
      <c r="M36" s="422"/>
      <c r="N36" s="422"/>
      <c r="O36" s="422"/>
      <c r="P36" s="106" t="s">
        <v>20872</v>
      </c>
      <c r="Q36" s="278"/>
      <c r="S36" s="427" t="str">
        <f>VLOOKUP(1761,Sprachindex!$A:$Z,Erhebungsbogen!$Y$20,FALSE)</f>
        <v>mit Treibgut</v>
      </c>
      <c r="T36" s="427"/>
      <c r="U36" s="427"/>
      <c r="V36" s="427"/>
      <c r="W36" s="443" t="e">
        <f>Kalk4_Eingabe!I61</f>
        <v>#NUM!</v>
      </c>
      <c r="X36" s="443"/>
      <c r="AG36" s="27" t="s">
        <v>21842</v>
      </c>
      <c r="AH36" s="51">
        <f>(H33-1)*AI36</f>
        <v>0</v>
      </c>
      <c r="AI36" s="343">
        <v>-58</v>
      </c>
      <c r="AJ36" s="98"/>
      <c r="AK36" s="98"/>
    </row>
    <row r="37" spans="1:37">
      <c r="B37" s="432" t="str">
        <f>VLOOKUP(1624,Sprachindex!$A:$Z,Erhebungsbogen!$Y$20,FALSE)</f>
        <v>Anzahl der gleichen Systeme:</v>
      </c>
      <c r="C37" s="432"/>
      <c r="D37" s="432"/>
      <c r="E37" s="432"/>
      <c r="F37" s="432"/>
      <c r="G37" s="432"/>
      <c r="H37" s="502">
        <v>1</v>
      </c>
      <c r="I37" s="503"/>
      <c r="K37" s="434" t="str">
        <f>VLOOKUP(1682,Sprachindex!$A:$Z,Erhebungsbogen!$Y$20,FALSE)</f>
        <v>Dichtungsroller 80</v>
      </c>
      <c r="L37" s="435"/>
      <c r="M37" s="435"/>
      <c r="N37" s="435"/>
      <c r="O37" s="435"/>
      <c r="P37" s="107" t="s">
        <v>20872</v>
      </c>
      <c r="Q37" s="277"/>
      <c r="AA37" s="273">
        <v>1</v>
      </c>
      <c r="AB37" s="21" t="s">
        <v>22630</v>
      </c>
      <c r="AG37" s="27" t="s">
        <v>21846</v>
      </c>
      <c r="AH37" s="51">
        <f>IF(AND(H28&gt;0,H29&gt;0),AH33+AH34+AH35+AH36,0)</f>
        <v>0</v>
      </c>
      <c r="AI37" s="98"/>
      <c r="AJ37" s="98"/>
      <c r="AK37" s="98"/>
    </row>
    <row r="38" spans="1:37">
      <c r="S38" s="385" t="e">
        <f>IF(AND(W29&lt;100%,W31&lt;100%,X30&gt;=Haftungsausschluß!L34,IF(H33=1,TRUE,W34&lt;100%),IF(H33=1,TRUE,W36&lt;100%),IF(H33=1,TRUE,X35&gt;=Haftungsausschluß!L35)),"Gewünschte Eingabe                      statisch in Ordnung","Gewünschte Eingabe                      statisch nicht in Ordnung")</f>
        <v>#DIV/0!</v>
      </c>
      <c r="T38" s="385"/>
      <c r="U38" s="385"/>
      <c r="V38" s="385"/>
      <c r="W38" s="385"/>
      <c r="X38" s="385"/>
      <c r="AG38" s="27" t="s">
        <v>21845</v>
      </c>
      <c r="AH38" s="52">
        <f>AH37/H33</f>
        <v>0</v>
      </c>
      <c r="AI38" s="98" t="s">
        <v>21849</v>
      </c>
      <c r="AJ38" s="98"/>
      <c r="AK38" s="98"/>
    </row>
    <row r="39" spans="1:37">
      <c r="B39" s="439" t="str">
        <f>VLOOKUP(1667,Sprachindex!$A:$Z,Erhebungsbogen!$Y$20,FALSE) &amp; " [mm]"</f>
        <v>Dammbalkenlänge: [mm]</v>
      </c>
      <c r="C39" s="440"/>
      <c r="D39" s="440"/>
      <c r="E39" s="440"/>
      <c r="F39" s="440"/>
      <c r="G39" s="441"/>
      <c r="H39" s="437" t="str">
        <f>IF(AH38=0,"",AH38)</f>
        <v/>
      </c>
      <c r="I39" s="438"/>
      <c r="S39" s="385"/>
      <c r="T39" s="385"/>
      <c r="U39" s="385"/>
      <c r="V39" s="385"/>
      <c r="W39" s="385"/>
      <c r="X39" s="385"/>
      <c r="AG39" s="27" t="s">
        <v>21847</v>
      </c>
      <c r="AH39" s="51">
        <f>IF(AA19=2,150,200)</f>
        <v>200</v>
      </c>
      <c r="AI39" s="98"/>
      <c r="AJ39" s="98"/>
      <c r="AK39" s="98"/>
    </row>
    <row r="40" spans="1:37" ht="8.1" customHeight="1">
      <c r="AG40" s="27" t="s">
        <v>22115</v>
      </c>
      <c r="AH40" s="52">
        <f>ROUNDUP((AH47+AH48)/AH39,0)</f>
        <v>0</v>
      </c>
      <c r="AI40" s="98" t="s">
        <v>20872</v>
      </c>
      <c r="AJ40" s="98"/>
      <c r="AK40" s="98"/>
    </row>
    <row r="41" spans="1:37">
      <c r="H41" s="442" t="str">
        <f>H39</f>
        <v/>
      </c>
      <c r="I41" s="442"/>
      <c r="AG41" s="27" t="s">
        <v>21848</v>
      </c>
      <c r="AH41" s="52">
        <f>ROUNDUP(H29/AH39,0)*H33*H37</f>
        <v>0</v>
      </c>
      <c r="AI41" s="98" t="s">
        <v>20872</v>
      </c>
      <c r="AJ41" s="98"/>
      <c r="AK41" s="98"/>
    </row>
    <row r="42" spans="1:37">
      <c r="AG42" s="27" t="s">
        <v>21838</v>
      </c>
      <c r="AH42" s="51">
        <f>IF(AH41&gt;1,(AH38*AH41*2)/1000,0)</f>
        <v>0</v>
      </c>
      <c r="AI42" s="98" t="s">
        <v>17115</v>
      </c>
      <c r="AJ42" s="98"/>
      <c r="AK42" s="98"/>
    </row>
    <row r="43" spans="1:37" ht="12.75" customHeight="1">
      <c r="K43" s="27"/>
      <c r="T43" s="313" t="str">
        <f>VLOOKUP(1429,Sprachindex!$A:$Z,Erhebungsbogen!$Y$20,FALSE)</f>
        <v>Bearbeiter:</v>
      </c>
      <c r="U43" s="436">
        <f>Kalk1!U43</f>
        <v>0</v>
      </c>
      <c r="V43" s="436"/>
      <c r="W43" s="436"/>
      <c r="X43" s="436"/>
      <c r="AG43" s="27" t="s">
        <v>21838</v>
      </c>
      <c r="AH43" s="52">
        <f>ROUNDUP(AH42/25,0)</f>
        <v>0</v>
      </c>
      <c r="AI43" s="98" t="s">
        <v>21857</v>
      </c>
      <c r="AJ43" s="98"/>
      <c r="AK43" s="98"/>
    </row>
    <row r="44" spans="1:37">
      <c r="Z44" s="319" t="e">
        <f>IF(H33=1,IF(Z28=1,1,0),IF(H33&gt;1,IF(OR(Z28=0,Z34=0),0,1)))</f>
        <v>#DIV/0!</v>
      </c>
      <c r="AG44" s="27" t="s">
        <v>21839</v>
      </c>
      <c r="AH44" s="51">
        <f>(AH38*H33*H37)/1000</f>
        <v>0</v>
      </c>
      <c r="AI44" s="98" t="s">
        <v>17115</v>
      </c>
      <c r="AJ44" s="98"/>
      <c r="AK44" s="98"/>
    </row>
    <row r="45" spans="1:37">
      <c r="A45" s="428" t="s">
        <v>22603</v>
      </c>
      <c r="B45" s="428"/>
      <c r="C45" s="428"/>
      <c r="D45" s="428"/>
      <c r="E45" s="428"/>
      <c r="F45" s="429" t="str" cm="1">
        <f t="array" aca="1" ref="F45" ca="1">MID(CELL("Dateiname"),FIND("[",CELL("Dateiname"))+1,FIND("]",CELL("Dateiname"))-FIND("[",CELL("Dateiname"))-1)</f>
        <v>02110307_CH-de_Vorlage_Erhebungsbogen Hochwasserschutz_PREFA_2024-4.xlsx</v>
      </c>
      <c r="G45" s="429"/>
      <c r="H45" s="429"/>
      <c r="I45" s="429"/>
      <c r="J45" s="429"/>
      <c r="K45" s="429"/>
      <c r="L45" s="429"/>
      <c r="M45" s="429"/>
      <c r="N45" s="429"/>
      <c r="O45" s="429"/>
      <c r="P45" s="429"/>
      <c r="Q45" s="429"/>
      <c r="R45" s="429"/>
      <c r="S45" s="429"/>
      <c r="T45" s="429"/>
      <c r="U45" s="429"/>
      <c r="V45" s="430" t="s">
        <v>10443</v>
      </c>
      <c r="W45" s="430"/>
      <c r="X45" s="431">
        <f>Erhebungsbogen!W63</f>
        <v>45398</v>
      </c>
      <c r="Y45" s="429"/>
      <c r="AG45" s="27" t="s">
        <v>21839</v>
      </c>
      <c r="AH45" s="52">
        <f>ROUNDUP(AH44,0)</f>
        <v>0</v>
      </c>
      <c r="AI45" s="98" t="s">
        <v>21858</v>
      </c>
      <c r="AJ45" s="98"/>
      <c r="AK45" s="98"/>
    </row>
    <row r="46" spans="1:37" hidden="1">
      <c r="AG46" s="27" t="s">
        <v>21850</v>
      </c>
      <c r="AH46" s="27"/>
      <c r="AI46" s="27"/>
      <c r="AJ46" s="27"/>
      <c r="AK46" s="27"/>
    </row>
    <row r="47" spans="1:37" hidden="1">
      <c r="AG47" s="27" t="s">
        <v>21851</v>
      </c>
      <c r="AH47" s="51">
        <f>H29</f>
        <v>0</v>
      </c>
      <c r="AI47" s="27"/>
      <c r="AJ47" s="27"/>
      <c r="AK47" s="27"/>
    </row>
    <row r="48" spans="1:37" hidden="1">
      <c r="AG48" s="27" t="s">
        <v>21854</v>
      </c>
      <c r="AH48" s="51">
        <f>H31</f>
        <v>0</v>
      </c>
      <c r="AI48" s="27"/>
      <c r="AJ48" s="27"/>
      <c r="AK48" s="27"/>
    </row>
    <row r="49" spans="33:42" hidden="1">
      <c r="AG49" s="27" t="s">
        <v>21852</v>
      </c>
      <c r="AH49" s="51">
        <f>IF(AA19=4,150,120)</f>
        <v>120</v>
      </c>
      <c r="AI49" s="98" t="s">
        <v>21849</v>
      </c>
      <c r="AJ49" s="98"/>
      <c r="AK49" s="27"/>
    </row>
    <row r="50" spans="33:42" hidden="1">
      <c r="AG50" s="27" t="s">
        <v>21853</v>
      </c>
      <c r="AH50" s="51">
        <f>ROUNDUP((AH47+AH48)/AH39,0)*AH39+AH49</f>
        <v>120</v>
      </c>
      <c r="AI50" s="98" t="s">
        <v>21849</v>
      </c>
      <c r="AJ50" s="98"/>
      <c r="AK50" s="27"/>
    </row>
    <row r="51" spans="33:42" hidden="1">
      <c r="AG51" s="27" t="s">
        <v>21855</v>
      </c>
      <c r="AH51" s="52">
        <f>IF(H29&gt;0,IF(AND(AA19=1,AH50&gt;AJ53),0,AI51),0)</f>
        <v>0</v>
      </c>
      <c r="AI51" s="98">
        <f>IF(AH50&lt;=AJ52,AJ52,IF(AH50&lt;=AJ53,AJ53,IF(AH50&lt;=AJ54,AJ54,IF(AH50&lt;=AJ55,AJ55,0))))</f>
        <v>750</v>
      </c>
      <c r="AJ51" s="98"/>
      <c r="AK51" s="27"/>
    </row>
    <row r="52" spans="33:42" hidden="1">
      <c r="AG52" s="27" t="s">
        <v>21856</v>
      </c>
      <c r="AH52" s="52">
        <f>IF(OR(AND(AA19=1,AH50&gt;AJ53),AH50&gt;AJ55),AH50,0)</f>
        <v>0</v>
      </c>
      <c r="AI52" s="98"/>
      <c r="AJ52" s="98">
        <v>750</v>
      </c>
      <c r="AK52" s="27"/>
    </row>
    <row r="53" spans="33:42" hidden="1">
      <c r="AG53" s="27" t="s">
        <v>19519</v>
      </c>
      <c r="AH53" s="147">
        <f>(4+(H35-1)*4)*(MAX(AH51,AH52))*H37/1000</f>
        <v>0</v>
      </c>
      <c r="AI53" s="98" t="s">
        <v>17115</v>
      </c>
      <c r="AJ53" s="98">
        <v>1350</v>
      </c>
      <c r="AM53" s="68" t="s">
        <v>22585</v>
      </c>
      <c r="AN53" s="68" t="s">
        <v>22586</v>
      </c>
      <c r="AO53" s="68" t="s">
        <v>22587</v>
      </c>
      <c r="AP53" s="68" t="s">
        <v>22588</v>
      </c>
    </row>
    <row r="54" spans="33:42" hidden="1">
      <c r="AG54" s="27" t="s">
        <v>19519</v>
      </c>
      <c r="AH54" s="52">
        <f>ROUNDUP(AH53/10,0)</f>
        <v>0</v>
      </c>
      <c r="AI54" s="98" t="s">
        <v>21859</v>
      </c>
      <c r="AJ54" s="98">
        <v>1750</v>
      </c>
      <c r="AM54" s="68">
        <v>13</v>
      </c>
      <c r="AN54" s="68">
        <v>7</v>
      </c>
      <c r="AO54" s="68">
        <v>6</v>
      </c>
      <c r="AP54" s="68">
        <v>4</v>
      </c>
    </row>
    <row r="55" spans="33:42" hidden="1">
      <c r="AG55" s="27" t="s">
        <v>22584</v>
      </c>
      <c r="AH55" s="27">
        <f>IF(AA19=1,AM55,IF(AA19=2,AN55,IF(AA19=3,AO55,IF(AA19=4,AP55,0))))</f>
        <v>0</v>
      </c>
      <c r="AI55" s="98"/>
      <c r="AJ55" s="98">
        <v>2150</v>
      </c>
      <c r="AM55" s="21">
        <f>ROUNDUP(AH41/AM54,0)</f>
        <v>0</v>
      </c>
      <c r="AN55" s="21">
        <f>ROUNDUP(AH41/AN54,0)</f>
        <v>0</v>
      </c>
      <c r="AO55" s="21">
        <f>ROUNDUP(AH41/AO54,0)</f>
        <v>0</v>
      </c>
      <c r="AP55" s="21">
        <f>ROUNDUP(AH41/AP54,0)</f>
        <v>0</v>
      </c>
    </row>
    <row r="56" spans="33:42" hidden="1">
      <c r="AI56" s="95"/>
      <c r="AJ56" s="95"/>
    </row>
  </sheetData>
  <sheetProtection sheet="1" objects="1" selectLockedCells="1"/>
  <mergeCells count="94">
    <mergeCell ref="B39:G39"/>
    <mergeCell ref="H39:I39"/>
    <mergeCell ref="U43:X43"/>
    <mergeCell ref="S38:X39"/>
    <mergeCell ref="S28:X28"/>
    <mergeCell ref="S29:V29"/>
    <mergeCell ref="W29:X29"/>
    <mergeCell ref="S30:V30"/>
    <mergeCell ref="S31:V31"/>
    <mergeCell ref="W31:X31"/>
    <mergeCell ref="S33:X33"/>
    <mergeCell ref="S34:V34"/>
    <mergeCell ref="W34:X34"/>
    <mergeCell ref="S35:V35"/>
    <mergeCell ref="S36:V36"/>
    <mergeCell ref="W36:X36"/>
    <mergeCell ref="K35:O35"/>
    <mergeCell ref="K36:O36"/>
    <mergeCell ref="K37:O37"/>
    <mergeCell ref="B33:G33"/>
    <mergeCell ref="H33:I33"/>
    <mergeCell ref="K33:Q33"/>
    <mergeCell ref="H35:I35"/>
    <mergeCell ref="H37:I37"/>
    <mergeCell ref="B36:I36"/>
    <mergeCell ref="B37:G37"/>
    <mergeCell ref="B34:G34"/>
    <mergeCell ref="H34:I34"/>
    <mergeCell ref="K34:Q34"/>
    <mergeCell ref="B31:G31"/>
    <mergeCell ref="H31:I31"/>
    <mergeCell ref="K31:Q31"/>
    <mergeCell ref="B32:G32"/>
    <mergeCell ref="H32:I32"/>
    <mergeCell ref="K32:Q32"/>
    <mergeCell ref="K30:Q30"/>
    <mergeCell ref="B27:I27"/>
    <mergeCell ref="K27:Q27"/>
    <mergeCell ref="B28:G28"/>
    <mergeCell ref="H28:I28"/>
    <mergeCell ref="K28:Q28"/>
    <mergeCell ref="K25:O25"/>
    <mergeCell ref="R25:V25"/>
    <mergeCell ref="K23:X23"/>
    <mergeCell ref="K29:O29"/>
    <mergeCell ref="B29:G29"/>
    <mergeCell ref="H29:I29"/>
    <mergeCell ref="S21:T21"/>
    <mergeCell ref="U21:V21"/>
    <mergeCell ref="W21:X21"/>
    <mergeCell ref="K21:M21"/>
    <mergeCell ref="K24:O24"/>
    <mergeCell ref="R24:V24"/>
    <mergeCell ref="D13:I13"/>
    <mergeCell ref="K13:M13"/>
    <mergeCell ref="N13:Q13"/>
    <mergeCell ref="D15:I15"/>
    <mergeCell ref="K15:M15"/>
    <mergeCell ref="N15:Q15"/>
    <mergeCell ref="D7:I7"/>
    <mergeCell ref="D9:I9"/>
    <mergeCell ref="K9:Q9"/>
    <mergeCell ref="S9:X9"/>
    <mergeCell ref="D11:I11"/>
    <mergeCell ref="K11:Q11"/>
    <mergeCell ref="U11:V11"/>
    <mergeCell ref="W11:X11"/>
    <mergeCell ref="K4:Q4"/>
    <mergeCell ref="S4:X4"/>
    <mergeCell ref="D5:I5"/>
    <mergeCell ref="K5:M5"/>
    <mergeCell ref="N5:Q5"/>
    <mergeCell ref="S5:U5"/>
    <mergeCell ref="V5:X5"/>
    <mergeCell ref="S19:T19"/>
    <mergeCell ref="U19:V19"/>
    <mergeCell ref="W19:X19"/>
    <mergeCell ref="K19:N19"/>
    <mergeCell ref="S20:T20"/>
    <mergeCell ref="U20:V20"/>
    <mergeCell ref="W20:X20"/>
    <mergeCell ref="K20:N20"/>
    <mergeCell ref="D16:I16"/>
    <mergeCell ref="B17:I17"/>
    <mergeCell ref="K17:Q17"/>
    <mergeCell ref="S18:X18"/>
    <mergeCell ref="B18:E18"/>
    <mergeCell ref="F18:I18"/>
    <mergeCell ref="K18:N18"/>
    <mergeCell ref="H41:I41"/>
    <mergeCell ref="A45:E45"/>
    <mergeCell ref="F45:U45"/>
    <mergeCell ref="V45:W45"/>
    <mergeCell ref="X45:Y45"/>
  </mergeCells>
  <conditionalFormatting sqref="B33:I33">
    <cfRule type="expression" dxfId="490" priority="52">
      <formula>$AA$19=1</formula>
    </cfRule>
  </conditionalFormatting>
  <conditionalFormatting sqref="B34:I34">
    <cfRule type="expression" dxfId="489" priority="1416">
      <formula>$H$29&gt;0</formula>
    </cfRule>
  </conditionalFormatting>
  <conditionalFormatting sqref="D5:I5 H28:I29 H31:I32">
    <cfRule type="cellIs" dxfId="488" priority="71" operator="equal">
      <formula>0</formula>
    </cfRule>
  </conditionalFormatting>
  <conditionalFormatting sqref="D7:I7">
    <cfRule type="cellIs" dxfId="487" priority="70" operator="equal">
      <formula>0</formula>
    </cfRule>
  </conditionalFormatting>
  <conditionalFormatting sqref="D9:I9">
    <cfRule type="cellIs" dxfId="486" priority="69" operator="equal">
      <formula>0</formula>
    </cfRule>
  </conditionalFormatting>
  <conditionalFormatting sqref="D11:I11">
    <cfRule type="cellIs" dxfId="485" priority="68" operator="equal">
      <formula>0</formula>
    </cfRule>
  </conditionalFormatting>
  <conditionalFormatting sqref="D13:I13">
    <cfRule type="cellIs" dxfId="484" priority="67" operator="equal">
      <formula>0</formula>
    </cfRule>
  </conditionalFormatting>
  <conditionalFormatting sqref="D15:I16">
    <cfRule type="cellIs" dxfId="483" priority="40" operator="equal">
      <formula>0</formula>
    </cfRule>
  </conditionalFormatting>
  <conditionalFormatting sqref="H33:I33">
    <cfRule type="cellIs" dxfId="482" priority="58" operator="equal">
      <formula>OR(0,1)</formula>
    </cfRule>
  </conditionalFormatting>
  <conditionalFormatting sqref="K19:N19">
    <cfRule type="expression" dxfId="480" priority="53">
      <formula>OR($AA$19=1,$AA$19=2,$AA$19=3)</formula>
    </cfRule>
  </conditionalFormatting>
  <conditionalFormatting sqref="K20:N21">
    <cfRule type="expression" dxfId="479" priority="54">
      <formula>$AA$19=1</formula>
    </cfRule>
  </conditionalFormatting>
  <conditionalFormatting sqref="K7:Q9">
    <cfRule type="expression" dxfId="478" priority="51">
      <formula>$AA$5=1</formula>
    </cfRule>
  </conditionalFormatting>
  <conditionalFormatting sqref="K9:Q9">
    <cfRule type="cellIs" dxfId="477" priority="65" operator="equal">
      <formula>0</formula>
    </cfRule>
  </conditionalFormatting>
  <conditionalFormatting sqref="K17:Q18">
    <cfRule type="expression" dxfId="476" priority="33">
      <formula>$AA$19=1</formula>
    </cfRule>
  </conditionalFormatting>
  <conditionalFormatting sqref="O20 N21:O21">
    <cfRule type="cellIs" dxfId="475" priority="64" operator="equal">
      <formula>0</formula>
    </cfRule>
  </conditionalFormatting>
  <conditionalFormatting sqref="P24:Q24">
    <cfRule type="expression" dxfId="474" priority="46">
      <formula>$AA$21=FALSE</formula>
    </cfRule>
  </conditionalFormatting>
  <conditionalFormatting sqref="P25:Q25">
    <cfRule type="expression" dxfId="473" priority="45">
      <formula>$AA$22=FALSE</formula>
    </cfRule>
  </conditionalFormatting>
  <conditionalFormatting sqref="P29:Q29">
    <cfRule type="expression" dxfId="472" priority="50">
      <formula>$AA$26=FALSE</formula>
    </cfRule>
  </conditionalFormatting>
  <conditionalFormatting sqref="P35:Q35">
    <cfRule type="expression" dxfId="471" priority="49">
      <formula>$AA$32=FALSE</formula>
    </cfRule>
  </conditionalFormatting>
  <conditionalFormatting sqref="P36:Q36">
    <cfRule type="expression" dxfId="470" priority="48">
      <formula>$AA$33=FALSE</formula>
    </cfRule>
  </conditionalFormatting>
  <conditionalFormatting sqref="P37:Q37">
    <cfRule type="expression" dxfId="469" priority="47">
      <formula>$AA$34=FALSE</formula>
    </cfRule>
  </conditionalFormatting>
  <conditionalFormatting sqref="Q24:Q25 X24:X25">
    <cfRule type="cellIs" dxfId="468" priority="63" operator="equal">
      <formula>0</formula>
    </cfRule>
  </conditionalFormatting>
  <conditionalFormatting sqref="Q29 Q35:Q37">
    <cfRule type="cellIs" dxfId="467" priority="56" operator="equal">
      <formula>0</formula>
    </cfRule>
  </conditionalFormatting>
  <conditionalFormatting sqref="S4:X5">
    <cfRule type="expression" dxfId="466" priority="32">
      <formula>$AA$19=1</formula>
    </cfRule>
  </conditionalFormatting>
  <conditionalFormatting sqref="S31:X31">
    <cfRule type="expression" dxfId="465" priority="13">
      <formula>$H$32=0</formula>
    </cfRule>
  </conditionalFormatting>
  <conditionalFormatting sqref="S33:X36">
    <cfRule type="expression" dxfId="464" priority="8">
      <formula>$H$35&lt;2</formula>
    </cfRule>
  </conditionalFormatting>
  <conditionalFormatting sqref="S36:X36">
    <cfRule type="expression" dxfId="463" priority="9">
      <formula>$H$32=0</formula>
    </cfRule>
  </conditionalFormatting>
  <conditionalFormatting sqref="S38:X39">
    <cfRule type="expression" dxfId="462" priority="2">
      <formula>OR($H$28=0,$H$29=0)</formula>
    </cfRule>
    <cfRule type="expression" dxfId="461" priority="3">
      <formula>$Z$44=1</formula>
    </cfRule>
    <cfRule type="expression" dxfId="460" priority="4">
      <formula>$Z$44=0</formula>
    </cfRule>
  </conditionalFormatting>
  <conditionalFormatting sqref="U43">
    <cfRule type="containsBlanks" dxfId="459" priority="5">
      <formula>LEN(TRIM(U43))=0</formula>
    </cfRule>
  </conditionalFormatting>
  <conditionalFormatting sqref="W24:X24">
    <cfRule type="expression" dxfId="458" priority="44">
      <formula>$AA$23=FALSE</formula>
    </cfRule>
  </conditionalFormatting>
  <conditionalFormatting sqref="W25:X25">
    <cfRule type="expression" dxfId="457" priority="43">
      <formula>$AA$24=FALSE</formula>
    </cfRule>
  </conditionalFormatting>
  <conditionalFormatting sqref="W29:X29 W31:X31 W34:X34 W36:X36">
    <cfRule type="expression" dxfId="456" priority="1422">
      <formula>OR($H$28=0,$H$29=0)</formula>
    </cfRule>
    <cfRule type="cellIs" dxfId="455" priority="1423" operator="lessThan">
      <formula>1</formula>
    </cfRule>
    <cfRule type="cellIs" dxfId="454" priority="1424" operator="greaterThan">
      <formula>1</formula>
    </cfRule>
  </conditionalFormatting>
  <conditionalFormatting sqref="X30 X35">
    <cfRule type="expression" dxfId="453" priority="1434">
      <formula>OR($H$28=0,$H$29=0)</formula>
    </cfRule>
  </conditionalFormatting>
  <dataValidations disablePrompts="1" count="2">
    <dataValidation type="list" allowBlank="1" showInputMessage="1" showErrorMessage="1" sqref="N21" xr:uid="{E76D720F-60F8-4B2E-A0C2-DDB19C08E552}">
      <formula1>$AG$22:$AG$26</formula1>
    </dataValidation>
    <dataValidation type="whole" operator="greaterThan" allowBlank="1" showInputMessage="1" showErrorMessage="1" errorTitle="Falsche Eingabe" error="Bitte nur ganze Zahlen eingeben!" sqref="H37:I37" xr:uid="{4551E8B4-F568-4FEA-B05C-F72B5D191112}">
      <formula1>0</formula1>
    </dataValidation>
  </dataValidations>
  <pageMargins left="0.19685039370078741" right="0.19685039370078741" top="0.39370078740157483" bottom="0.19685039370078741"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Group Box 1">
              <controlPr defaultSize="0" print="0" autoFill="0" autoPict="0">
                <anchor moveWithCells="1">
                  <from>
                    <xdr:col>1</xdr:col>
                    <xdr:colOff>0</xdr:colOff>
                    <xdr:row>22</xdr:row>
                    <xdr:rowOff>0</xdr:rowOff>
                  </from>
                  <to>
                    <xdr:col>5</xdr:col>
                    <xdr:colOff>0</xdr:colOff>
                    <xdr:row>25</xdr:row>
                    <xdr:rowOff>0</xdr:rowOff>
                  </to>
                </anchor>
              </controlPr>
            </control>
          </mc:Choice>
        </mc:AlternateContent>
        <mc:AlternateContent xmlns:mc="http://schemas.openxmlformats.org/markup-compatibility/2006">
          <mc:Choice Requires="x14">
            <control shapeId="48130" r:id="rId5" name="Group Box 2">
              <controlPr defaultSize="0" print="0" autoFill="0" autoPict="0">
                <anchor moveWithCells="1">
                  <from>
                    <xdr:col>5</xdr:col>
                    <xdr:colOff>0</xdr:colOff>
                    <xdr:row>22</xdr:row>
                    <xdr:rowOff>0</xdr:rowOff>
                  </from>
                  <to>
                    <xdr:col>9</xdr:col>
                    <xdr:colOff>0</xdr:colOff>
                    <xdr:row>25</xdr:row>
                    <xdr:rowOff>0</xdr:rowOff>
                  </to>
                </anchor>
              </controlPr>
            </control>
          </mc:Choice>
        </mc:AlternateContent>
        <mc:AlternateContent xmlns:mc="http://schemas.openxmlformats.org/markup-compatibility/2006">
          <mc:Choice Requires="x14">
            <control shapeId="48131" r:id="rId6" name="Option Button 3">
              <controlPr defaultSize="0" autoFill="0" autoLine="0" autoPict="0">
                <anchor moveWithCells="1" sizeWithCells="1">
                  <from>
                    <xdr:col>1</xdr:col>
                    <xdr:colOff>28575</xdr:colOff>
                    <xdr:row>22</xdr:row>
                    <xdr:rowOff>19050</xdr:rowOff>
                  </from>
                  <to>
                    <xdr:col>3</xdr:col>
                    <xdr:colOff>371475</xdr:colOff>
                    <xdr:row>23</xdr:row>
                    <xdr:rowOff>0</xdr:rowOff>
                  </to>
                </anchor>
              </controlPr>
            </control>
          </mc:Choice>
        </mc:AlternateContent>
        <mc:AlternateContent xmlns:mc="http://schemas.openxmlformats.org/markup-compatibility/2006">
          <mc:Choice Requires="x14">
            <control shapeId="48132" r:id="rId7" name="Option Button 4">
              <controlPr defaultSize="0" autoFill="0" autoLine="0" autoPict="0">
                <anchor moveWithCells="1" sizeWithCells="1">
                  <from>
                    <xdr:col>1</xdr:col>
                    <xdr:colOff>28575</xdr:colOff>
                    <xdr:row>23</xdr:row>
                    <xdr:rowOff>19050</xdr:rowOff>
                  </from>
                  <to>
                    <xdr:col>3</xdr:col>
                    <xdr:colOff>371475</xdr:colOff>
                    <xdr:row>23</xdr:row>
                    <xdr:rowOff>152400</xdr:rowOff>
                  </to>
                </anchor>
              </controlPr>
            </control>
          </mc:Choice>
        </mc:AlternateContent>
        <mc:AlternateContent xmlns:mc="http://schemas.openxmlformats.org/markup-compatibility/2006">
          <mc:Choice Requires="x14">
            <control shapeId="48133" r:id="rId8" name="Option Button 5">
              <controlPr defaultSize="0" autoFill="0" autoLine="0" autoPict="0">
                <anchor moveWithCells="1" sizeWithCells="1">
                  <from>
                    <xdr:col>1</xdr:col>
                    <xdr:colOff>28575</xdr:colOff>
                    <xdr:row>24</xdr:row>
                    <xdr:rowOff>19050</xdr:rowOff>
                  </from>
                  <to>
                    <xdr:col>3</xdr:col>
                    <xdr:colOff>371475</xdr:colOff>
                    <xdr:row>24</xdr:row>
                    <xdr:rowOff>142875</xdr:rowOff>
                  </to>
                </anchor>
              </controlPr>
            </control>
          </mc:Choice>
        </mc:AlternateContent>
        <mc:AlternateContent xmlns:mc="http://schemas.openxmlformats.org/markup-compatibility/2006">
          <mc:Choice Requires="x14">
            <control shapeId="48134" r:id="rId9" name="Option Button 6">
              <controlPr defaultSize="0" autoFill="0" autoLine="0" autoPict="0">
                <anchor moveWithCells="1" sizeWithCells="1">
                  <from>
                    <xdr:col>5</xdr:col>
                    <xdr:colOff>28575</xdr:colOff>
                    <xdr:row>22</xdr:row>
                    <xdr:rowOff>28575</xdr:rowOff>
                  </from>
                  <to>
                    <xdr:col>7</xdr:col>
                    <xdr:colOff>371475</xdr:colOff>
                    <xdr:row>23</xdr:row>
                    <xdr:rowOff>0</xdr:rowOff>
                  </to>
                </anchor>
              </controlPr>
            </control>
          </mc:Choice>
        </mc:AlternateContent>
        <mc:AlternateContent xmlns:mc="http://schemas.openxmlformats.org/markup-compatibility/2006">
          <mc:Choice Requires="x14">
            <control shapeId="48135" r:id="rId10" name="Option Button 7">
              <controlPr defaultSize="0" autoFill="0" autoLine="0" autoPict="0">
                <anchor moveWithCells="1" sizeWithCells="1">
                  <from>
                    <xdr:col>5</xdr:col>
                    <xdr:colOff>28575</xdr:colOff>
                    <xdr:row>23</xdr:row>
                    <xdr:rowOff>19050</xdr:rowOff>
                  </from>
                  <to>
                    <xdr:col>7</xdr:col>
                    <xdr:colOff>371475</xdr:colOff>
                    <xdr:row>23</xdr:row>
                    <xdr:rowOff>152400</xdr:rowOff>
                  </to>
                </anchor>
              </controlPr>
            </control>
          </mc:Choice>
        </mc:AlternateContent>
        <mc:AlternateContent xmlns:mc="http://schemas.openxmlformats.org/markup-compatibility/2006">
          <mc:Choice Requires="x14">
            <control shapeId="48136" r:id="rId11" name="Option Button 8">
              <controlPr defaultSize="0" autoFill="0" autoLine="0" autoPict="0">
                <anchor moveWithCells="1" sizeWithCells="1">
                  <from>
                    <xdr:col>5</xdr:col>
                    <xdr:colOff>28575</xdr:colOff>
                    <xdr:row>24</xdr:row>
                    <xdr:rowOff>19050</xdr:rowOff>
                  </from>
                  <to>
                    <xdr:col>7</xdr:col>
                    <xdr:colOff>371475</xdr:colOff>
                    <xdr:row>24</xdr:row>
                    <xdr:rowOff>142875</xdr:rowOff>
                  </to>
                </anchor>
              </controlPr>
            </control>
          </mc:Choice>
        </mc:AlternateContent>
        <mc:AlternateContent xmlns:mc="http://schemas.openxmlformats.org/markup-compatibility/2006">
          <mc:Choice Requires="x14">
            <control shapeId="48137" r:id="rId12" name="Group Box 9">
              <controlPr defaultSize="0" print="0" autoFill="0" autoPict="0">
                <anchor moveWithCells="1">
                  <from>
                    <xdr:col>10</xdr:col>
                    <xdr:colOff>0</xdr:colOff>
                    <xdr:row>4</xdr:row>
                    <xdr:rowOff>0</xdr:rowOff>
                  </from>
                  <to>
                    <xdr:col>17</xdr:col>
                    <xdr:colOff>0</xdr:colOff>
                    <xdr:row>5</xdr:row>
                    <xdr:rowOff>0</xdr:rowOff>
                  </to>
                </anchor>
              </controlPr>
            </control>
          </mc:Choice>
        </mc:AlternateContent>
        <mc:AlternateContent xmlns:mc="http://schemas.openxmlformats.org/markup-compatibility/2006">
          <mc:Choice Requires="x14">
            <control shapeId="48138" r:id="rId13" name="Option Button 10">
              <controlPr defaultSize="0" autoFill="0" autoLine="0" autoPict="0">
                <anchor moveWithCells="1">
                  <from>
                    <xdr:col>10</xdr:col>
                    <xdr:colOff>9525</xdr:colOff>
                    <xdr:row>4</xdr:row>
                    <xdr:rowOff>19050</xdr:rowOff>
                  </from>
                  <to>
                    <xdr:col>13</xdr:col>
                    <xdr:colOff>0</xdr:colOff>
                    <xdr:row>4</xdr:row>
                    <xdr:rowOff>152400</xdr:rowOff>
                  </to>
                </anchor>
              </controlPr>
            </control>
          </mc:Choice>
        </mc:AlternateContent>
        <mc:AlternateContent xmlns:mc="http://schemas.openxmlformats.org/markup-compatibility/2006">
          <mc:Choice Requires="x14">
            <control shapeId="48139" r:id="rId14" name="Option Button 11">
              <controlPr defaultSize="0" autoFill="0" autoLine="0" autoPict="0">
                <anchor moveWithCells="1">
                  <from>
                    <xdr:col>13</xdr:col>
                    <xdr:colOff>9525</xdr:colOff>
                    <xdr:row>4</xdr:row>
                    <xdr:rowOff>19050</xdr:rowOff>
                  </from>
                  <to>
                    <xdr:col>15</xdr:col>
                    <xdr:colOff>371475</xdr:colOff>
                    <xdr:row>4</xdr:row>
                    <xdr:rowOff>142875</xdr:rowOff>
                  </to>
                </anchor>
              </controlPr>
            </control>
          </mc:Choice>
        </mc:AlternateContent>
        <mc:AlternateContent xmlns:mc="http://schemas.openxmlformats.org/markup-compatibility/2006">
          <mc:Choice Requires="x14">
            <control shapeId="48140" r:id="rId15" name="Check Box 12">
              <controlPr defaultSize="0" autoFill="0" autoLine="0" autoPict="0">
                <anchor moveWithCells="1">
                  <from>
                    <xdr:col>10</xdr:col>
                    <xdr:colOff>0</xdr:colOff>
                    <xdr:row>12</xdr:row>
                    <xdr:rowOff>0</xdr:rowOff>
                  </from>
                  <to>
                    <xdr:col>13</xdr:col>
                    <xdr:colOff>0</xdr:colOff>
                    <xdr:row>14</xdr:row>
                    <xdr:rowOff>0</xdr:rowOff>
                  </to>
                </anchor>
              </controlPr>
            </control>
          </mc:Choice>
        </mc:AlternateContent>
        <mc:AlternateContent xmlns:mc="http://schemas.openxmlformats.org/markup-compatibility/2006">
          <mc:Choice Requires="x14">
            <control shapeId="48141" r:id="rId16" name="Check Box 13">
              <controlPr defaultSize="0" autoFill="0" autoLine="0" autoPict="0">
                <anchor moveWithCells="1" sizeWithCells="1">
                  <from>
                    <xdr:col>10</xdr:col>
                    <xdr:colOff>0</xdr:colOff>
                    <xdr:row>14</xdr:row>
                    <xdr:rowOff>0</xdr:rowOff>
                  </from>
                  <to>
                    <xdr:col>13</xdr:col>
                    <xdr:colOff>0</xdr:colOff>
                    <xdr:row>14</xdr:row>
                    <xdr:rowOff>180975</xdr:rowOff>
                  </to>
                </anchor>
              </controlPr>
            </control>
          </mc:Choice>
        </mc:AlternateContent>
        <mc:AlternateContent xmlns:mc="http://schemas.openxmlformats.org/markup-compatibility/2006">
          <mc:Choice Requires="x14">
            <control shapeId="48142" r:id="rId17" name="Check Box 14">
              <controlPr defaultSize="0" autoFill="0" autoLine="0" autoPict="0">
                <anchor moveWithCells="1">
                  <from>
                    <xdr:col>13</xdr:col>
                    <xdr:colOff>0</xdr:colOff>
                    <xdr:row>11</xdr:row>
                    <xdr:rowOff>19050</xdr:rowOff>
                  </from>
                  <to>
                    <xdr:col>17</xdr:col>
                    <xdr:colOff>0</xdr:colOff>
                    <xdr:row>14</xdr:row>
                    <xdr:rowOff>0</xdr:rowOff>
                  </to>
                </anchor>
              </controlPr>
            </control>
          </mc:Choice>
        </mc:AlternateContent>
        <mc:AlternateContent xmlns:mc="http://schemas.openxmlformats.org/markup-compatibility/2006">
          <mc:Choice Requires="x14">
            <control shapeId="48143" r:id="rId18" name="Check Box 15">
              <controlPr defaultSize="0" autoFill="0" autoLine="0" autoPict="0">
                <anchor moveWithCells="1" sizeWithCells="1">
                  <from>
                    <xdr:col>13</xdr:col>
                    <xdr:colOff>0</xdr:colOff>
                    <xdr:row>14</xdr:row>
                    <xdr:rowOff>0</xdr:rowOff>
                  </from>
                  <to>
                    <xdr:col>17</xdr:col>
                    <xdr:colOff>0</xdr:colOff>
                    <xdr:row>14</xdr:row>
                    <xdr:rowOff>180975</xdr:rowOff>
                  </to>
                </anchor>
              </controlPr>
            </control>
          </mc:Choice>
        </mc:AlternateContent>
        <mc:AlternateContent xmlns:mc="http://schemas.openxmlformats.org/markup-compatibility/2006">
          <mc:Choice Requires="x14">
            <control shapeId="48144" r:id="rId19" name="Option Button 16">
              <controlPr defaultSize="0" autoFill="0" autoLine="0" autoPict="0">
                <anchor moveWithCells="1">
                  <from>
                    <xdr:col>18</xdr:col>
                    <xdr:colOff>9525</xdr:colOff>
                    <xdr:row>4</xdr:row>
                    <xdr:rowOff>19050</xdr:rowOff>
                  </from>
                  <to>
                    <xdr:col>21</xdr:col>
                    <xdr:colOff>0</xdr:colOff>
                    <xdr:row>4</xdr:row>
                    <xdr:rowOff>142875</xdr:rowOff>
                  </to>
                </anchor>
              </controlPr>
            </control>
          </mc:Choice>
        </mc:AlternateContent>
        <mc:AlternateContent xmlns:mc="http://schemas.openxmlformats.org/markup-compatibility/2006">
          <mc:Choice Requires="x14">
            <control shapeId="48145" r:id="rId20" name="Group Box 17">
              <controlPr defaultSize="0" print="0" autoFill="0" autoPict="0">
                <anchor moveWithCells="1">
                  <from>
                    <xdr:col>18</xdr:col>
                    <xdr:colOff>0</xdr:colOff>
                    <xdr:row>3</xdr:row>
                    <xdr:rowOff>190500</xdr:rowOff>
                  </from>
                  <to>
                    <xdr:col>24</xdr:col>
                    <xdr:colOff>0</xdr:colOff>
                    <xdr:row>5</xdr:row>
                    <xdr:rowOff>0</xdr:rowOff>
                  </to>
                </anchor>
              </controlPr>
            </control>
          </mc:Choice>
        </mc:AlternateContent>
        <mc:AlternateContent xmlns:mc="http://schemas.openxmlformats.org/markup-compatibility/2006">
          <mc:Choice Requires="x14">
            <control shapeId="48146" r:id="rId21" name="Option Button 18">
              <controlPr defaultSize="0" autoFill="0" autoLine="0" autoPict="0">
                <anchor moveWithCells="1">
                  <from>
                    <xdr:col>21</xdr:col>
                    <xdr:colOff>9525</xdr:colOff>
                    <xdr:row>4</xdr:row>
                    <xdr:rowOff>19050</xdr:rowOff>
                  </from>
                  <to>
                    <xdr:col>24</xdr:col>
                    <xdr:colOff>0</xdr:colOff>
                    <xdr:row>4</xdr:row>
                    <xdr:rowOff>142875</xdr:rowOff>
                  </to>
                </anchor>
              </controlPr>
            </control>
          </mc:Choice>
        </mc:AlternateContent>
        <mc:AlternateContent xmlns:mc="http://schemas.openxmlformats.org/markup-compatibility/2006">
          <mc:Choice Requires="x14">
            <control shapeId="48151" r:id="rId22" name="Group Box 23">
              <controlPr defaultSize="0" print="0" autoFill="0" autoPict="0">
                <anchor moveWithCells="1">
                  <from>
                    <xdr:col>18</xdr:col>
                    <xdr:colOff>0</xdr:colOff>
                    <xdr:row>18</xdr:row>
                    <xdr:rowOff>0</xdr:rowOff>
                  </from>
                  <to>
                    <xdr:col>24</xdr:col>
                    <xdr:colOff>0</xdr:colOff>
                    <xdr:row>21</xdr:row>
                    <xdr:rowOff>0</xdr:rowOff>
                  </to>
                </anchor>
              </controlPr>
            </control>
          </mc:Choice>
        </mc:AlternateContent>
        <mc:AlternateContent xmlns:mc="http://schemas.openxmlformats.org/markup-compatibility/2006">
          <mc:Choice Requires="x14">
            <control shapeId="48152" r:id="rId23" name="Option Button 24">
              <controlPr defaultSize="0" autoFill="0" autoLine="0" autoPict="0">
                <anchor moveWithCells="1">
                  <from>
                    <xdr:col>18</xdr:col>
                    <xdr:colOff>66675</xdr:colOff>
                    <xdr:row>20</xdr:row>
                    <xdr:rowOff>0</xdr:rowOff>
                  </from>
                  <to>
                    <xdr:col>20</xdr:col>
                    <xdr:colOff>0</xdr:colOff>
                    <xdr:row>20</xdr:row>
                    <xdr:rowOff>152400</xdr:rowOff>
                  </to>
                </anchor>
              </controlPr>
            </control>
          </mc:Choice>
        </mc:AlternateContent>
        <mc:AlternateContent xmlns:mc="http://schemas.openxmlformats.org/markup-compatibility/2006">
          <mc:Choice Requires="x14">
            <control shapeId="48153" r:id="rId24" name="Option Button 25">
              <controlPr defaultSize="0" autoFill="0" autoLine="0" autoPict="0">
                <anchor moveWithCells="1">
                  <from>
                    <xdr:col>20</xdr:col>
                    <xdr:colOff>76200</xdr:colOff>
                    <xdr:row>19</xdr:row>
                    <xdr:rowOff>0</xdr:rowOff>
                  </from>
                  <to>
                    <xdr:col>22</xdr:col>
                    <xdr:colOff>0</xdr:colOff>
                    <xdr:row>19</xdr:row>
                    <xdr:rowOff>152400</xdr:rowOff>
                  </to>
                </anchor>
              </controlPr>
            </control>
          </mc:Choice>
        </mc:AlternateContent>
        <mc:AlternateContent xmlns:mc="http://schemas.openxmlformats.org/markup-compatibility/2006">
          <mc:Choice Requires="x14">
            <control shapeId="48154" r:id="rId25" name="Option Button 26">
              <controlPr defaultSize="0" autoFill="0" autoLine="0" autoPict="0">
                <anchor moveWithCells="1">
                  <from>
                    <xdr:col>20</xdr:col>
                    <xdr:colOff>76200</xdr:colOff>
                    <xdr:row>20</xdr:row>
                    <xdr:rowOff>9525</xdr:rowOff>
                  </from>
                  <to>
                    <xdr:col>22</xdr:col>
                    <xdr:colOff>0</xdr:colOff>
                    <xdr:row>20</xdr:row>
                    <xdr:rowOff>152400</xdr:rowOff>
                  </to>
                </anchor>
              </controlPr>
            </control>
          </mc:Choice>
        </mc:AlternateContent>
        <mc:AlternateContent xmlns:mc="http://schemas.openxmlformats.org/markup-compatibility/2006">
          <mc:Choice Requires="x14">
            <control shapeId="48155" r:id="rId26" name="Option Button 27">
              <controlPr defaultSize="0" autoFill="0" autoLine="0" autoPict="0">
                <anchor moveWithCells="1">
                  <from>
                    <xdr:col>22</xdr:col>
                    <xdr:colOff>76200</xdr:colOff>
                    <xdr:row>19</xdr:row>
                    <xdr:rowOff>161925</xdr:rowOff>
                  </from>
                  <to>
                    <xdr:col>24</xdr:col>
                    <xdr:colOff>0</xdr:colOff>
                    <xdr:row>20</xdr:row>
                    <xdr:rowOff>152400</xdr:rowOff>
                  </to>
                </anchor>
              </controlPr>
            </control>
          </mc:Choice>
        </mc:AlternateContent>
        <mc:AlternateContent xmlns:mc="http://schemas.openxmlformats.org/markup-compatibility/2006">
          <mc:Choice Requires="x14">
            <control shapeId="48156" r:id="rId27" name="Check Box 28">
              <controlPr defaultSize="0" autoFill="0" autoLine="0" autoPict="0">
                <anchor moveWithCells="1" sizeWithCells="1">
                  <from>
                    <xdr:col>10</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48157" r:id="rId28" name="Check Box 29">
              <controlPr defaultSize="0" autoFill="0" autoLine="0" autoPict="0">
                <anchor moveWithCells="1" sizeWithCells="1">
                  <from>
                    <xdr:col>10</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48158" r:id="rId29" name="Check Box 30">
              <controlPr defaultSize="0" autoFill="0" autoLine="0" autoPict="0">
                <anchor moveWithCells="1" sizeWithCells="1">
                  <from>
                    <xdr:col>17</xdr:col>
                    <xdr:colOff>0</xdr:colOff>
                    <xdr:row>23</xdr:row>
                    <xdr:rowOff>0</xdr:rowOff>
                  </from>
                  <to>
                    <xdr:col>22</xdr:col>
                    <xdr:colOff>0</xdr:colOff>
                    <xdr:row>24</xdr:row>
                    <xdr:rowOff>0</xdr:rowOff>
                  </to>
                </anchor>
              </controlPr>
            </control>
          </mc:Choice>
        </mc:AlternateContent>
        <mc:AlternateContent xmlns:mc="http://schemas.openxmlformats.org/markup-compatibility/2006">
          <mc:Choice Requires="x14">
            <control shapeId="48159" r:id="rId30" name="Check Box 31">
              <controlPr defaultSize="0" autoFill="0" autoLine="0" autoPict="0">
                <anchor moveWithCells="1" sizeWithCells="1">
                  <from>
                    <xdr:col>17</xdr:col>
                    <xdr:colOff>0</xdr:colOff>
                    <xdr:row>24</xdr:row>
                    <xdr:rowOff>0</xdr:rowOff>
                  </from>
                  <to>
                    <xdr:col>22</xdr:col>
                    <xdr:colOff>0</xdr:colOff>
                    <xdr:row>25</xdr:row>
                    <xdr:rowOff>0</xdr:rowOff>
                  </to>
                </anchor>
              </controlPr>
            </control>
          </mc:Choice>
        </mc:AlternateContent>
        <mc:AlternateContent xmlns:mc="http://schemas.openxmlformats.org/markup-compatibility/2006">
          <mc:Choice Requires="x14">
            <control shapeId="48160" r:id="rId31" name="Group Box 32">
              <controlPr defaultSize="0" print="0" autoFill="0" autoPict="0">
                <anchor moveWithCells="1">
                  <from>
                    <xdr:col>10</xdr:col>
                    <xdr:colOff>0</xdr:colOff>
                    <xdr:row>17</xdr:row>
                    <xdr:rowOff>0</xdr:rowOff>
                  </from>
                  <to>
                    <xdr:col>15</xdr:col>
                    <xdr:colOff>0</xdr:colOff>
                    <xdr:row>19</xdr:row>
                    <xdr:rowOff>0</xdr:rowOff>
                  </to>
                </anchor>
              </controlPr>
            </control>
          </mc:Choice>
        </mc:AlternateContent>
        <mc:AlternateContent xmlns:mc="http://schemas.openxmlformats.org/markup-compatibility/2006">
          <mc:Choice Requires="x14">
            <control shapeId="48161" r:id="rId32" name="Option Button 33">
              <controlPr defaultSize="0" autoFill="0" autoLine="0" autoPict="0">
                <anchor moveWithCells="1">
                  <from>
                    <xdr:col>10</xdr:col>
                    <xdr:colOff>9525</xdr:colOff>
                    <xdr:row>17</xdr:row>
                    <xdr:rowOff>19050</xdr:rowOff>
                  </from>
                  <to>
                    <xdr:col>12</xdr:col>
                    <xdr:colOff>266700</xdr:colOff>
                    <xdr:row>17</xdr:row>
                    <xdr:rowOff>142875</xdr:rowOff>
                  </to>
                </anchor>
              </controlPr>
            </control>
          </mc:Choice>
        </mc:AlternateContent>
        <mc:AlternateContent xmlns:mc="http://schemas.openxmlformats.org/markup-compatibility/2006">
          <mc:Choice Requires="x14">
            <control shapeId="48162" r:id="rId33" name="Option Button 34">
              <controlPr defaultSize="0" autoFill="0" autoLine="0" autoPict="0">
                <anchor moveWithCells="1">
                  <from>
                    <xdr:col>10</xdr:col>
                    <xdr:colOff>9525</xdr:colOff>
                    <xdr:row>18</xdr:row>
                    <xdr:rowOff>9525</xdr:rowOff>
                  </from>
                  <to>
                    <xdr:col>12</xdr:col>
                    <xdr:colOff>266700</xdr:colOff>
                    <xdr:row>18</xdr:row>
                    <xdr:rowOff>133350</xdr:rowOff>
                  </to>
                </anchor>
              </controlPr>
            </control>
          </mc:Choice>
        </mc:AlternateContent>
        <mc:AlternateContent xmlns:mc="http://schemas.openxmlformats.org/markup-compatibility/2006">
          <mc:Choice Requires="x14">
            <control shapeId="48163" r:id="rId34" name="Check Box 35">
              <controlPr defaultSize="0" autoFill="0" autoLine="0" autoPict="0">
                <anchor moveWithCells="1" sizeWithCells="1">
                  <from>
                    <xdr:col>10</xdr:col>
                    <xdr:colOff>0</xdr:colOff>
                    <xdr:row>27</xdr:row>
                    <xdr:rowOff>0</xdr:rowOff>
                  </from>
                  <to>
                    <xdr:col>15</xdr:col>
                    <xdr:colOff>0</xdr:colOff>
                    <xdr:row>28</xdr:row>
                    <xdr:rowOff>0</xdr:rowOff>
                  </to>
                </anchor>
              </controlPr>
            </control>
          </mc:Choice>
        </mc:AlternateContent>
        <mc:AlternateContent xmlns:mc="http://schemas.openxmlformats.org/markup-compatibility/2006">
          <mc:Choice Requires="x14">
            <control shapeId="48166" r:id="rId35" name="Check Box 38">
              <controlPr defaultSize="0" autoFill="0" autoLine="0" autoPict="0">
                <anchor moveWithCells="1" sizeWithCells="1">
                  <from>
                    <xdr:col>10</xdr:col>
                    <xdr:colOff>0</xdr:colOff>
                    <xdr:row>31</xdr:row>
                    <xdr:rowOff>0</xdr:rowOff>
                  </from>
                  <to>
                    <xdr:col>15</xdr:col>
                    <xdr:colOff>0</xdr:colOff>
                    <xdr:row>32</xdr:row>
                    <xdr:rowOff>0</xdr:rowOff>
                  </to>
                </anchor>
              </controlPr>
            </control>
          </mc:Choice>
        </mc:AlternateContent>
        <mc:AlternateContent xmlns:mc="http://schemas.openxmlformats.org/markup-compatibility/2006">
          <mc:Choice Requires="x14">
            <control shapeId="48167" r:id="rId36" name="Check Box 39">
              <controlPr defaultSize="0" autoFill="0" autoLine="0" autoPict="0">
                <anchor moveWithCells="1" sizeWithCells="1">
                  <from>
                    <xdr:col>10</xdr:col>
                    <xdr:colOff>0</xdr:colOff>
                    <xdr:row>32</xdr:row>
                    <xdr:rowOff>0</xdr:rowOff>
                  </from>
                  <to>
                    <xdr:col>15</xdr:col>
                    <xdr:colOff>0</xdr:colOff>
                    <xdr:row>33</xdr:row>
                    <xdr:rowOff>0</xdr:rowOff>
                  </to>
                </anchor>
              </controlPr>
            </control>
          </mc:Choice>
        </mc:AlternateContent>
        <mc:AlternateContent xmlns:mc="http://schemas.openxmlformats.org/markup-compatibility/2006">
          <mc:Choice Requires="x14">
            <control shapeId="48168" r:id="rId37" name="Check Box 40">
              <controlPr defaultSize="0" autoFill="0" autoLine="0" autoPict="0">
                <anchor moveWithCells="1" sizeWithCells="1">
                  <from>
                    <xdr:col>10</xdr:col>
                    <xdr:colOff>0</xdr:colOff>
                    <xdr:row>33</xdr:row>
                    <xdr:rowOff>0</xdr:rowOff>
                  </from>
                  <to>
                    <xdr:col>15</xdr:col>
                    <xdr:colOff>0</xdr:colOff>
                    <xdr:row>34</xdr:row>
                    <xdr:rowOff>0</xdr:rowOff>
                  </to>
                </anchor>
              </controlPr>
            </control>
          </mc:Choice>
        </mc:AlternateContent>
        <mc:AlternateContent xmlns:mc="http://schemas.openxmlformats.org/markup-compatibility/2006">
          <mc:Choice Requires="x14">
            <control shapeId="48169" r:id="rId38" name="Check Box 41">
              <controlPr defaultSize="0" autoFill="0" autoLine="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48170" r:id="rId39" name="Check Box 42">
              <controlPr defaultSize="0" autoFill="0" autoLine="0" autoPict="0">
                <anchor moveWithCells="1" siz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48171" r:id="rId40" name="Check Box 43">
              <controlPr defaultSize="0" autoFill="0" autoLine="0" autoPict="0">
                <anchor moveWithCells="1" sizeWithCells="1">
                  <from>
                    <xdr:col>10</xdr:col>
                    <xdr:colOff>0</xdr:colOff>
                    <xdr:row>35</xdr:row>
                    <xdr:rowOff>0</xdr:rowOff>
                  </from>
                  <to>
                    <xdr:col>15</xdr:col>
                    <xdr:colOff>0</xdr:colOff>
                    <xdr:row>36</xdr:row>
                    <xdr:rowOff>0</xdr:rowOff>
                  </to>
                </anchor>
              </controlPr>
            </control>
          </mc:Choice>
        </mc:AlternateContent>
        <mc:AlternateContent xmlns:mc="http://schemas.openxmlformats.org/markup-compatibility/2006">
          <mc:Choice Requires="x14">
            <control shapeId="48172" r:id="rId41" name="Check Box 44">
              <controlPr defaultSize="0" autoFill="0" autoLine="0" autoPict="0">
                <anchor moveWithCells="1" sizeWithCells="1">
                  <from>
                    <xdr:col>10</xdr:col>
                    <xdr:colOff>0</xdr:colOff>
                    <xdr:row>36</xdr:row>
                    <xdr:rowOff>0</xdr:rowOff>
                  </from>
                  <to>
                    <xdr:col>15</xdr:col>
                    <xdr:colOff>0</xdr:colOff>
                    <xdr:row>37</xdr:row>
                    <xdr:rowOff>0</xdr:rowOff>
                  </to>
                </anchor>
              </controlPr>
            </control>
          </mc:Choice>
        </mc:AlternateContent>
        <mc:AlternateContent xmlns:mc="http://schemas.openxmlformats.org/markup-compatibility/2006">
          <mc:Choice Requires="x14">
            <control shapeId="326917" r:id="rId42" name="Group Box 2309">
              <controlPr defaultSize="0" print="0" autoFill="0" autoPict="0">
                <anchor moveWithCells="1">
                  <from>
                    <xdr:col>10</xdr:col>
                    <xdr:colOff>0</xdr:colOff>
                    <xdr:row>26</xdr:row>
                    <xdr:rowOff>0</xdr:rowOff>
                  </from>
                  <to>
                    <xdr:col>17</xdr:col>
                    <xdr:colOff>0</xdr:colOff>
                    <xdr:row>37</xdr:row>
                    <xdr:rowOff>0</xdr:rowOff>
                  </to>
                </anchor>
              </controlPr>
            </control>
          </mc:Choice>
        </mc:AlternateContent>
        <mc:AlternateContent xmlns:mc="http://schemas.openxmlformats.org/markup-compatibility/2006">
          <mc:Choice Requires="x14">
            <control shapeId="326918" r:id="rId43" name="Option Button 2310">
              <controlPr defaultSize="0" autoFill="0" autoLine="0" autoPict="0">
                <anchor moveWithCells="1">
                  <from>
                    <xdr:col>10</xdr:col>
                    <xdr:colOff>9525</xdr:colOff>
                    <xdr:row>29</xdr:row>
                    <xdr:rowOff>19050</xdr:rowOff>
                  </from>
                  <to>
                    <xdr:col>12</xdr:col>
                    <xdr:colOff>266700</xdr:colOff>
                    <xdr:row>29</xdr:row>
                    <xdr:rowOff>142875</xdr:rowOff>
                  </to>
                </anchor>
              </controlPr>
            </control>
          </mc:Choice>
        </mc:AlternateContent>
        <mc:AlternateContent xmlns:mc="http://schemas.openxmlformats.org/markup-compatibility/2006">
          <mc:Choice Requires="x14">
            <control shapeId="326919" r:id="rId44" name="Option Button 2311">
              <controlPr defaultSize="0" autoFill="0" autoLine="0" autoPict="0">
                <anchor moveWithCells="1">
                  <from>
                    <xdr:col>10</xdr:col>
                    <xdr:colOff>9525</xdr:colOff>
                    <xdr:row>30</xdr:row>
                    <xdr:rowOff>9525</xdr:rowOff>
                  </from>
                  <to>
                    <xdr:col>12</xdr:col>
                    <xdr:colOff>266700</xdr:colOff>
                    <xdr:row>30</xdr:row>
                    <xdr:rowOff>133350</xdr:rowOff>
                  </to>
                </anchor>
              </controlPr>
            </control>
          </mc:Choice>
        </mc:AlternateContent>
        <mc:AlternateContent xmlns:mc="http://schemas.openxmlformats.org/markup-compatibility/2006">
          <mc:Choice Requires="x14">
            <control shapeId="327310" r:id="rId45" name="Group Box 2702">
              <controlPr defaultSize="0" print="0" autoFill="0" autoPict="0">
                <anchor moveWithCells="1">
                  <from>
                    <xdr:col>20</xdr:col>
                    <xdr:colOff>0</xdr:colOff>
                    <xdr:row>12</xdr:row>
                    <xdr:rowOff>0</xdr:rowOff>
                  </from>
                  <to>
                    <xdr:col>22</xdr:col>
                    <xdr:colOff>0</xdr:colOff>
                    <xdr:row>16</xdr:row>
                    <xdr:rowOff>0</xdr:rowOff>
                  </to>
                </anchor>
              </controlPr>
            </control>
          </mc:Choice>
        </mc:AlternateContent>
        <mc:AlternateContent xmlns:mc="http://schemas.openxmlformats.org/markup-compatibility/2006">
          <mc:Choice Requires="x14">
            <control shapeId="327311" r:id="rId46" name="Option Button 2703">
              <controlPr defaultSize="0" autoFill="0" autoLine="0" autoPict="0">
                <anchor moveWithCells="1">
                  <from>
                    <xdr:col>20</xdr:col>
                    <xdr:colOff>285750</xdr:colOff>
                    <xdr:row>12</xdr:row>
                    <xdr:rowOff>19050</xdr:rowOff>
                  </from>
                  <to>
                    <xdr:col>21</xdr:col>
                    <xdr:colOff>123825</xdr:colOff>
                    <xdr:row>13</xdr:row>
                    <xdr:rowOff>0</xdr:rowOff>
                  </to>
                </anchor>
              </controlPr>
            </control>
          </mc:Choice>
        </mc:AlternateContent>
        <mc:AlternateContent xmlns:mc="http://schemas.openxmlformats.org/markup-compatibility/2006">
          <mc:Choice Requires="x14">
            <control shapeId="327312" r:id="rId47" name="Option Button 2704">
              <controlPr defaultSize="0" autoFill="0" autoLine="0" autoPict="0">
                <anchor moveWithCells="1">
                  <from>
                    <xdr:col>20</xdr:col>
                    <xdr:colOff>285750</xdr:colOff>
                    <xdr:row>14</xdr:row>
                    <xdr:rowOff>19050</xdr:rowOff>
                  </from>
                  <to>
                    <xdr:col>21</xdr:col>
                    <xdr:colOff>123825</xdr:colOff>
                    <xdr:row>14</xdr:row>
                    <xdr:rowOff>142875</xdr:rowOff>
                  </to>
                </anchor>
              </controlPr>
            </control>
          </mc:Choice>
        </mc:AlternateContent>
        <mc:AlternateContent xmlns:mc="http://schemas.openxmlformats.org/markup-compatibility/2006">
          <mc:Choice Requires="x14">
            <control shapeId="327313" r:id="rId48" name="Option Button 2705">
              <controlPr defaultSize="0" autoFill="0" autoLine="0" autoPict="0">
                <anchor moveWithCells="1">
                  <from>
                    <xdr:col>20</xdr:col>
                    <xdr:colOff>285750</xdr:colOff>
                    <xdr:row>15</xdr:row>
                    <xdr:rowOff>19050</xdr:rowOff>
                  </from>
                  <to>
                    <xdr:col>21</xdr:col>
                    <xdr:colOff>123825</xdr:colOff>
                    <xdr:row>15</xdr:row>
                    <xdr:rowOff>142875</xdr:rowOff>
                  </to>
                </anchor>
              </controlPr>
            </control>
          </mc:Choice>
        </mc:AlternateContent>
        <mc:AlternateContent xmlns:mc="http://schemas.openxmlformats.org/markup-compatibility/2006">
          <mc:Choice Requires="x14">
            <control shapeId="327314" r:id="rId49" name="Group Box 2706">
              <controlPr defaultSize="0" print="0" autoFill="0" autoPict="0">
                <anchor moveWithCells="1">
                  <from>
                    <xdr:col>22</xdr:col>
                    <xdr:colOff>0</xdr:colOff>
                    <xdr:row>12</xdr:row>
                    <xdr:rowOff>0</xdr:rowOff>
                  </from>
                  <to>
                    <xdr:col>24</xdr:col>
                    <xdr:colOff>0</xdr:colOff>
                    <xdr:row>15</xdr:row>
                    <xdr:rowOff>161925</xdr:rowOff>
                  </to>
                </anchor>
              </controlPr>
            </control>
          </mc:Choice>
        </mc:AlternateContent>
        <mc:AlternateContent xmlns:mc="http://schemas.openxmlformats.org/markup-compatibility/2006">
          <mc:Choice Requires="x14">
            <control shapeId="327315" r:id="rId50" name="Option Button 2707">
              <controlPr defaultSize="0" autoFill="0" autoLine="0" autoPict="0">
                <anchor moveWithCells="1">
                  <from>
                    <xdr:col>22</xdr:col>
                    <xdr:colOff>285750</xdr:colOff>
                    <xdr:row>12</xdr:row>
                    <xdr:rowOff>19050</xdr:rowOff>
                  </from>
                  <to>
                    <xdr:col>23</xdr:col>
                    <xdr:colOff>123825</xdr:colOff>
                    <xdr:row>12</xdr:row>
                    <xdr:rowOff>161925</xdr:rowOff>
                  </to>
                </anchor>
              </controlPr>
            </control>
          </mc:Choice>
        </mc:AlternateContent>
        <mc:AlternateContent xmlns:mc="http://schemas.openxmlformats.org/markup-compatibility/2006">
          <mc:Choice Requires="x14">
            <control shapeId="327316" r:id="rId51" name="Option Button 2708">
              <controlPr defaultSize="0" autoFill="0" autoLine="0" autoPict="0">
                <anchor moveWithCells="1">
                  <from>
                    <xdr:col>22</xdr:col>
                    <xdr:colOff>285750</xdr:colOff>
                    <xdr:row>14</xdr:row>
                    <xdr:rowOff>19050</xdr:rowOff>
                  </from>
                  <to>
                    <xdr:col>23</xdr:col>
                    <xdr:colOff>123825</xdr:colOff>
                    <xdr:row>14</xdr:row>
                    <xdr:rowOff>142875</xdr:rowOff>
                  </to>
                </anchor>
              </controlPr>
            </control>
          </mc:Choice>
        </mc:AlternateContent>
        <mc:AlternateContent xmlns:mc="http://schemas.openxmlformats.org/markup-compatibility/2006">
          <mc:Choice Requires="x14">
            <control shapeId="327317" r:id="rId52" name="Option Button 2709">
              <controlPr defaultSize="0" autoFill="0" autoLine="0" autoPict="0">
                <anchor moveWithCells="1">
                  <from>
                    <xdr:col>22</xdr:col>
                    <xdr:colOff>285750</xdr:colOff>
                    <xdr:row>15</xdr:row>
                    <xdr:rowOff>19050</xdr:rowOff>
                  </from>
                  <to>
                    <xdr:col>23</xdr:col>
                    <xdr:colOff>123825</xdr:colOff>
                    <xdr:row>15</xdr:row>
                    <xdr:rowOff>142875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EE681067-789E-41E5-8878-AE1E1F25F4F8}">
            <xm:f>Erhebungsbogen!$W$37&gt;0</xm:f>
            <x14:dxf>
              <font>
                <color theme="1"/>
              </font>
              <border>
                <left style="thin">
                  <color auto="1"/>
                </left>
                <right style="thin">
                  <color auto="1"/>
                </right>
                <top style="thin">
                  <color auto="1"/>
                </top>
                <bottom style="thin">
                  <color auto="1"/>
                </bottom>
                <vertical/>
                <horizontal/>
              </border>
            </x14:dxf>
          </x14:cfRule>
          <xm:sqref>H41:I41</xm:sqref>
        </x14:conditionalFormatting>
        <x14:conditionalFormatting xmlns:xm="http://schemas.microsoft.com/office/excel/2006/main">
          <x14:cfRule type="cellIs" priority="1435" operator="greaterThan" id="{F31D40FE-9366-4E84-B311-E722DAA925DD}">
            <xm:f>Haftungsausschluß!$L$34</xm:f>
            <x14:dxf>
              <fill>
                <patternFill>
                  <bgColor theme="9" tint="0.59996337778862885"/>
                </patternFill>
              </fill>
            </x14:dxf>
          </x14:cfRule>
          <x14:cfRule type="cellIs" priority="1436" operator="lessThan" id="{00DC1131-12EB-48FD-8572-9D2DA5CD8D34}">
            <xm:f>Haftungsausschluß!$L$34</xm:f>
            <x14:dxf>
              <fill>
                <patternFill>
                  <bgColor rgb="FFFF7C80"/>
                </patternFill>
              </fill>
            </x14:dxf>
          </x14:cfRule>
          <xm:sqref>X30 X35</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1797E-D0A9-4F0C-B0C6-6DC3E776AC83}">
  <sheetPr codeName="Tabelle38"/>
  <dimension ref="A1:AP56"/>
  <sheetViews>
    <sheetView showGridLines="0" workbookViewId="0">
      <selection activeCell="D16" sqref="D16:I16"/>
    </sheetView>
  </sheetViews>
  <sheetFormatPr baseColWidth="10" defaultColWidth="0" defaultRowHeight="12.75" zeroHeight="1"/>
  <cols>
    <col min="1" max="25" width="5.7109375" style="21" customWidth="1"/>
    <col min="26" max="26" width="255.7109375" style="21" hidden="1" customWidth="1"/>
    <col min="27" max="27" width="9.140625" style="21" hidden="1" customWidth="1"/>
    <col min="28" max="28" width="11.85546875" style="21" hidden="1" customWidth="1"/>
    <col min="29" max="31" width="5.7109375" style="21" hidden="1" customWidth="1"/>
    <col min="32" max="32" width="11.42578125" style="21" hidden="1" customWidth="1"/>
    <col min="33" max="33" width="22.42578125" style="21" hidden="1" customWidth="1"/>
    <col min="34" max="34" width="11.42578125" style="21" hidden="1" customWidth="1"/>
    <col min="35" max="36" width="6.28515625" style="21" hidden="1" customWidth="1"/>
    <col min="37" max="37" width="5" style="21" hidden="1" customWidth="1"/>
    <col min="38" max="38" width="2.85546875" style="21" hidden="1" customWidth="1"/>
    <col min="39" max="42" width="0" style="21" hidden="1" customWidth="1"/>
    <col min="43" max="16384" width="11.42578125" style="21" hidden="1"/>
  </cols>
  <sheetData>
    <row r="1" spans="3:35" ht="20.25">
      <c r="Y1" s="47" t="str">
        <f>VLOOKUP(1780,Sprachindex!$A:$Z,Erhebungsbogen!$Y$20,FALSE)</f>
        <v>PREFA HOCHWASSERSCHUTZ SYSTEM</v>
      </c>
    </row>
    <row r="2" spans="3:35">
      <c r="Y2" s="41" t="str">
        <f>VLOOKUP(1741,Sprachindex!$A:$Z,Erhebungsbogen!$Y$20,FALSE) &amp; " 5"</f>
        <v>KALKULATION 5</v>
      </c>
    </row>
    <row r="3" spans="3:35" ht="15" customHeight="1">
      <c r="Y3" s="41"/>
    </row>
    <row r="4" spans="3:35">
      <c r="D4" s="104" t="str">
        <f>VLOOKUP(393,Sprachindex!$A:$Z,Erhebungsbogen!$Y$20,FALSE)</f>
        <v>Firma / Besteller:</v>
      </c>
      <c r="K4" s="423" t="str">
        <f>VLOOKUP(1646,Sprachindex!$A:$Z,Erhebungsbogen!$Y$20,FALSE)</f>
        <v>Beschichtung</v>
      </c>
      <c r="L4" s="424"/>
      <c r="M4" s="424"/>
      <c r="N4" s="424"/>
      <c r="O4" s="424"/>
      <c r="P4" s="424"/>
      <c r="Q4" s="425"/>
      <c r="S4" s="423" t="str">
        <f>VLOOKUP(1657,Sprachindex!$A:$Z,Erhebungsbogen!$Y$20,FALSE)</f>
        <v>Bodenhülsendeckel</v>
      </c>
      <c r="T4" s="424"/>
      <c r="U4" s="424"/>
      <c r="V4" s="424"/>
      <c r="W4" s="424"/>
      <c r="X4" s="425"/>
      <c r="AA4" s="273"/>
    </row>
    <row r="5" spans="3:35">
      <c r="C5" s="105" t="str">
        <f>VLOOKUP(622,Sprachindex!$A:$Z,Erhebungsbogen!$Y$20,FALSE)</f>
        <v>Name:</v>
      </c>
      <c r="D5" s="472">
        <f>Erhebungsbogen!F8</f>
        <v>0</v>
      </c>
      <c r="E5" s="472"/>
      <c r="F5" s="472"/>
      <c r="G5" s="472"/>
      <c r="H5" s="472"/>
      <c r="I5" s="472"/>
      <c r="K5" s="460" t="str">
        <f>VLOOKUP(625,Sprachindex!$A:$Z,Erhebungsbogen!$Y$20,FALSE)</f>
        <v>nein</v>
      </c>
      <c r="L5" s="460"/>
      <c r="M5" s="460"/>
      <c r="N5" s="460" t="str">
        <f>VLOOKUP(498,Sprachindex!$A:$Z,Erhebungsbogen!$Y$20,FALSE)</f>
        <v>ja</v>
      </c>
      <c r="O5" s="460"/>
      <c r="P5" s="460"/>
      <c r="Q5" s="460"/>
      <c r="S5" s="460" t="str">
        <f>VLOOKUP(1617,Sprachindex!$A:$Z,Erhebungsbogen!$Y$20,FALSE)</f>
        <v>Aluminium</v>
      </c>
      <c r="T5" s="460"/>
      <c r="U5" s="460"/>
      <c r="V5" s="460" t="str">
        <f>VLOOKUP(1696,Sprachindex!$A:$Z,Erhebungsbogen!$Y$20,FALSE)</f>
        <v>Edelstahl</v>
      </c>
      <c r="W5" s="460"/>
      <c r="X5" s="460"/>
      <c r="AA5" s="273">
        <v>1</v>
      </c>
      <c r="AB5" s="142" t="s">
        <v>18593</v>
      </c>
    </row>
    <row r="6" spans="3:35" ht="2.1" customHeight="1">
      <c r="C6" s="105"/>
      <c r="D6" s="27"/>
      <c r="E6" s="27"/>
      <c r="F6" s="27"/>
      <c r="G6" s="27"/>
      <c r="H6" s="27"/>
      <c r="I6" s="27"/>
      <c r="K6" s="33"/>
      <c r="L6" s="34"/>
      <c r="M6" s="34"/>
      <c r="N6" s="34"/>
      <c r="O6" s="34"/>
      <c r="P6" s="34"/>
      <c r="Q6" s="35"/>
      <c r="AA6" s="273"/>
    </row>
    <row r="7" spans="3:35">
      <c r="C7" s="105" t="str">
        <f>VLOOKUP(884,Sprachindex!$A:$Z,Erhebungsbogen!$Y$20,FALSE)</f>
        <v>Straße:</v>
      </c>
      <c r="D7" s="472">
        <f>Erhebungsbogen!F10</f>
        <v>0</v>
      </c>
      <c r="E7" s="472"/>
      <c r="F7" s="472"/>
      <c r="G7" s="472"/>
      <c r="H7" s="472"/>
      <c r="I7" s="472"/>
      <c r="K7" s="110" t="str">
        <f>VLOOKUP(1791,Sprachindex!$A:$Z,Erhebungsbogen!$Y$20,FALSE)</f>
        <v>RAL oder PREFA Farbe:</v>
      </c>
      <c r="Q7" s="37"/>
      <c r="AA7" s="273">
        <v>1</v>
      </c>
      <c r="AB7" s="142" t="s">
        <v>22065</v>
      </c>
      <c r="AH7" s="49"/>
    </row>
    <row r="8" spans="3:35" ht="2.1" customHeight="1">
      <c r="C8" s="105"/>
      <c r="D8" s="27"/>
      <c r="E8" s="27"/>
      <c r="F8" s="27"/>
      <c r="G8" s="27"/>
      <c r="H8" s="27"/>
      <c r="I8" s="27"/>
      <c r="K8" s="36"/>
      <c r="Q8" s="37"/>
      <c r="AA8" s="273"/>
    </row>
    <row r="9" spans="3:35">
      <c r="C9" s="105" t="str">
        <f>VLOOKUP(641,Sprachindex!$A:$Z,Erhebungsbogen!$Y$20,FALSE)</f>
        <v>Ort:</v>
      </c>
      <c r="D9" s="472">
        <f>Erhebungsbogen!F12</f>
        <v>0</v>
      </c>
      <c r="E9" s="472"/>
      <c r="F9" s="472"/>
      <c r="G9" s="472"/>
      <c r="H9" s="472"/>
      <c r="I9" s="472"/>
      <c r="K9" s="471"/>
      <c r="L9" s="472"/>
      <c r="M9" s="472"/>
      <c r="N9" s="472"/>
      <c r="O9" s="472"/>
      <c r="P9" s="472"/>
      <c r="Q9" s="473"/>
      <c r="S9" s="423" t="str">
        <f>VLOOKUP(1608,Sprachindex!$A:$Z,Erhebungsbogen!$Y$20,FALSE)</f>
        <v>Abdeckung</v>
      </c>
      <c r="T9" s="424"/>
      <c r="U9" s="424"/>
      <c r="V9" s="424"/>
      <c r="W9" s="424"/>
      <c r="X9" s="425"/>
      <c r="AA9" s="273">
        <v>1</v>
      </c>
      <c r="AB9" s="142" t="s">
        <v>22066</v>
      </c>
      <c r="AH9" s="49"/>
      <c r="AI9" s="49"/>
    </row>
    <row r="10" spans="3:35" ht="2.1" customHeight="1">
      <c r="C10" s="105"/>
      <c r="D10" s="27"/>
      <c r="E10" s="27"/>
      <c r="F10" s="27"/>
      <c r="G10" s="27"/>
      <c r="H10" s="27"/>
      <c r="I10" s="27"/>
      <c r="K10" s="36"/>
      <c r="Q10" s="37"/>
      <c r="S10" s="33"/>
      <c r="T10" s="35"/>
      <c r="U10" s="33"/>
      <c r="V10" s="35"/>
      <c r="W10" s="33"/>
      <c r="X10" s="35"/>
      <c r="AA10" s="273"/>
      <c r="AH10" s="49"/>
      <c r="AI10" s="49"/>
    </row>
    <row r="11" spans="3:35">
      <c r="C11" s="105" t="str">
        <f>VLOOKUP(901,Sprachindex!$A:$Z,Erhebungsbogen!$Y$20,FALSE)</f>
        <v>Telefon:</v>
      </c>
      <c r="D11" s="476">
        <f>Erhebungsbogen!F14</f>
        <v>0</v>
      </c>
      <c r="E11" s="476"/>
      <c r="F11" s="476"/>
      <c r="G11" s="476"/>
      <c r="H11" s="476"/>
      <c r="I11" s="476"/>
      <c r="K11" s="491" t="str">
        <f>VLOOKUP(2117,Sprachindex!$A:$Z,Erhebungsbogen!$Y$20,FALSE)</f>
        <v>Beschichtungsteile</v>
      </c>
      <c r="L11" s="492"/>
      <c r="M11" s="492"/>
      <c r="N11" s="492"/>
      <c r="O11" s="492"/>
      <c r="P11" s="492"/>
      <c r="Q11" s="493"/>
      <c r="S11" s="36"/>
      <c r="T11" s="37"/>
      <c r="U11" s="474" t="str">
        <f>VLOOKUP(1755,Sprachindex!$A:$Z,Erhebungsbogen!$Y$20,FALSE)</f>
        <v>Links</v>
      </c>
      <c r="V11" s="475"/>
      <c r="W11" s="474" t="str">
        <f>VLOOKUP(1792,Sprachindex!$A:$Z,Erhebungsbogen!$Y$20,FALSE)</f>
        <v>Rechts</v>
      </c>
      <c r="X11" s="475"/>
      <c r="AA11" s="273" t="b">
        <f>Erhebungsbogen!S38</f>
        <v>0</v>
      </c>
      <c r="AB11" s="142" t="s">
        <v>22067</v>
      </c>
      <c r="AH11" s="49"/>
      <c r="AI11" s="49"/>
    </row>
    <row r="12" spans="3:35" ht="2.1" customHeight="1">
      <c r="C12" s="105"/>
      <c r="D12" s="27"/>
      <c r="E12" s="27"/>
      <c r="F12" s="27"/>
      <c r="G12" s="27"/>
      <c r="H12" s="27"/>
      <c r="I12" s="27"/>
      <c r="K12" s="36"/>
      <c r="Q12" s="37"/>
      <c r="S12" s="43"/>
      <c r="T12" s="38"/>
      <c r="U12" s="43"/>
      <c r="V12" s="38"/>
      <c r="W12" s="43"/>
      <c r="X12" s="38"/>
      <c r="AA12" s="273"/>
    </row>
    <row r="13" spans="3:35">
      <c r="C13" s="105" t="str">
        <f>VLOOKUP(1698,Sprachindex!$A:$Z,Erhebungsbogen!$Y$20,FALSE)</f>
        <v>eMail:</v>
      </c>
      <c r="D13" s="472">
        <f>Erhebungsbogen!F16</f>
        <v>0</v>
      </c>
      <c r="E13" s="472"/>
      <c r="F13" s="472"/>
      <c r="G13" s="472"/>
      <c r="H13" s="472"/>
      <c r="I13" s="472"/>
      <c r="K13" s="494" t="str">
        <f>VLOOKUP(1608,Sprachindex!$A:$Z,Erhebungsbogen!$Y$20,FALSE)</f>
        <v>Abdeckung</v>
      </c>
      <c r="L13" s="494"/>
      <c r="M13" s="495"/>
      <c r="N13" s="498" t="str">
        <f>VLOOKUP(1659,Sprachindex!$A:$Z,Erhebungsbogen!$Y$20,FALSE) &amp; " (≤ 3 m)"</f>
        <v>Dammbalken (≤ 3 m)</v>
      </c>
      <c r="O13" s="494"/>
      <c r="P13" s="494"/>
      <c r="Q13" s="494"/>
      <c r="S13" s="110" t="str">
        <f>VLOOKUP(1742,Sprachindex!$A:$Z,Erhebungsbogen!$Y$20,FALSE)</f>
        <v>keine</v>
      </c>
      <c r="T13" s="329"/>
      <c r="U13" s="110"/>
      <c r="V13" s="329"/>
      <c r="W13" s="110"/>
      <c r="X13" s="329"/>
      <c r="AA13" s="273" t="b">
        <v>0</v>
      </c>
      <c r="AB13" s="142" t="s">
        <v>22068</v>
      </c>
      <c r="AH13" s="49"/>
      <c r="AI13" s="49"/>
    </row>
    <row r="14" spans="3:35" ht="2.1" customHeight="1">
      <c r="C14" s="105"/>
      <c r="D14" s="27"/>
      <c r="E14" s="27"/>
      <c r="F14" s="27"/>
      <c r="G14" s="27"/>
      <c r="H14" s="27"/>
      <c r="I14" s="27"/>
      <c r="K14" s="62"/>
      <c r="L14" s="63"/>
      <c r="M14" s="63"/>
      <c r="N14" s="63"/>
      <c r="O14" s="63"/>
      <c r="P14" s="103"/>
      <c r="Q14" s="64"/>
      <c r="S14" s="36"/>
      <c r="T14" s="37"/>
      <c r="U14" s="36"/>
      <c r="V14" s="37"/>
      <c r="W14" s="36"/>
      <c r="X14" s="37"/>
      <c r="AA14" s="273"/>
      <c r="AH14" s="49"/>
      <c r="AI14" s="49"/>
    </row>
    <row r="15" spans="3:35">
      <c r="C15" s="105" t="str">
        <f>VLOOKUP(203,Sprachindex!$A:$Z,Erhebungsbogen!$Y$20,FALSE)</f>
        <v>Bauvorhaben:</v>
      </c>
      <c r="D15" s="472">
        <f>Erhebungsbogen!F18</f>
        <v>0</v>
      </c>
      <c r="E15" s="472"/>
      <c r="F15" s="472"/>
      <c r="G15" s="472"/>
      <c r="H15" s="472"/>
      <c r="I15" s="472"/>
      <c r="K15" s="496" t="str">
        <f>VLOOKUP(1811,Sprachindex!$A:$Z,Erhebungsbogen!$Y$20,FALSE)</f>
        <v>Seitenteile</v>
      </c>
      <c r="L15" s="496"/>
      <c r="M15" s="497"/>
      <c r="N15" s="499" t="str">
        <f>VLOOKUP(1751,Sprachindex!$A:$Z,Erhebungsbogen!$Y$20,FALSE)</f>
        <v>Lagerabdeckung</v>
      </c>
      <c r="O15" s="496"/>
      <c r="P15" s="496"/>
      <c r="Q15" s="496"/>
      <c r="S15" s="110" t="str">
        <f>VLOOKUP(1715,Sprachindex!$A:$Z,Erhebungsbogen!$Y$20,FALSE)</f>
        <v>Gerade V</v>
      </c>
      <c r="T15" s="329"/>
      <c r="U15" s="110"/>
      <c r="V15" s="329"/>
      <c r="W15" s="110"/>
      <c r="X15" s="329"/>
      <c r="AA15" s="273" t="b">
        <f>Erhebungsbogen!S40</f>
        <v>0</v>
      </c>
      <c r="AB15" s="142" t="s">
        <v>22069</v>
      </c>
      <c r="AH15" s="49"/>
      <c r="AI15" s="49"/>
    </row>
    <row r="16" spans="3:35">
      <c r="C16" s="105" t="str">
        <f>VLOOKUP(660,Sprachindex!$A:$Z,Erhebungsbogen!$Y$20,FALSE)</f>
        <v>Pos.</v>
      </c>
      <c r="D16" s="472"/>
      <c r="E16" s="472"/>
      <c r="F16" s="472"/>
      <c r="G16" s="472"/>
      <c r="H16" s="472"/>
      <c r="I16" s="472"/>
      <c r="S16" s="327" t="str">
        <f>VLOOKUP(1022,Sprachindex!$A:$Z,Erhebungsbogen!$Y$20,FALSE) &amp; " VO"</f>
        <v>Winkel VO</v>
      </c>
      <c r="T16" s="328"/>
      <c r="U16" s="327"/>
      <c r="V16" s="328"/>
      <c r="W16" s="327"/>
      <c r="X16" s="328"/>
      <c r="AA16" s="273" t="b">
        <f>Erhebungsbogen!S41</f>
        <v>0</v>
      </c>
      <c r="AB16" s="142" t="s">
        <v>22070</v>
      </c>
      <c r="AG16" s="67"/>
      <c r="AH16" s="49"/>
      <c r="AI16" s="49"/>
    </row>
    <row r="17" spans="2:38">
      <c r="B17" s="423" t="str">
        <f>VLOOKUP(1768,Sprachindex!$A:$Z,Erhebungsbogen!$Y$20,FALSE)</f>
        <v>Montageart</v>
      </c>
      <c r="C17" s="424"/>
      <c r="D17" s="424"/>
      <c r="E17" s="424"/>
      <c r="F17" s="424"/>
      <c r="G17" s="424"/>
      <c r="H17" s="424"/>
      <c r="I17" s="425"/>
      <c r="K17" s="423" t="str">
        <f>VLOOKUP(1793,Sprachindex!$A:$Z,Erhebungsbogen!$Y$20,FALSE)</f>
        <v>Rundprofil</v>
      </c>
      <c r="L17" s="424"/>
      <c r="M17" s="424"/>
      <c r="N17" s="424"/>
      <c r="O17" s="424"/>
      <c r="P17" s="424"/>
      <c r="Q17" s="425"/>
      <c r="AA17" s="273">
        <v>1</v>
      </c>
      <c r="AB17" s="21" t="s">
        <v>22071</v>
      </c>
      <c r="AH17" s="49"/>
      <c r="AI17" s="68"/>
    </row>
    <row r="18" spans="2:38" ht="12.75" customHeight="1">
      <c r="B18" s="432" t="str">
        <f>VLOOKUP(1755,Sprachindex!$A:$Z,Erhebungsbogen!$Y$20,FALSE)</f>
        <v>Links</v>
      </c>
      <c r="C18" s="432"/>
      <c r="D18" s="432"/>
      <c r="E18" s="432"/>
      <c r="F18" s="432" t="str">
        <f>VLOOKUP(1792,Sprachindex!$A:$Z,Erhebungsbogen!$Y$20,FALSE)</f>
        <v>Rechts</v>
      </c>
      <c r="G18" s="432"/>
      <c r="H18" s="432"/>
      <c r="I18" s="432"/>
      <c r="K18" s="506" t="str">
        <f>VLOOKUP(1793,Sprachindex!$A:$Z,Erhebungsbogen!$Y$20,FALSE)</f>
        <v>Rundprofil</v>
      </c>
      <c r="L18" s="507"/>
      <c r="M18" s="507"/>
      <c r="N18" s="507"/>
      <c r="O18" s="35"/>
      <c r="P18" s="34"/>
      <c r="Q18" s="35"/>
      <c r="S18" s="423" t="str">
        <f>VLOOKUP(2119,Sprachindex!$A:$Z,Erhebungsbogen!$Y$20,FALSE)</f>
        <v>Systemwahl</v>
      </c>
      <c r="T18" s="424"/>
      <c r="U18" s="424"/>
      <c r="V18" s="424"/>
      <c r="W18" s="424"/>
      <c r="X18" s="425"/>
      <c r="AA18" s="322">
        <v>1</v>
      </c>
      <c r="AB18" s="323" t="s">
        <v>22639</v>
      </c>
      <c r="AC18" s="324"/>
      <c r="AD18" s="324"/>
      <c r="AE18" s="324"/>
      <c r="AF18" s="325">
        <v>1</v>
      </c>
      <c r="AG18" s="326" t="s">
        <v>22640</v>
      </c>
      <c r="AH18" s="49"/>
      <c r="AI18" s="49"/>
    </row>
    <row r="19" spans="2:38">
      <c r="B19" s="33"/>
      <c r="C19" s="34"/>
      <c r="D19" s="34"/>
      <c r="E19" s="35"/>
      <c r="F19" s="33"/>
      <c r="G19" s="34"/>
      <c r="H19" s="34"/>
      <c r="I19" s="35"/>
      <c r="K19" s="500" t="str">
        <f>VLOOKUP(1809,Sprachindex!$A:$Z,Erhebungsbogen!$Y$20,FALSE)</f>
        <v>Rundprofil Groß</v>
      </c>
      <c r="L19" s="501"/>
      <c r="M19" s="501"/>
      <c r="N19" s="501"/>
      <c r="O19" s="38"/>
      <c r="Q19" s="37"/>
      <c r="S19" s="432" t="str">
        <f>VLOOKUP(1844,Sprachindex!$A:$Z,Erhebungsbogen!$Y$20,FALSE)</f>
        <v>System 25:</v>
      </c>
      <c r="T19" s="432"/>
      <c r="U19" s="432" t="str">
        <f>VLOOKUP(1846,Sprachindex!$A:$Z,Erhebungsbogen!$Y$20,FALSE)</f>
        <v>System 50:</v>
      </c>
      <c r="V19" s="432"/>
      <c r="W19" s="432" t="str">
        <f>VLOOKUP(1847,Sprachindex!$A:$Z,Erhebungsbogen!$Y$20,FALSE)</f>
        <v>System 80:</v>
      </c>
      <c r="X19" s="432"/>
      <c r="AA19" s="273">
        <v>3</v>
      </c>
      <c r="AB19" s="21" t="s">
        <v>22072</v>
      </c>
    </row>
    <row r="20" spans="2:38">
      <c r="B20" s="36"/>
      <c r="E20" s="37"/>
      <c r="F20" s="36"/>
      <c r="I20" s="37"/>
      <c r="K20" s="467" t="str">
        <f>VLOOKUP(1808,Sprachindex!$A:$Z,Erhebungsbogen!$Y$20,FALSE)</f>
        <v>Rundprofil 90°</v>
      </c>
      <c r="L20" s="468"/>
      <c r="M20" s="468"/>
      <c r="N20" s="469"/>
      <c r="O20" s="279"/>
      <c r="Q20" s="37"/>
      <c r="S20" s="460" t="s">
        <v>21826</v>
      </c>
      <c r="T20" s="460"/>
      <c r="U20" s="460" t="s">
        <v>21828</v>
      </c>
      <c r="V20" s="460"/>
      <c r="W20" s="460" t="s">
        <v>21826</v>
      </c>
      <c r="X20" s="460"/>
      <c r="AA20" s="273">
        <v>1</v>
      </c>
      <c r="AB20" s="21" t="s">
        <v>22073</v>
      </c>
    </row>
    <row r="21" spans="2:38">
      <c r="B21" s="36"/>
      <c r="E21" s="37"/>
      <c r="F21" s="36"/>
      <c r="I21" s="37"/>
      <c r="K21" s="464" t="str">
        <f>VLOOKUP(1810,Sprachindex!$A:$Z,Erhebungsbogen!$Y$20,FALSE)</f>
        <v>Rundprofil Vario</v>
      </c>
      <c r="L21" s="465"/>
      <c r="M21" s="466"/>
      <c r="N21" s="266"/>
      <c r="O21" s="277"/>
      <c r="P21" s="39"/>
      <c r="Q21" s="38"/>
      <c r="S21" s="460" t="s">
        <v>21827</v>
      </c>
      <c r="T21" s="460"/>
      <c r="U21" s="460" t="s">
        <v>21829</v>
      </c>
      <c r="V21" s="460"/>
      <c r="W21" s="460" t="s">
        <v>21830</v>
      </c>
      <c r="X21" s="460"/>
      <c r="AA21" s="273" t="b">
        <v>0</v>
      </c>
      <c r="AB21" s="21" t="s">
        <v>22074</v>
      </c>
      <c r="AG21" s="42" t="s">
        <v>21831</v>
      </c>
    </row>
    <row r="22" spans="2:38">
      <c r="B22" s="43"/>
      <c r="C22" s="39"/>
      <c r="D22" s="39"/>
      <c r="E22" s="38"/>
      <c r="F22" s="36"/>
      <c r="I22" s="37"/>
      <c r="AA22" s="273" t="b">
        <v>0</v>
      </c>
      <c r="AB22" s="21" t="s">
        <v>22075</v>
      </c>
      <c r="AG22" s="44" t="str">
        <f>IF(AA19=1,"","15°")</f>
        <v>15°</v>
      </c>
    </row>
    <row r="23" spans="2:38">
      <c r="B23" s="338" t="str">
        <f>VLOOKUP(1867,Sprachindex!$A:$Z,Erhebungsbogen!$Y$20,FALSE)</f>
        <v>Vor der Leibung</v>
      </c>
      <c r="C23" s="34"/>
      <c r="D23" s="34"/>
      <c r="E23" s="35"/>
      <c r="F23" s="339" t="str">
        <f>VLOOKUP(1867,Sprachindex!$A:$Z,Erhebungsbogen!$Y$20,FALSE)</f>
        <v>Vor der Leibung</v>
      </c>
      <c r="I23" s="37"/>
      <c r="K23" s="423" t="str">
        <f>VLOOKUP(1815,Sprachindex!$A:$Z,Erhebungsbogen!$Y$20,FALSE)</f>
        <v>Sonderkosten</v>
      </c>
      <c r="L23" s="424"/>
      <c r="M23" s="424"/>
      <c r="N23" s="424"/>
      <c r="O23" s="424"/>
      <c r="P23" s="424"/>
      <c r="Q23" s="424"/>
      <c r="R23" s="424"/>
      <c r="S23" s="424"/>
      <c r="T23" s="424"/>
      <c r="U23" s="424"/>
      <c r="V23" s="424"/>
      <c r="W23" s="424"/>
      <c r="X23" s="425"/>
      <c r="AA23" s="273" t="b">
        <v>0</v>
      </c>
      <c r="AB23" s="21" t="s">
        <v>22076</v>
      </c>
      <c r="AG23" s="44" t="str">
        <f>IF(AA19=1,"","30°")</f>
        <v>30°</v>
      </c>
    </row>
    <row r="24" spans="2:38">
      <c r="B24" s="102" t="str">
        <f>VLOOKUP(1739,Sprachindex!$A:$Z,Erhebungsbogen!$Y$20,FALSE)</f>
        <v>In der Leibung</v>
      </c>
      <c r="C24" s="45"/>
      <c r="D24" s="45"/>
      <c r="E24" s="46"/>
      <c r="F24" s="99" t="str">
        <f>VLOOKUP(1739,Sprachindex!$A:$Z,Erhebungsbogen!$Y$20,FALSE)</f>
        <v>In der Leibung</v>
      </c>
      <c r="G24" s="45"/>
      <c r="H24" s="45"/>
      <c r="I24" s="46"/>
      <c r="K24" s="462" t="str">
        <f>VLOOKUP(2259,Sprachindex!$A:$Z,Erhebungsbogen!$Y$20,FALSE)</f>
        <v>Ausfräsungen Dammbalken</v>
      </c>
      <c r="L24" s="463"/>
      <c r="M24" s="463"/>
      <c r="N24" s="463"/>
      <c r="O24" s="463"/>
      <c r="P24" s="109" t="s">
        <v>20872</v>
      </c>
      <c r="Q24" s="274"/>
      <c r="R24" s="462" t="str">
        <f>VLOOKUP(1629,Sprachindex!$A:$Z,Erhebungsbogen!$Y$20,FALSE)</f>
        <v>Ausfräsung Seitenteile für DB</v>
      </c>
      <c r="S24" s="463"/>
      <c r="T24" s="463"/>
      <c r="U24" s="463"/>
      <c r="V24" s="463"/>
      <c r="W24" s="109" t="s">
        <v>20872</v>
      </c>
      <c r="X24" s="276"/>
      <c r="AA24" s="273" t="b">
        <v>0</v>
      </c>
      <c r="AB24" s="21" t="s">
        <v>22077</v>
      </c>
      <c r="AG24" s="32" t="str">
        <f>IF(AA19=1,"","45°")</f>
        <v>45°</v>
      </c>
    </row>
    <row r="25" spans="2:38">
      <c r="B25" s="101" t="str">
        <f>VLOOKUP(1658,Sprachindex!$A:$Z,Erhebungsbogen!$Y$20,FALSE)</f>
        <v>Bündig</v>
      </c>
      <c r="C25" s="39"/>
      <c r="D25" s="39"/>
      <c r="E25" s="38"/>
      <c r="F25" s="100" t="str">
        <f>VLOOKUP(1658,Sprachindex!$A:$Z,Erhebungsbogen!$Y$20,FALSE)</f>
        <v>Bündig</v>
      </c>
      <c r="G25" s="39"/>
      <c r="H25" s="39"/>
      <c r="I25" s="38"/>
      <c r="K25" s="434" t="str">
        <f>VLOOKUP(1753,Sprachindex!$A:$Z,Erhebungsbogen!$Y$20,FALSE)</f>
        <v>Längenänderung Seitenteile</v>
      </c>
      <c r="L25" s="435"/>
      <c r="M25" s="435"/>
      <c r="N25" s="435"/>
      <c r="O25" s="435"/>
      <c r="P25" s="108" t="s">
        <v>20872</v>
      </c>
      <c r="Q25" s="275"/>
      <c r="R25" s="434" t="str">
        <f>VLOOKUP(1627,Sprachindex!$A:$Z,Erhebungsbogen!$Y$20,FALSE)</f>
        <v>Aufpreis Planungsstunde</v>
      </c>
      <c r="S25" s="435"/>
      <c r="T25" s="435"/>
      <c r="U25" s="435"/>
      <c r="V25" s="435"/>
      <c r="W25" s="108" t="s">
        <v>20848</v>
      </c>
      <c r="X25" s="277"/>
      <c r="AA25" s="273" t="b">
        <v>0</v>
      </c>
      <c r="AB25" s="21" t="s">
        <v>21834</v>
      </c>
      <c r="AG25" s="32" t="str">
        <f>IF(AA19=1,"","60°")</f>
        <v>60°</v>
      </c>
    </row>
    <row r="26" spans="2:38">
      <c r="AA26" s="273" t="b">
        <v>0</v>
      </c>
      <c r="AB26" s="21" t="s">
        <v>21835</v>
      </c>
      <c r="AG26" s="32" t="str">
        <f>IF(OR(AA19=2,AA19=3),"75°","")</f>
        <v>75°</v>
      </c>
      <c r="AI26" s="95">
        <f>26+$AA$7</f>
        <v>27</v>
      </c>
      <c r="AJ26" s="95"/>
      <c r="AK26" s="95"/>
      <c r="AL26" s="95"/>
    </row>
    <row r="27" spans="2:38">
      <c r="B27" s="423" t="str">
        <f>VLOOKUP(1671,Sprachindex!$A:$Z,Erhebungsbogen!$Y$20,FALSE)</f>
        <v>Dateneingabe</v>
      </c>
      <c r="C27" s="424"/>
      <c r="D27" s="424"/>
      <c r="E27" s="424"/>
      <c r="F27" s="424"/>
      <c r="G27" s="424"/>
      <c r="H27" s="424"/>
      <c r="I27" s="425"/>
      <c r="K27" s="423" t="str">
        <f>VLOOKUP(1872,Sprachindex!$A:$Z,Erhebungsbogen!$Y$20,FALSE)</f>
        <v>Zubehör</v>
      </c>
      <c r="L27" s="424"/>
      <c r="M27" s="424"/>
      <c r="N27" s="424"/>
      <c r="O27" s="424"/>
      <c r="P27" s="424"/>
      <c r="Q27" s="425"/>
      <c r="AA27" s="273" t="b">
        <f>IF(AND(AA37=1,H28&gt;0,H29&gt;0),TRUE,FALSE)</f>
        <v>0</v>
      </c>
      <c r="AB27" s="142" t="s">
        <v>20650</v>
      </c>
    </row>
    <row r="28" spans="2:38">
      <c r="B28" s="482" t="str">
        <f>VLOOKUP(1754,Sprachindex!$A:$Z,Erhebungsbogen!$Y$20,FALSE)</f>
        <v>Lichteweite [mm]:</v>
      </c>
      <c r="C28" s="483"/>
      <c r="D28" s="483"/>
      <c r="E28" s="483"/>
      <c r="F28" s="483"/>
      <c r="G28" s="484"/>
      <c r="H28" s="449"/>
      <c r="I28" s="450"/>
      <c r="K28" s="462" t="str">
        <f>VLOOKUP(1814,Sprachindex!$A:$Z,Erhebungsbogen!$Y$20,FALSE)</f>
        <v>Sicherungsschraube für Abdeckung</v>
      </c>
      <c r="L28" s="463"/>
      <c r="M28" s="463"/>
      <c r="N28" s="463"/>
      <c r="O28" s="463"/>
      <c r="P28" s="504"/>
      <c r="Q28" s="505"/>
      <c r="S28" s="444" t="s">
        <v>22591</v>
      </c>
      <c r="T28" s="444"/>
      <c r="U28" s="444"/>
      <c r="V28" s="444"/>
      <c r="W28" s="444"/>
      <c r="X28" s="444"/>
      <c r="Z28" s="319" t="e">
        <f>IF(AND(W29&lt;100%,W31&lt;100%,X30&gt;=Haftungsausschluß!L34),1,0)</f>
        <v>#DIV/0!</v>
      </c>
      <c r="AA28" s="273" t="b">
        <f>IF(AND(AA37=2,H28&gt;0,H29&gt;0),TRUE,FALSE)</f>
        <v>0</v>
      </c>
      <c r="AB28" s="142" t="s">
        <v>20623</v>
      </c>
    </row>
    <row r="29" spans="2:38">
      <c r="B29" s="452" t="str">
        <f>VLOOKUP(1834,Sprachindex!$A:$Z,Erhebungsbogen!$Y$20,FALSE)</f>
        <v>Stauhöhe (BHW) [mm]:</v>
      </c>
      <c r="C29" s="453"/>
      <c r="D29" s="453"/>
      <c r="E29" s="453"/>
      <c r="F29" s="453"/>
      <c r="G29" s="454"/>
      <c r="H29" s="485"/>
      <c r="I29" s="486"/>
      <c r="K29" s="421" t="str">
        <f>VLOOKUP(2120,Sprachindex!$A:$Z,Erhebungsbogen!$Y$20,FALSE)</f>
        <v>Niederhalter Dammbalken</v>
      </c>
      <c r="L29" s="422"/>
      <c r="M29" s="422"/>
      <c r="N29" s="422"/>
      <c r="O29" s="422"/>
      <c r="P29" s="106" t="s">
        <v>20872</v>
      </c>
      <c r="Q29" s="278"/>
      <c r="S29" s="432" t="str">
        <f>VLOOKUP(1853,Sprachindex!$A:$Z,Erhebungsbogen!$Y$20,FALSE)</f>
        <v>Tragsicherheitsauslastung</v>
      </c>
      <c r="T29" s="432"/>
      <c r="U29" s="432"/>
      <c r="V29" s="432"/>
      <c r="W29" s="443" t="e">
        <f>Kalk5_Eingabe!I54</f>
        <v>#DIV/0!</v>
      </c>
      <c r="X29" s="443"/>
      <c r="AA29" s="273" t="b">
        <f>Erhebungsbogen!S43</f>
        <v>0</v>
      </c>
      <c r="AB29" s="142" t="s">
        <v>21822</v>
      </c>
    </row>
    <row r="30" spans="2:38">
      <c r="B30" s="317"/>
      <c r="C30" s="45"/>
      <c r="D30" s="45"/>
      <c r="E30" s="45"/>
      <c r="F30" s="45"/>
      <c r="G30" s="45"/>
      <c r="H30" s="318"/>
      <c r="I30" s="46"/>
      <c r="K30" s="421" t="str">
        <f>VLOOKUP(1819,Sprachindex!$A:$Z,Erhebungsbogen!$Y$20,FALSE)</f>
        <v>Spannstück mit Sterngriff</v>
      </c>
      <c r="L30" s="422"/>
      <c r="M30" s="422"/>
      <c r="N30" s="422"/>
      <c r="O30" s="422"/>
      <c r="P30" s="446"/>
      <c r="Q30" s="451"/>
      <c r="S30" s="427" t="str">
        <f>VLOOKUP(1688,Sprachindex!$A:$Z,Erhebungsbogen!$Y$20,FALSE)</f>
        <v>Durchbiegung</v>
      </c>
      <c r="T30" s="427"/>
      <c r="U30" s="427"/>
      <c r="V30" s="427"/>
      <c r="W30" s="251" t="s">
        <v>22590</v>
      </c>
      <c r="X30" s="252">
        <f>Kalk5_Eingabe!J55</f>
        <v>176753777.77777779</v>
      </c>
      <c r="AA30" s="273" t="b">
        <f>Erhebungsbogen!S44</f>
        <v>0</v>
      </c>
      <c r="AB30" s="142" t="s">
        <v>21836</v>
      </c>
    </row>
    <row r="31" spans="2:38">
      <c r="B31" s="452" t="str">
        <f>VLOOKUP(1714,Sprachindex!$A:$Z,Erhebungsbogen!$Y$20,FALSE)</f>
        <v>Freibord [mm]:</v>
      </c>
      <c r="C31" s="453"/>
      <c r="D31" s="453"/>
      <c r="E31" s="453"/>
      <c r="F31" s="453"/>
      <c r="G31" s="454"/>
      <c r="H31" s="485"/>
      <c r="I31" s="486"/>
      <c r="K31" s="421" t="str">
        <f>VLOOKUP(1817,Sprachindex!$A:$Z,Erhebungsbogen!$Y$20,FALSE)</f>
        <v>Spannstück mit 6-Kantschraube</v>
      </c>
      <c r="L31" s="422"/>
      <c r="M31" s="422"/>
      <c r="N31" s="422"/>
      <c r="O31" s="422"/>
      <c r="P31" s="422"/>
      <c r="Q31" s="451"/>
      <c r="S31" s="427" t="str">
        <f>VLOOKUP(1761,Sprachindex!$A:$Z,Erhebungsbogen!$Y$20,FALSE)</f>
        <v>mit Treibgut</v>
      </c>
      <c r="T31" s="427"/>
      <c r="U31" s="427"/>
      <c r="V31" s="427"/>
      <c r="W31" s="443" t="e">
        <f>Kalk5_Eingabe!I56</f>
        <v>#DIV/0!</v>
      </c>
      <c r="X31" s="443"/>
      <c r="AA31" s="273" t="b">
        <f>Erhebungsbogen!S45</f>
        <v>0</v>
      </c>
      <c r="AB31" s="142" t="s">
        <v>19831</v>
      </c>
      <c r="AG31" s="27" t="s">
        <v>21837</v>
      </c>
      <c r="AH31" s="27"/>
      <c r="AI31" s="27"/>
      <c r="AJ31" s="27"/>
      <c r="AK31" s="27"/>
    </row>
    <row r="32" spans="2:38">
      <c r="B32" s="452" t="str">
        <f>VLOOKUP(1621,Sprachindex!$A:$Z,Erhebungsbogen!$Y$20,FALSE)</f>
        <v>Anströmwinkel [°]:</v>
      </c>
      <c r="C32" s="453"/>
      <c r="D32" s="453"/>
      <c r="E32" s="453"/>
      <c r="F32" s="453"/>
      <c r="G32" s="454"/>
      <c r="H32" s="485"/>
      <c r="I32" s="486"/>
      <c r="K32" s="421" t="str">
        <f>VLOOKUP(1675,Sprachindex!$A:$Z,Erhebungsbogen!$Y$20,FALSE)</f>
        <v>Dauerbodendichtung:</v>
      </c>
      <c r="L32" s="422"/>
      <c r="M32" s="422"/>
      <c r="N32" s="422"/>
      <c r="O32" s="422"/>
      <c r="P32" s="422"/>
      <c r="Q32" s="451"/>
      <c r="S32" s="27"/>
      <c r="T32" s="27"/>
      <c r="U32" s="27"/>
      <c r="V32" s="27"/>
      <c r="W32" s="27"/>
      <c r="X32" s="27"/>
      <c r="AA32" s="273" t="b">
        <f>IF(H33&gt;1,TRUE,FALSE)</f>
        <v>0</v>
      </c>
      <c r="AB32" s="21" t="s">
        <v>22064</v>
      </c>
      <c r="AG32" s="27" t="s">
        <v>21844</v>
      </c>
      <c r="AH32" s="27"/>
      <c r="AI32" s="27"/>
      <c r="AJ32" s="27"/>
      <c r="AK32" s="27"/>
    </row>
    <row r="33" spans="1:37">
      <c r="B33" s="455" t="str">
        <f>VLOOKUP(1623,Sprachindex!$A:$Z,Erhebungsbogen!$Y$20,FALSE)</f>
        <v>Anzahl der Felder:</v>
      </c>
      <c r="C33" s="456"/>
      <c r="D33" s="456"/>
      <c r="E33" s="456"/>
      <c r="F33" s="456"/>
      <c r="G33" s="457"/>
      <c r="H33" s="489">
        <v>1</v>
      </c>
      <c r="I33" s="490"/>
      <c r="K33" s="421" t="str">
        <f>VLOOKUP(1724,Sprachindex!$A:$Z,Erhebungsbogen!$Y$20,FALSE)</f>
        <v>Halterung für Dammbalken</v>
      </c>
      <c r="L33" s="422"/>
      <c r="M33" s="422"/>
      <c r="N33" s="422"/>
      <c r="O33" s="422"/>
      <c r="P33" s="422"/>
      <c r="Q33" s="451"/>
      <c r="S33" s="444" t="s">
        <v>22589</v>
      </c>
      <c r="T33" s="444"/>
      <c r="U33" s="444"/>
      <c r="V33" s="444"/>
      <c r="W33" s="444"/>
      <c r="X33" s="444"/>
      <c r="AA33" s="273" t="b">
        <v>0</v>
      </c>
      <c r="AB33" s="21" t="s">
        <v>19014</v>
      </c>
      <c r="AG33" s="27" t="s">
        <v>21843</v>
      </c>
      <c r="AH33" s="51">
        <f>H28</f>
        <v>0</v>
      </c>
      <c r="AI33" s="345" t="s">
        <v>25455</v>
      </c>
      <c r="AJ33" s="345" t="s">
        <v>25454</v>
      </c>
      <c r="AK33" s="345" t="s">
        <v>25453</v>
      </c>
    </row>
    <row r="34" spans="1:37">
      <c r="B34" s="479" t="str">
        <f>VLOOKUP(1702,Sprachindex!$A:$Z,Erhebungsbogen!$Y$20,FALSE)</f>
        <v>erf. Profilhöhe f. Spanner:</v>
      </c>
      <c r="C34" s="480"/>
      <c r="D34" s="480"/>
      <c r="E34" s="480"/>
      <c r="F34" s="480"/>
      <c r="G34" s="481"/>
      <c r="H34" s="487">
        <f>AH50</f>
        <v>120</v>
      </c>
      <c r="I34" s="488"/>
      <c r="K34" s="421" t="str">
        <f>VLOOKUP(1751,Sprachindex!$A:$Z,Erhebungsbogen!$Y$20,FALSE)</f>
        <v>Lagerabdeckung</v>
      </c>
      <c r="L34" s="422"/>
      <c r="M34" s="422"/>
      <c r="N34" s="422"/>
      <c r="O34" s="422"/>
      <c r="P34" s="461"/>
      <c r="Q34" s="451"/>
      <c r="S34" s="432" t="str">
        <f>VLOOKUP(1853,Sprachindex!$A:$Z,Erhebungsbogen!$Y$20,FALSE)</f>
        <v>Tragsicherheitsauslastung</v>
      </c>
      <c r="T34" s="432"/>
      <c r="U34" s="432"/>
      <c r="V34" s="432"/>
      <c r="W34" s="443" t="e">
        <f>Kalk5_Eingabe!I59</f>
        <v>#NUM!</v>
      </c>
      <c r="X34" s="443"/>
      <c r="Z34" s="319" t="e">
        <f>IF(AND(W34&lt;100%,W36&lt;100%,X35&gt;=Haftungsausschluß!L35),1,0)</f>
        <v>#NUM!</v>
      </c>
      <c r="AA34" s="273" t="b">
        <v>0</v>
      </c>
      <c r="AB34" s="21" t="s">
        <v>19027</v>
      </c>
      <c r="AG34" s="27" t="s">
        <v>21840</v>
      </c>
      <c r="AH34" s="51">
        <f>IF(AA7=1,AI34,IF(AA7=2,AJ34,IF(AA7=3,AK34)))</f>
        <v>39</v>
      </c>
      <c r="AI34" s="343">
        <f>IF(AA19=1,33.5,39)</f>
        <v>39</v>
      </c>
      <c r="AJ34" s="343">
        <f>IF(AA19=1,-21.5,-30)</f>
        <v>-30</v>
      </c>
      <c r="AK34" s="343">
        <f>IF(AA19=1,28.5,34)</f>
        <v>34</v>
      </c>
    </row>
    <row r="35" spans="1:37">
      <c r="H35" s="426">
        <f>IF(AA19=1,1,H33)</f>
        <v>1</v>
      </c>
      <c r="I35" s="426"/>
      <c r="K35" s="421" t="str">
        <f>VLOOKUP(1727,Sprachindex!$A:$Z,Erhebungsbogen!$Y$20,FALSE)</f>
        <v>Hebehilfe</v>
      </c>
      <c r="L35" s="422"/>
      <c r="M35" s="422"/>
      <c r="N35" s="422"/>
      <c r="O35" s="422"/>
      <c r="P35" s="106" t="s">
        <v>20872</v>
      </c>
      <c r="Q35" s="278">
        <v>1</v>
      </c>
      <c r="S35" s="427" t="str">
        <f>VLOOKUP(1688,Sprachindex!$A:$Z,Erhebungsbogen!$Y$20,FALSE)</f>
        <v>Durchbiegung</v>
      </c>
      <c r="T35" s="427"/>
      <c r="U35" s="427"/>
      <c r="V35" s="427"/>
      <c r="W35" s="251" t="s">
        <v>22590</v>
      </c>
      <c r="X35" s="252" t="e">
        <f>Kalk5_Eingabe!J60</f>
        <v>#DIV/0!</v>
      </c>
      <c r="AG35" s="27" t="s">
        <v>21841</v>
      </c>
      <c r="AH35" s="51">
        <f>IF(AA9=1,AI35,IF(AA9=2,AJ35,IF(AA9=3,AK35)))</f>
        <v>39</v>
      </c>
      <c r="AI35" s="343">
        <f>IF(AA19=1,33.5,39)</f>
        <v>39</v>
      </c>
      <c r="AJ35" s="343">
        <f>IF(AA19=1,-21.5,-30)</f>
        <v>-30</v>
      </c>
      <c r="AK35" s="343">
        <f>IF(AA19=1,28.5,34)</f>
        <v>34</v>
      </c>
    </row>
    <row r="36" spans="1:37" ht="12.75" customHeight="1">
      <c r="B36" s="423" t="str">
        <f>VLOOKUP(1771,Sprachindex!$A:$Z,Erhebungsbogen!$Y$20,FALSE)</f>
        <v>Multiplikator</v>
      </c>
      <c r="C36" s="424"/>
      <c r="D36" s="424"/>
      <c r="E36" s="424"/>
      <c r="F36" s="424"/>
      <c r="G36" s="424"/>
      <c r="H36" s="424"/>
      <c r="I36" s="425"/>
      <c r="K36" s="421" t="str">
        <f>VLOOKUP(1681,Sprachindex!$A:$Z,Erhebungsbogen!$Y$20,FALSE)</f>
        <v>Dichtungsroller 25/50</v>
      </c>
      <c r="L36" s="422"/>
      <c r="M36" s="422"/>
      <c r="N36" s="422"/>
      <c r="O36" s="422"/>
      <c r="P36" s="106" t="s">
        <v>20872</v>
      </c>
      <c r="Q36" s="278"/>
      <c r="S36" s="427" t="str">
        <f>VLOOKUP(1761,Sprachindex!$A:$Z,Erhebungsbogen!$Y$20,FALSE)</f>
        <v>mit Treibgut</v>
      </c>
      <c r="T36" s="427"/>
      <c r="U36" s="427"/>
      <c r="V36" s="427"/>
      <c r="W36" s="443" t="e">
        <f>Kalk5_Eingabe!I61</f>
        <v>#NUM!</v>
      </c>
      <c r="X36" s="443"/>
      <c r="AG36" s="27" t="s">
        <v>21842</v>
      </c>
      <c r="AH36" s="51">
        <f>(H33-1)*AI36</f>
        <v>0</v>
      </c>
      <c r="AI36" s="343">
        <v>-58</v>
      </c>
      <c r="AJ36" s="98"/>
      <c r="AK36" s="98"/>
    </row>
    <row r="37" spans="1:37">
      <c r="B37" s="432" t="str">
        <f>VLOOKUP(1624,Sprachindex!$A:$Z,Erhebungsbogen!$Y$20,FALSE)</f>
        <v>Anzahl der gleichen Systeme:</v>
      </c>
      <c r="C37" s="432"/>
      <c r="D37" s="432"/>
      <c r="E37" s="432"/>
      <c r="F37" s="432"/>
      <c r="G37" s="432"/>
      <c r="H37" s="502">
        <v>1</v>
      </c>
      <c r="I37" s="503"/>
      <c r="K37" s="434" t="str">
        <f>VLOOKUP(1682,Sprachindex!$A:$Z,Erhebungsbogen!$Y$20,FALSE)</f>
        <v>Dichtungsroller 80</v>
      </c>
      <c r="L37" s="435"/>
      <c r="M37" s="435"/>
      <c r="N37" s="435"/>
      <c r="O37" s="435"/>
      <c r="P37" s="107" t="s">
        <v>20872</v>
      </c>
      <c r="Q37" s="277"/>
      <c r="AA37" s="273">
        <v>1</v>
      </c>
      <c r="AB37" s="21" t="s">
        <v>22630</v>
      </c>
      <c r="AG37" s="27" t="s">
        <v>21846</v>
      </c>
      <c r="AH37" s="51">
        <f>IF(AND(H28&gt;0,H29&gt;0),AH33+AH34+AH35+AH36,0)</f>
        <v>0</v>
      </c>
      <c r="AI37" s="98"/>
      <c r="AJ37" s="98"/>
      <c r="AK37" s="98"/>
    </row>
    <row r="38" spans="1:37">
      <c r="S38" s="385" t="e">
        <f>IF(AND(W29&lt;100%,W31&lt;100%,X30&gt;=Haftungsausschluß!L34,IF(H33=1,TRUE,W34&lt;100%),IF(H33=1,TRUE,W36&lt;100%),IF(H33=1,TRUE,X35&gt;=Haftungsausschluß!L35)),"Gewünschte Eingabe                      statisch in Ordnung","Gewünschte Eingabe                      statisch nicht in Ordnung")</f>
        <v>#DIV/0!</v>
      </c>
      <c r="T38" s="385"/>
      <c r="U38" s="385"/>
      <c r="V38" s="385"/>
      <c r="W38" s="385"/>
      <c r="X38" s="385"/>
      <c r="AG38" s="27" t="s">
        <v>21845</v>
      </c>
      <c r="AH38" s="52">
        <f>AH37/H33</f>
        <v>0</v>
      </c>
      <c r="AI38" s="98" t="s">
        <v>21849</v>
      </c>
      <c r="AJ38" s="98"/>
      <c r="AK38" s="98"/>
    </row>
    <row r="39" spans="1:37">
      <c r="B39" s="439" t="str">
        <f>VLOOKUP(1667,Sprachindex!$A:$Z,Erhebungsbogen!$Y$20,FALSE) &amp; " [mm]"</f>
        <v>Dammbalkenlänge: [mm]</v>
      </c>
      <c r="C39" s="440"/>
      <c r="D39" s="440"/>
      <c r="E39" s="440"/>
      <c r="F39" s="440"/>
      <c r="G39" s="441"/>
      <c r="H39" s="437" t="str">
        <f>IF(AH38=0,"",AH38)</f>
        <v/>
      </c>
      <c r="I39" s="438"/>
      <c r="S39" s="385"/>
      <c r="T39" s="385"/>
      <c r="U39" s="385"/>
      <c r="V39" s="385"/>
      <c r="W39" s="385"/>
      <c r="X39" s="385"/>
      <c r="AG39" s="27" t="s">
        <v>21847</v>
      </c>
      <c r="AH39" s="51">
        <f>IF(AA19=2,150,200)</f>
        <v>200</v>
      </c>
      <c r="AI39" s="98"/>
      <c r="AJ39" s="98"/>
      <c r="AK39" s="98"/>
    </row>
    <row r="40" spans="1:37" ht="8.1" customHeight="1">
      <c r="A40" s="508"/>
      <c r="B40" s="508"/>
      <c r="C40" s="508"/>
      <c r="D40" s="508"/>
      <c r="E40" s="508"/>
      <c r="F40" s="510"/>
      <c r="G40" s="510"/>
      <c r="H40" s="510"/>
      <c r="I40" s="510"/>
      <c r="J40" s="510"/>
      <c r="K40" s="510"/>
      <c r="L40" s="510"/>
      <c r="M40" s="510"/>
      <c r="N40" s="510"/>
      <c r="O40" s="510"/>
      <c r="P40" s="510"/>
      <c r="Q40" s="510"/>
      <c r="R40" s="510"/>
      <c r="S40" s="510"/>
      <c r="T40" s="510"/>
      <c r="U40" s="510"/>
      <c r="V40" s="509"/>
      <c r="W40" s="509"/>
      <c r="X40" s="511"/>
      <c r="Y40" s="510"/>
      <c r="AG40" s="27" t="s">
        <v>22115</v>
      </c>
      <c r="AH40" s="52">
        <f>ROUNDUP((AH47+AH48)/AH39,0)</f>
        <v>0</v>
      </c>
      <c r="AI40" s="98" t="s">
        <v>20872</v>
      </c>
      <c r="AJ40" s="98"/>
      <c r="AK40" s="98"/>
    </row>
    <row r="41" spans="1:37">
      <c r="H41" s="442" t="str">
        <f>H39</f>
        <v/>
      </c>
      <c r="I41" s="442"/>
      <c r="AG41" s="27" t="s">
        <v>21848</v>
      </c>
      <c r="AH41" s="52">
        <f>ROUNDUP(H29/AH39,0)*H33*H37</f>
        <v>0</v>
      </c>
      <c r="AI41" s="98" t="s">
        <v>20872</v>
      </c>
      <c r="AJ41" s="98"/>
      <c r="AK41" s="98"/>
    </row>
    <row r="42" spans="1:37">
      <c r="AG42" s="27" t="s">
        <v>21838</v>
      </c>
      <c r="AH42" s="51">
        <f>IF(AH41&gt;1,(AH38*AH41*2)/1000,0)</f>
        <v>0</v>
      </c>
      <c r="AI42" s="98" t="s">
        <v>17115</v>
      </c>
      <c r="AJ42" s="98"/>
      <c r="AK42" s="98"/>
    </row>
    <row r="43" spans="1:37" ht="12.75" customHeight="1">
      <c r="S43" s="27"/>
      <c r="T43" s="313" t="str">
        <f>VLOOKUP(1429,Sprachindex!$A:$Z,Erhebungsbogen!$Y$20,FALSE)</f>
        <v>Bearbeiter:</v>
      </c>
      <c r="U43" s="436">
        <f>Kalk1!U43</f>
        <v>0</v>
      </c>
      <c r="V43" s="436"/>
      <c r="W43" s="436"/>
      <c r="X43" s="436"/>
      <c r="AG43" s="27" t="s">
        <v>21838</v>
      </c>
      <c r="AH43" s="52">
        <f>ROUNDUP(AH42/25,0)</f>
        <v>0</v>
      </c>
      <c r="AI43" s="98" t="s">
        <v>21857</v>
      </c>
      <c r="AJ43" s="98"/>
      <c r="AK43" s="98"/>
    </row>
    <row r="44" spans="1:37">
      <c r="Z44" s="319" t="e">
        <f>IF(H33=1,IF(Z28=1,1,0),IF(H33&gt;1,IF(OR(Z28=0,Z34=0),0,1)))</f>
        <v>#DIV/0!</v>
      </c>
      <c r="AG44" s="27" t="s">
        <v>21839</v>
      </c>
      <c r="AH44" s="51">
        <f>(AH38*H33*H37)/1000</f>
        <v>0</v>
      </c>
      <c r="AI44" s="98" t="s">
        <v>17115</v>
      </c>
      <c r="AJ44" s="98"/>
      <c r="AK44" s="98"/>
    </row>
    <row r="45" spans="1:37">
      <c r="A45" s="428" t="s">
        <v>22603</v>
      </c>
      <c r="B45" s="428"/>
      <c r="C45" s="428"/>
      <c r="D45" s="428"/>
      <c r="E45" s="428"/>
      <c r="F45" s="429" t="str" cm="1">
        <f t="array" aca="1" ref="F45" ca="1">MID(CELL("Dateiname"),FIND("[",CELL("Dateiname"))+1,FIND("]",CELL("Dateiname"))-FIND("[",CELL("Dateiname"))-1)</f>
        <v>02110307_CH-de_Vorlage_Erhebungsbogen Hochwasserschutz_PREFA_2024-4.xlsx</v>
      </c>
      <c r="G45" s="429"/>
      <c r="H45" s="429"/>
      <c r="I45" s="429"/>
      <c r="J45" s="429"/>
      <c r="K45" s="429"/>
      <c r="L45" s="429"/>
      <c r="M45" s="429"/>
      <c r="N45" s="429"/>
      <c r="O45" s="429"/>
      <c r="P45" s="429"/>
      <c r="Q45" s="429"/>
      <c r="R45" s="429"/>
      <c r="S45" s="429"/>
      <c r="T45" s="429"/>
      <c r="U45" s="429"/>
      <c r="V45" s="430" t="s">
        <v>10443</v>
      </c>
      <c r="W45" s="430"/>
      <c r="X45" s="431">
        <f>Erhebungsbogen!W63</f>
        <v>45398</v>
      </c>
      <c r="Y45" s="429"/>
      <c r="AG45" s="27" t="s">
        <v>21839</v>
      </c>
      <c r="AH45" s="52">
        <f>ROUNDUP(AH44,0)</f>
        <v>0</v>
      </c>
      <c r="AI45" s="98" t="s">
        <v>21858</v>
      </c>
      <c r="AJ45" s="98"/>
      <c r="AK45" s="98"/>
    </row>
    <row r="46" spans="1:37" hidden="1">
      <c r="AG46" s="27" t="s">
        <v>21850</v>
      </c>
      <c r="AH46" s="27"/>
      <c r="AI46" s="27"/>
      <c r="AJ46" s="27"/>
      <c r="AK46" s="27"/>
    </row>
    <row r="47" spans="1:37" hidden="1">
      <c r="AG47" s="27" t="s">
        <v>21851</v>
      </c>
      <c r="AH47" s="51">
        <f>H29</f>
        <v>0</v>
      </c>
      <c r="AI47" s="27"/>
      <c r="AJ47" s="27"/>
      <c r="AK47" s="27"/>
    </row>
    <row r="48" spans="1:37" hidden="1">
      <c r="AG48" s="27" t="s">
        <v>21854</v>
      </c>
      <c r="AH48" s="51">
        <f>H31</f>
        <v>0</v>
      </c>
      <c r="AI48" s="27"/>
      <c r="AJ48" s="27"/>
      <c r="AK48" s="27"/>
    </row>
    <row r="49" spans="33:42" hidden="1">
      <c r="AG49" s="27" t="s">
        <v>21852</v>
      </c>
      <c r="AH49" s="51">
        <f>IF(AA19=4,150,120)</f>
        <v>120</v>
      </c>
      <c r="AI49" s="98" t="s">
        <v>21849</v>
      </c>
      <c r="AJ49" s="98"/>
      <c r="AK49" s="27"/>
    </row>
    <row r="50" spans="33:42" hidden="1">
      <c r="AG50" s="27" t="s">
        <v>21853</v>
      </c>
      <c r="AH50" s="51">
        <f>ROUNDUP((AH47+AH48)/AH39,0)*AH39+AH49</f>
        <v>120</v>
      </c>
      <c r="AI50" s="98" t="s">
        <v>21849</v>
      </c>
      <c r="AJ50" s="98"/>
      <c r="AK50" s="27"/>
    </row>
    <row r="51" spans="33:42" hidden="1">
      <c r="AG51" s="27" t="s">
        <v>21855</v>
      </c>
      <c r="AH51" s="52">
        <f>IF(H29&gt;0,IF(AND(AA19=1,AH50&gt;AJ53),0,AI51),0)</f>
        <v>0</v>
      </c>
      <c r="AI51" s="98">
        <f>IF(AH50&lt;=AJ52,AJ52,IF(AH50&lt;=AJ53,AJ53,IF(AH50&lt;=AJ54,AJ54,IF(AH50&lt;=AJ55,AJ55,0))))</f>
        <v>750</v>
      </c>
      <c r="AJ51" s="98"/>
      <c r="AK51" s="27"/>
    </row>
    <row r="52" spans="33:42" hidden="1">
      <c r="AG52" s="27" t="s">
        <v>21856</v>
      </c>
      <c r="AH52" s="52">
        <f>IF(OR(AND(AA19=1,AH50&gt;AJ53),AH50&gt;AJ55),AH50,0)</f>
        <v>0</v>
      </c>
      <c r="AI52" s="98"/>
      <c r="AJ52" s="98">
        <v>750</v>
      </c>
      <c r="AK52" s="27"/>
    </row>
    <row r="53" spans="33:42" hidden="1">
      <c r="AG53" s="27" t="s">
        <v>19519</v>
      </c>
      <c r="AH53" s="147">
        <f>(4+(H35-1)*4)*(MAX(AH51,AH52))*H37/1000</f>
        <v>0</v>
      </c>
      <c r="AI53" s="98" t="s">
        <v>17115</v>
      </c>
      <c r="AJ53" s="98">
        <v>1350</v>
      </c>
      <c r="AM53" s="68" t="s">
        <v>22585</v>
      </c>
      <c r="AN53" s="68" t="s">
        <v>22586</v>
      </c>
      <c r="AO53" s="68" t="s">
        <v>22587</v>
      </c>
      <c r="AP53" s="68" t="s">
        <v>22588</v>
      </c>
    </row>
    <row r="54" spans="33:42" hidden="1">
      <c r="AG54" s="27" t="s">
        <v>19519</v>
      </c>
      <c r="AH54" s="52">
        <f>ROUNDUP(AH53/10,0)</f>
        <v>0</v>
      </c>
      <c r="AI54" s="98" t="s">
        <v>21859</v>
      </c>
      <c r="AJ54" s="98">
        <v>1750</v>
      </c>
      <c r="AM54" s="68">
        <v>13</v>
      </c>
      <c r="AN54" s="68">
        <v>7</v>
      </c>
      <c r="AO54" s="68">
        <v>6</v>
      </c>
      <c r="AP54" s="68">
        <v>4</v>
      </c>
    </row>
    <row r="55" spans="33:42" hidden="1">
      <c r="AG55" s="27" t="s">
        <v>22584</v>
      </c>
      <c r="AH55" s="27">
        <f>IF(AA19=1,AM55,IF(AA19=2,AN55,IF(AA19=3,AO55,IF(AA19=4,AP55,0))))</f>
        <v>0</v>
      </c>
      <c r="AI55" s="98"/>
      <c r="AJ55" s="98">
        <v>2150</v>
      </c>
      <c r="AM55" s="21">
        <f>ROUNDUP(AH41/AM54,0)</f>
        <v>0</v>
      </c>
      <c r="AN55" s="21">
        <f>ROUNDUP(AH41/AN54,0)</f>
        <v>0</v>
      </c>
      <c r="AO55" s="21">
        <f>ROUNDUP(AH41/AO54,0)</f>
        <v>0</v>
      </c>
      <c r="AP55" s="21">
        <f>ROUNDUP(AH41/AP54,0)</f>
        <v>0</v>
      </c>
    </row>
    <row r="56" spans="33:42" hidden="1">
      <c r="AI56" s="95"/>
      <c r="AJ56" s="95"/>
    </row>
  </sheetData>
  <sheetProtection sheet="1" objects="1" selectLockedCells="1"/>
  <mergeCells count="98">
    <mergeCell ref="B39:G39"/>
    <mergeCell ref="H39:I39"/>
    <mergeCell ref="S38:X39"/>
    <mergeCell ref="S28:X28"/>
    <mergeCell ref="S29:V29"/>
    <mergeCell ref="W29:X29"/>
    <mergeCell ref="S30:V30"/>
    <mergeCell ref="S31:V31"/>
    <mergeCell ref="W31:X31"/>
    <mergeCell ref="S33:X33"/>
    <mergeCell ref="S34:V34"/>
    <mergeCell ref="W34:X34"/>
    <mergeCell ref="S35:V35"/>
    <mergeCell ref="S36:V36"/>
    <mergeCell ref="W36:X36"/>
    <mergeCell ref="K35:O35"/>
    <mergeCell ref="K36:O36"/>
    <mergeCell ref="K37:O37"/>
    <mergeCell ref="B33:G33"/>
    <mergeCell ref="H33:I33"/>
    <mergeCell ref="K33:Q33"/>
    <mergeCell ref="H35:I35"/>
    <mergeCell ref="H37:I37"/>
    <mergeCell ref="B36:I36"/>
    <mergeCell ref="B37:G37"/>
    <mergeCell ref="B34:G34"/>
    <mergeCell ref="H34:I34"/>
    <mergeCell ref="K34:Q34"/>
    <mergeCell ref="B31:G31"/>
    <mergeCell ref="H31:I31"/>
    <mergeCell ref="K31:Q31"/>
    <mergeCell ref="B32:G32"/>
    <mergeCell ref="H32:I32"/>
    <mergeCell ref="K32:Q32"/>
    <mergeCell ref="K29:O29"/>
    <mergeCell ref="B29:G29"/>
    <mergeCell ref="H29:I29"/>
    <mergeCell ref="K30:Q30"/>
    <mergeCell ref="B27:I27"/>
    <mergeCell ref="K27:Q27"/>
    <mergeCell ref="B28:G28"/>
    <mergeCell ref="H28:I28"/>
    <mergeCell ref="K28:Q28"/>
    <mergeCell ref="K21:M21"/>
    <mergeCell ref="K24:O24"/>
    <mergeCell ref="R24:V24"/>
    <mergeCell ref="K25:O25"/>
    <mergeCell ref="R25:V25"/>
    <mergeCell ref="K23:X23"/>
    <mergeCell ref="S21:T21"/>
    <mergeCell ref="U21:V21"/>
    <mergeCell ref="W21:X21"/>
    <mergeCell ref="U20:V20"/>
    <mergeCell ref="W20:X20"/>
    <mergeCell ref="K20:N20"/>
    <mergeCell ref="S19:T19"/>
    <mergeCell ref="U19:V19"/>
    <mergeCell ref="W19:X19"/>
    <mergeCell ref="S20:T20"/>
    <mergeCell ref="S18:X18"/>
    <mergeCell ref="B18:E18"/>
    <mergeCell ref="F18:I18"/>
    <mergeCell ref="K18:N18"/>
    <mergeCell ref="K19:N19"/>
    <mergeCell ref="N13:Q13"/>
    <mergeCell ref="D15:I15"/>
    <mergeCell ref="K15:M15"/>
    <mergeCell ref="N15:Q15"/>
    <mergeCell ref="B17:I17"/>
    <mergeCell ref="K17:Q17"/>
    <mergeCell ref="D16:I16"/>
    <mergeCell ref="D13:I13"/>
    <mergeCell ref="K13:M13"/>
    <mergeCell ref="K4:Q4"/>
    <mergeCell ref="S4:X4"/>
    <mergeCell ref="D5:I5"/>
    <mergeCell ref="K5:M5"/>
    <mergeCell ref="N5:Q5"/>
    <mergeCell ref="S5:U5"/>
    <mergeCell ref="V5:X5"/>
    <mergeCell ref="D7:I7"/>
    <mergeCell ref="D9:I9"/>
    <mergeCell ref="K9:Q9"/>
    <mergeCell ref="S9:X9"/>
    <mergeCell ref="D11:I11"/>
    <mergeCell ref="K11:Q11"/>
    <mergeCell ref="U11:V11"/>
    <mergeCell ref="W11:X11"/>
    <mergeCell ref="X45:Y45"/>
    <mergeCell ref="A40:E40"/>
    <mergeCell ref="V40:W40"/>
    <mergeCell ref="A45:E45"/>
    <mergeCell ref="F45:U45"/>
    <mergeCell ref="V45:W45"/>
    <mergeCell ref="U43:X43"/>
    <mergeCell ref="F40:U40"/>
    <mergeCell ref="X40:Y40"/>
    <mergeCell ref="H41:I41"/>
  </mergeCells>
  <conditionalFormatting sqref="B33:I33">
    <cfRule type="expression" dxfId="450" priority="52">
      <formula>$AA$19=1</formula>
    </cfRule>
  </conditionalFormatting>
  <conditionalFormatting sqref="B34:I34">
    <cfRule type="expression" dxfId="449" priority="1437">
      <formula>$H$29&gt;0</formula>
    </cfRule>
  </conditionalFormatting>
  <conditionalFormatting sqref="D5:I5 H28:I29 H31:I32">
    <cfRule type="cellIs" dxfId="448" priority="71" operator="equal">
      <formula>0</formula>
    </cfRule>
  </conditionalFormatting>
  <conditionalFormatting sqref="D7:I7">
    <cfRule type="cellIs" dxfId="447" priority="70" operator="equal">
      <formula>0</formula>
    </cfRule>
  </conditionalFormatting>
  <conditionalFormatting sqref="D9:I9">
    <cfRule type="cellIs" dxfId="446" priority="69" operator="equal">
      <formula>0</formula>
    </cfRule>
  </conditionalFormatting>
  <conditionalFormatting sqref="D11:I11">
    <cfRule type="cellIs" dxfId="445" priority="68" operator="equal">
      <formula>0</formula>
    </cfRule>
  </conditionalFormatting>
  <conditionalFormatting sqref="D13:I13">
    <cfRule type="cellIs" dxfId="444" priority="67" operator="equal">
      <formula>0</formula>
    </cfRule>
  </conditionalFormatting>
  <conditionalFormatting sqref="D15:I16">
    <cfRule type="cellIs" dxfId="443" priority="40" operator="equal">
      <formula>0</formula>
    </cfRule>
  </conditionalFormatting>
  <conditionalFormatting sqref="H33:I33">
    <cfRule type="cellIs" dxfId="442" priority="58" operator="equal">
      <formula>OR(0,1)</formula>
    </cfRule>
  </conditionalFormatting>
  <conditionalFormatting sqref="K19:N19">
    <cfRule type="expression" dxfId="440" priority="53">
      <formula>OR($AA$19=1,$AA$19=2,$AA$19=3)</formula>
    </cfRule>
  </conditionalFormatting>
  <conditionalFormatting sqref="K20:N21">
    <cfRule type="expression" dxfId="439" priority="54">
      <formula>$AA$19=1</formula>
    </cfRule>
  </conditionalFormatting>
  <conditionalFormatting sqref="K7:Q9">
    <cfRule type="expression" dxfId="438" priority="51">
      <formula>$AA$5=1</formula>
    </cfRule>
  </conditionalFormatting>
  <conditionalFormatting sqref="K9:Q9">
    <cfRule type="cellIs" dxfId="437" priority="65" operator="equal">
      <formula>0</formula>
    </cfRule>
  </conditionalFormatting>
  <conditionalFormatting sqref="K17:Q18">
    <cfRule type="expression" dxfId="436" priority="33">
      <formula>$AA$19=1</formula>
    </cfRule>
  </conditionalFormatting>
  <conditionalFormatting sqref="O20 N21:O21">
    <cfRule type="cellIs" dxfId="435" priority="64" operator="equal">
      <formula>0</formula>
    </cfRule>
  </conditionalFormatting>
  <conditionalFormatting sqref="P24:Q24">
    <cfRule type="expression" dxfId="434" priority="46">
      <formula>$AA$21=FALSE</formula>
    </cfRule>
  </conditionalFormatting>
  <conditionalFormatting sqref="P25:Q25">
    <cfRule type="expression" dxfId="433" priority="45">
      <formula>$AA$22=FALSE</formula>
    </cfRule>
  </conditionalFormatting>
  <conditionalFormatting sqref="P29:Q29">
    <cfRule type="expression" dxfId="432" priority="50">
      <formula>$AA$26=FALSE</formula>
    </cfRule>
  </conditionalFormatting>
  <conditionalFormatting sqref="P35:Q35">
    <cfRule type="expression" dxfId="431" priority="49">
      <formula>$AA$32=FALSE</formula>
    </cfRule>
  </conditionalFormatting>
  <conditionalFormatting sqref="P36:Q36">
    <cfRule type="expression" dxfId="430" priority="48">
      <formula>$AA$33=FALSE</formula>
    </cfRule>
  </conditionalFormatting>
  <conditionalFormatting sqref="P37:Q37">
    <cfRule type="expression" dxfId="429" priority="47">
      <formula>$AA$34=FALSE</formula>
    </cfRule>
  </conditionalFormatting>
  <conditionalFormatting sqref="Q24:Q25 X24:X25">
    <cfRule type="cellIs" dxfId="428" priority="63" operator="equal">
      <formula>0</formula>
    </cfRule>
  </conditionalFormatting>
  <conditionalFormatting sqref="Q29 Q35:Q37">
    <cfRule type="cellIs" dxfId="427" priority="56" operator="equal">
      <formula>0</formula>
    </cfRule>
  </conditionalFormatting>
  <conditionalFormatting sqref="S4:X5">
    <cfRule type="expression" dxfId="426" priority="32">
      <formula>$AA$19=1</formula>
    </cfRule>
  </conditionalFormatting>
  <conditionalFormatting sqref="S31:X31">
    <cfRule type="expression" dxfId="425" priority="13">
      <formula>$H$32=0</formula>
    </cfRule>
  </conditionalFormatting>
  <conditionalFormatting sqref="S33:X36">
    <cfRule type="expression" dxfId="424" priority="8">
      <formula>$H$35&lt;2</formula>
    </cfRule>
  </conditionalFormatting>
  <conditionalFormatting sqref="S36:X36">
    <cfRule type="expression" dxfId="423" priority="9">
      <formula>$H$32=0</formula>
    </cfRule>
  </conditionalFormatting>
  <conditionalFormatting sqref="S38:X39">
    <cfRule type="expression" dxfId="422" priority="2">
      <formula>OR($H$28=0,$H$29=0)</formula>
    </cfRule>
    <cfRule type="expression" dxfId="421" priority="3">
      <formula>$Z$44=1</formula>
    </cfRule>
    <cfRule type="expression" dxfId="420" priority="4">
      <formula>$Z$44=0</formula>
    </cfRule>
  </conditionalFormatting>
  <conditionalFormatting sqref="U43">
    <cfRule type="containsBlanks" dxfId="419" priority="5">
      <formula>LEN(TRIM(U43))=0</formula>
    </cfRule>
  </conditionalFormatting>
  <conditionalFormatting sqref="W24:X24">
    <cfRule type="expression" dxfId="418" priority="44">
      <formula>$AA$23=FALSE</formula>
    </cfRule>
  </conditionalFormatting>
  <conditionalFormatting sqref="W25:X25">
    <cfRule type="expression" dxfId="417" priority="43">
      <formula>$AA$24=FALSE</formula>
    </cfRule>
  </conditionalFormatting>
  <conditionalFormatting sqref="W29:X29 W31:X31 W34:X34 W36:X36">
    <cfRule type="expression" dxfId="416" priority="1443">
      <formula>OR($H$28=0,$H$29=0)</formula>
    </cfRule>
    <cfRule type="cellIs" dxfId="415" priority="1444" operator="lessThan">
      <formula>1</formula>
    </cfRule>
    <cfRule type="cellIs" dxfId="414" priority="1445" operator="greaterThan">
      <formula>1</formula>
    </cfRule>
  </conditionalFormatting>
  <conditionalFormatting sqref="X30 X35">
    <cfRule type="expression" dxfId="413" priority="1455">
      <formula>OR($H$28=0,$H$29=0)</formula>
    </cfRule>
  </conditionalFormatting>
  <dataValidations disablePrompts="1" count="2">
    <dataValidation type="list" allowBlank="1" showInputMessage="1" showErrorMessage="1" sqref="N21" xr:uid="{FA8F4EE6-5C18-44CD-923F-74DD70725F24}">
      <formula1>$AG$22:$AG$26</formula1>
    </dataValidation>
    <dataValidation type="whole" operator="greaterThan" allowBlank="1" showInputMessage="1" showErrorMessage="1" errorTitle="Falsche Eingabe" error="Bitte nur ganze Zahlen eingeben!" sqref="H37:I37" xr:uid="{A54FF780-09E4-4284-9260-3A8B61BC89A5}">
      <formula1>0</formula1>
    </dataValidation>
  </dataValidations>
  <pageMargins left="0.19685039370078741" right="0.19685039370078741" top="0.39370078740157483" bottom="0.19685039370078741" header="0.31496062992125984"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2225" r:id="rId4" name="Group Box 1">
              <controlPr defaultSize="0" print="0" autoFill="0" autoPict="0">
                <anchor moveWithCells="1">
                  <from>
                    <xdr:col>1</xdr:col>
                    <xdr:colOff>0</xdr:colOff>
                    <xdr:row>22</xdr:row>
                    <xdr:rowOff>0</xdr:rowOff>
                  </from>
                  <to>
                    <xdr:col>5</xdr:col>
                    <xdr:colOff>0</xdr:colOff>
                    <xdr:row>25</xdr:row>
                    <xdr:rowOff>0</xdr:rowOff>
                  </to>
                </anchor>
              </controlPr>
            </control>
          </mc:Choice>
        </mc:AlternateContent>
        <mc:AlternateContent xmlns:mc="http://schemas.openxmlformats.org/markup-compatibility/2006">
          <mc:Choice Requires="x14">
            <control shapeId="52226" r:id="rId5" name="Group Box 2">
              <controlPr defaultSize="0" print="0" autoFill="0" autoPict="0">
                <anchor moveWithCells="1">
                  <from>
                    <xdr:col>5</xdr:col>
                    <xdr:colOff>0</xdr:colOff>
                    <xdr:row>22</xdr:row>
                    <xdr:rowOff>0</xdr:rowOff>
                  </from>
                  <to>
                    <xdr:col>9</xdr:col>
                    <xdr:colOff>0</xdr:colOff>
                    <xdr:row>25</xdr:row>
                    <xdr:rowOff>0</xdr:rowOff>
                  </to>
                </anchor>
              </controlPr>
            </control>
          </mc:Choice>
        </mc:AlternateContent>
        <mc:AlternateContent xmlns:mc="http://schemas.openxmlformats.org/markup-compatibility/2006">
          <mc:Choice Requires="x14">
            <control shapeId="52227" r:id="rId6" name="Option Button 3">
              <controlPr defaultSize="0" autoFill="0" autoLine="0" autoPict="0">
                <anchor moveWithCells="1" sizeWithCells="1">
                  <from>
                    <xdr:col>1</xdr:col>
                    <xdr:colOff>28575</xdr:colOff>
                    <xdr:row>22</xdr:row>
                    <xdr:rowOff>19050</xdr:rowOff>
                  </from>
                  <to>
                    <xdr:col>3</xdr:col>
                    <xdr:colOff>371475</xdr:colOff>
                    <xdr:row>23</xdr:row>
                    <xdr:rowOff>0</xdr:rowOff>
                  </to>
                </anchor>
              </controlPr>
            </control>
          </mc:Choice>
        </mc:AlternateContent>
        <mc:AlternateContent xmlns:mc="http://schemas.openxmlformats.org/markup-compatibility/2006">
          <mc:Choice Requires="x14">
            <control shapeId="52228" r:id="rId7" name="Option Button 4">
              <controlPr defaultSize="0" autoFill="0" autoLine="0" autoPict="0">
                <anchor moveWithCells="1" sizeWithCells="1">
                  <from>
                    <xdr:col>1</xdr:col>
                    <xdr:colOff>28575</xdr:colOff>
                    <xdr:row>23</xdr:row>
                    <xdr:rowOff>19050</xdr:rowOff>
                  </from>
                  <to>
                    <xdr:col>3</xdr:col>
                    <xdr:colOff>371475</xdr:colOff>
                    <xdr:row>23</xdr:row>
                    <xdr:rowOff>152400</xdr:rowOff>
                  </to>
                </anchor>
              </controlPr>
            </control>
          </mc:Choice>
        </mc:AlternateContent>
        <mc:AlternateContent xmlns:mc="http://schemas.openxmlformats.org/markup-compatibility/2006">
          <mc:Choice Requires="x14">
            <control shapeId="52229" r:id="rId8" name="Option Button 5">
              <controlPr defaultSize="0" autoFill="0" autoLine="0" autoPict="0">
                <anchor moveWithCells="1" sizeWithCells="1">
                  <from>
                    <xdr:col>1</xdr:col>
                    <xdr:colOff>28575</xdr:colOff>
                    <xdr:row>24</xdr:row>
                    <xdr:rowOff>19050</xdr:rowOff>
                  </from>
                  <to>
                    <xdr:col>3</xdr:col>
                    <xdr:colOff>371475</xdr:colOff>
                    <xdr:row>24</xdr:row>
                    <xdr:rowOff>142875</xdr:rowOff>
                  </to>
                </anchor>
              </controlPr>
            </control>
          </mc:Choice>
        </mc:AlternateContent>
        <mc:AlternateContent xmlns:mc="http://schemas.openxmlformats.org/markup-compatibility/2006">
          <mc:Choice Requires="x14">
            <control shapeId="52230" r:id="rId9" name="Option Button 6">
              <controlPr defaultSize="0" autoFill="0" autoLine="0" autoPict="0">
                <anchor moveWithCells="1" sizeWithCells="1">
                  <from>
                    <xdr:col>5</xdr:col>
                    <xdr:colOff>28575</xdr:colOff>
                    <xdr:row>22</xdr:row>
                    <xdr:rowOff>28575</xdr:rowOff>
                  </from>
                  <to>
                    <xdr:col>7</xdr:col>
                    <xdr:colOff>371475</xdr:colOff>
                    <xdr:row>23</xdr:row>
                    <xdr:rowOff>0</xdr:rowOff>
                  </to>
                </anchor>
              </controlPr>
            </control>
          </mc:Choice>
        </mc:AlternateContent>
        <mc:AlternateContent xmlns:mc="http://schemas.openxmlformats.org/markup-compatibility/2006">
          <mc:Choice Requires="x14">
            <control shapeId="52231" r:id="rId10" name="Option Button 7">
              <controlPr defaultSize="0" autoFill="0" autoLine="0" autoPict="0">
                <anchor moveWithCells="1" sizeWithCells="1">
                  <from>
                    <xdr:col>5</xdr:col>
                    <xdr:colOff>28575</xdr:colOff>
                    <xdr:row>23</xdr:row>
                    <xdr:rowOff>19050</xdr:rowOff>
                  </from>
                  <to>
                    <xdr:col>7</xdr:col>
                    <xdr:colOff>371475</xdr:colOff>
                    <xdr:row>23</xdr:row>
                    <xdr:rowOff>152400</xdr:rowOff>
                  </to>
                </anchor>
              </controlPr>
            </control>
          </mc:Choice>
        </mc:AlternateContent>
        <mc:AlternateContent xmlns:mc="http://schemas.openxmlformats.org/markup-compatibility/2006">
          <mc:Choice Requires="x14">
            <control shapeId="52232" r:id="rId11" name="Option Button 8">
              <controlPr defaultSize="0" autoFill="0" autoLine="0" autoPict="0">
                <anchor moveWithCells="1" sizeWithCells="1">
                  <from>
                    <xdr:col>5</xdr:col>
                    <xdr:colOff>28575</xdr:colOff>
                    <xdr:row>24</xdr:row>
                    <xdr:rowOff>19050</xdr:rowOff>
                  </from>
                  <to>
                    <xdr:col>7</xdr:col>
                    <xdr:colOff>371475</xdr:colOff>
                    <xdr:row>24</xdr:row>
                    <xdr:rowOff>142875</xdr:rowOff>
                  </to>
                </anchor>
              </controlPr>
            </control>
          </mc:Choice>
        </mc:AlternateContent>
        <mc:AlternateContent xmlns:mc="http://schemas.openxmlformats.org/markup-compatibility/2006">
          <mc:Choice Requires="x14">
            <control shapeId="52233" r:id="rId12" name="Group Box 9">
              <controlPr defaultSize="0" print="0" autoFill="0" autoPict="0">
                <anchor moveWithCells="1">
                  <from>
                    <xdr:col>10</xdr:col>
                    <xdr:colOff>0</xdr:colOff>
                    <xdr:row>4</xdr:row>
                    <xdr:rowOff>0</xdr:rowOff>
                  </from>
                  <to>
                    <xdr:col>17</xdr:col>
                    <xdr:colOff>0</xdr:colOff>
                    <xdr:row>5</xdr:row>
                    <xdr:rowOff>0</xdr:rowOff>
                  </to>
                </anchor>
              </controlPr>
            </control>
          </mc:Choice>
        </mc:AlternateContent>
        <mc:AlternateContent xmlns:mc="http://schemas.openxmlformats.org/markup-compatibility/2006">
          <mc:Choice Requires="x14">
            <control shapeId="52234" r:id="rId13" name="Option Button 10">
              <controlPr defaultSize="0" autoFill="0" autoLine="0" autoPict="0">
                <anchor moveWithCells="1">
                  <from>
                    <xdr:col>10</xdr:col>
                    <xdr:colOff>9525</xdr:colOff>
                    <xdr:row>4</xdr:row>
                    <xdr:rowOff>19050</xdr:rowOff>
                  </from>
                  <to>
                    <xdr:col>13</xdr:col>
                    <xdr:colOff>0</xdr:colOff>
                    <xdr:row>4</xdr:row>
                    <xdr:rowOff>152400</xdr:rowOff>
                  </to>
                </anchor>
              </controlPr>
            </control>
          </mc:Choice>
        </mc:AlternateContent>
        <mc:AlternateContent xmlns:mc="http://schemas.openxmlformats.org/markup-compatibility/2006">
          <mc:Choice Requires="x14">
            <control shapeId="52235" r:id="rId14" name="Option Button 11">
              <controlPr defaultSize="0" autoFill="0" autoLine="0" autoPict="0">
                <anchor moveWithCells="1">
                  <from>
                    <xdr:col>13</xdr:col>
                    <xdr:colOff>9525</xdr:colOff>
                    <xdr:row>4</xdr:row>
                    <xdr:rowOff>19050</xdr:rowOff>
                  </from>
                  <to>
                    <xdr:col>15</xdr:col>
                    <xdr:colOff>371475</xdr:colOff>
                    <xdr:row>4</xdr:row>
                    <xdr:rowOff>142875</xdr:rowOff>
                  </to>
                </anchor>
              </controlPr>
            </control>
          </mc:Choice>
        </mc:AlternateContent>
        <mc:AlternateContent xmlns:mc="http://schemas.openxmlformats.org/markup-compatibility/2006">
          <mc:Choice Requires="x14">
            <control shapeId="52236" r:id="rId15" name="Check Box 12">
              <controlPr defaultSize="0" autoFill="0" autoLine="0" autoPict="0">
                <anchor moveWithCells="1">
                  <from>
                    <xdr:col>10</xdr:col>
                    <xdr:colOff>0</xdr:colOff>
                    <xdr:row>12</xdr:row>
                    <xdr:rowOff>0</xdr:rowOff>
                  </from>
                  <to>
                    <xdr:col>13</xdr:col>
                    <xdr:colOff>0</xdr:colOff>
                    <xdr:row>14</xdr:row>
                    <xdr:rowOff>0</xdr:rowOff>
                  </to>
                </anchor>
              </controlPr>
            </control>
          </mc:Choice>
        </mc:AlternateContent>
        <mc:AlternateContent xmlns:mc="http://schemas.openxmlformats.org/markup-compatibility/2006">
          <mc:Choice Requires="x14">
            <control shapeId="52237" r:id="rId16" name="Check Box 13">
              <controlPr defaultSize="0" autoFill="0" autoLine="0" autoPict="0">
                <anchor moveWithCells="1" sizeWithCells="1">
                  <from>
                    <xdr:col>10</xdr:col>
                    <xdr:colOff>0</xdr:colOff>
                    <xdr:row>14</xdr:row>
                    <xdr:rowOff>0</xdr:rowOff>
                  </from>
                  <to>
                    <xdr:col>13</xdr:col>
                    <xdr:colOff>0</xdr:colOff>
                    <xdr:row>14</xdr:row>
                    <xdr:rowOff>180975</xdr:rowOff>
                  </to>
                </anchor>
              </controlPr>
            </control>
          </mc:Choice>
        </mc:AlternateContent>
        <mc:AlternateContent xmlns:mc="http://schemas.openxmlformats.org/markup-compatibility/2006">
          <mc:Choice Requires="x14">
            <control shapeId="52238" r:id="rId17" name="Check Box 14">
              <controlPr defaultSize="0" autoFill="0" autoLine="0" autoPict="0">
                <anchor moveWithCells="1">
                  <from>
                    <xdr:col>13</xdr:col>
                    <xdr:colOff>0</xdr:colOff>
                    <xdr:row>11</xdr:row>
                    <xdr:rowOff>19050</xdr:rowOff>
                  </from>
                  <to>
                    <xdr:col>17</xdr:col>
                    <xdr:colOff>0</xdr:colOff>
                    <xdr:row>14</xdr:row>
                    <xdr:rowOff>0</xdr:rowOff>
                  </to>
                </anchor>
              </controlPr>
            </control>
          </mc:Choice>
        </mc:AlternateContent>
        <mc:AlternateContent xmlns:mc="http://schemas.openxmlformats.org/markup-compatibility/2006">
          <mc:Choice Requires="x14">
            <control shapeId="52239" r:id="rId18" name="Check Box 15">
              <controlPr defaultSize="0" autoFill="0" autoLine="0" autoPict="0">
                <anchor moveWithCells="1" sizeWithCells="1">
                  <from>
                    <xdr:col>13</xdr:col>
                    <xdr:colOff>0</xdr:colOff>
                    <xdr:row>14</xdr:row>
                    <xdr:rowOff>0</xdr:rowOff>
                  </from>
                  <to>
                    <xdr:col>17</xdr:col>
                    <xdr:colOff>0</xdr:colOff>
                    <xdr:row>14</xdr:row>
                    <xdr:rowOff>180975</xdr:rowOff>
                  </to>
                </anchor>
              </controlPr>
            </control>
          </mc:Choice>
        </mc:AlternateContent>
        <mc:AlternateContent xmlns:mc="http://schemas.openxmlformats.org/markup-compatibility/2006">
          <mc:Choice Requires="x14">
            <control shapeId="52240" r:id="rId19" name="Option Button 16">
              <controlPr defaultSize="0" autoFill="0" autoLine="0" autoPict="0">
                <anchor moveWithCells="1">
                  <from>
                    <xdr:col>18</xdr:col>
                    <xdr:colOff>9525</xdr:colOff>
                    <xdr:row>4</xdr:row>
                    <xdr:rowOff>19050</xdr:rowOff>
                  </from>
                  <to>
                    <xdr:col>21</xdr:col>
                    <xdr:colOff>0</xdr:colOff>
                    <xdr:row>4</xdr:row>
                    <xdr:rowOff>142875</xdr:rowOff>
                  </to>
                </anchor>
              </controlPr>
            </control>
          </mc:Choice>
        </mc:AlternateContent>
        <mc:AlternateContent xmlns:mc="http://schemas.openxmlformats.org/markup-compatibility/2006">
          <mc:Choice Requires="x14">
            <control shapeId="52241" r:id="rId20" name="Group Box 17">
              <controlPr defaultSize="0" print="0" autoFill="0" autoPict="0">
                <anchor moveWithCells="1">
                  <from>
                    <xdr:col>18</xdr:col>
                    <xdr:colOff>0</xdr:colOff>
                    <xdr:row>3</xdr:row>
                    <xdr:rowOff>190500</xdr:rowOff>
                  </from>
                  <to>
                    <xdr:col>24</xdr:col>
                    <xdr:colOff>0</xdr:colOff>
                    <xdr:row>5</xdr:row>
                    <xdr:rowOff>0</xdr:rowOff>
                  </to>
                </anchor>
              </controlPr>
            </control>
          </mc:Choice>
        </mc:AlternateContent>
        <mc:AlternateContent xmlns:mc="http://schemas.openxmlformats.org/markup-compatibility/2006">
          <mc:Choice Requires="x14">
            <control shapeId="52242" r:id="rId21" name="Option Button 18">
              <controlPr defaultSize="0" autoFill="0" autoLine="0" autoPict="0">
                <anchor moveWithCells="1">
                  <from>
                    <xdr:col>21</xdr:col>
                    <xdr:colOff>9525</xdr:colOff>
                    <xdr:row>4</xdr:row>
                    <xdr:rowOff>19050</xdr:rowOff>
                  </from>
                  <to>
                    <xdr:col>24</xdr:col>
                    <xdr:colOff>0</xdr:colOff>
                    <xdr:row>4</xdr:row>
                    <xdr:rowOff>142875</xdr:rowOff>
                  </to>
                </anchor>
              </controlPr>
            </control>
          </mc:Choice>
        </mc:AlternateContent>
        <mc:AlternateContent xmlns:mc="http://schemas.openxmlformats.org/markup-compatibility/2006">
          <mc:Choice Requires="x14">
            <control shapeId="52247" r:id="rId22" name="Group Box 23">
              <controlPr defaultSize="0" print="0" autoFill="0" autoPict="0">
                <anchor moveWithCells="1">
                  <from>
                    <xdr:col>18</xdr:col>
                    <xdr:colOff>0</xdr:colOff>
                    <xdr:row>18</xdr:row>
                    <xdr:rowOff>0</xdr:rowOff>
                  </from>
                  <to>
                    <xdr:col>24</xdr:col>
                    <xdr:colOff>0</xdr:colOff>
                    <xdr:row>21</xdr:row>
                    <xdr:rowOff>0</xdr:rowOff>
                  </to>
                </anchor>
              </controlPr>
            </control>
          </mc:Choice>
        </mc:AlternateContent>
        <mc:AlternateContent xmlns:mc="http://schemas.openxmlformats.org/markup-compatibility/2006">
          <mc:Choice Requires="x14">
            <control shapeId="52248" r:id="rId23" name="Option Button 24">
              <controlPr defaultSize="0" autoFill="0" autoLine="0" autoPict="0">
                <anchor moveWithCells="1">
                  <from>
                    <xdr:col>18</xdr:col>
                    <xdr:colOff>66675</xdr:colOff>
                    <xdr:row>20</xdr:row>
                    <xdr:rowOff>0</xdr:rowOff>
                  </from>
                  <to>
                    <xdr:col>20</xdr:col>
                    <xdr:colOff>0</xdr:colOff>
                    <xdr:row>20</xdr:row>
                    <xdr:rowOff>152400</xdr:rowOff>
                  </to>
                </anchor>
              </controlPr>
            </control>
          </mc:Choice>
        </mc:AlternateContent>
        <mc:AlternateContent xmlns:mc="http://schemas.openxmlformats.org/markup-compatibility/2006">
          <mc:Choice Requires="x14">
            <control shapeId="52249" r:id="rId24" name="Option Button 25">
              <controlPr defaultSize="0" autoFill="0" autoLine="0" autoPict="0">
                <anchor moveWithCells="1">
                  <from>
                    <xdr:col>20</xdr:col>
                    <xdr:colOff>76200</xdr:colOff>
                    <xdr:row>19</xdr:row>
                    <xdr:rowOff>0</xdr:rowOff>
                  </from>
                  <to>
                    <xdr:col>22</xdr:col>
                    <xdr:colOff>0</xdr:colOff>
                    <xdr:row>19</xdr:row>
                    <xdr:rowOff>152400</xdr:rowOff>
                  </to>
                </anchor>
              </controlPr>
            </control>
          </mc:Choice>
        </mc:AlternateContent>
        <mc:AlternateContent xmlns:mc="http://schemas.openxmlformats.org/markup-compatibility/2006">
          <mc:Choice Requires="x14">
            <control shapeId="52250" r:id="rId25" name="Option Button 26">
              <controlPr defaultSize="0" autoFill="0" autoLine="0" autoPict="0">
                <anchor moveWithCells="1">
                  <from>
                    <xdr:col>20</xdr:col>
                    <xdr:colOff>76200</xdr:colOff>
                    <xdr:row>20</xdr:row>
                    <xdr:rowOff>9525</xdr:rowOff>
                  </from>
                  <to>
                    <xdr:col>22</xdr:col>
                    <xdr:colOff>0</xdr:colOff>
                    <xdr:row>20</xdr:row>
                    <xdr:rowOff>152400</xdr:rowOff>
                  </to>
                </anchor>
              </controlPr>
            </control>
          </mc:Choice>
        </mc:AlternateContent>
        <mc:AlternateContent xmlns:mc="http://schemas.openxmlformats.org/markup-compatibility/2006">
          <mc:Choice Requires="x14">
            <control shapeId="52251" r:id="rId26" name="Option Button 27">
              <controlPr defaultSize="0" autoFill="0" autoLine="0" autoPict="0">
                <anchor moveWithCells="1">
                  <from>
                    <xdr:col>22</xdr:col>
                    <xdr:colOff>76200</xdr:colOff>
                    <xdr:row>19</xdr:row>
                    <xdr:rowOff>161925</xdr:rowOff>
                  </from>
                  <to>
                    <xdr:col>24</xdr:col>
                    <xdr:colOff>0</xdr:colOff>
                    <xdr:row>20</xdr:row>
                    <xdr:rowOff>152400</xdr:rowOff>
                  </to>
                </anchor>
              </controlPr>
            </control>
          </mc:Choice>
        </mc:AlternateContent>
        <mc:AlternateContent xmlns:mc="http://schemas.openxmlformats.org/markup-compatibility/2006">
          <mc:Choice Requires="x14">
            <control shapeId="52252" r:id="rId27" name="Check Box 28">
              <controlPr defaultSize="0" autoFill="0" autoLine="0" autoPict="0">
                <anchor moveWithCells="1" sizeWithCells="1">
                  <from>
                    <xdr:col>10</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52253" r:id="rId28" name="Check Box 29">
              <controlPr defaultSize="0" autoFill="0" autoLine="0" autoPict="0">
                <anchor moveWithCells="1" sizeWithCells="1">
                  <from>
                    <xdr:col>10</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52254" r:id="rId29" name="Check Box 30">
              <controlPr defaultSize="0" autoFill="0" autoLine="0" autoPict="0">
                <anchor moveWithCells="1" sizeWithCells="1">
                  <from>
                    <xdr:col>17</xdr:col>
                    <xdr:colOff>0</xdr:colOff>
                    <xdr:row>23</xdr:row>
                    <xdr:rowOff>0</xdr:rowOff>
                  </from>
                  <to>
                    <xdr:col>22</xdr:col>
                    <xdr:colOff>0</xdr:colOff>
                    <xdr:row>24</xdr:row>
                    <xdr:rowOff>0</xdr:rowOff>
                  </to>
                </anchor>
              </controlPr>
            </control>
          </mc:Choice>
        </mc:AlternateContent>
        <mc:AlternateContent xmlns:mc="http://schemas.openxmlformats.org/markup-compatibility/2006">
          <mc:Choice Requires="x14">
            <control shapeId="52255" r:id="rId30" name="Check Box 31">
              <controlPr defaultSize="0" autoFill="0" autoLine="0" autoPict="0">
                <anchor moveWithCells="1" sizeWithCells="1">
                  <from>
                    <xdr:col>17</xdr:col>
                    <xdr:colOff>0</xdr:colOff>
                    <xdr:row>24</xdr:row>
                    <xdr:rowOff>0</xdr:rowOff>
                  </from>
                  <to>
                    <xdr:col>22</xdr:col>
                    <xdr:colOff>0</xdr:colOff>
                    <xdr:row>25</xdr:row>
                    <xdr:rowOff>0</xdr:rowOff>
                  </to>
                </anchor>
              </controlPr>
            </control>
          </mc:Choice>
        </mc:AlternateContent>
        <mc:AlternateContent xmlns:mc="http://schemas.openxmlformats.org/markup-compatibility/2006">
          <mc:Choice Requires="x14">
            <control shapeId="52256" r:id="rId31" name="Group Box 32">
              <controlPr defaultSize="0" print="0" autoFill="0" autoPict="0">
                <anchor moveWithCells="1">
                  <from>
                    <xdr:col>10</xdr:col>
                    <xdr:colOff>0</xdr:colOff>
                    <xdr:row>17</xdr:row>
                    <xdr:rowOff>0</xdr:rowOff>
                  </from>
                  <to>
                    <xdr:col>15</xdr:col>
                    <xdr:colOff>0</xdr:colOff>
                    <xdr:row>19</xdr:row>
                    <xdr:rowOff>0</xdr:rowOff>
                  </to>
                </anchor>
              </controlPr>
            </control>
          </mc:Choice>
        </mc:AlternateContent>
        <mc:AlternateContent xmlns:mc="http://schemas.openxmlformats.org/markup-compatibility/2006">
          <mc:Choice Requires="x14">
            <control shapeId="52257" r:id="rId32" name="Option Button 33">
              <controlPr defaultSize="0" autoFill="0" autoLine="0" autoPict="0">
                <anchor moveWithCells="1">
                  <from>
                    <xdr:col>10</xdr:col>
                    <xdr:colOff>9525</xdr:colOff>
                    <xdr:row>17</xdr:row>
                    <xdr:rowOff>19050</xdr:rowOff>
                  </from>
                  <to>
                    <xdr:col>12</xdr:col>
                    <xdr:colOff>266700</xdr:colOff>
                    <xdr:row>17</xdr:row>
                    <xdr:rowOff>142875</xdr:rowOff>
                  </to>
                </anchor>
              </controlPr>
            </control>
          </mc:Choice>
        </mc:AlternateContent>
        <mc:AlternateContent xmlns:mc="http://schemas.openxmlformats.org/markup-compatibility/2006">
          <mc:Choice Requires="x14">
            <control shapeId="52258" r:id="rId33" name="Option Button 34">
              <controlPr defaultSize="0" autoFill="0" autoLine="0" autoPict="0">
                <anchor moveWithCells="1">
                  <from>
                    <xdr:col>10</xdr:col>
                    <xdr:colOff>9525</xdr:colOff>
                    <xdr:row>18</xdr:row>
                    <xdr:rowOff>9525</xdr:rowOff>
                  </from>
                  <to>
                    <xdr:col>12</xdr:col>
                    <xdr:colOff>266700</xdr:colOff>
                    <xdr:row>18</xdr:row>
                    <xdr:rowOff>133350</xdr:rowOff>
                  </to>
                </anchor>
              </controlPr>
            </control>
          </mc:Choice>
        </mc:AlternateContent>
        <mc:AlternateContent xmlns:mc="http://schemas.openxmlformats.org/markup-compatibility/2006">
          <mc:Choice Requires="x14">
            <control shapeId="52259" r:id="rId34" name="Check Box 35">
              <controlPr defaultSize="0" autoFill="0" autoLine="0" autoPict="0">
                <anchor moveWithCells="1" sizeWithCells="1">
                  <from>
                    <xdr:col>10</xdr:col>
                    <xdr:colOff>0</xdr:colOff>
                    <xdr:row>27</xdr:row>
                    <xdr:rowOff>0</xdr:rowOff>
                  </from>
                  <to>
                    <xdr:col>15</xdr:col>
                    <xdr:colOff>0</xdr:colOff>
                    <xdr:row>28</xdr:row>
                    <xdr:rowOff>0</xdr:rowOff>
                  </to>
                </anchor>
              </controlPr>
            </control>
          </mc:Choice>
        </mc:AlternateContent>
        <mc:AlternateContent xmlns:mc="http://schemas.openxmlformats.org/markup-compatibility/2006">
          <mc:Choice Requires="x14">
            <control shapeId="52262" r:id="rId35" name="Check Box 38">
              <controlPr defaultSize="0" autoFill="0" autoLine="0" autoPict="0">
                <anchor moveWithCells="1" sizeWithCells="1">
                  <from>
                    <xdr:col>10</xdr:col>
                    <xdr:colOff>0</xdr:colOff>
                    <xdr:row>31</xdr:row>
                    <xdr:rowOff>0</xdr:rowOff>
                  </from>
                  <to>
                    <xdr:col>15</xdr:col>
                    <xdr:colOff>0</xdr:colOff>
                    <xdr:row>32</xdr:row>
                    <xdr:rowOff>0</xdr:rowOff>
                  </to>
                </anchor>
              </controlPr>
            </control>
          </mc:Choice>
        </mc:AlternateContent>
        <mc:AlternateContent xmlns:mc="http://schemas.openxmlformats.org/markup-compatibility/2006">
          <mc:Choice Requires="x14">
            <control shapeId="52263" r:id="rId36" name="Check Box 39">
              <controlPr defaultSize="0" autoFill="0" autoLine="0" autoPict="0">
                <anchor moveWithCells="1" sizeWithCells="1">
                  <from>
                    <xdr:col>10</xdr:col>
                    <xdr:colOff>0</xdr:colOff>
                    <xdr:row>32</xdr:row>
                    <xdr:rowOff>0</xdr:rowOff>
                  </from>
                  <to>
                    <xdr:col>15</xdr:col>
                    <xdr:colOff>0</xdr:colOff>
                    <xdr:row>33</xdr:row>
                    <xdr:rowOff>0</xdr:rowOff>
                  </to>
                </anchor>
              </controlPr>
            </control>
          </mc:Choice>
        </mc:AlternateContent>
        <mc:AlternateContent xmlns:mc="http://schemas.openxmlformats.org/markup-compatibility/2006">
          <mc:Choice Requires="x14">
            <control shapeId="52264" r:id="rId37" name="Check Box 40">
              <controlPr defaultSize="0" autoFill="0" autoLine="0" autoPict="0">
                <anchor moveWithCells="1" sizeWithCells="1">
                  <from>
                    <xdr:col>10</xdr:col>
                    <xdr:colOff>0</xdr:colOff>
                    <xdr:row>33</xdr:row>
                    <xdr:rowOff>0</xdr:rowOff>
                  </from>
                  <to>
                    <xdr:col>15</xdr:col>
                    <xdr:colOff>0</xdr:colOff>
                    <xdr:row>34</xdr:row>
                    <xdr:rowOff>0</xdr:rowOff>
                  </to>
                </anchor>
              </controlPr>
            </control>
          </mc:Choice>
        </mc:AlternateContent>
        <mc:AlternateContent xmlns:mc="http://schemas.openxmlformats.org/markup-compatibility/2006">
          <mc:Choice Requires="x14">
            <control shapeId="52265" r:id="rId38" name="Check Box 41">
              <controlPr defaultSize="0" autoFill="0" autoLine="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52266" r:id="rId39" name="Check Box 42">
              <controlPr defaultSize="0" autoFill="0" autoLine="0" autoPict="0">
                <anchor moveWithCells="1" siz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52267" r:id="rId40" name="Check Box 43">
              <controlPr defaultSize="0" autoFill="0" autoLine="0" autoPict="0">
                <anchor moveWithCells="1" sizeWithCells="1">
                  <from>
                    <xdr:col>10</xdr:col>
                    <xdr:colOff>0</xdr:colOff>
                    <xdr:row>35</xdr:row>
                    <xdr:rowOff>0</xdr:rowOff>
                  </from>
                  <to>
                    <xdr:col>15</xdr:col>
                    <xdr:colOff>0</xdr:colOff>
                    <xdr:row>36</xdr:row>
                    <xdr:rowOff>0</xdr:rowOff>
                  </to>
                </anchor>
              </controlPr>
            </control>
          </mc:Choice>
        </mc:AlternateContent>
        <mc:AlternateContent xmlns:mc="http://schemas.openxmlformats.org/markup-compatibility/2006">
          <mc:Choice Requires="x14">
            <control shapeId="52268" r:id="rId41" name="Check Box 44">
              <controlPr defaultSize="0" autoFill="0" autoLine="0" autoPict="0">
                <anchor moveWithCells="1" sizeWithCells="1">
                  <from>
                    <xdr:col>10</xdr:col>
                    <xdr:colOff>0</xdr:colOff>
                    <xdr:row>36</xdr:row>
                    <xdr:rowOff>0</xdr:rowOff>
                  </from>
                  <to>
                    <xdr:col>15</xdr:col>
                    <xdr:colOff>0</xdr:colOff>
                    <xdr:row>37</xdr:row>
                    <xdr:rowOff>0</xdr:rowOff>
                  </to>
                </anchor>
              </controlPr>
            </control>
          </mc:Choice>
        </mc:AlternateContent>
        <mc:AlternateContent xmlns:mc="http://schemas.openxmlformats.org/markup-compatibility/2006">
          <mc:Choice Requires="x14">
            <control shapeId="327909" r:id="rId42" name="Group Box 2277">
              <controlPr defaultSize="0" print="0" autoFill="0" autoPict="0">
                <anchor moveWithCells="1">
                  <from>
                    <xdr:col>10</xdr:col>
                    <xdr:colOff>0</xdr:colOff>
                    <xdr:row>26</xdr:row>
                    <xdr:rowOff>0</xdr:rowOff>
                  </from>
                  <to>
                    <xdr:col>17</xdr:col>
                    <xdr:colOff>0</xdr:colOff>
                    <xdr:row>37</xdr:row>
                    <xdr:rowOff>0</xdr:rowOff>
                  </to>
                </anchor>
              </controlPr>
            </control>
          </mc:Choice>
        </mc:AlternateContent>
        <mc:AlternateContent xmlns:mc="http://schemas.openxmlformats.org/markup-compatibility/2006">
          <mc:Choice Requires="x14">
            <control shapeId="327910" r:id="rId43" name="Option Button 2278">
              <controlPr defaultSize="0" autoFill="0" autoLine="0" autoPict="0">
                <anchor moveWithCells="1">
                  <from>
                    <xdr:col>10</xdr:col>
                    <xdr:colOff>9525</xdr:colOff>
                    <xdr:row>29</xdr:row>
                    <xdr:rowOff>19050</xdr:rowOff>
                  </from>
                  <to>
                    <xdr:col>12</xdr:col>
                    <xdr:colOff>266700</xdr:colOff>
                    <xdr:row>29</xdr:row>
                    <xdr:rowOff>142875</xdr:rowOff>
                  </to>
                </anchor>
              </controlPr>
            </control>
          </mc:Choice>
        </mc:AlternateContent>
        <mc:AlternateContent xmlns:mc="http://schemas.openxmlformats.org/markup-compatibility/2006">
          <mc:Choice Requires="x14">
            <control shapeId="327911" r:id="rId44" name="Option Button 2279">
              <controlPr defaultSize="0" autoFill="0" autoLine="0" autoPict="0">
                <anchor moveWithCells="1">
                  <from>
                    <xdr:col>10</xdr:col>
                    <xdr:colOff>9525</xdr:colOff>
                    <xdr:row>30</xdr:row>
                    <xdr:rowOff>9525</xdr:rowOff>
                  </from>
                  <to>
                    <xdr:col>12</xdr:col>
                    <xdr:colOff>266700</xdr:colOff>
                    <xdr:row>30</xdr:row>
                    <xdr:rowOff>133350</xdr:rowOff>
                  </to>
                </anchor>
              </controlPr>
            </control>
          </mc:Choice>
        </mc:AlternateContent>
        <mc:AlternateContent xmlns:mc="http://schemas.openxmlformats.org/markup-compatibility/2006">
          <mc:Choice Requires="x14">
            <control shapeId="328299" r:id="rId45" name="Group Box 2667">
              <controlPr defaultSize="0" print="0" autoFill="0" autoPict="0">
                <anchor moveWithCells="1">
                  <from>
                    <xdr:col>20</xdr:col>
                    <xdr:colOff>0</xdr:colOff>
                    <xdr:row>12</xdr:row>
                    <xdr:rowOff>0</xdr:rowOff>
                  </from>
                  <to>
                    <xdr:col>22</xdr:col>
                    <xdr:colOff>0</xdr:colOff>
                    <xdr:row>16</xdr:row>
                    <xdr:rowOff>0</xdr:rowOff>
                  </to>
                </anchor>
              </controlPr>
            </control>
          </mc:Choice>
        </mc:AlternateContent>
        <mc:AlternateContent xmlns:mc="http://schemas.openxmlformats.org/markup-compatibility/2006">
          <mc:Choice Requires="x14">
            <control shapeId="328300" r:id="rId46" name="Option Button 2668">
              <controlPr defaultSize="0" autoFill="0" autoLine="0" autoPict="0">
                <anchor moveWithCells="1">
                  <from>
                    <xdr:col>20</xdr:col>
                    <xdr:colOff>285750</xdr:colOff>
                    <xdr:row>12</xdr:row>
                    <xdr:rowOff>19050</xdr:rowOff>
                  </from>
                  <to>
                    <xdr:col>21</xdr:col>
                    <xdr:colOff>123825</xdr:colOff>
                    <xdr:row>13</xdr:row>
                    <xdr:rowOff>0</xdr:rowOff>
                  </to>
                </anchor>
              </controlPr>
            </control>
          </mc:Choice>
        </mc:AlternateContent>
        <mc:AlternateContent xmlns:mc="http://schemas.openxmlformats.org/markup-compatibility/2006">
          <mc:Choice Requires="x14">
            <control shapeId="328301" r:id="rId47" name="Option Button 2669">
              <controlPr defaultSize="0" autoFill="0" autoLine="0" autoPict="0">
                <anchor moveWithCells="1">
                  <from>
                    <xdr:col>20</xdr:col>
                    <xdr:colOff>285750</xdr:colOff>
                    <xdr:row>14</xdr:row>
                    <xdr:rowOff>19050</xdr:rowOff>
                  </from>
                  <to>
                    <xdr:col>21</xdr:col>
                    <xdr:colOff>123825</xdr:colOff>
                    <xdr:row>14</xdr:row>
                    <xdr:rowOff>142875</xdr:rowOff>
                  </to>
                </anchor>
              </controlPr>
            </control>
          </mc:Choice>
        </mc:AlternateContent>
        <mc:AlternateContent xmlns:mc="http://schemas.openxmlformats.org/markup-compatibility/2006">
          <mc:Choice Requires="x14">
            <control shapeId="328302" r:id="rId48" name="Option Button 2670">
              <controlPr defaultSize="0" autoFill="0" autoLine="0" autoPict="0">
                <anchor moveWithCells="1">
                  <from>
                    <xdr:col>20</xdr:col>
                    <xdr:colOff>285750</xdr:colOff>
                    <xdr:row>15</xdr:row>
                    <xdr:rowOff>19050</xdr:rowOff>
                  </from>
                  <to>
                    <xdr:col>21</xdr:col>
                    <xdr:colOff>123825</xdr:colOff>
                    <xdr:row>15</xdr:row>
                    <xdr:rowOff>142875</xdr:rowOff>
                  </to>
                </anchor>
              </controlPr>
            </control>
          </mc:Choice>
        </mc:AlternateContent>
        <mc:AlternateContent xmlns:mc="http://schemas.openxmlformats.org/markup-compatibility/2006">
          <mc:Choice Requires="x14">
            <control shapeId="328303" r:id="rId49" name="Group Box 2671">
              <controlPr defaultSize="0" print="0" autoFill="0" autoPict="0">
                <anchor moveWithCells="1">
                  <from>
                    <xdr:col>22</xdr:col>
                    <xdr:colOff>0</xdr:colOff>
                    <xdr:row>12</xdr:row>
                    <xdr:rowOff>0</xdr:rowOff>
                  </from>
                  <to>
                    <xdr:col>24</xdr:col>
                    <xdr:colOff>0</xdr:colOff>
                    <xdr:row>15</xdr:row>
                    <xdr:rowOff>161925</xdr:rowOff>
                  </to>
                </anchor>
              </controlPr>
            </control>
          </mc:Choice>
        </mc:AlternateContent>
        <mc:AlternateContent xmlns:mc="http://schemas.openxmlformats.org/markup-compatibility/2006">
          <mc:Choice Requires="x14">
            <control shapeId="328304" r:id="rId50" name="Option Button 2672">
              <controlPr defaultSize="0" autoFill="0" autoLine="0" autoPict="0">
                <anchor moveWithCells="1">
                  <from>
                    <xdr:col>22</xdr:col>
                    <xdr:colOff>285750</xdr:colOff>
                    <xdr:row>12</xdr:row>
                    <xdr:rowOff>19050</xdr:rowOff>
                  </from>
                  <to>
                    <xdr:col>23</xdr:col>
                    <xdr:colOff>123825</xdr:colOff>
                    <xdr:row>12</xdr:row>
                    <xdr:rowOff>161925</xdr:rowOff>
                  </to>
                </anchor>
              </controlPr>
            </control>
          </mc:Choice>
        </mc:AlternateContent>
        <mc:AlternateContent xmlns:mc="http://schemas.openxmlformats.org/markup-compatibility/2006">
          <mc:Choice Requires="x14">
            <control shapeId="328305" r:id="rId51" name="Option Button 2673">
              <controlPr defaultSize="0" autoFill="0" autoLine="0" autoPict="0">
                <anchor moveWithCells="1">
                  <from>
                    <xdr:col>22</xdr:col>
                    <xdr:colOff>285750</xdr:colOff>
                    <xdr:row>14</xdr:row>
                    <xdr:rowOff>19050</xdr:rowOff>
                  </from>
                  <to>
                    <xdr:col>23</xdr:col>
                    <xdr:colOff>123825</xdr:colOff>
                    <xdr:row>14</xdr:row>
                    <xdr:rowOff>142875</xdr:rowOff>
                  </to>
                </anchor>
              </controlPr>
            </control>
          </mc:Choice>
        </mc:AlternateContent>
        <mc:AlternateContent xmlns:mc="http://schemas.openxmlformats.org/markup-compatibility/2006">
          <mc:Choice Requires="x14">
            <control shapeId="328306" r:id="rId52" name="Option Button 2674">
              <controlPr defaultSize="0" autoFill="0" autoLine="0" autoPict="0">
                <anchor moveWithCells="1">
                  <from>
                    <xdr:col>22</xdr:col>
                    <xdr:colOff>285750</xdr:colOff>
                    <xdr:row>15</xdr:row>
                    <xdr:rowOff>19050</xdr:rowOff>
                  </from>
                  <to>
                    <xdr:col>23</xdr:col>
                    <xdr:colOff>123825</xdr:colOff>
                    <xdr:row>15</xdr:row>
                    <xdr:rowOff>142875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CDF912C-16BA-4FE2-A863-48273966BF72}">
            <xm:f>Erhebungsbogen!$W$37&gt;0</xm:f>
            <x14:dxf>
              <font>
                <color theme="1"/>
              </font>
              <border>
                <left style="thin">
                  <color auto="1"/>
                </left>
                <right style="thin">
                  <color auto="1"/>
                </right>
                <top style="thin">
                  <color auto="1"/>
                </top>
                <bottom style="thin">
                  <color auto="1"/>
                </bottom>
                <vertical/>
                <horizontal/>
              </border>
            </x14:dxf>
          </x14:cfRule>
          <xm:sqref>H41:I41</xm:sqref>
        </x14:conditionalFormatting>
        <x14:conditionalFormatting xmlns:xm="http://schemas.microsoft.com/office/excel/2006/main">
          <x14:cfRule type="cellIs" priority="1456" operator="greaterThan" id="{D12C7E05-F8A6-4784-AFA7-EE30759B5359}">
            <xm:f>Haftungsausschluß!$L$34</xm:f>
            <x14:dxf>
              <fill>
                <patternFill>
                  <bgColor theme="9" tint="0.59996337778862885"/>
                </patternFill>
              </fill>
            </x14:dxf>
          </x14:cfRule>
          <x14:cfRule type="cellIs" priority="1457" operator="lessThan" id="{FECC9010-24F7-4FDB-A08F-F49B1228F995}">
            <xm:f>Haftungsausschluß!$L$34</xm:f>
            <x14:dxf>
              <fill>
                <patternFill>
                  <bgColor rgb="FFFF7C80"/>
                </patternFill>
              </fill>
            </x14:dxf>
          </x14:cfRule>
          <xm:sqref>X30 X35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f01325f-6d04-4905-92c1-287a220edac3" xsi:nil="true"/>
    <lcf76f155ced4ddcb4097134ff3c332f xmlns="665609e8-82a7-42bb-a241-1352fea502c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3EC1B21C32056F44AA7DA1E9C2296358" ma:contentTypeVersion="16" ma:contentTypeDescription="Ein neues Dokument erstellen." ma:contentTypeScope="" ma:versionID="5bad94847cd7a70717a604a7693af5ba">
  <xsd:schema xmlns:xsd="http://www.w3.org/2001/XMLSchema" xmlns:xs="http://www.w3.org/2001/XMLSchema" xmlns:p="http://schemas.microsoft.com/office/2006/metadata/properties" xmlns:ns2="665609e8-82a7-42bb-a241-1352fea502ca" xmlns:ns3="43e6e013-0698-44a1-9d48-8ff31a1df0c3" xmlns:ns4="bf01325f-6d04-4905-92c1-287a220edac3" targetNamespace="http://schemas.microsoft.com/office/2006/metadata/properties" ma:root="true" ma:fieldsID="df983223bf4576bc13ad205c559bcacb" ns2:_="" ns3:_="" ns4:_="">
    <xsd:import namespace="665609e8-82a7-42bb-a241-1352fea502ca"/>
    <xsd:import namespace="43e6e013-0698-44a1-9d48-8ff31a1df0c3"/>
    <xsd:import namespace="bf01325f-6d04-4905-92c1-287a220edac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5609e8-82a7-42bb-a241-1352fea50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LengthInSeconds" ma:index="16" nillable="true" ma:displayName="Length (seconds)"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ac38430b-4b0d-4c0d-b3d9-a6776c55b4b0"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e6e013-0698-44a1-9d48-8ff31a1df0c3"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f01325f-6d04-4905-92c1-287a220edac3"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078028e3-4bdd-4533-b7fd-340baf10d21c}" ma:internalName="TaxCatchAll" ma:showField="CatchAllData" ma:web="bf01325f-6d04-4905-92c1-287a220eda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4636437-1371-4FE2-B2CE-354BA5C0D2D3}">
  <ds:schemaRefs>
    <ds:schemaRef ds:uri="http://schemas.microsoft.com/office/2006/metadata/properties"/>
    <ds:schemaRef ds:uri="http://schemas.microsoft.com/office/infopath/2007/PartnerControls"/>
    <ds:schemaRef ds:uri="bf01325f-6d04-4905-92c1-287a220edac3"/>
    <ds:schemaRef ds:uri="15a9e933-d27c-474c-a129-a35d5000c0af"/>
    <ds:schemaRef ds:uri="18d922df-9b3f-4357-9199-d5d05581910c"/>
    <ds:schemaRef ds:uri="aa6fdb5b-6f87-42f7-bba8-828d5a2e1c1e"/>
  </ds:schemaRefs>
</ds:datastoreItem>
</file>

<file path=customXml/itemProps2.xml><?xml version="1.0" encoding="utf-8"?>
<ds:datastoreItem xmlns:ds="http://schemas.openxmlformats.org/officeDocument/2006/customXml" ds:itemID="{2E9E8E60-C4B3-4C5F-95E1-D4F63D96D631}"/>
</file>

<file path=customXml/itemProps3.xml><?xml version="1.0" encoding="utf-8"?>
<ds:datastoreItem xmlns:ds="http://schemas.openxmlformats.org/officeDocument/2006/customXml" ds:itemID="{1E0E5777-EE4F-4604-801F-6002E639613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68</vt:i4>
      </vt:variant>
      <vt:variant>
        <vt:lpstr>Benannte Bereiche</vt:lpstr>
      </vt:variant>
      <vt:variant>
        <vt:i4>32</vt:i4>
      </vt:variant>
    </vt:vector>
  </HeadingPairs>
  <TitlesOfParts>
    <vt:vector size="100" baseType="lpstr">
      <vt:lpstr>Erhebungsbogen</vt:lpstr>
      <vt:lpstr>Haftungsausschluß</vt:lpstr>
      <vt:lpstr>Bilder</vt:lpstr>
      <vt:lpstr>Leibungshöhe</vt:lpstr>
      <vt:lpstr>Kalk1</vt:lpstr>
      <vt:lpstr>Kalk2</vt:lpstr>
      <vt:lpstr>Kalk3</vt:lpstr>
      <vt:lpstr>Kalk4</vt:lpstr>
      <vt:lpstr>Kalk5</vt:lpstr>
      <vt:lpstr>STK1</vt:lpstr>
      <vt:lpstr>STK2</vt:lpstr>
      <vt:lpstr>STK3</vt:lpstr>
      <vt:lpstr>STK4</vt:lpstr>
      <vt:lpstr>STK5</vt:lpstr>
      <vt:lpstr>Stk-Liste-GES</vt:lpstr>
      <vt:lpstr>CAD1</vt:lpstr>
      <vt:lpstr>CAD2</vt:lpstr>
      <vt:lpstr>CAD3</vt:lpstr>
      <vt:lpstr>CAD4</vt:lpstr>
      <vt:lpstr>CAD5</vt:lpstr>
      <vt:lpstr>Sprachindex</vt:lpstr>
      <vt:lpstr>Preisliste</vt:lpstr>
      <vt:lpstr>HWS Partner</vt:lpstr>
      <vt:lpstr>Kalk1_Eingabe</vt:lpstr>
      <vt:lpstr>Kalk1_Sys_50</vt:lpstr>
      <vt:lpstr>Kalk1_Sys_80k</vt:lpstr>
      <vt:lpstr>Kalk1_Sys_80g</vt:lpstr>
      <vt:lpstr>Kalk1_DB_25-200</vt:lpstr>
      <vt:lpstr>Kalk1_DB_50-150</vt:lpstr>
      <vt:lpstr>Kalk1_DB_50-200</vt:lpstr>
      <vt:lpstr>Kalk1_DB_80-200</vt:lpstr>
      <vt:lpstr>Kalk1_Lastfallkombi</vt:lpstr>
      <vt:lpstr>Kalk2_Eingabe</vt:lpstr>
      <vt:lpstr>Kalk2_Sys_50</vt:lpstr>
      <vt:lpstr>Kalk2_Sys_80k</vt:lpstr>
      <vt:lpstr>Kalk2_Sys_80g</vt:lpstr>
      <vt:lpstr>Kalk2_DB_25-200</vt:lpstr>
      <vt:lpstr>Kalk2_DB_50-150</vt:lpstr>
      <vt:lpstr>Kalk2_DB_50-200</vt:lpstr>
      <vt:lpstr>Kalk2_DB_80-200</vt:lpstr>
      <vt:lpstr>Kalk2_Lastfallkombi</vt:lpstr>
      <vt:lpstr>Kalk3_Eingabe</vt:lpstr>
      <vt:lpstr>Kalk3_Sys_50</vt:lpstr>
      <vt:lpstr>Kalk3_Sys_80k</vt:lpstr>
      <vt:lpstr>Kalk3_Sys_80g</vt:lpstr>
      <vt:lpstr>Kalk3_DB_25-200</vt:lpstr>
      <vt:lpstr>Kalk3_DB_50-150</vt:lpstr>
      <vt:lpstr>Kalk3_DB_50-200</vt:lpstr>
      <vt:lpstr>Kalk3_DB_80-200</vt:lpstr>
      <vt:lpstr>Kalk3_Lastfallkombi</vt:lpstr>
      <vt:lpstr>Kalk4_Eingabe</vt:lpstr>
      <vt:lpstr>Kalk4_Sys_50</vt:lpstr>
      <vt:lpstr>Kalk4_Sys_80k</vt:lpstr>
      <vt:lpstr>Kalk4_Sys_80g</vt:lpstr>
      <vt:lpstr>Kalk4_DB_25-200</vt:lpstr>
      <vt:lpstr>Kalk4_DB_50-150</vt:lpstr>
      <vt:lpstr>Kalk4_DB_50-200</vt:lpstr>
      <vt:lpstr>Kalk4_DB_80-200</vt:lpstr>
      <vt:lpstr>Kalk4_Lastfallkombi</vt:lpstr>
      <vt:lpstr>Kalk5_Eingabe</vt:lpstr>
      <vt:lpstr>Kalk5_Sys_50</vt:lpstr>
      <vt:lpstr>Kalk5_Sys_80k</vt:lpstr>
      <vt:lpstr>Kalk5_Sys_80g</vt:lpstr>
      <vt:lpstr>Kalk5_DB_25-200</vt:lpstr>
      <vt:lpstr>Kalk5_DB_50-150</vt:lpstr>
      <vt:lpstr>Kalk5_DB_50-200</vt:lpstr>
      <vt:lpstr>Kalk5_DB_80-200</vt:lpstr>
      <vt:lpstr>Kalk5_Lastfallkombi</vt:lpstr>
      <vt:lpstr>'Kalk1_DB_25-200'!Druckbereich</vt:lpstr>
      <vt:lpstr>'Kalk1_DB_50-150'!Druckbereich</vt:lpstr>
      <vt:lpstr>'Kalk1_DB_50-200'!Druckbereich</vt:lpstr>
      <vt:lpstr>'Kalk1_DB_80-200'!Druckbereich</vt:lpstr>
      <vt:lpstr>Kalk1_Lastfallkombi!Druckbereich</vt:lpstr>
      <vt:lpstr>'Kalk2_DB_25-200'!Druckbereich</vt:lpstr>
      <vt:lpstr>'Kalk2_DB_50-150'!Druckbereich</vt:lpstr>
      <vt:lpstr>'Kalk2_DB_50-200'!Druckbereich</vt:lpstr>
      <vt:lpstr>'Kalk2_DB_80-200'!Druckbereich</vt:lpstr>
      <vt:lpstr>'Kalk3_DB_25-200'!Druckbereich</vt:lpstr>
      <vt:lpstr>'Kalk3_DB_50-150'!Druckbereich</vt:lpstr>
      <vt:lpstr>'Kalk3_DB_50-200'!Druckbereich</vt:lpstr>
      <vt:lpstr>'Kalk3_DB_80-200'!Druckbereich</vt:lpstr>
      <vt:lpstr>'Kalk4_DB_25-200'!Druckbereich</vt:lpstr>
      <vt:lpstr>'Kalk4_DB_50-150'!Druckbereich</vt:lpstr>
      <vt:lpstr>'Kalk4_DB_50-200'!Druckbereich</vt:lpstr>
      <vt:lpstr>'Kalk4_DB_80-200'!Druckbereich</vt:lpstr>
      <vt:lpstr>'Kalk5_DB_25-200'!Druckbereich</vt:lpstr>
      <vt:lpstr>'Kalk5_DB_50-150'!Druckbereich</vt:lpstr>
      <vt:lpstr>'Kalk5_DB_50-200'!Druckbereich</vt:lpstr>
      <vt:lpstr>'Kalk5_DB_80-200'!Druckbereich</vt:lpstr>
      <vt:lpstr>'STK1'!Druckbereich</vt:lpstr>
      <vt:lpstr>'STK2'!Druckbereich</vt:lpstr>
      <vt:lpstr>'STK3'!Druckbereich</vt:lpstr>
      <vt:lpstr>'STK4'!Druckbereich</vt:lpstr>
      <vt:lpstr>'STK5'!Druckbereich</vt:lpstr>
      <vt:lpstr>'Stk-Liste-GES'!Druckbereich</vt:lpstr>
      <vt:lpstr>'CAD1'!Print_Area</vt:lpstr>
      <vt:lpstr>'CAD2'!Print_Area</vt:lpstr>
      <vt:lpstr>'CAD3'!Print_Area</vt:lpstr>
      <vt:lpstr>'CAD4'!Print_Area</vt:lpstr>
      <vt:lpstr>'CAD5'!Print_Area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Muellner Andreas</dc:creator>
  <cp:lastModifiedBy>Ruede Thomas</cp:lastModifiedBy>
  <cp:lastPrinted>2024-04-25T14:29:57Z</cp:lastPrinted>
  <dcterms:created xsi:type="dcterms:W3CDTF">2022-12-02T07:26:27Z</dcterms:created>
  <dcterms:modified xsi:type="dcterms:W3CDTF">2024-04-26T13:44:26Z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0x0101003EC1B21C32056F44AA7DA1E9C2296358</vt:lpwstr>
  </property>
  <property fmtid="{D5CDD505-2E9C-101B-9397-08002B2CF9AE}" pid="3" name="MediaServiceImageTags">
    <vt:lpwstr/>
  </property>
</Properties>
</file>